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Default Extension="wdp" ContentType="image/vnd.ms-photo"/>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drawings/drawing2.xml" ContentType="application/vnd.openxmlformats-officedocument.drawing+xml"/>
  <Override PartName="/xl/embeddings/oleObject2.bin" ContentType="application/vnd.openxmlformats-officedocument.oleObject"/>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charts/chart7.xml" ContentType="application/vnd.openxmlformats-officedocument.drawingml.chart+xml"/>
  <Override PartName="/xl/charts/chart8.xml" ContentType="application/vnd.openxmlformats-officedocument.drawingml.chart+xml"/>
  <Override PartName="/xl/charts/chart9.xml" ContentType="application/vnd.openxmlformats-officedocument.drawingml.chart+xml"/>
  <Override PartName="/xl/charts/chart10.xml" ContentType="application/vnd.openxmlformats-officedocument.drawingml.chart+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harts/chart11.xml" ContentType="application/vnd.openxmlformats-officedocument.drawingml.chart+xml"/>
  <Override PartName="/xl/charts/chart12.xml" ContentType="application/vnd.openxmlformats-officedocument.drawingml.chart+xml"/>
  <Override PartName="/xl/charts/chart13.xml" ContentType="application/vnd.openxmlformats-officedocument.drawingml.chart+xml"/>
  <Override PartName="/xl/charts/chart14.xml" ContentType="application/vnd.openxmlformats-officedocument.drawingml.chart+xml"/>
  <Override PartName="/xl/charts/chart15.xml" ContentType="application/vnd.openxmlformats-officedocument.drawingml.chart+xml"/>
  <Override PartName="/xl/charts/chart16.xml" ContentType="application/vnd.openxmlformats-officedocument.drawingml.chart+xml"/>
  <Override PartName="/xl/charts/chart17.xml" ContentType="application/vnd.openxmlformats-officedocument.drawingml.chart+xml"/>
  <Override PartName="/xl/charts/chart18.xml" ContentType="application/vnd.openxmlformats-officedocument.drawingml.chart+xml"/>
  <Override PartName="/xl/charts/chart19.xml" ContentType="application/vnd.openxmlformats-officedocument.drawingml.chart+xml"/>
  <Override PartName="/xl/charts/chart20.xml" ContentType="application/vnd.openxmlformats-officedocument.drawingml.chart+xml"/>
  <Override PartName="/xl/charts/chart21.xml" ContentType="application/vnd.openxmlformats-officedocument.drawingml.chart+xml"/>
  <Override PartName="/xl/charts/chart22.xml" ContentType="application/vnd.openxmlformats-officedocument.drawingml.chart+xml"/>
  <Override PartName="/xl/charts/chart23.xml" ContentType="application/vnd.openxmlformats-officedocument.drawingml.chart+xml"/>
  <Override PartName="/xl/charts/chart24.xml" ContentType="application/vnd.openxmlformats-officedocument.drawingml.chart+xml"/>
  <Override PartName="/xl/charts/chart25.xml" ContentType="application/vnd.openxmlformats-officedocument.drawingml.chart+xml"/>
  <Override PartName="/xl/charts/chart26.xml" ContentType="application/vnd.openxmlformats-officedocument.drawingml.chart+xml"/>
  <Override PartName="/xl/charts/chart27.xml" ContentType="application/vnd.openxmlformats-officedocument.drawingml.chart+xml"/>
  <Override PartName="/xl/charts/chart28.xml" ContentType="application/vnd.openxmlformats-officedocument.drawingml.chart+xml"/>
  <Override PartName="/xl/charts/chart29.xml" ContentType="application/vnd.openxmlformats-officedocument.drawingml.chart+xml"/>
  <Override PartName="/xl/charts/chart30.xml" ContentType="application/vnd.openxmlformats-officedocument.drawingml.chart+xml"/>
  <Override PartName="/xl/charts/chart31.xml" ContentType="application/vnd.openxmlformats-officedocument.drawingml.chart+xml"/>
  <Override PartName="/xl/charts/chart32.xml" ContentType="application/vnd.openxmlformats-officedocument.drawingml.chart+xml"/>
  <Override PartName="/xl/charts/chart33.xml" ContentType="application/vnd.openxmlformats-officedocument.drawingml.chart+xml"/>
  <Override PartName="/xl/drawings/drawing16.xml" ContentType="application/vnd.openxmlformats-officedocument.drawing+xml"/>
  <Override PartName="/xl/embeddings/oleObject3.bin" ContentType="application/vnd.openxmlformats-officedocument.oleObject"/>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embeddings/oleObject4.bin" ContentType="application/vnd.openxmlformats-officedocument.oleObject"/>
  <Override PartName="/xl/drawings/drawing3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GIA_05\Desktop\"/>
    </mc:Choice>
  </mc:AlternateContent>
  <bookViews>
    <workbookView xWindow="0" yWindow="0" windowWidth="23970" windowHeight="9600" tabRatio="963"/>
  </bookViews>
  <sheets>
    <sheet name="PORTADA" sheetId="33" r:id="rId1"/>
    <sheet name="TABLA DE CONTENIDO" sheetId="2" r:id="rId2"/>
    <sheet name="GENERALIDADES " sheetId="3" r:id="rId3"/>
    <sheet name="CUMPLIMIENTO % " sheetId="6" r:id="rId4"/>
    <sheet name="ESTADO RED VIS" sheetId="27" r:id="rId5"/>
    <sheet name=" CHAP-ORT (SEMAFORO VIS)" sheetId="53" r:id="rId6"/>
    <sheet name="ORT-GUAMO (SEMAFORO VIS)" sheetId="52" r:id="rId7"/>
    <sheet name="PASO GUAMO (SEMAFORO VIS)" sheetId="51" r:id="rId8"/>
    <sheet name=" PASO ESP. (SEMAFORO VIS)" sheetId="50" r:id="rId9"/>
    <sheet name=" CR.40-La Tamb (SEMAFORO VIS)" sheetId="49" r:id="rId10"/>
    <sheet name="TORTA EST. VIAS VIS" sheetId="12" r:id="rId11"/>
    <sheet name="ESTADO RED TEC" sheetId="54" r:id="rId12"/>
    <sheet name="3602 - TEC" sheetId="58" r:id="rId13"/>
    <sheet name="3603 - TEC" sheetId="59" r:id="rId14"/>
    <sheet name="PNG-TEC" sheetId="56" r:id="rId15"/>
    <sheet name="PNE - TEC" sheetId="55" r:id="rId16"/>
    <sheet name="RUTA40-TEC" sheetId="57" r:id="rId17"/>
    <sheet name="TORTA EST.VIAS TEC." sheetId="60" r:id="rId18"/>
    <sheet name="MAPA EST RED" sheetId="10" r:id="rId19"/>
    <sheet name="NECESIDAD VIA" sheetId="7" r:id="rId20"/>
    <sheet name="NECESIDADES CRITICAS" sheetId="28" r:id="rId21"/>
    <sheet name="CANT OBRA 3602" sheetId="63" r:id="rId22"/>
    <sheet name="CANT OBRA 3603" sheetId="68" r:id="rId23"/>
    <sheet name="CANT OBRA PNG" sheetId="13" r:id="rId24"/>
    <sheet name="CANT OBRA PNE" sheetId="61" r:id="rId25"/>
    <sheet name="CANT OBRA 40TL05" sheetId="69" r:id="rId26"/>
    <sheet name="INF. EMERGENCIAS" sheetId="5" r:id="rId27"/>
    <sheet name="PUENTES" sheetId="4" r:id="rId28"/>
    <sheet name="NEC PTES" sheetId="18" r:id="rId29"/>
    <sheet name="PONTONES" sheetId="64" r:id="rId30"/>
    <sheet name="NEC. PONTONES" sheetId="29" r:id="rId31"/>
    <sheet name="TUNELES" sheetId="44" r:id="rId32"/>
    <sheet name="NECESIDADES EN TÚNELES" sheetId="45" r:id="rId33"/>
    <sheet name="Señalización Vertical" sheetId="39" r:id="rId34"/>
    <sheet name="Señalización Horizontal" sheetId="40" r:id="rId35"/>
    <sheet name="ACC. OCT" sheetId="70" r:id="rId36"/>
    <sheet name="ACC. NOV" sheetId="71" r:id="rId37"/>
    <sheet name="ACC. DIC" sheetId="81" r:id="rId38"/>
    <sheet name="DEFENSA VIAS" sheetId="16" r:id="rId39"/>
    <sheet name="SEGUIMIENTO" sheetId="9" r:id="rId40"/>
    <sheet name="CUANTI AMV" sheetId="38" r:id="rId41"/>
    <sheet name="CUALI AMV" sheetId="37" r:id="rId42"/>
    <sheet name="CUANTI MICRO" sheetId="36" r:id="rId43"/>
    <sheet name="CUALI MICRO" sheetId="35" r:id="rId44"/>
    <sheet name="INTERVENTORIA DE CONTRATOS" sheetId="46" r:id="rId45"/>
    <sheet name="FOTOS" sheetId="77" r:id="rId46"/>
    <sheet name="PRENSA" sheetId="32" r:id="rId47"/>
    <sheet name="COMENTARIOS" sheetId="14" r:id="rId48"/>
    <sheet name="CAPACITACION MICRO" sheetId="78" r:id="rId49"/>
    <sheet name="Informe de compatibilidad" sheetId="80" state="hidden" r:id="rId50"/>
  </sheets>
  <externalReferences>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s>
  <definedNames>
    <definedName name="_xlnm.Print_Area" localSheetId="5">' CHAP-ORT (SEMAFORO VIS)'!$A$1:$DD$66</definedName>
    <definedName name="_xlnm.Print_Area" localSheetId="9">' CR.40-La Tamb (SEMAFORO VIS)'!$A$1:$CL$65</definedName>
    <definedName name="_xlnm.Print_Area" localSheetId="8">' PASO ESP. (SEMAFORO VIS)'!$A$1:$DS$64</definedName>
    <definedName name="_xlnm.Print_Area" localSheetId="12">'3602 - TEC'!$A$1:$DL$64</definedName>
    <definedName name="_xlnm.Print_Area" localSheetId="13">'3603 - TEC'!$A$1:$CW$64</definedName>
    <definedName name="_xlnm.Print_Area" localSheetId="37">'ACC. DIC'!$A$1:$J$26</definedName>
    <definedName name="_xlnm.Print_Area" localSheetId="36">'ACC. NOV'!$A$1:$J$24</definedName>
    <definedName name="_xlnm.Print_Area" localSheetId="35">'ACC. OCT'!$A$1:$J$25</definedName>
    <definedName name="_xlnm.Print_Area" localSheetId="21">'CANT OBRA 3602'!$A$1:$H$351</definedName>
    <definedName name="_xlnm.Print_Area" localSheetId="22">'CANT OBRA 3603'!$A$1:$H$200</definedName>
    <definedName name="_xlnm.Print_Area" localSheetId="25">'CANT OBRA 40TL05'!$A$1:$H$32</definedName>
    <definedName name="_xlnm.Print_Area" localSheetId="24">'CANT OBRA PNE'!$A$1:$H$46</definedName>
    <definedName name="_xlnm.Print_Area" localSheetId="23">'CANT OBRA PNG'!$A$1:$H$46</definedName>
    <definedName name="_xlnm.Print_Area" localSheetId="48">'CAPACITACION MICRO'!$A$1:$U$149</definedName>
    <definedName name="_xlnm.Print_Area" localSheetId="47">COMENTARIOS!$A$1:$G$39</definedName>
    <definedName name="_xlnm.Print_Area" localSheetId="40">'CUANTI AMV'!$A$1:$K$24</definedName>
    <definedName name="_xlnm.Print_Area" localSheetId="42">'CUANTI MICRO'!$A$1:$M$18</definedName>
    <definedName name="_xlnm.Print_Area" localSheetId="3">'CUMPLIMIENTO % '!$A$1:$I$33</definedName>
    <definedName name="_xlnm.Print_Area" localSheetId="38">'DEFENSA VIAS'!$A$1:$I$27</definedName>
    <definedName name="_xlnm.Print_Area" localSheetId="11">'ESTADO RED TEC'!$A$1:$G$129</definedName>
    <definedName name="_xlnm.Print_Area" localSheetId="4">'ESTADO RED VIS'!$A$1:$G$46</definedName>
    <definedName name="_xlnm.Print_Area" localSheetId="45">FOTOS!$A$1:$F$343</definedName>
    <definedName name="_xlnm.Print_Area" localSheetId="2">'GENERALIDADES '!$A$1:$K$28</definedName>
    <definedName name="_xlnm.Print_Area" localSheetId="26">'INF. EMERGENCIAS'!$A$1:$I$22</definedName>
    <definedName name="_xlnm.Print_Area" localSheetId="44">'INTERVENTORIA DE CONTRATOS'!$A$1:$L$23</definedName>
    <definedName name="_xlnm.Print_Area" localSheetId="18">'MAPA EST RED'!$A$1:$I$163</definedName>
    <definedName name="_xlnm.Print_Area" localSheetId="28">'NEC PTES'!$A$1:$O$49</definedName>
    <definedName name="_xlnm.Print_Area" localSheetId="30">'NEC. PONTONES'!$A$1:$G$22</definedName>
    <definedName name="_xlnm.Print_Area" localSheetId="19">'NECESIDAD VIA'!$A$1:$G$44</definedName>
    <definedName name="_xlnm.Print_Area" localSheetId="20">'NECESIDADES CRITICAS'!$A$1:$G$22</definedName>
    <definedName name="_xlnm.Print_Area" localSheetId="32">'NECESIDADES EN TÚNELES'!$A$1:$K$31</definedName>
    <definedName name="_xlnm.Print_Area" localSheetId="6">'ORT-GUAMO (SEMAFORO VIS)'!$A$1:$CO$64</definedName>
    <definedName name="_xlnm.Print_Area" localSheetId="7">'PASO GUAMO (SEMAFORO VIS)'!$A$1:$CP$65</definedName>
    <definedName name="_xlnm.Print_Area" localSheetId="15">'PNE - TEC'!$A$1:$EA$64</definedName>
    <definedName name="_xlnm.Print_Area" localSheetId="14">'PNG-TEC'!$A$1:$CW$64</definedName>
    <definedName name="_xlnm.Print_Area" localSheetId="29">PONTONES!$A$1:$L$34</definedName>
    <definedName name="_xlnm.Print_Area" localSheetId="0">PORTADA!$A$1:$G$40</definedName>
    <definedName name="_xlnm.Print_Area" localSheetId="46">PRENSA!$A$1:$G$180</definedName>
    <definedName name="_xlnm.Print_Area" localSheetId="27">PUENTES!$A$1:$N$34</definedName>
    <definedName name="_xlnm.Print_Area" localSheetId="16">'RUTA40-TEC'!$A$1:$CT$62</definedName>
    <definedName name="_xlnm.Print_Area" localSheetId="34">'Señalización Horizontal'!$A$1:$Q$37</definedName>
    <definedName name="_xlnm.Print_Area" localSheetId="33">'Señalización Vertical'!$A$1:$AE$41</definedName>
    <definedName name="_xlnm.Print_Area" localSheetId="1">'TABLA DE CONTENIDO'!$A$1:$B$41</definedName>
    <definedName name="_xlnm.Print_Area" localSheetId="10">'TORTA EST. VIAS VIS'!$A$1:$C$70</definedName>
    <definedName name="_xlnm.Print_Area" localSheetId="17">'TORTA EST.VIAS TEC.'!$A$1:$C$57</definedName>
    <definedName name="_xlnm.Print_Area" localSheetId="31">TUNELES!$A$1:$T$32</definedName>
    <definedName name="TABLA_DE_CONTENIDO__A1" comment="VOLVER A TABLA DE CONTENIDO">'GENERALIDADES '!$K$28</definedName>
    <definedName name="_xlnm.Print_Titles" localSheetId="37">'ACC. DIC'!$1:$9</definedName>
    <definedName name="_xlnm.Print_Titles" localSheetId="36">'ACC. NOV'!$1:$9</definedName>
    <definedName name="_xlnm.Print_Titles" localSheetId="35">'ACC. OCT'!$1:$10</definedName>
    <definedName name="_xlnm.Print_Titles" localSheetId="11">'ESTADO RED TEC'!$1:$12</definedName>
    <definedName name="_xlnm.Print_Titles" localSheetId="29">PONTONES!$1:$12</definedName>
    <definedName name="_xlnm.Print_Titles" localSheetId="39">SEGUIMIENTO!$1:$7</definedName>
  </definedNames>
  <calcPr calcId="162913"/>
</workbook>
</file>

<file path=xl/calcChain.xml><?xml version="1.0" encoding="utf-8"?>
<calcChain xmlns="http://schemas.openxmlformats.org/spreadsheetml/2006/main">
  <c r="I24" i="16" l="1"/>
  <c r="H24" i="16"/>
  <c r="G24" i="16"/>
  <c r="F24" i="16"/>
  <c r="E24" i="16"/>
  <c r="D24" i="16"/>
  <c r="C24" i="16"/>
  <c r="B24" i="16"/>
  <c r="J17" i="46" l="1"/>
  <c r="I17" i="46"/>
  <c r="H16" i="68" l="1"/>
  <c r="H325" i="63"/>
  <c r="H317" i="63"/>
  <c r="H316" i="63"/>
  <c r="H315" i="63"/>
  <c r="H314" i="63"/>
  <c r="H313" i="63"/>
  <c r="H307" i="63"/>
  <c r="H306" i="63"/>
  <c r="H305" i="63"/>
  <c r="H304" i="63"/>
  <c r="H298" i="63"/>
  <c r="H293" i="63"/>
  <c r="H286" i="63"/>
  <c r="H285" i="63"/>
  <c r="H284" i="63"/>
  <c r="H283" i="63"/>
  <c r="H276" i="63"/>
  <c r="H277" i="63"/>
  <c r="H278" i="63"/>
  <c r="H279" i="63"/>
  <c r="H280" i="63"/>
  <c r="H281" i="63"/>
  <c r="H282" i="63"/>
  <c r="H275" i="63"/>
  <c r="H213" i="63"/>
  <c r="H212" i="63"/>
  <c r="H211" i="63"/>
  <c r="H205" i="63"/>
  <c r="H206" i="63"/>
  <c r="H207" i="63"/>
  <c r="H208" i="63"/>
  <c r="H209" i="63"/>
  <c r="H210" i="63"/>
  <c r="H204" i="63"/>
  <c r="H200" i="63"/>
  <c r="H199" i="63"/>
  <c r="H198" i="63"/>
  <c r="H193" i="63"/>
  <c r="H194" i="63"/>
  <c r="H195" i="63"/>
  <c r="H196" i="63"/>
  <c r="H197" i="63"/>
  <c r="H192" i="63"/>
  <c r="H188" i="63"/>
  <c r="H187" i="63"/>
  <c r="H186" i="63"/>
  <c r="H178" i="63"/>
  <c r="H179" i="63"/>
  <c r="H180" i="63"/>
  <c r="H181" i="63"/>
  <c r="H182" i="63"/>
  <c r="H183" i="63"/>
  <c r="H184" i="63"/>
  <c r="H185" i="63"/>
  <c r="H177" i="63"/>
  <c r="H173" i="63"/>
  <c r="H172" i="63"/>
  <c r="H171" i="63"/>
  <c r="H163" i="63"/>
  <c r="H164" i="63"/>
  <c r="H165" i="63"/>
  <c r="H166" i="63"/>
  <c r="H167" i="63"/>
  <c r="H168" i="63"/>
  <c r="H169" i="63"/>
  <c r="H170" i="63"/>
  <c r="H162" i="63"/>
  <c r="H159" i="63"/>
  <c r="H158" i="63"/>
  <c r="H157" i="63"/>
  <c r="H153" i="63"/>
  <c r="H154" i="63"/>
  <c r="H155" i="63"/>
  <c r="H156" i="63"/>
  <c r="H152" i="63"/>
  <c r="H148" i="63"/>
  <c r="H147" i="63"/>
  <c r="H146" i="63"/>
  <c r="H143" i="63"/>
  <c r="H144" i="63"/>
  <c r="H145" i="63"/>
  <c r="H142" i="63"/>
  <c r="H138" i="63"/>
  <c r="H137" i="63"/>
  <c r="H136" i="63"/>
  <c r="H130" i="63"/>
  <c r="H131" i="63"/>
  <c r="H132" i="63"/>
  <c r="H133" i="63"/>
  <c r="H134" i="63"/>
  <c r="H135" i="63"/>
  <c r="H129" i="63"/>
  <c r="H121" i="63"/>
  <c r="H123" i="63" s="1"/>
  <c r="H124" i="63" s="1"/>
  <c r="H116" i="63"/>
  <c r="H115" i="63"/>
  <c r="H114" i="63"/>
  <c r="H112" i="63"/>
  <c r="H108" i="63"/>
  <c r="H107" i="63"/>
  <c r="H106" i="63"/>
  <c r="H103" i="63"/>
  <c r="H102" i="63"/>
  <c r="H98" i="63"/>
  <c r="H97" i="63"/>
  <c r="H96" i="63"/>
  <c r="H94" i="63"/>
  <c r="H95" i="63"/>
  <c r="H93" i="63"/>
  <c r="H89" i="63"/>
  <c r="H88" i="63"/>
  <c r="H87" i="63"/>
  <c r="H81" i="63"/>
  <c r="H82" i="63"/>
  <c r="H83" i="63"/>
  <c r="H84" i="63"/>
  <c r="H85" i="63"/>
  <c r="H86" i="63"/>
  <c r="H80" i="63"/>
  <c r="H76" i="63"/>
  <c r="H75" i="63"/>
  <c r="H74" i="63"/>
  <c r="H68" i="63"/>
  <c r="H69" i="63"/>
  <c r="H70" i="63"/>
  <c r="H71" i="63"/>
  <c r="H72" i="63"/>
  <c r="H73" i="63"/>
  <c r="H67" i="63"/>
  <c r="H41" i="63"/>
  <c r="H42" i="63"/>
  <c r="H43" i="63"/>
  <c r="H44" i="63"/>
  <c r="H45" i="63"/>
  <c r="H46" i="63"/>
  <c r="H47" i="63"/>
  <c r="H40" i="63"/>
  <c r="H55" i="63"/>
  <c r="H56" i="63"/>
  <c r="H61" i="63" s="1"/>
  <c r="H62" i="63" s="1"/>
  <c r="H57" i="63"/>
  <c r="H58" i="63"/>
  <c r="H59" i="63"/>
  <c r="H60" i="63"/>
  <c r="H54" i="63"/>
  <c r="H48" i="63" l="1"/>
  <c r="H50" i="63"/>
  <c r="H49" i="63"/>
  <c r="H297" i="63"/>
  <c r="H296" i="63"/>
  <c r="H295" i="63"/>
  <c r="H294" i="63"/>
  <c r="H292" i="63"/>
  <c r="H125" i="63" l="1"/>
  <c r="H184" i="68"/>
  <c r="B184" i="68"/>
  <c r="H183" i="68"/>
  <c r="B183" i="68"/>
  <c r="G182" i="68"/>
  <c r="H182" i="68" s="1"/>
  <c r="H185" i="68" s="1"/>
  <c r="H176" i="68"/>
  <c r="H177" i="68" s="1"/>
  <c r="H171" i="68"/>
  <c r="H172" i="68" s="1"/>
  <c r="H170" i="68"/>
  <c r="H173" i="68" l="1"/>
  <c r="H186" i="68"/>
  <c r="H187" i="68" s="1"/>
  <c r="H178" i="68"/>
  <c r="H179" i="68" s="1"/>
  <c r="H23" i="61"/>
  <c r="F13" i="7"/>
  <c r="N42" i="18" l="1"/>
  <c r="N34" i="18" l="1"/>
  <c r="N37" i="18"/>
  <c r="N36" i="18"/>
  <c r="N35" i="18"/>
  <c r="N33" i="18"/>
  <c r="N13" i="18"/>
  <c r="F40" i="7"/>
  <c r="F35" i="7"/>
  <c r="F34" i="7"/>
  <c r="F33" i="7"/>
  <c r="F32" i="7"/>
  <c r="F31" i="7"/>
  <c r="F30" i="7"/>
  <c r="F29" i="7"/>
  <c r="F28" i="7"/>
  <c r="F27" i="7"/>
  <c r="F26" i="7"/>
  <c r="F25" i="7"/>
  <c r="F24" i="7"/>
  <c r="F23" i="7"/>
  <c r="F22" i="7"/>
  <c r="F21" i="7"/>
  <c r="F20" i="7"/>
  <c r="F17" i="7"/>
  <c r="F18" i="7"/>
  <c r="F19" i="7"/>
  <c r="F14" i="28"/>
  <c r="F13" i="28"/>
  <c r="G56" i="12" l="1"/>
  <c r="F56" i="12"/>
  <c r="E56" i="12"/>
  <c r="J74" i="54"/>
  <c r="J73" i="54"/>
  <c r="J72" i="54"/>
  <c r="G46" i="12"/>
  <c r="I41" i="54"/>
  <c r="E46" i="12"/>
  <c r="I40" i="54"/>
  <c r="J16" i="46" l="1"/>
  <c r="I16" i="46"/>
  <c r="J15" i="46"/>
  <c r="I15" i="46"/>
  <c r="G16" i="39" l="1"/>
  <c r="G15" i="39"/>
  <c r="D15" i="39"/>
  <c r="F24" i="54"/>
  <c r="F18" i="54"/>
  <c r="I16" i="78" l="1"/>
  <c r="D10" i="78"/>
  <c r="K10" i="78" s="1"/>
  <c r="Q10" i="78" s="1"/>
  <c r="K17" i="46" l="1"/>
  <c r="K16" i="46"/>
  <c r="K15" i="46"/>
  <c r="K14" i="46"/>
  <c r="F14" i="46"/>
  <c r="H16" i="36"/>
  <c r="D16" i="40"/>
  <c r="D16" i="39"/>
  <c r="E26" i="27"/>
  <c r="E25" i="27"/>
  <c r="A11" i="77" l="1"/>
  <c r="K13" i="46"/>
  <c r="J16" i="36"/>
  <c r="F16" i="36"/>
  <c r="E16" i="36"/>
  <c r="D16" i="36"/>
  <c r="C16" i="36"/>
  <c r="I12" i="36"/>
  <c r="G12" i="36"/>
  <c r="I10" i="36"/>
  <c r="G10" i="36"/>
  <c r="G16" i="36" s="1"/>
  <c r="N39" i="18"/>
  <c r="G18" i="61"/>
  <c r="G16" i="69" s="1"/>
  <c r="G17" i="61"/>
  <c r="G15" i="69" s="1"/>
  <c r="G16" i="61"/>
  <c r="G14" i="61"/>
  <c r="G14" i="69" s="1"/>
  <c r="G13" i="61"/>
  <c r="G13" i="69" s="1"/>
  <c r="I16" i="36" l="1"/>
  <c r="G165" i="68"/>
  <c r="H165" i="68" s="1"/>
  <c r="H166" i="68" s="1"/>
  <c r="G157" i="68"/>
  <c r="H157" i="68" s="1"/>
  <c r="H156" i="68"/>
  <c r="G156" i="68"/>
  <c r="G155" i="68"/>
  <c r="F155" i="68"/>
  <c r="G154" i="68"/>
  <c r="F154" i="68"/>
  <c r="G153" i="68"/>
  <c r="F153" i="68"/>
  <c r="G152" i="68"/>
  <c r="F152" i="68"/>
  <c r="G151" i="68"/>
  <c r="F151" i="68"/>
  <c r="G150" i="68"/>
  <c r="H150" i="68" s="1"/>
  <c r="F150" i="68"/>
  <c r="G149" i="68"/>
  <c r="F149" i="68"/>
  <c r="G148" i="68"/>
  <c r="F148" i="68"/>
  <c r="G147" i="68"/>
  <c r="H147" i="68" s="1"/>
  <c r="G139" i="68"/>
  <c r="H139" i="68" s="1"/>
  <c r="H140" i="68" s="1"/>
  <c r="E139" i="68"/>
  <c r="D139" i="68"/>
  <c r="G120" i="68"/>
  <c r="H120" i="68" s="1"/>
  <c r="G119" i="68"/>
  <c r="H119" i="68" s="1"/>
  <c r="G118" i="68"/>
  <c r="H118" i="68" s="1"/>
  <c r="G117" i="68"/>
  <c r="H117" i="68" s="1"/>
  <c r="G116" i="68"/>
  <c r="H116" i="68" s="1"/>
  <c r="G115" i="68"/>
  <c r="H115" i="68" s="1"/>
  <c r="G114" i="68"/>
  <c r="H114" i="68" s="1"/>
  <c r="G113" i="68"/>
  <c r="H113" i="68" s="1"/>
  <c r="G112" i="68"/>
  <c r="H112" i="68" s="1"/>
  <c r="G111" i="68"/>
  <c r="H111" i="68" s="1"/>
  <c r="G110" i="68"/>
  <c r="H110" i="68" s="1"/>
  <c r="G109" i="68"/>
  <c r="H109" i="68" s="1"/>
  <c r="F92" i="68"/>
  <c r="F93" i="68" s="1"/>
  <c r="H93" i="68" s="1"/>
  <c r="H91" i="68"/>
  <c r="H90" i="68"/>
  <c r="H89" i="68"/>
  <c r="H88" i="68"/>
  <c r="H87" i="68"/>
  <c r="F86" i="68"/>
  <c r="H86" i="68" s="1"/>
  <c r="H85" i="68"/>
  <c r="H84" i="68"/>
  <c r="H83" i="68"/>
  <c r="F82" i="68"/>
  <c r="H82" i="68" s="1"/>
  <c r="H81" i="68"/>
  <c r="H80" i="68"/>
  <c r="H79" i="68"/>
  <c r="H78" i="68"/>
  <c r="H76" i="68"/>
  <c r="H75" i="68"/>
  <c r="H74" i="68"/>
  <c r="H73" i="68"/>
  <c r="H72" i="68"/>
  <c r="H71" i="68"/>
  <c r="H70" i="68"/>
  <c r="H69" i="68"/>
  <c r="H68" i="68"/>
  <c r="H67" i="68"/>
  <c r="H66" i="68"/>
  <c r="H65" i="68"/>
  <c r="H64" i="68"/>
  <c r="H63" i="68"/>
  <c r="H61" i="68"/>
  <c r="H60" i="68"/>
  <c r="H59" i="68"/>
  <c r="H58" i="68"/>
  <c r="H57" i="68"/>
  <c r="H55" i="68"/>
  <c r="H54" i="68"/>
  <c r="H53" i="68"/>
  <c r="H52" i="68"/>
  <c r="H51" i="68"/>
  <c r="H50" i="68"/>
  <c r="H48" i="68"/>
  <c r="G28" i="68"/>
  <c r="F28" i="68"/>
  <c r="E28" i="68"/>
  <c r="D28" i="68"/>
  <c r="G27" i="68"/>
  <c r="H27" i="68" s="1"/>
  <c r="G26" i="68"/>
  <c r="H26" i="68" s="1"/>
  <c r="G25" i="68"/>
  <c r="H25" i="68" s="1"/>
  <c r="G24" i="68"/>
  <c r="H24" i="68" s="1"/>
  <c r="H23" i="68"/>
  <c r="G13" i="68"/>
  <c r="H13" i="68" s="1"/>
  <c r="H15" i="68" s="1"/>
  <c r="H347" i="63"/>
  <c r="F341" i="63"/>
  <c r="H341" i="63" s="1"/>
  <c r="H340" i="63"/>
  <c r="H339" i="63"/>
  <c r="H338" i="63"/>
  <c r="H336" i="63"/>
  <c r="H334" i="63"/>
  <c r="F333" i="63"/>
  <c r="H333" i="63" s="1"/>
  <c r="F332" i="63"/>
  <c r="H332" i="63" s="1"/>
  <c r="F328" i="63"/>
  <c r="F329" i="63" s="1"/>
  <c r="H329" i="63" s="1"/>
  <c r="H326" i="63"/>
  <c r="F261" i="63"/>
  <c r="H261" i="63" s="1"/>
  <c r="H260" i="63"/>
  <c r="H259" i="63"/>
  <c r="H258" i="63"/>
  <c r="H257" i="63"/>
  <c r="H256" i="63"/>
  <c r="F255" i="63"/>
  <c r="H255" i="63" s="1"/>
  <c r="H254" i="63"/>
  <c r="H253" i="63"/>
  <c r="H252" i="63"/>
  <c r="F251" i="63"/>
  <c r="H251" i="63" s="1"/>
  <c r="H250" i="63"/>
  <c r="H249" i="63"/>
  <c r="H248" i="63"/>
  <c r="H247" i="63"/>
  <c r="H245" i="63"/>
  <c r="H244" i="63"/>
  <c r="H243" i="63"/>
  <c r="H242" i="63"/>
  <c r="H241" i="63"/>
  <c r="H240" i="63"/>
  <c r="H239" i="63"/>
  <c r="H238" i="63"/>
  <c r="H237" i="63"/>
  <c r="H236" i="63"/>
  <c r="H235" i="63"/>
  <c r="H234" i="63"/>
  <c r="H233" i="63"/>
  <c r="H232" i="63"/>
  <c r="H230" i="63"/>
  <c r="H229" i="63"/>
  <c r="H228" i="63"/>
  <c r="H227" i="63"/>
  <c r="H226" i="63"/>
  <c r="H224" i="63"/>
  <c r="H223" i="63"/>
  <c r="H222" i="63"/>
  <c r="H221" i="63"/>
  <c r="H220" i="63"/>
  <c r="H219" i="63"/>
  <c r="H217" i="63"/>
  <c r="G35" i="63"/>
  <c r="H35" i="63" s="1"/>
  <c r="H36" i="63" s="1"/>
  <c r="G28" i="63"/>
  <c r="F28" i="63"/>
  <c r="H28" i="63" s="1"/>
  <c r="G27" i="63"/>
  <c r="F27" i="63"/>
  <c r="G24" i="63"/>
  <c r="H24" i="63" s="1"/>
  <c r="G23" i="63"/>
  <c r="H23" i="63" s="1"/>
  <c r="G22" i="63"/>
  <c r="F22" i="63"/>
  <c r="H22" i="63" s="1"/>
  <c r="G21" i="63"/>
  <c r="F21" i="63"/>
  <c r="H21" i="63" s="1"/>
  <c r="G20" i="63"/>
  <c r="F20" i="63"/>
  <c r="H20" i="63" s="1"/>
  <c r="G19" i="63"/>
  <c r="F19" i="63"/>
  <c r="G18" i="63"/>
  <c r="F18" i="63"/>
  <c r="G17" i="63"/>
  <c r="F17" i="63"/>
  <c r="G16" i="63"/>
  <c r="F16" i="63"/>
  <c r="H16" i="63" s="1"/>
  <c r="G15" i="63"/>
  <c r="F15" i="63"/>
  <c r="G14" i="63"/>
  <c r="H14" i="63" s="1"/>
  <c r="F16" i="7"/>
  <c r="F15" i="7"/>
  <c r="K46" i="60"/>
  <c r="K43" i="60"/>
  <c r="K36" i="60"/>
  <c r="K29" i="60"/>
  <c r="K22" i="60"/>
  <c r="E23" i="54"/>
  <c r="B22" i="54"/>
  <c r="H17" i="63" l="1"/>
  <c r="H19" i="63"/>
  <c r="H27" i="63"/>
  <c r="H149" i="68"/>
  <c r="H153" i="68"/>
  <c r="H155" i="68"/>
  <c r="H18" i="63"/>
  <c r="H15" i="63"/>
  <c r="H30" i="63" s="1"/>
  <c r="H31" i="63" s="1"/>
  <c r="H32" i="63" s="1"/>
  <c r="H28" i="68"/>
  <c r="H30" i="68" s="1"/>
  <c r="H151" i="68"/>
  <c r="H148" i="68"/>
  <c r="H152" i="68"/>
  <c r="H154" i="68"/>
  <c r="H17" i="68"/>
  <c r="H141" i="68"/>
  <c r="H142" i="68" s="1"/>
  <c r="F39" i="7" s="1"/>
  <c r="H122" i="68"/>
  <c r="H123" i="68" s="1"/>
  <c r="H124" i="68" s="1"/>
  <c r="G37" i="68"/>
  <c r="H37" i="68" s="1"/>
  <c r="H39" i="68" s="1"/>
  <c r="H92" i="68"/>
  <c r="H95" i="68" s="1"/>
  <c r="H96" i="68" s="1"/>
  <c r="H97" i="68" s="1"/>
  <c r="F330" i="63"/>
  <c r="H330" i="63" s="1"/>
  <c r="H328" i="63"/>
  <c r="H348" i="63"/>
  <c r="H349" i="63" s="1"/>
  <c r="F262" i="63"/>
  <c r="H262" i="63" s="1"/>
  <c r="H264" i="63" s="1"/>
  <c r="H265" i="63" s="1"/>
  <c r="H266" i="63" s="1"/>
  <c r="G16" i="54"/>
  <c r="K18" i="27"/>
  <c r="H160" i="68" l="1"/>
  <c r="H161" i="68" s="1"/>
  <c r="H162" i="68" s="1"/>
  <c r="H98" i="68"/>
  <c r="H99" i="68" s="1"/>
  <c r="H125" i="68"/>
  <c r="H126" i="68" s="1"/>
  <c r="H31" i="68"/>
  <c r="H32" i="68" s="1"/>
  <c r="H40" i="68"/>
  <c r="H41" i="68" s="1"/>
  <c r="H267" i="63"/>
  <c r="H268" i="63" s="1"/>
  <c r="H33" i="63"/>
  <c r="H34" i="63" s="1"/>
  <c r="H37" i="63" s="1"/>
  <c r="H343" i="63"/>
  <c r="H345" i="63" s="1"/>
  <c r="N38" i="18" l="1"/>
  <c r="F36" i="7"/>
  <c r="N40" i="18"/>
  <c r="F37" i="7"/>
  <c r="H127" i="68"/>
  <c r="H130" i="68"/>
  <c r="H163" i="68"/>
  <c r="H164" i="68" s="1"/>
  <c r="H167" i="68" s="1"/>
  <c r="G100" i="68"/>
  <c r="H100" i="68" s="1"/>
  <c r="H101" i="68" s="1"/>
  <c r="H102" i="68" s="1"/>
  <c r="G269" i="63"/>
  <c r="H269" i="63" s="1"/>
  <c r="H270" i="63" s="1"/>
  <c r="H271" i="63" s="1"/>
  <c r="H346" i="63"/>
  <c r="H350" i="63" s="1"/>
  <c r="CW54" i="53"/>
  <c r="CS60" i="53"/>
  <c r="H103" i="68" l="1"/>
  <c r="H131" i="68"/>
  <c r="H132" i="68" s="1"/>
  <c r="H128" i="68"/>
  <c r="H129" i="68" s="1"/>
  <c r="H272" i="63"/>
  <c r="K12" i="13"/>
  <c r="K13" i="13" s="1"/>
  <c r="N41" i="18" l="1"/>
  <c r="F38" i="7"/>
  <c r="H133" i="68"/>
  <c r="F16" i="28" s="1"/>
  <c r="I7" i="81" l="1"/>
  <c r="C7" i="81"/>
  <c r="D14" i="69"/>
  <c r="D15" i="69"/>
  <c r="D16" i="69"/>
  <c r="D13" i="69"/>
  <c r="B14" i="69"/>
  <c r="B15" i="69"/>
  <c r="B16" i="69"/>
  <c r="B13" i="69"/>
  <c r="G15" i="61"/>
  <c r="D14" i="61"/>
  <c r="D15" i="61"/>
  <c r="D16" i="61"/>
  <c r="D17" i="61"/>
  <c r="D18" i="61"/>
  <c r="D13" i="61"/>
  <c r="D27" i="13"/>
  <c r="D26" i="13"/>
  <c r="D30" i="13" l="1"/>
  <c r="D29" i="13"/>
  <c r="D28" i="13"/>
  <c r="D14" i="13"/>
  <c r="D15" i="13"/>
  <c r="D16" i="13"/>
  <c r="D17" i="13"/>
  <c r="D13" i="13"/>
  <c r="B14" i="61"/>
  <c r="B15" i="61"/>
  <c r="B16" i="61"/>
  <c r="B17" i="61"/>
  <c r="B18" i="61"/>
  <c r="B13" i="61"/>
  <c r="G31" i="13"/>
  <c r="B30" i="13" l="1"/>
  <c r="B29" i="13"/>
  <c r="B28" i="13"/>
  <c r="B14" i="13"/>
  <c r="B15" i="13"/>
  <c r="B16" i="13"/>
  <c r="B17" i="13"/>
  <c r="B13" i="13"/>
  <c r="T19" i="60" l="1"/>
  <c r="S19" i="60"/>
  <c r="R18" i="60"/>
  <c r="CT39" i="59"/>
  <c r="CL39" i="59"/>
  <c r="CH39" i="59"/>
  <c r="CD39" i="59"/>
  <c r="T39" i="60"/>
  <c r="S46" i="60"/>
  <c r="S47" i="60" s="1"/>
  <c r="T46" i="60"/>
  <c r="T47" i="60" s="1"/>
  <c r="U46" i="60"/>
  <c r="U47" i="60" s="1"/>
  <c r="R46" i="60"/>
  <c r="R47" i="60" s="1"/>
  <c r="DI39" i="58"/>
  <c r="V46" i="60" s="1"/>
  <c r="DE39" i="58"/>
  <c r="DA39" i="58"/>
  <c r="CW39" i="58"/>
  <c r="CS39" i="58"/>
  <c r="DO39" i="58" l="1"/>
  <c r="E24" i="27"/>
  <c r="E23" i="27"/>
  <c r="E35" i="27"/>
  <c r="E32" i="27"/>
  <c r="E31" i="27"/>
  <c r="E30" i="27"/>
  <c r="E28" i="27"/>
  <c r="E27" i="27"/>
  <c r="E34" i="27"/>
  <c r="E33" i="27"/>
  <c r="D7" i="14" l="1"/>
  <c r="C9" i="32"/>
  <c r="C8" i="16"/>
  <c r="C7" i="71"/>
  <c r="C8" i="70"/>
  <c r="C8" i="45"/>
  <c r="C8" i="44"/>
  <c r="D9" i="64"/>
  <c r="C8" i="18"/>
  <c r="C8" i="4"/>
  <c r="C8" i="5"/>
  <c r="D7" i="69"/>
  <c r="C7" i="61"/>
  <c r="D7" i="13"/>
  <c r="C10" i="28"/>
  <c r="B9" i="7"/>
  <c r="B8" i="60"/>
  <c r="B10" i="57"/>
  <c r="B11" i="55"/>
  <c r="B11" i="56"/>
  <c r="F14" i="59"/>
  <c r="B14" i="58"/>
  <c r="B9" i="54"/>
  <c r="B8" i="12"/>
  <c r="B14" i="49"/>
  <c r="B13" i="50"/>
  <c r="B14" i="51"/>
  <c r="C14" i="52"/>
  <c r="F15" i="53"/>
  <c r="I7" i="6"/>
  <c r="CW57" i="53"/>
  <c r="CS57" i="53" s="1"/>
  <c r="DH36" i="55" l="1"/>
  <c r="R25" i="60" s="1"/>
  <c r="DH11" i="55"/>
  <c r="G7" i="13"/>
  <c r="F6" i="37"/>
  <c r="F15" i="13"/>
  <c r="H15" i="13" s="1"/>
  <c r="EB51" i="55"/>
  <c r="DJ51" i="55" s="1"/>
  <c r="EB48" i="55"/>
  <c r="EB45" i="55"/>
  <c r="EB42" i="55"/>
  <c r="CH54" i="59"/>
  <c r="CY54" i="59" s="1"/>
  <c r="CY60" i="59"/>
  <c r="CY57" i="59"/>
  <c r="CY45" i="59"/>
  <c r="CY42" i="59"/>
  <c r="DN42" i="58"/>
  <c r="DM42" i="58"/>
  <c r="CU49" i="57"/>
  <c r="CU46" i="57"/>
  <c r="CU43" i="57"/>
  <c r="CU40" i="57"/>
  <c r="CY45" i="56"/>
  <c r="CY48" i="56"/>
  <c r="CY51" i="56"/>
  <c r="CY42" i="56"/>
  <c r="D10" i="14"/>
  <c r="F10" i="78" s="1"/>
  <c r="M10" i="78" s="1"/>
  <c r="S10" i="78" s="1"/>
  <c r="H8" i="16"/>
  <c r="I7" i="71"/>
  <c r="I8" i="70"/>
  <c r="J8" i="45"/>
  <c r="Q8" i="44"/>
  <c r="L9" i="64"/>
  <c r="K8" i="18"/>
  <c r="M8" i="4"/>
  <c r="H8" i="5"/>
  <c r="H7" i="69"/>
  <c r="G7" i="61"/>
  <c r="G10" i="28"/>
  <c r="G7" i="63" s="1"/>
  <c r="G7" i="68" s="1"/>
  <c r="G8" i="7"/>
  <c r="B10" i="60"/>
  <c r="R15" i="60" s="1"/>
  <c r="R30" i="60" s="1"/>
  <c r="R37" i="60" s="1"/>
  <c r="R44" i="60" s="1"/>
  <c r="CD10" i="57"/>
  <c r="CG11" i="56"/>
  <c r="CI14" i="59"/>
  <c r="CW14" i="58"/>
  <c r="E9" i="54"/>
  <c r="B10" i="12"/>
  <c r="BX14" i="49"/>
  <c r="CU13" i="50"/>
  <c r="BT14" i="51"/>
  <c r="BY14" i="52"/>
  <c r="CO15" i="53"/>
  <c r="G8" i="27"/>
  <c r="S25" i="60"/>
  <c r="T25" i="60"/>
  <c r="E13" i="40"/>
  <c r="S13" i="40" s="1"/>
  <c r="Q13" i="40"/>
  <c r="Q18" i="40" s="1"/>
  <c r="D14" i="40"/>
  <c r="P14" i="40"/>
  <c r="P18" i="40" s="1"/>
  <c r="S16" i="40"/>
  <c r="T17" i="40"/>
  <c r="G18" i="40"/>
  <c r="H18" i="40"/>
  <c r="I18" i="40"/>
  <c r="J18" i="40"/>
  <c r="K18" i="40"/>
  <c r="L18" i="40"/>
  <c r="M18" i="40"/>
  <c r="N18" i="40"/>
  <c r="O18" i="40"/>
  <c r="S18" i="40"/>
  <c r="T18" i="40" s="1"/>
  <c r="C12" i="39"/>
  <c r="D17" i="39"/>
  <c r="E17" i="39"/>
  <c r="AB15" i="39"/>
  <c r="AB17" i="39" s="1"/>
  <c r="F17" i="39"/>
  <c r="G17" i="39"/>
  <c r="H17" i="39"/>
  <c r="I17" i="39"/>
  <c r="J17" i="39"/>
  <c r="K17" i="39"/>
  <c r="L17" i="39"/>
  <c r="M17" i="39"/>
  <c r="N17" i="39"/>
  <c r="O17" i="39"/>
  <c r="P17" i="39"/>
  <c r="Q17" i="39"/>
  <c r="R17" i="39"/>
  <c r="S17" i="39"/>
  <c r="T17" i="39"/>
  <c r="U17" i="39"/>
  <c r="V17" i="39"/>
  <c r="W17" i="39"/>
  <c r="X17" i="39"/>
  <c r="Y17" i="39"/>
  <c r="Z17" i="39"/>
  <c r="AA17" i="39"/>
  <c r="AC17" i="39"/>
  <c r="AD17" i="39"/>
  <c r="AE17" i="39"/>
  <c r="A27" i="64"/>
  <c r="A28" i="64" s="1"/>
  <c r="A29" i="64" s="1"/>
  <c r="A30" i="64" s="1"/>
  <c r="A31" i="64" s="1"/>
  <c r="A32" i="64" s="1"/>
  <c r="A33" i="64" s="1"/>
  <c r="A13" i="4"/>
  <c r="A14" i="4" s="1"/>
  <c r="A15" i="4" s="1"/>
  <c r="A16" i="4" s="1"/>
  <c r="A17" i="4" s="1"/>
  <c r="A18" i="4" s="1"/>
  <c r="A19" i="4" s="1"/>
  <c r="A20" i="4" s="1"/>
  <c r="A21" i="4" s="1"/>
  <c r="A22" i="4" s="1"/>
  <c r="A23" i="4" s="1"/>
  <c r="A24" i="4" s="1"/>
  <c r="A25" i="4" s="1"/>
  <c r="A26" i="4" s="1"/>
  <c r="H13" i="69"/>
  <c r="H14" i="69"/>
  <c r="H15" i="69"/>
  <c r="F16" i="69"/>
  <c r="H16" i="69" s="1"/>
  <c r="H13" i="61"/>
  <c r="H14" i="61"/>
  <c r="H15" i="61"/>
  <c r="H16" i="61"/>
  <c r="F17" i="61"/>
  <c r="H17" i="61" s="1"/>
  <c r="H13" i="13"/>
  <c r="H14" i="13"/>
  <c r="F16" i="13"/>
  <c r="F17" i="13" s="1"/>
  <c r="H17" i="13" s="1"/>
  <c r="H26" i="13"/>
  <c r="H27" i="13"/>
  <c r="H28" i="13"/>
  <c r="H29" i="13"/>
  <c r="H30" i="13"/>
  <c r="H31" i="13"/>
  <c r="K18" i="60"/>
  <c r="U18" i="60"/>
  <c r="E19" i="60"/>
  <c r="F19" i="60"/>
  <c r="G19" i="60"/>
  <c r="H19" i="60"/>
  <c r="I19" i="60"/>
  <c r="K19" i="60"/>
  <c r="D25" i="60"/>
  <c r="G26" i="60" s="1"/>
  <c r="K25" i="60"/>
  <c r="K26" i="60"/>
  <c r="D32" i="60"/>
  <c r="I33" i="60" s="1"/>
  <c r="K32" i="60"/>
  <c r="K33" i="60"/>
  <c r="R33" i="60"/>
  <c r="U33" i="60"/>
  <c r="D39" i="60"/>
  <c r="F40" i="60" s="1"/>
  <c r="K39" i="60"/>
  <c r="K40" i="60"/>
  <c r="D46" i="60"/>
  <c r="G47" i="60" s="1"/>
  <c r="K47" i="60"/>
  <c r="CQ34" i="57"/>
  <c r="V18" i="60" s="1"/>
  <c r="CG40" i="57"/>
  <c r="CK40" i="57"/>
  <c r="CO40" i="57"/>
  <c r="CG43" i="57"/>
  <c r="CK43" i="57"/>
  <c r="CO43" i="57"/>
  <c r="CG46" i="57"/>
  <c r="CK46" i="57"/>
  <c r="CO46" i="57"/>
  <c r="CV49" i="57"/>
  <c r="CE52" i="57"/>
  <c r="CK52" i="57"/>
  <c r="CO52" i="57"/>
  <c r="CE55" i="57"/>
  <c r="CU55" i="57" s="1"/>
  <c r="CK55" i="57"/>
  <c r="CO55" i="57"/>
  <c r="CE58" i="57"/>
  <c r="CU58" i="57" s="1"/>
  <c r="CK58" i="57"/>
  <c r="CO58" i="57"/>
  <c r="ED34" i="55"/>
  <c r="DV48" i="55" s="1"/>
  <c r="DT36" i="55"/>
  <c r="U25" i="60" s="1"/>
  <c r="DX36" i="55"/>
  <c r="V25" i="60" s="1"/>
  <c r="DV42" i="55"/>
  <c r="DG51" i="55"/>
  <c r="DR57" i="55"/>
  <c r="BB11" i="56"/>
  <c r="CT36" i="56"/>
  <c r="CR42" i="56"/>
  <c r="CR45" i="56"/>
  <c r="CJ48" i="56"/>
  <c r="CR48" i="56"/>
  <c r="CJ51" i="56"/>
  <c r="CR51" i="56"/>
  <c r="CH54" i="56"/>
  <c r="CY54" i="56" s="1"/>
  <c r="CR54" i="56"/>
  <c r="CH57" i="56"/>
  <c r="CY57" i="56" s="1"/>
  <c r="CR57" i="56"/>
  <c r="CH60" i="56"/>
  <c r="CY60" i="56" s="1"/>
  <c r="CR60" i="56"/>
  <c r="BB14" i="59"/>
  <c r="CR42" i="59"/>
  <c r="CZ42" i="59" s="1"/>
  <c r="CJ45" i="59"/>
  <c r="CN45" i="59"/>
  <c r="CR45" i="59"/>
  <c r="CH48" i="59"/>
  <c r="CY48" i="59" s="1"/>
  <c r="CR48" i="59"/>
  <c r="CH51" i="59"/>
  <c r="CL51" i="59" s="1"/>
  <c r="CR51" i="59"/>
  <c r="CJ54" i="59"/>
  <c r="CR54" i="59"/>
  <c r="CN57" i="59"/>
  <c r="CR57" i="59"/>
  <c r="CR60" i="59"/>
  <c r="CZ60" i="59" s="1"/>
  <c r="BB14" i="58"/>
  <c r="CW45" i="58"/>
  <c r="CY45" i="58" s="1"/>
  <c r="DC45" i="58"/>
  <c r="DG45" i="58"/>
  <c r="DA48" i="58"/>
  <c r="DC48" i="58" s="1"/>
  <c r="DG48" i="58"/>
  <c r="CW51" i="58"/>
  <c r="DM51" i="58" s="1"/>
  <c r="DC51" i="58"/>
  <c r="DG51" i="58"/>
  <c r="CW54" i="58"/>
  <c r="DM54" i="58" s="1"/>
  <c r="DC54" i="58"/>
  <c r="DG54" i="58"/>
  <c r="CW57" i="58"/>
  <c r="CY57" i="58" s="1"/>
  <c r="DC57" i="58"/>
  <c r="DG57" i="58"/>
  <c r="CY60" i="58"/>
  <c r="DA60" i="58"/>
  <c r="DM60" i="58" s="1"/>
  <c r="DG60" i="58"/>
  <c r="E15" i="54"/>
  <c r="E16" i="54"/>
  <c r="B20" i="54"/>
  <c r="G20" i="54"/>
  <c r="B21" i="54"/>
  <c r="G21" i="54"/>
  <c r="E24" i="54"/>
  <c r="E25" i="54"/>
  <c r="E26" i="54"/>
  <c r="E66" i="54"/>
  <c r="E118" i="54"/>
  <c r="CM44" i="49"/>
  <c r="CN44" i="49"/>
  <c r="CC47" i="49"/>
  <c r="CG47" i="49"/>
  <c r="CK47" i="49"/>
  <c r="CM47" i="49"/>
  <c r="CC50" i="49"/>
  <c r="CG50" i="49"/>
  <c r="CK50" i="49"/>
  <c r="CM50" i="49"/>
  <c r="CC53" i="49"/>
  <c r="CG53" i="49"/>
  <c r="CK53" i="49"/>
  <c r="CM53" i="49"/>
  <c r="CC56" i="49"/>
  <c r="CG56" i="49"/>
  <c r="CK56" i="49"/>
  <c r="CM56" i="49"/>
  <c r="CC59" i="49"/>
  <c r="CG59" i="49"/>
  <c r="CK59" i="49"/>
  <c r="CM59" i="49"/>
  <c r="CC62" i="49"/>
  <c r="CG62" i="49"/>
  <c r="CK62" i="49"/>
  <c r="CM62" i="49"/>
  <c r="CC65" i="49"/>
  <c r="CE65" i="49"/>
  <c r="CG65" i="49" s="1"/>
  <c r="CK65" i="49"/>
  <c r="DT46" i="50"/>
  <c r="DT49" i="50"/>
  <c r="DG55" i="50"/>
  <c r="DT55" i="50"/>
  <c r="DT58" i="50"/>
  <c r="DJ58" i="50" s="1"/>
  <c r="DT61" i="50"/>
  <c r="DJ61" i="50" s="1"/>
  <c r="DT64" i="50"/>
  <c r="CQ47" i="51"/>
  <c r="CN47" i="51" s="1"/>
  <c r="CF50" i="51"/>
  <c r="CJ50" i="51"/>
  <c r="CN50" i="51"/>
  <c r="CQ50" i="51"/>
  <c r="CF53" i="51"/>
  <c r="CJ53" i="51"/>
  <c r="CN53" i="51"/>
  <c r="CQ53" i="51"/>
  <c r="CF56" i="51"/>
  <c r="CJ56" i="51"/>
  <c r="CN56" i="51"/>
  <c r="CQ56" i="51"/>
  <c r="CD59" i="51"/>
  <c r="CF59" i="51" s="1"/>
  <c r="CJ59" i="51"/>
  <c r="CN59" i="51"/>
  <c r="CD62" i="51"/>
  <c r="CF62" i="51" s="1"/>
  <c r="CJ62" i="51"/>
  <c r="CN62" i="51"/>
  <c r="CD65" i="51"/>
  <c r="CF65" i="51" s="1"/>
  <c r="CJ65" i="51"/>
  <c r="CN65" i="51"/>
  <c r="CQ46" i="52"/>
  <c r="CR46" i="52"/>
  <c r="CF49" i="52"/>
  <c r="CJ49" i="52"/>
  <c r="CN49" i="52"/>
  <c r="CQ49" i="52"/>
  <c r="CF52" i="52"/>
  <c r="CJ52" i="52"/>
  <c r="CN52" i="52"/>
  <c r="CQ52" i="52"/>
  <c r="CJ55" i="52"/>
  <c r="CN55" i="52"/>
  <c r="CD58" i="52"/>
  <c r="CF58" i="52" s="1"/>
  <c r="CJ58" i="52"/>
  <c r="CN58" i="52"/>
  <c r="CD61" i="52"/>
  <c r="CF61" i="52" s="1"/>
  <c r="CJ61" i="52"/>
  <c r="CN61" i="52"/>
  <c r="CD64" i="52"/>
  <c r="CQ64" i="52" s="1"/>
  <c r="CJ64" i="52"/>
  <c r="CN64" i="52"/>
  <c r="DE48" i="53"/>
  <c r="DF48" i="53"/>
  <c r="CS51" i="53"/>
  <c r="CU51" i="53" s="1"/>
  <c r="CY51" i="53"/>
  <c r="DC51" i="53"/>
  <c r="CU54" i="53"/>
  <c r="DC54" i="53"/>
  <c r="CY57" i="53"/>
  <c r="DC57" i="53"/>
  <c r="CY60" i="53"/>
  <c r="DC60" i="53"/>
  <c r="CS63" i="53"/>
  <c r="CU63" i="53" s="1"/>
  <c r="CY63" i="53"/>
  <c r="DC63" i="53"/>
  <c r="CS66" i="53"/>
  <c r="CU66" i="53" s="1"/>
  <c r="CY66" i="53"/>
  <c r="DC66" i="53"/>
  <c r="C8" i="27"/>
  <c r="I12" i="27"/>
  <c r="CA41" i="49" s="1"/>
  <c r="CC41" i="49" s="1"/>
  <c r="J12" i="27"/>
  <c r="CE41" i="49" s="1"/>
  <c r="CG41" i="49" s="1"/>
  <c r="CQ41" i="49" s="1"/>
  <c r="F16" i="12" s="1"/>
  <c r="K12" i="27"/>
  <c r="CI41" i="49" s="1"/>
  <c r="CK41" i="49" s="1"/>
  <c r="CR41" i="49" s="1"/>
  <c r="B13" i="27"/>
  <c r="E14" i="27"/>
  <c r="I14" i="27"/>
  <c r="DH40" i="50" s="1"/>
  <c r="K14" i="27"/>
  <c r="DP40" i="50" s="1"/>
  <c r="B15" i="27"/>
  <c r="E15" i="27"/>
  <c r="B16" i="27"/>
  <c r="E16" i="27"/>
  <c r="J14" i="27" s="1"/>
  <c r="B17" i="27"/>
  <c r="E18" i="27"/>
  <c r="J18" i="27" s="1"/>
  <c r="CH41" i="51" s="1"/>
  <c r="CL41" i="51"/>
  <c r="CN41" i="51" s="1"/>
  <c r="CV41" i="51" s="1"/>
  <c r="G36" i="12" s="1"/>
  <c r="E19" i="27"/>
  <c r="B20" i="27"/>
  <c r="N20" i="27"/>
  <c r="E21" i="27"/>
  <c r="B22" i="27"/>
  <c r="E22" i="27"/>
  <c r="J23" i="27"/>
  <c r="CH40" i="52" s="1"/>
  <c r="CJ40" i="52" s="1"/>
  <c r="CU40" i="52" s="1"/>
  <c r="K23" i="27"/>
  <c r="CL40" i="52" s="1"/>
  <c r="CN40" i="52" s="1"/>
  <c r="CV40" i="52" s="1"/>
  <c r="B24" i="27"/>
  <c r="B26" i="27"/>
  <c r="I23" i="27"/>
  <c r="CD40" i="52" s="1"/>
  <c r="J27" i="27"/>
  <c r="CW42" i="53" s="1"/>
  <c r="CY42" i="53" s="1"/>
  <c r="DI42" i="53" s="1"/>
  <c r="K27" i="27"/>
  <c r="DA42" i="53" s="1"/>
  <c r="DC42" i="53" s="1"/>
  <c r="DJ42" i="53" s="1"/>
  <c r="O34" i="27"/>
  <c r="I27" i="27"/>
  <c r="CS42" i="53" s="1"/>
  <c r="L38" i="27"/>
  <c r="F19" i="3"/>
  <c r="F20" i="3"/>
  <c r="F21" i="3"/>
  <c r="F22" i="3"/>
  <c r="F23" i="3"/>
  <c r="D24" i="3"/>
  <c r="F24" i="3" s="1"/>
  <c r="I24" i="3"/>
  <c r="P22" i="33"/>
  <c r="CM65" i="49"/>
  <c r="H26" i="60"/>
  <c r="F18" i="61"/>
  <c r="H18" i="61" s="1"/>
  <c r="CJ48" i="59"/>
  <c r="CZ48" i="59" s="1"/>
  <c r="CG58" i="57"/>
  <c r="CV58" i="57" s="1"/>
  <c r="CG52" i="57"/>
  <c r="CU52" i="57"/>
  <c r="I40" i="60"/>
  <c r="DE66" i="53"/>
  <c r="DN48" i="55"/>
  <c r="H33" i="60"/>
  <c r="E33" i="60"/>
  <c r="CJ57" i="56"/>
  <c r="DL62" i="55"/>
  <c r="E18" i="40"/>
  <c r="DE51" i="53"/>
  <c r="CQ58" i="52"/>
  <c r="CQ65" i="51"/>
  <c r="CQ59" i="51"/>
  <c r="H16" i="13"/>
  <c r="DM57" i="58"/>
  <c r="EB36" i="55" l="1"/>
  <c r="DZ36" i="55" s="1"/>
  <c r="CY54" i="58"/>
  <c r="DN54" i="58" s="1"/>
  <c r="DL54" i="55"/>
  <c r="EB54" i="55" s="1"/>
  <c r="DN51" i="55"/>
  <c r="DR54" i="55"/>
  <c r="DV54" i="55"/>
  <c r="CJ51" i="59"/>
  <c r="CF47" i="51"/>
  <c r="CR47" i="51" s="1"/>
  <c r="CJ47" i="51"/>
  <c r="DV60" i="55"/>
  <c r="J8" i="46"/>
  <c r="C11" i="32" s="1"/>
  <c r="D11" i="77"/>
  <c r="CV52" i="57"/>
  <c r="DV57" i="55"/>
  <c r="DL60" i="55"/>
  <c r="CU34" i="57"/>
  <c r="CG34" i="57" s="1"/>
  <c r="DR60" i="55"/>
  <c r="DN45" i="55"/>
  <c r="DV45" i="55"/>
  <c r="CV46" i="57"/>
  <c r="CV43" i="57"/>
  <c r="E17" i="54"/>
  <c r="F33" i="60"/>
  <c r="CY51" i="58"/>
  <c r="DN51" i="58" s="1"/>
  <c r="I47" i="60"/>
  <c r="F26" i="60"/>
  <c r="D26" i="60" s="1"/>
  <c r="DV51" i="55"/>
  <c r="CF64" i="52"/>
  <c r="CR64" i="52" s="1"/>
  <c r="CR61" i="52"/>
  <c r="CR59" i="51"/>
  <c r="CR56" i="51"/>
  <c r="CR53" i="51"/>
  <c r="E28" i="54"/>
  <c r="H47" i="60"/>
  <c r="G33" i="60"/>
  <c r="E26" i="60"/>
  <c r="H32" i="13"/>
  <c r="H33" i="13" s="1"/>
  <c r="H34" i="13" s="1"/>
  <c r="E40" i="60"/>
  <c r="G40" i="60"/>
  <c r="DC60" i="58"/>
  <c r="DN60" i="58" s="1"/>
  <c r="DE63" i="53"/>
  <c r="CW48" i="58"/>
  <c r="CN59" i="49"/>
  <c r="CN56" i="49"/>
  <c r="CN53" i="49"/>
  <c r="CN50" i="49"/>
  <c r="CN47" i="49"/>
  <c r="H40" i="60"/>
  <c r="H21" i="61"/>
  <c r="H22" i="61" s="1"/>
  <c r="H35" i="61" s="1"/>
  <c r="CN51" i="59"/>
  <c r="CZ51" i="59" s="1"/>
  <c r="CY51" i="59"/>
  <c r="CN65" i="49"/>
  <c r="CG55" i="57"/>
  <c r="CV55" i="57" s="1"/>
  <c r="I18" i="27"/>
  <c r="CD41" i="51" s="1"/>
  <c r="CF41" i="51" s="1"/>
  <c r="CT41" i="51" s="1"/>
  <c r="H18" i="69"/>
  <c r="H19" i="69" s="1"/>
  <c r="H20" i="69" s="1"/>
  <c r="Q24" i="60"/>
  <c r="DR36" i="55"/>
  <c r="CN41" i="49"/>
  <c r="D19" i="60"/>
  <c r="CJ54" i="56"/>
  <c r="D33" i="60"/>
  <c r="CQ61" i="52"/>
  <c r="DN54" i="55"/>
  <c r="CP41" i="49"/>
  <c r="E16" i="12" s="1"/>
  <c r="CJ60" i="56"/>
  <c r="DN58" i="50"/>
  <c r="DR45" i="55"/>
  <c r="CY39" i="59"/>
  <c r="V33" i="60"/>
  <c r="CR58" i="52"/>
  <c r="CR49" i="52"/>
  <c r="CZ45" i="59"/>
  <c r="DM45" i="58"/>
  <c r="L14" i="27"/>
  <c r="L15" i="27" s="1"/>
  <c r="DL40" i="50"/>
  <c r="DT40" i="50" s="1"/>
  <c r="DV36" i="55"/>
  <c r="DF66" i="53"/>
  <c r="DF63" i="53"/>
  <c r="F47" i="60"/>
  <c r="DN36" i="55"/>
  <c r="DR51" i="55"/>
  <c r="DR48" i="55"/>
  <c r="EC48" i="55" s="1"/>
  <c r="DR42" i="55"/>
  <c r="EC42" i="55" s="1"/>
  <c r="DJ36" i="55"/>
  <c r="CR52" i="52"/>
  <c r="CR62" i="51"/>
  <c r="CR50" i="51"/>
  <c r="CN62" i="49"/>
  <c r="DN57" i="58"/>
  <c r="DN45" i="58"/>
  <c r="CZ54" i="59"/>
  <c r="F18" i="40"/>
  <c r="DF51" i="53"/>
  <c r="CR65" i="51"/>
  <c r="CZ57" i="59"/>
  <c r="CV40" i="57"/>
  <c r="Q17" i="60"/>
  <c r="E47" i="60"/>
  <c r="I26" i="60"/>
  <c r="D18" i="40"/>
  <c r="DN60" i="55"/>
  <c r="EC60" i="55" s="1"/>
  <c r="EB60" i="55"/>
  <c r="CU42" i="53"/>
  <c r="DE42" i="53"/>
  <c r="CF40" i="52"/>
  <c r="CQ40" i="52"/>
  <c r="CD55" i="52" s="1"/>
  <c r="CJ41" i="51"/>
  <c r="CM41" i="49"/>
  <c r="R16" i="60"/>
  <c r="R22" i="60"/>
  <c r="H19" i="13"/>
  <c r="CQ62" i="51"/>
  <c r="DL57" i="55"/>
  <c r="F36" i="12" l="1"/>
  <c r="E36" i="12"/>
  <c r="E37" i="12"/>
  <c r="EC51" i="55"/>
  <c r="D47" i="60"/>
  <c r="EC45" i="55"/>
  <c r="EC54" i="55"/>
  <c r="D40" i="60"/>
  <c r="CS34" i="57"/>
  <c r="CC34" i="57"/>
  <c r="CK34" i="57"/>
  <c r="CO34" i="57"/>
  <c r="CV34" i="57" s="1"/>
  <c r="F14" i="7"/>
  <c r="DM48" i="58"/>
  <c r="CY48" i="58"/>
  <c r="DN48" i="58" s="1"/>
  <c r="CQ41" i="51"/>
  <c r="EC36" i="55"/>
  <c r="U39" i="60"/>
  <c r="U40" i="60" s="1"/>
  <c r="CR39" i="59"/>
  <c r="CJ39" i="59"/>
  <c r="CN39" i="59"/>
  <c r="CF39" i="59"/>
  <c r="CZ39" i="59" s="1"/>
  <c r="CV39" i="59"/>
  <c r="DV38" i="50"/>
  <c r="DH52" i="50"/>
  <c r="R23" i="60"/>
  <c r="R31" i="60"/>
  <c r="CU41" i="51"/>
  <c r="CR41" i="51"/>
  <c r="F15" i="28"/>
  <c r="H20" i="13"/>
  <c r="H21" i="13" s="1"/>
  <c r="DH42" i="53"/>
  <c r="DF42" i="53"/>
  <c r="EB57" i="55"/>
  <c r="DN57" i="55"/>
  <c r="EC57" i="55" s="1"/>
  <c r="CR40" i="52"/>
  <c r="CT40" i="52"/>
  <c r="CQ55" i="52"/>
  <c r="CF55" i="52"/>
  <c r="CR55" i="52" s="1"/>
  <c r="S33" i="60" l="1"/>
  <c r="CY36" i="56"/>
  <c r="CJ36" i="56" s="1"/>
  <c r="T33" i="60"/>
  <c r="T34" i="60" s="1"/>
  <c r="V39" i="60"/>
  <c r="R39" i="60"/>
  <c r="S39" i="60"/>
  <c r="S40" i="60" s="1"/>
  <c r="DT52" i="50"/>
  <c r="DJ52" i="50"/>
  <c r="DN46" i="50"/>
  <c r="DN61" i="50"/>
  <c r="DN49" i="50"/>
  <c r="DR46" i="50"/>
  <c r="DR64" i="50"/>
  <c r="DR55" i="50"/>
  <c r="DN52" i="50"/>
  <c r="DR58" i="50"/>
  <c r="DU58" i="50" s="1"/>
  <c r="DR49" i="50"/>
  <c r="DJ55" i="50"/>
  <c r="DJ49" i="50"/>
  <c r="DR40" i="50"/>
  <c r="DY40" i="50" s="1"/>
  <c r="G26" i="12" s="1"/>
  <c r="DN64" i="50"/>
  <c r="DR52" i="50"/>
  <c r="DR61" i="50"/>
  <c r="DJ64" i="50"/>
  <c r="DJ40" i="50"/>
  <c r="DN40" i="50"/>
  <c r="DX40" i="50" s="1"/>
  <c r="DN55" i="50"/>
  <c r="DE57" i="53"/>
  <c r="CU57" i="53"/>
  <c r="DF57" i="53" s="1"/>
  <c r="CU60" i="53"/>
  <c r="DF60" i="53" s="1"/>
  <c r="DE60" i="53"/>
  <c r="DE54" i="53"/>
  <c r="CY54" i="53"/>
  <c r="DF54" i="53" s="1"/>
  <c r="DU61" i="50" l="1"/>
  <c r="DU64" i="50"/>
  <c r="CF54" i="56"/>
  <c r="CN45" i="56"/>
  <c r="CF45" i="56"/>
  <c r="CV36" i="56"/>
  <c r="CN48" i="56"/>
  <c r="CN54" i="56"/>
  <c r="CN57" i="56"/>
  <c r="CN60" i="56"/>
  <c r="CF36" i="56"/>
  <c r="CN51" i="56"/>
  <c r="CF51" i="56"/>
  <c r="CN42" i="56"/>
  <c r="CF42" i="56"/>
  <c r="CF60" i="56"/>
  <c r="CR36" i="56"/>
  <c r="CF57" i="56"/>
  <c r="CF48" i="56"/>
  <c r="CZ48" i="56" s="1"/>
  <c r="CN36" i="56"/>
  <c r="S34" i="60"/>
  <c r="Q32" i="60"/>
  <c r="R40" i="60"/>
  <c r="Q38" i="60"/>
  <c r="DU52" i="50"/>
  <c r="DU55" i="50"/>
  <c r="DU40" i="50"/>
  <c r="DW40" i="50"/>
  <c r="DU46" i="50"/>
  <c r="DU49" i="50"/>
  <c r="CZ57" i="56" l="1"/>
  <c r="CZ51" i="56"/>
  <c r="CZ60" i="56"/>
  <c r="CZ42" i="56"/>
  <c r="CZ45" i="56"/>
  <c r="CZ36" i="56"/>
  <c r="CZ54" i="56"/>
  <c r="Q45" i="60"/>
  <c r="DM39" i="58"/>
  <c r="CU39" i="58" s="1"/>
  <c r="CY39" i="58" l="1"/>
  <c r="DK39" i="58"/>
  <c r="DG39" i="58"/>
  <c r="DC39" i="58"/>
  <c r="DN39" i="58" s="1"/>
  <c r="N43" i="18" l="1"/>
  <c r="N47" i="18" s="1"/>
  <c r="F12" i="7"/>
</calcChain>
</file>

<file path=xl/sharedStrings.xml><?xml version="1.0" encoding="utf-8"?>
<sst xmlns="http://schemas.openxmlformats.org/spreadsheetml/2006/main" count="4695" uniqueCount="1599">
  <si>
    <t>INSTITUTO NACIONAL DE VIAS</t>
  </si>
  <si>
    <t>TABLA DE CONTENIDO</t>
  </si>
  <si>
    <t>GENERALIDADES</t>
  </si>
  <si>
    <t>OFICINA</t>
  </si>
  <si>
    <t>CELULAR</t>
  </si>
  <si>
    <t>CARRETERAS A CARGO</t>
  </si>
  <si>
    <t>CARRETERA</t>
  </si>
  <si>
    <t>CODIGO</t>
  </si>
  <si>
    <t>LONGITUD (km)</t>
  </si>
  <si>
    <t>PRi</t>
  </si>
  <si>
    <t>PRf</t>
  </si>
  <si>
    <t>No. DE PUENTES</t>
  </si>
  <si>
    <t>MICROEMPRESA</t>
  </si>
  <si>
    <t>OBSERVACIONES</t>
  </si>
  <si>
    <t>P</t>
  </si>
  <si>
    <t>A</t>
  </si>
  <si>
    <t>T</t>
  </si>
  <si>
    <t xml:space="preserve">   P: Pavimento</t>
  </si>
  <si>
    <t>A: Afirmado</t>
  </si>
  <si>
    <t>T. Total</t>
  </si>
  <si>
    <t>ESTADO GENERAL DE LOS PUENTES</t>
  </si>
  <si>
    <t>TRANSITO</t>
  </si>
  <si>
    <t>ESTADO GENERAL</t>
  </si>
  <si>
    <t>No.</t>
  </si>
  <si>
    <t>PR</t>
  </si>
  <si>
    <t>Normal</t>
  </si>
  <si>
    <t>Estribos Aletas</t>
  </si>
  <si>
    <t>Vigas Losas</t>
  </si>
  <si>
    <t>Barandas</t>
  </si>
  <si>
    <t>Estado crítico inmediato</t>
  </si>
  <si>
    <t>x</t>
  </si>
  <si>
    <t>En buen estado</t>
  </si>
  <si>
    <t>Se reparó en el presente mes</t>
  </si>
  <si>
    <t>INFORMACION SOBRE EMERGENCIAS</t>
  </si>
  <si>
    <t>FECHA</t>
  </si>
  <si>
    <t>TIPO DE EMERGENCIA</t>
  </si>
  <si>
    <t>SOLUCION</t>
  </si>
  <si>
    <t xml:space="preserve">              MICROEMPRESA</t>
  </si>
  <si>
    <t>INDICADOR</t>
  </si>
  <si>
    <t>%</t>
  </si>
  <si>
    <t>OBSERVACIONES :</t>
  </si>
  <si>
    <t>MANTENIMIENTO PERIODICO</t>
  </si>
  <si>
    <t>DESCRIPCION DE LA NECESIDAD</t>
  </si>
  <si>
    <t>HORA</t>
  </si>
  <si>
    <t>CLASE DE ACCIDENTE</t>
  </si>
  <si>
    <t>TIPO DE VEHICULO</t>
  </si>
  <si>
    <t>CUADRO No. 6</t>
  </si>
  <si>
    <t>ACTIVIDAD</t>
  </si>
  <si>
    <t>INSTITUTO  NACIONAL DE VIAS</t>
  </si>
  <si>
    <t>01</t>
  </si>
  <si>
    <t>02</t>
  </si>
  <si>
    <t>03</t>
  </si>
  <si>
    <t>SECTOR</t>
  </si>
  <si>
    <t>04</t>
  </si>
  <si>
    <t xml:space="preserve"> </t>
  </si>
  <si>
    <t>Pavimento</t>
  </si>
  <si>
    <t>Cunetas</t>
  </si>
  <si>
    <t>Señalización horizontal</t>
  </si>
  <si>
    <t>Rocería</t>
  </si>
  <si>
    <t>Alcantarillas</t>
  </si>
  <si>
    <t>CUADRO No. 7</t>
  </si>
  <si>
    <t>UND.</t>
  </si>
  <si>
    <t>CANTIDAD</t>
  </si>
  <si>
    <t>VALOR UNITARIO           ( $ )</t>
  </si>
  <si>
    <t>VALOR TOTAL         ( $ )</t>
  </si>
  <si>
    <t>Administrador Vial</t>
  </si>
  <si>
    <t>COMENTARIOS GENERALES</t>
  </si>
  <si>
    <t>RESUMEN DE ACTIVIDADES PARA EL BUEN USO Y DEFENSA DE LAS VIAS</t>
  </si>
  <si>
    <t>PERIODO</t>
  </si>
  <si>
    <t>VALLAS INVENTARIADAS</t>
  </si>
  <si>
    <t>VALLAS RETIRADAS</t>
  </si>
  <si>
    <t>AVISOS INVENTARIADOS</t>
  </si>
  <si>
    <t>AVISOS RETIRADOS</t>
  </si>
  <si>
    <t>CORRIMIENTO CERCAS (ml)</t>
  </si>
  <si>
    <t>EMPRADIZACION (M2)</t>
  </si>
  <si>
    <t>ERRADICACION BASUREROS (No.)</t>
  </si>
  <si>
    <t>ACUMULADO</t>
  </si>
  <si>
    <t>CUADRO No. 5</t>
  </si>
  <si>
    <t>PR inicial</t>
  </si>
  <si>
    <t>PR final</t>
  </si>
  <si>
    <t>DESCRIPCION</t>
  </si>
  <si>
    <t xml:space="preserve">CAUSA: </t>
  </si>
  <si>
    <t xml:space="preserve">TIPO DE VEHICULO: </t>
  </si>
  <si>
    <t xml:space="preserve">NOTA: </t>
  </si>
  <si>
    <t>CONVENCIONES</t>
  </si>
  <si>
    <t>BUENO</t>
  </si>
  <si>
    <t>REGULAR</t>
  </si>
  <si>
    <t>MALO</t>
  </si>
  <si>
    <t>Afirmado</t>
  </si>
  <si>
    <t>Codigo de la vía:</t>
  </si>
  <si>
    <t>NOMBRE DE LA VIA:</t>
  </si>
  <si>
    <t xml:space="preserve">  Longitud y  Porcentaje</t>
  </si>
  <si>
    <t xml:space="preserve">sobre el total de la vía </t>
  </si>
  <si>
    <t>o del item</t>
  </si>
  <si>
    <t>ESTADO GENERAL DE LOS PONTONES</t>
  </si>
  <si>
    <t>CUADRO No. 9</t>
  </si>
  <si>
    <t>B</t>
  </si>
  <si>
    <t>R</t>
  </si>
  <si>
    <t>M</t>
  </si>
  <si>
    <t>CUADRO No. 10</t>
  </si>
  <si>
    <t>CODIGO VIA</t>
  </si>
  <si>
    <t>PR INICIAL</t>
  </si>
  <si>
    <t>PR FINAL</t>
  </si>
  <si>
    <t>TIPO DE</t>
  </si>
  <si>
    <t>SUPERFICIE</t>
  </si>
  <si>
    <t>ESTADO</t>
  </si>
  <si>
    <t>0+0000</t>
  </si>
  <si>
    <t>3+0000</t>
  </si>
  <si>
    <t>6+0000</t>
  </si>
  <si>
    <t>CUADRO No. 2</t>
  </si>
  <si>
    <t xml:space="preserve">CARRETERA: </t>
  </si>
  <si>
    <t>NECESIDADES DE LOS PONTONES</t>
  </si>
  <si>
    <t>CUADRO No. 11</t>
  </si>
  <si>
    <t>ARBORIZACION</t>
  </si>
  <si>
    <t>Cuadro No. 1</t>
  </si>
  <si>
    <t>Generalidades</t>
  </si>
  <si>
    <t>Cuadro No. 2</t>
  </si>
  <si>
    <t>Cuadro No. 3</t>
  </si>
  <si>
    <t>Cuadro No. 4</t>
  </si>
  <si>
    <t>Cuadro No. 5</t>
  </si>
  <si>
    <t>Cuadro No. 6</t>
  </si>
  <si>
    <t>Cuadro No. 7</t>
  </si>
  <si>
    <t>Cuadro No. 8</t>
  </si>
  <si>
    <t>Cuadro No. 9</t>
  </si>
  <si>
    <t>Cuadro No. 10</t>
  </si>
  <si>
    <t>Cuadro No. 11</t>
  </si>
  <si>
    <t>Cuadro No. 12</t>
  </si>
  <si>
    <t>Cuadro No. 13</t>
  </si>
  <si>
    <t>Cuadro No. 14</t>
  </si>
  <si>
    <t>Cuadro No. 15</t>
  </si>
  <si>
    <t>Cuadro No. 16</t>
  </si>
  <si>
    <t>Cuadro No. 17</t>
  </si>
  <si>
    <t>ITEM</t>
  </si>
  <si>
    <t>Gráfico No. 1</t>
  </si>
  <si>
    <t>Gráfico No. 2</t>
  </si>
  <si>
    <t>Necesidades preventivas de las vías</t>
  </si>
  <si>
    <t>Necesidades críticas de las vías</t>
  </si>
  <si>
    <t>Cálculo de cantidades y costos estimados para las necesidades de las vías</t>
  </si>
  <si>
    <t>Información sobre emergencias</t>
  </si>
  <si>
    <t>Estado general de los puentes</t>
  </si>
  <si>
    <t>Estado general de los pontones</t>
  </si>
  <si>
    <t>Necesidades de los pontones</t>
  </si>
  <si>
    <t>Informe de accidentalidad</t>
  </si>
  <si>
    <t>Resumen de actividades para el buen uso y defensa de las vías</t>
  </si>
  <si>
    <t>Fotográfica</t>
  </si>
  <si>
    <t>De prensa</t>
  </si>
  <si>
    <t>Comentarios generales</t>
  </si>
  <si>
    <t>INGENIERO RESIDENTE:</t>
  </si>
  <si>
    <t>CUADRO No 3</t>
  </si>
  <si>
    <t>GRAFICO No. 1</t>
  </si>
  <si>
    <t>Kms.</t>
  </si>
  <si>
    <t>GRAFICO No. 2</t>
  </si>
  <si>
    <t>MAPA No. 1</t>
  </si>
  <si>
    <t>NECESIDADES PREVENTIVAS DE LA VIA</t>
  </si>
  <si>
    <t>NECESIDADES CRITICAS DE LAS VIAS</t>
  </si>
  <si>
    <t>Mapa  No.  1</t>
  </si>
  <si>
    <t>NOTA:  CUALQUIER CAMBIO DE DIRECCION, CORREO ELECTRONICO O TELEFONO SE DEBE INFORMAR</t>
  </si>
  <si>
    <t>TOTALES</t>
  </si>
  <si>
    <t>CORREO ELECTRONICO:</t>
  </si>
  <si>
    <t>ROCERIA Y DESM. MANUAL</t>
  </si>
  <si>
    <t>LIMPIEZA MANUAL CUNETAS</t>
  </si>
  <si>
    <t>LIMPIEZA OBRAS DE ARTE</t>
  </si>
  <si>
    <t>LIMPIEZA SEÑALES Y MOJONES</t>
  </si>
  <si>
    <t>MANTENIMIENTO PUENTES</t>
  </si>
  <si>
    <t>DESPEJE DE DERRUMBES</t>
  </si>
  <si>
    <t>BACHEO CARRETERA PAV.</t>
  </si>
  <si>
    <t>PINTURA, RENOVACIÓN DE INDICACIONES EN EL MOJON</t>
  </si>
  <si>
    <t>PARCHEO CARRETERA PAV.</t>
  </si>
  <si>
    <t>LIMPIEZA DE LA CALZADA</t>
  </si>
  <si>
    <t>ARBORIZACION (SIEMBRA)</t>
  </si>
  <si>
    <t>PODA, CORTE Y RETIRO DE ARBOLES</t>
  </si>
  <si>
    <t xml:space="preserve">        REGULAR</t>
  </si>
  <si>
    <t xml:space="preserve">    MALO</t>
  </si>
  <si>
    <t xml:space="preserve">    BUENO</t>
  </si>
  <si>
    <t xml:space="preserve">      NO HUBO</t>
  </si>
  <si>
    <t>LIMPIEZA ENCOLES Y DESCOLES</t>
  </si>
  <si>
    <t>VALOR BASICO</t>
  </si>
  <si>
    <t>VALOR TOTAL DE LA OBRA</t>
  </si>
  <si>
    <t xml:space="preserve">        En regular estado</t>
  </si>
  <si>
    <t xml:space="preserve">           En mal estado</t>
  </si>
  <si>
    <r>
      <t>N.E.</t>
    </r>
    <r>
      <rPr>
        <sz val="10"/>
        <rFont val="Arial"/>
        <family val="2"/>
      </rPr>
      <t xml:space="preserve"> : No existe</t>
    </r>
  </si>
  <si>
    <t>TOTAL POR TRAMO</t>
  </si>
  <si>
    <t>HERIDOS</t>
  </si>
  <si>
    <t>MUERTOS</t>
  </si>
  <si>
    <t>PASAVIAS</t>
  </si>
  <si>
    <t>SEÑALES TIPO BANDERA</t>
  </si>
  <si>
    <t>SEÑALES SI 05 Y SI 06</t>
  </si>
  <si>
    <t>RUTA</t>
  </si>
  <si>
    <t>TRAMO</t>
  </si>
  <si>
    <t>Km.</t>
  </si>
  <si>
    <t>(1)</t>
  </si>
  <si>
    <t>(2)</t>
  </si>
  <si>
    <t>(3)</t>
  </si>
  <si>
    <t>(4)</t>
  </si>
  <si>
    <t>(5)</t>
  </si>
  <si>
    <t>(6)</t>
  </si>
  <si>
    <t>(7)</t>
  </si>
  <si>
    <t>(8)</t>
  </si>
  <si>
    <t>(9)</t>
  </si>
  <si>
    <t>(10)</t>
  </si>
  <si>
    <t>(11)</t>
  </si>
  <si>
    <t>(12)</t>
  </si>
  <si>
    <t>(13)</t>
  </si>
  <si>
    <t>(14)</t>
  </si>
  <si>
    <t>(15)</t>
  </si>
  <si>
    <t>(16)</t>
  </si>
  <si>
    <t>(17)</t>
  </si>
  <si>
    <t>(18)</t>
  </si>
  <si>
    <t>(19)</t>
  </si>
  <si>
    <t>(20)</t>
  </si>
  <si>
    <t>(21)</t>
  </si>
  <si>
    <t>(22)</t>
  </si>
  <si>
    <t>(23)</t>
  </si>
  <si>
    <t>(24)</t>
  </si>
  <si>
    <t>(25)</t>
  </si>
  <si>
    <t>(26)</t>
  </si>
  <si>
    <t>(27)</t>
  </si>
  <si>
    <t>TOTALES:</t>
  </si>
  <si>
    <t>CONVENCIONES Y DESCRIPCION.</t>
  </si>
  <si>
    <t>(3): Longitud del tramo en kilómetros.</t>
  </si>
  <si>
    <t>información al usuario de la vía y que no sean susceptibles de incluir en programas de recuperación y mantenimiento, requiriendo su reposición y remoción.</t>
  </si>
  <si>
    <t>de recuperación y/o mantenimiento.</t>
  </si>
  <si>
    <t>ESTADO DE LA SEÑALIZACION VERTICAL Y SEÑALIZACION VERTICAL FALTANTE.</t>
  </si>
  <si>
    <t>TACHAS REFLECTIVAS</t>
  </si>
  <si>
    <t>de líneas de demarcación o de reflectividad.</t>
  </si>
  <si>
    <t>servicio al usuario ante la falta de definición en la línea de demarcación y en la reflectividad.</t>
  </si>
  <si>
    <t>ESTADO DE LA SEÑALIZACION HORIZONTAL Y SEÑALIZACION HORIZONTAL FALTANTE.</t>
  </si>
  <si>
    <t>Estado de la señalización vertical y señalización vertical faltante</t>
  </si>
  <si>
    <t>Estado de la señalización horizontal y señalización horizontal faltante</t>
  </si>
  <si>
    <t>Señalización Vertical</t>
  </si>
  <si>
    <t xml:space="preserve">Ubicar en el mapa municipios,  PRs de sitios importantes y lugares donde hay </t>
  </si>
  <si>
    <t>CAUSAS APARENTES O PROBABLES</t>
  </si>
  <si>
    <t>ADMINISTRADOR</t>
  </si>
  <si>
    <t>CTO No.</t>
  </si>
  <si>
    <t>Vr. CONTRATO</t>
  </si>
  <si>
    <t xml:space="preserve">FECHA </t>
  </si>
  <si>
    <t>KMS A</t>
  </si>
  <si>
    <t>VEHICULOS</t>
  </si>
  <si>
    <t>VIAL</t>
  </si>
  <si>
    <t>INICIACION</t>
  </si>
  <si>
    <t>TERMINACION</t>
  </si>
  <si>
    <t>ATENDER</t>
  </si>
  <si>
    <t>PLACA</t>
  </si>
  <si>
    <t>CLASE</t>
  </si>
  <si>
    <t>MODELO</t>
  </si>
  <si>
    <t>CUADRO No. 18</t>
  </si>
  <si>
    <t>FICHA CUALITATIVA DE LOS ADMINISTRADORES DE MANTENIMIENTO VIAL</t>
  </si>
  <si>
    <t>GRUPO</t>
  </si>
  <si>
    <t>NIT Ó</t>
  </si>
  <si>
    <t>REPRESENTANTE</t>
  </si>
  <si>
    <t>INGENIERO</t>
  </si>
  <si>
    <t>DIRECCION</t>
  </si>
  <si>
    <t>C.C.</t>
  </si>
  <si>
    <t>LEGAL</t>
  </si>
  <si>
    <t>RESIDENTE</t>
  </si>
  <si>
    <t>AUXILIAR</t>
  </si>
  <si>
    <t xml:space="preserve">CORREO </t>
  </si>
  <si>
    <t>TELEFONOS</t>
  </si>
  <si>
    <t>SECTOR A CARGO</t>
  </si>
  <si>
    <t>PR i</t>
  </si>
  <si>
    <t>PR f</t>
  </si>
  <si>
    <t>ELECTRONICO</t>
  </si>
  <si>
    <t>RES</t>
  </si>
  <si>
    <t>OFIC.</t>
  </si>
  <si>
    <t>CUADRO No. 19</t>
  </si>
  <si>
    <t>NOMBRE</t>
  </si>
  <si>
    <t>TIPO DE TERRENO</t>
  </si>
  <si>
    <t xml:space="preserve">TOTAL </t>
  </si>
  <si>
    <t>VALOR TOTAL</t>
  </si>
  <si>
    <t>VIGENCIA CONTRATO</t>
  </si>
  <si>
    <t>I</t>
  </si>
  <si>
    <t>II</t>
  </si>
  <si>
    <t>III</t>
  </si>
  <si>
    <t>IV</t>
  </si>
  <si>
    <t>(KMS)</t>
  </si>
  <si>
    <t>CONTRATO</t>
  </si>
  <si>
    <t>SOCIOS</t>
  </si>
  <si>
    <t xml:space="preserve">INICIO </t>
  </si>
  <si>
    <t>CUADRO No. 20</t>
  </si>
  <si>
    <t xml:space="preserve">REPRESENTANTE </t>
  </si>
  <si>
    <t>TELEFONO</t>
  </si>
  <si>
    <t xml:space="preserve">CODIGO </t>
  </si>
  <si>
    <t>ABSCISA</t>
  </si>
  <si>
    <t xml:space="preserve">ADMINISTRADOR </t>
  </si>
  <si>
    <t>DE LA VIA</t>
  </si>
  <si>
    <t>PR I</t>
  </si>
  <si>
    <t>PR F</t>
  </si>
  <si>
    <t>Cuadro No. 18</t>
  </si>
  <si>
    <t>Cuadro No. 19</t>
  </si>
  <si>
    <t>Cuadro No. 20</t>
  </si>
  <si>
    <t>Ficha cuantitativa Administradores de Mantenimiento Vial</t>
  </si>
  <si>
    <t>Ficha cualitativa Administradores de Mantenimiento Vial</t>
  </si>
  <si>
    <t>NOTA (1): El costo debe incluir AIU e IVA (16% sobre utilidades)</t>
  </si>
  <si>
    <t>VALOR IVA (16% SOBRE UTILIDADES)</t>
  </si>
  <si>
    <t>No. CTO</t>
  </si>
  <si>
    <t>NIT ó</t>
  </si>
  <si>
    <t>y/ó CELULAR</t>
  </si>
  <si>
    <t>Ppal y adic</t>
  </si>
  <si>
    <t xml:space="preserve">VALOR </t>
  </si>
  <si>
    <t>CONTRATOS</t>
  </si>
  <si>
    <t>NOTA: Relacionar contrato principal y adicionales.</t>
  </si>
  <si>
    <t>TPDS</t>
  </si>
  <si>
    <t>TIPO DAÑO</t>
  </si>
  <si>
    <t>OBRA</t>
  </si>
  <si>
    <t>Valor Interven.</t>
  </si>
  <si>
    <t>PRIORIZACION  PUENTES QUE REQUIEREN ATENCION - REHABILITACION Y CONSERVACION</t>
  </si>
  <si>
    <t>PERIODO EVALUADO:</t>
  </si>
  <si>
    <t>TRIMESTRE  EVALUADO</t>
  </si>
  <si>
    <t xml:space="preserve"> Vo.Bo.  DirectorTerritorial</t>
  </si>
  <si>
    <t>SUBDIRECCION RED NACIONAL DE CARRETERAS</t>
  </si>
  <si>
    <t>CUMPLIMIENTO INDICADORES  DE MANTENIMIENTO RUTINARIO</t>
  </si>
  <si>
    <r>
      <t>*</t>
    </r>
    <r>
      <rPr>
        <sz val="9"/>
        <rFont val="Arial"/>
        <family val="2"/>
      </rPr>
      <t xml:space="preserve">  Indicar nombre de cada microempresa a la que se le aplica el indicador. Resolución N°</t>
    </r>
  </si>
  <si>
    <r>
      <t>2</t>
    </r>
    <r>
      <rPr>
        <b/>
        <sz val="14"/>
        <rFont val="Arial"/>
        <family val="2"/>
      </rPr>
      <t>*</t>
    </r>
  </si>
  <si>
    <r>
      <t>1</t>
    </r>
    <r>
      <rPr>
        <b/>
        <sz val="14"/>
        <rFont val="Arial"/>
        <family val="2"/>
      </rPr>
      <t>*</t>
    </r>
  </si>
  <si>
    <t>Nota: La información contenida es un ejemplo sobre la forma de diligenciar este cuadro.Debe presentarse a color.</t>
  </si>
  <si>
    <t>NOTA: Indicar en el mapa los PRs de cada uno de los sitios importantes</t>
  </si>
  <si>
    <t>CALCULO DE CANTIDADES Y COSTOS ESTIMADOS DE  NECESIDADES</t>
  </si>
  <si>
    <t>SECTOR:</t>
  </si>
  <si>
    <r>
      <t>2. Descripción de la actividad</t>
    </r>
    <r>
      <rPr>
        <sz val="9"/>
        <rFont val="Arial"/>
        <family val="2"/>
      </rPr>
      <t xml:space="preserve"> (Ejemplo):   Reparación del talud superior del PR 59+400</t>
    </r>
  </si>
  <si>
    <t>NOTA: Se deben diligenciar todas las casillas.</t>
  </si>
  <si>
    <t xml:space="preserve">       En regular estado</t>
  </si>
  <si>
    <t>SEÑALES SP, SR Y SI</t>
  </si>
  <si>
    <t>POSTES DE REFERENCIACIÓN</t>
  </si>
  <si>
    <t>DEFENSAS METÁLICAS</t>
  </si>
  <si>
    <t>F</t>
  </si>
  <si>
    <t>(28)</t>
  </si>
  <si>
    <t>(29)</t>
  </si>
  <si>
    <t>(30)</t>
  </si>
  <si>
    <t>(1): Identificación de la Ruta de acuerdo con la nomenclatura vial vigente.</t>
  </si>
  <si>
    <t>(2): Identificación del tramo de acuerdo con la nomenclatura vial vigente.</t>
  </si>
  <si>
    <r>
      <t xml:space="preserve">(4), (8), (12), (16), (20): B= Número de señales instaladas en el tramo que se encuentran en </t>
    </r>
    <r>
      <rPr>
        <b/>
        <sz val="8"/>
        <rFont val="Arial"/>
        <family val="2"/>
      </rPr>
      <t>buen estado</t>
    </r>
    <r>
      <rPr>
        <sz val="8"/>
        <rFont val="Arial"/>
        <family val="2"/>
      </rPr>
      <t xml:space="preserve">. Se deben incluir las señales que se encuentren en perfecto estado en cuanto a </t>
    </r>
  </si>
  <si>
    <t>legibilidad, reflectividad, pintura de postes y de parales, pintura posterior y cimientos.</t>
  </si>
  <si>
    <r>
      <t xml:space="preserve">(5), (9), (13), (17), (21): R = Número de señales instaladas en el tramo que se encuentran en </t>
    </r>
    <r>
      <rPr>
        <b/>
        <sz val="8"/>
        <rFont val="Arial"/>
        <family val="2"/>
      </rPr>
      <t>regular estado</t>
    </r>
    <r>
      <rPr>
        <sz val="8"/>
        <rFont val="Arial"/>
        <family val="2"/>
      </rPr>
      <t>. Se deben incluir las señales que se encuentren en regular estado en cuanto a</t>
    </r>
  </si>
  <si>
    <t>legibilidad, reflectividad, pintura de postes y de parales, pintura posterior y cimientos, pero que por su nivel de deterioro sean susceptibles de incluir en programas de recuperación y/o mantenimiento.</t>
  </si>
  <si>
    <r>
      <t xml:space="preserve">(6), (10), (14), (18), (22): M = Número de señales instaladas en el tramo que se encuentran en </t>
    </r>
    <r>
      <rPr>
        <b/>
        <sz val="8"/>
        <rFont val="Arial"/>
        <family val="2"/>
      </rPr>
      <t>mal estado</t>
    </r>
    <r>
      <rPr>
        <sz val="8"/>
        <rFont val="Arial"/>
        <family val="2"/>
      </rPr>
      <t>. Se deben incluir las señales que por su estado de deterioro no brindan ninguna</t>
    </r>
  </si>
  <si>
    <r>
      <t xml:space="preserve">(7), (11), (15), (19), (23): F = Número de señales </t>
    </r>
    <r>
      <rPr>
        <b/>
        <sz val="8"/>
        <rFont val="Arial"/>
        <family val="2"/>
      </rPr>
      <t xml:space="preserve">faltantes </t>
    </r>
    <r>
      <rPr>
        <sz val="8"/>
        <rFont val="Arial"/>
        <family val="2"/>
      </rPr>
      <t>que se requieren y no han sido instaladas (sin incluir las que se encuentran en regular y en mal estado).</t>
    </r>
  </si>
  <si>
    <r>
      <t xml:space="preserve">(24): B= Número de postes de referenciación que se encuentran en </t>
    </r>
    <r>
      <rPr>
        <b/>
        <sz val="8"/>
        <rFont val="Arial"/>
        <family val="2"/>
      </rPr>
      <t xml:space="preserve">buen estado </t>
    </r>
    <r>
      <rPr>
        <sz val="8"/>
        <rFont val="Arial"/>
        <family val="2"/>
      </rPr>
      <t>en cuanto a pintura y a su estructura en concreto</t>
    </r>
    <r>
      <rPr>
        <b/>
        <sz val="8"/>
        <rFont val="Arial"/>
        <family val="2"/>
      </rPr>
      <t>.</t>
    </r>
  </si>
  <si>
    <r>
      <t xml:space="preserve">(25): R= Número de postes de referenciación que se encuentran en </t>
    </r>
    <r>
      <rPr>
        <b/>
        <sz val="8"/>
        <rFont val="Arial"/>
        <family val="2"/>
      </rPr>
      <t xml:space="preserve">regular estado </t>
    </r>
    <r>
      <rPr>
        <sz val="8"/>
        <rFont val="Arial"/>
        <family val="2"/>
      </rPr>
      <t>en cuanto a pintura y a su estructura en concreto</t>
    </r>
    <r>
      <rPr>
        <b/>
        <sz val="8"/>
        <rFont val="Arial"/>
        <family val="2"/>
      </rPr>
      <t>.</t>
    </r>
  </si>
  <si>
    <r>
      <t xml:space="preserve">(26): M= Número de postes de referenciación que se encuentran en </t>
    </r>
    <r>
      <rPr>
        <b/>
        <sz val="8"/>
        <rFont val="Arial"/>
        <family val="2"/>
      </rPr>
      <t xml:space="preserve">mal estado </t>
    </r>
    <r>
      <rPr>
        <sz val="8"/>
        <rFont val="Arial"/>
        <family val="2"/>
      </rPr>
      <t>en cuanto a pintura y a su estructura en concreto, por lo cual requieren su reposición y remoción.</t>
    </r>
  </si>
  <si>
    <r>
      <t xml:space="preserve">(27): F= Número de postes de referenciación </t>
    </r>
    <r>
      <rPr>
        <b/>
        <sz val="8"/>
        <rFont val="Arial"/>
        <family val="2"/>
      </rPr>
      <t xml:space="preserve">faltantes </t>
    </r>
    <r>
      <rPr>
        <sz val="8"/>
        <rFont val="Arial"/>
        <family val="2"/>
      </rPr>
      <t>(sin incluir los que se encuentran en regular y en mal estado).</t>
    </r>
  </si>
  <si>
    <r>
      <t xml:space="preserve">(28): Metros lineales de defensa metálica que se encuentran en </t>
    </r>
    <r>
      <rPr>
        <b/>
        <sz val="8"/>
        <rFont val="Arial"/>
        <family val="2"/>
      </rPr>
      <t xml:space="preserve">buen estado. </t>
    </r>
  </si>
  <si>
    <r>
      <t xml:space="preserve">(29): Metros lineales de defensa metálica que se encuentran en </t>
    </r>
    <r>
      <rPr>
        <b/>
        <sz val="8"/>
        <rFont val="Arial"/>
        <family val="2"/>
      </rPr>
      <t xml:space="preserve">regular estado. </t>
    </r>
    <r>
      <rPr>
        <sz val="8"/>
        <rFont val="Arial"/>
        <family val="2"/>
      </rPr>
      <t>Se deben incluir aquellos que por su estado sean susceptibles de incluir en programas de recuperación y/o mantenimiento.</t>
    </r>
  </si>
  <si>
    <r>
      <t xml:space="preserve">(30): Metros lineales de defensa metálica que se encuentran en </t>
    </r>
    <r>
      <rPr>
        <b/>
        <sz val="8"/>
        <rFont val="Arial"/>
        <family val="2"/>
      </rPr>
      <t xml:space="preserve">mal estado, </t>
    </r>
    <r>
      <rPr>
        <sz val="8"/>
        <rFont val="Arial"/>
        <family val="2"/>
      </rPr>
      <t>que no presten ningún tipo de seguridad al usuario y que por su estado no sean</t>
    </r>
    <r>
      <rPr>
        <b/>
        <sz val="8"/>
        <rFont val="Arial"/>
        <family val="2"/>
      </rPr>
      <t xml:space="preserve"> </t>
    </r>
    <r>
      <rPr>
        <sz val="8"/>
        <rFont val="Arial"/>
        <family val="2"/>
      </rPr>
      <t xml:space="preserve">susceptibles de incluir en programas </t>
    </r>
  </si>
  <si>
    <r>
      <t xml:space="preserve">(31): Metros lineales de defensas metálica </t>
    </r>
    <r>
      <rPr>
        <b/>
        <sz val="8"/>
        <rFont val="Arial"/>
        <family val="2"/>
      </rPr>
      <t xml:space="preserve">faltantes </t>
    </r>
    <r>
      <rPr>
        <sz val="8"/>
        <rFont val="Arial"/>
        <family val="2"/>
      </rPr>
      <t>que se requieren y que no han sido instalados (sin incluir los que se encuentran en regular y en mal estado).</t>
    </r>
  </si>
  <si>
    <t>RUTA:</t>
  </si>
  <si>
    <t>TRAMO:</t>
  </si>
  <si>
    <t>DELINEADORES  DE CURVA</t>
  </si>
  <si>
    <t>Und</t>
  </si>
  <si>
    <t>ml</t>
  </si>
  <si>
    <t>(31)</t>
  </si>
  <si>
    <t>LINEAS DE DEMARCACIÓN CON PINTURA ACRÍLICA</t>
  </si>
  <si>
    <t>LINEAS DE DEMARCACIÓN CON RESINAS TERMOPLÁSTICAS</t>
  </si>
  <si>
    <t>MARCAS VIALES</t>
  </si>
  <si>
    <r>
      <t xml:space="preserve">(5), (9): R= Metros lineales pintura acrílica o termoplástica que se encuentran en </t>
    </r>
    <r>
      <rPr>
        <b/>
        <sz val="10"/>
        <rFont val="Arial"/>
        <family val="2"/>
      </rPr>
      <t xml:space="preserve">regular estado por no presentar buena </t>
    </r>
    <r>
      <rPr>
        <sz val="10"/>
        <rFont val="Arial"/>
        <family val="2"/>
      </rPr>
      <t>definición</t>
    </r>
  </si>
  <si>
    <t>(7), (11): F= Metros lineales de pintura acrílica y termoplástica faltante.</t>
  </si>
  <si>
    <r>
      <t xml:space="preserve">(12): B= Metros cuadrados de marcas viales que se encuentran en </t>
    </r>
    <r>
      <rPr>
        <b/>
        <sz val="10"/>
        <rFont val="Arial"/>
        <family val="2"/>
      </rPr>
      <t xml:space="preserve">buen estado </t>
    </r>
    <r>
      <rPr>
        <sz val="10"/>
        <rFont val="Arial"/>
        <family val="2"/>
      </rPr>
      <t>en cuanto a definición y reflectividad.</t>
    </r>
  </si>
  <si>
    <r>
      <t xml:space="preserve">(13): R= Metros cuadrados de marcas viales que se encuentran en </t>
    </r>
    <r>
      <rPr>
        <b/>
        <sz val="10"/>
        <rFont val="Arial"/>
        <family val="2"/>
      </rPr>
      <t xml:space="preserve">regular estado </t>
    </r>
    <r>
      <rPr>
        <sz val="10"/>
        <rFont val="Arial"/>
        <family val="2"/>
      </rPr>
      <t>en cuanto a definición y reflectividad.</t>
    </r>
  </si>
  <si>
    <r>
      <t xml:space="preserve">(14): M= Metros cuadrados de marcas viales que se encuentran en </t>
    </r>
    <r>
      <rPr>
        <b/>
        <sz val="10"/>
        <rFont val="Arial"/>
        <family val="2"/>
      </rPr>
      <t xml:space="preserve">mal estado </t>
    </r>
    <r>
      <rPr>
        <sz val="10"/>
        <rFont val="Arial"/>
        <family val="2"/>
      </rPr>
      <t>en cuanto a definición y reflectividad.</t>
    </r>
  </si>
  <si>
    <t>(15): F= Metros cuadrados de marcas viales faltantes.</t>
  </si>
  <si>
    <t>(16): Número de Tachas reflectivas instaladas.</t>
  </si>
  <si>
    <t>(17): Número de Tachas reflectivas faltantes.</t>
  </si>
  <si>
    <t>m2</t>
  </si>
  <si>
    <t>und</t>
  </si>
  <si>
    <t>INST</t>
  </si>
  <si>
    <r>
      <t xml:space="preserve">(6), (10): M= Metros lineales de pintura acrílica o termoplástica que se encuentran en </t>
    </r>
    <r>
      <rPr>
        <b/>
        <sz val="10"/>
        <rFont val="Arial"/>
        <family val="2"/>
      </rPr>
      <t xml:space="preserve">mal estado </t>
    </r>
    <r>
      <rPr>
        <sz val="10"/>
        <rFont val="Arial"/>
        <family val="2"/>
      </rPr>
      <t>por no brindar ningún tipo de</t>
    </r>
  </si>
  <si>
    <r>
      <t xml:space="preserve">(4), (8): B= ml. de pintura acrílica o termoplástica que se encuentran en </t>
    </r>
    <r>
      <rPr>
        <b/>
        <sz val="10"/>
        <rFont val="Arial"/>
        <family val="2"/>
      </rPr>
      <t xml:space="preserve">buen estado </t>
    </r>
    <r>
      <rPr>
        <sz val="10"/>
        <rFont val="Arial"/>
        <family val="2"/>
      </rPr>
      <t>en cuanto a definición de líneas de demarcación y reflectividad</t>
    </r>
  </si>
  <si>
    <t>Cumplimiento indicadores de mantenimiento rutinario</t>
  </si>
  <si>
    <t>Priorización de puentes que requieren atención - rehabilitación y conservación</t>
  </si>
  <si>
    <t>MB</t>
  </si>
  <si>
    <t>MM</t>
  </si>
  <si>
    <t>MUY BUENO</t>
  </si>
  <si>
    <t>MUY MALO</t>
  </si>
  <si>
    <t>GRAFICO No. 3</t>
  </si>
  <si>
    <t>GRAFICO No. 4</t>
  </si>
  <si>
    <t>ESTADO DE LA RED CRITERIO TECNICO</t>
  </si>
  <si>
    <t>CUADRO No.8</t>
  </si>
  <si>
    <t>CUADRO No. 12</t>
  </si>
  <si>
    <t>CUADRO No. 21</t>
  </si>
  <si>
    <t>Estado de la red criterio Técnico</t>
  </si>
  <si>
    <t>Gráfico No. 3</t>
  </si>
  <si>
    <t>Gráfico No. 4</t>
  </si>
  <si>
    <t>Cuadro No. 21</t>
  </si>
  <si>
    <t>TERRITORIAL</t>
  </si>
  <si>
    <t>MINISTERIO DE TRANSPORTE</t>
  </si>
  <si>
    <t>CARRETERAS:</t>
  </si>
  <si>
    <t>En caso de no cumplir totalmente con el indicador, informar la razón.</t>
  </si>
  <si>
    <t>TRIMESTRE ANTERIOR</t>
  </si>
  <si>
    <t>ESTADO DE LA RED Y SITIOS CRITICOS DE INESTABILIDAD</t>
  </si>
  <si>
    <t>Estado de la red y sitios críticos de inestabilidad</t>
  </si>
  <si>
    <t>cambios en el estado de la red y sitios criticos de inestabilidad.</t>
  </si>
  <si>
    <t>ITEM DE PAGO</t>
  </si>
  <si>
    <t>ESPECIFICACIONES</t>
  </si>
  <si>
    <t>ATENCION DE EMERGENCIAS</t>
  </si>
  <si>
    <t>Alertar oportunamente al INVÍAS sobre la necesidad de diseñar y construir   obras especiales para la mitigación de la inestabilidad en sitios críticos</t>
  </si>
  <si>
    <t>Actualizar  los costos de mantenimiento vial (Análisis de Precios Unitarios – APU) y suministrar la información requerida para los sistemas de administración de carreteras que utiliza  INVÍAS</t>
  </si>
  <si>
    <t>Inspeccionar los puentes de manera rutinaria, dirigir y verificar su mantenimiento rutinario y periódico</t>
  </si>
  <si>
    <t>Participar en las reuniones de coordinación con la Dirección Territorial, evaluaciones y programas de transferencia de tecnología  que INVÍAS programe para los ingenieros de la administración vial, en diferentes sitios del país</t>
  </si>
  <si>
    <t>Evaluar con criterio de transitabilidad (visual) el estado de la  red vial a su cargo con la metodología suministrada por el INVIAS</t>
  </si>
  <si>
    <t>Recolección, digitación y reporte de la información relacionada con la accidentalidad ocurrida en los tramos de carreteras, así como la realización de  estudios y presentación de recomendaciones técnicas encaminadas al mejoramiento  de la seguridad vial</t>
  </si>
  <si>
    <t>Proporcionar datos para el cálculo del patrimonio de las vías objeto del contrato</t>
  </si>
  <si>
    <t>Velar por el cumplimiento de la reglamentación referente al buen uso y defensa de las vías y gestionar acciones que brinden servicios a los usuarios de las carreteras en coordinación con las Territoriales y las autoridades locales competentes</t>
  </si>
  <si>
    <t>Supervisar la elaboración de los conteos manuales de tránsito, revisar la información de campo que se enviará a planta central para su procesamiento y verificar los operativos de control de carga</t>
  </si>
  <si>
    <t xml:space="preserve">Llevar a efecto la toma de información y/ó ajustes de la vía a su cargo con un equipo de GPS </t>
  </si>
  <si>
    <t>Realizar estimativos sobre la vida residual de los pavimentos de los sectores a su cargo</t>
  </si>
  <si>
    <t>Evaluar con criterio técnico el estado de la red vial semestralmente con la metodología suministrada por el INVIAS</t>
  </si>
  <si>
    <t>Efectuar estudios tendientes a solucionar problemas de inestabilidad en las vías a su cargo, cuando se lo requiera el INVIAS y su costo se encuentre dentro del presupuesto de su propuesta</t>
  </si>
  <si>
    <t xml:space="preserve">Anticipadamente se informará la fecha de realización de esta actividad. </t>
  </si>
  <si>
    <t xml:space="preserve">Establecer las necesidades de las vías y puentes en materia de señalización  vertical y horizontal, llevar un inventario de necesidades de señalización </t>
  </si>
  <si>
    <t>Participar activamente en la prevención de riesgos y atención de las emergencias que se presenten en las vías-Elaborar directorio de emergencias</t>
  </si>
  <si>
    <t>TRIMESTRE EVALUADO:</t>
  </si>
  <si>
    <t>Y SOLO AQUELLOS ARTICULOS  QUE TRATEN DE LAS CARRETERAS A SU CARGO</t>
  </si>
  <si>
    <t>OFICINA:</t>
  </si>
  <si>
    <t>CELULARES:</t>
  </si>
  <si>
    <t>NOMBRE DEL INGENIERO RESIDENTE:</t>
  </si>
  <si>
    <t>NOMBRE DEL INGENIERO AUXILIAR:</t>
  </si>
  <si>
    <t>SECTOR ADMINISTRADO:</t>
  </si>
  <si>
    <t>DIRECCION OFICINA:</t>
  </si>
  <si>
    <t>TELEFONOS :</t>
  </si>
  <si>
    <t>que le corresponda.</t>
  </si>
  <si>
    <t>PERIODO  EVALUADO:</t>
  </si>
  <si>
    <t>DESCRIPCION DEL PROBLEMA</t>
  </si>
  <si>
    <t>RELACION SITIOS CRITICOS DE INESTABILIDAD</t>
  </si>
  <si>
    <t>NOMBRE TUNEL</t>
  </si>
  <si>
    <t>LOCALIZACIÓN</t>
  </si>
  <si>
    <t xml:space="preserve">TIPO TUNEL </t>
  </si>
  <si>
    <t>ILUMINACIÓN</t>
  </si>
  <si>
    <t>VENTILACIÓN</t>
  </si>
  <si>
    <t>SEÑALIZACIÓN</t>
  </si>
  <si>
    <t>SISTEMA DE DRENAJE</t>
  </si>
  <si>
    <t>PUESTOS DE EMERGENCIA</t>
  </si>
  <si>
    <t>PROTECCIÓN CONTRA INCENDIOS</t>
  </si>
  <si>
    <t>HORIZONTAL</t>
  </si>
  <si>
    <t>VERTICAL</t>
  </si>
  <si>
    <t>No. SEÑALES FALTANTES</t>
  </si>
  <si>
    <t>UNIDIRECCIONAL</t>
  </si>
  <si>
    <t>BIDIRECCIONAL</t>
  </si>
  <si>
    <t>DESCRIPCIÓN DE LOS TRABAJOS</t>
  </si>
  <si>
    <t>ESTADO GENERAL DE LOS TUNELES</t>
  </si>
  <si>
    <t>Cuadro No. 22</t>
  </si>
  <si>
    <t>Cuadro No. 23</t>
  </si>
  <si>
    <t>VOLVER A TABLA DE CONTENIDO</t>
  </si>
  <si>
    <t>VOLVER A LA TABLA DE CONTENIDO</t>
  </si>
  <si>
    <t>Estado General de los Túneles</t>
  </si>
  <si>
    <t>Necesidades en los Túneles</t>
  </si>
  <si>
    <t>CUADRO No. 13</t>
  </si>
  <si>
    <t>CUADRO No. 14</t>
  </si>
  <si>
    <t>NECESIDADES DE LOS TUNELES</t>
  </si>
  <si>
    <t>CUADRO No.15</t>
  </si>
  <si>
    <t>CUADRO No.16</t>
  </si>
  <si>
    <t>( ! )</t>
  </si>
  <si>
    <t>CUADRO No. 22</t>
  </si>
  <si>
    <t>CUADRO No. 23</t>
  </si>
  <si>
    <t>Reseña 1</t>
  </si>
  <si>
    <t>Reseña 2</t>
  </si>
  <si>
    <t>RESEÑA 2 - DE PRENSA</t>
  </si>
  <si>
    <t>Comentarios</t>
  </si>
  <si>
    <t>NOMBRE DEL PUENTE</t>
  </si>
  <si>
    <t>Longitud  (m)</t>
  </si>
  <si>
    <t>CODIGO DE LA VIA</t>
  </si>
  <si>
    <t>Restringido</t>
  </si>
  <si>
    <t>CALIFICACION</t>
  </si>
  <si>
    <t>LONG.    (m)</t>
  </si>
  <si>
    <t>CODIGO DEL PUENTE (Sipucol)</t>
  </si>
  <si>
    <t>DESCRIPCION DE LOS TRABAJOS</t>
  </si>
  <si>
    <t>ESTUDIOS</t>
  </si>
  <si>
    <t>LONG. TOTAL (m)</t>
  </si>
  <si>
    <t>TIPO TUNEL:</t>
  </si>
  <si>
    <t>HASTIAL IZQUIERDO</t>
  </si>
  <si>
    <t>HASTIAL DERECHO</t>
  </si>
  <si>
    <t>En regular estado</t>
  </si>
  <si>
    <t>En mal estado</t>
  </si>
  <si>
    <t>BOVEDA</t>
  </si>
  <si>
    <t>CONVENCIONES:</t>
  </si>
  <si>
    <t>OBJETO</t>
  </si>
  <si>
    <t>CONTRATISTA</t>
  </si>
  <si>
    <t>PLAZO</t>
  </si>
  <si>
    <t>FECHA INICIO</t>
  </si>
  <si>
    <t>FECHA FINALIZACIÓN</t>
  </si>
  <si>
    <t>INICIAL</t>
  </si>
  <si>
    <t>ADICIONAL</t>
  </si>
  <si>
    <t>FINAL</t>
  </si>
  <si>
    <t>BASICO</t>
  </si>
  <si>
    <t>IVA</t>
  </si>
  <si>
    <t>TOTAL</t>
  </si>
  <si>
    <t>CUADRO No. 24</t>
  </si>
  <si>
    <t>INFORMACIÓN DE INTERVENTORIAS A CONTRATOS DE OBRA</t>
  </si>
  <si>
    <t>NOTA: Reportar la información de los contratos de obra a los cuales les efectúa interventoría, diferentes a los de mantenimiento rutinario con microempresas.</t>
  </si>
  <si>
    <t>VALOR CONTRATO $</t>
  </si>
  <si>
    <t>Cuadro No. 24</t>
  </si>
  <si>
    <t>Ficha cuantitativa Microempresas</t>
  </si>
  <si>
    <t>Ficha cualitativa Microempresas</t>
  </si>
  <si>
    <t>Información de interventorías a contratos de obra</t>
  </si>
  <si>
    <t>CUADRO No. 1</t>
  </si>
  <si>
    <t>NOMBRE DEL TUNEL</t>
  </si>
  <si>
    <t>Informar  oportunamente al INVIAS sobre la necesidad de  diseñar obras y adelantar acciones en relación con el entorno de la vía, encaminadas a su ornato, a la preservación del medio ambiente y a la contaminación visual</t>
  </si>
  <si>
    <t>Planear, organizar, dirigir, coordinar, evaluar  y controlar las actividades de los trabajadores de mantenimiento rutinario encargados del mantenimiento rutinario de las carreteras que se le asignen y ejercer su interventoría</t>
  </si>
  <si>
    <t>Apoyar la GESTION de la Territorial en los contratos que ejecute el INVÍAS en sectores de carreteras a su cargo</t>
  </si>
  <si>
    <t>No. CONTRATO PRINCIPAL</t>
  </si>
  <si>
    <t>RASANTE</t>
  </si>
  <si>
    <t>Capacitación Microempresas</t>
  </si>
  <si>
    <t>GENERAL</t>
  </si>
  <si>
    <t>PARTICULAR</t>
  </si>
  <si>
    <t>DE LAS VIAS (PREVENTIVAS Ó CRITICAS Ó PUENTES Ó PONTONES)</t>
  </si>
  <si>
    <t>COSTO ESTIMADO ($)</t>
  </si>
  <si>
    <t xml:space="preserve">    $</t>
  </si>
  <si>
    <t>COSTO APROXIMADO</t>
  </si>
  <si>
    <t>COSTO APROXIMADO ( $ )</t>
  </si>
  <si>
    <t>Participar activamente en la etapa de transición e implementación del Sistema de Información Vial - HERMES, realizando de manera permanente el cargue, actualización, mantenimiento y demás actividades derivadas de la información del inventario vial, eventos de emergencias, accidentalidad y estado de la superficie (criterio técnico), dispuesta a través del Sistema de Información Vial - HERMES, con usuario y contraseña asignado por la administración del Sistema</t>
  </si>
  <si>
    <t xml:space="preserve">Esta informacion se deberá presentar cada seis meses en un informe especifico en CD e incorporarlo en el trimestral </t>
  </si>
  <si>
    <t>ESTADO DE LAS VIAS EN TORTA-CRITERIO DE TRANSITABILIDAD (VISUAL)</t>
  </si>
  <si>
    <t>ESTADO DE LAS VIAS CRITERIO DE TRANSITABILIDAD (VISUAL)</t>
  </si>
  <si>
    <t>Estado de la red criterio de transitabilidad - visual (Semáforo)</t>
  </si>
  <si>
    <t>Estado de la red en torta-criterio de transitabilidad (visual)</t>
  </si>
  <si>
    <t>Relación estado de la red criterio Técnico</t>
  </si>
  <si>
    <t>Relación estado de la red criterio de transitabilidad (visual)</t>
  </si>
  <si>
    <t>RELACION ESTADO DE LA RED CRITERIO DE TRANSITABILIDAD (VISUAL)</t>
  </si>
  <si>
    <t>Estado de la red en torta criterio Técnico</t>
  </si>
  <si>
    <t>ESTADO DE LA RED EN TORTA - CRITERIO TECNICO</t>
  </si>
  <si>
    <t>RELACION ESTADO DE LA RED CRITERIO TECNICO</t>
  </si>
  <si>
    <t>Valor Necesidades</t>
  </si>
  <si>
    <r>
      <rPr>
        <b/>
        <sz val="9"/>
        <rFont val="Arial"/>
        <family val="2"/>
      </rPr>
      <t xml:space="preserve">NOTA : </t>
    </r>
    <r>
      <rPr>
        <sz val="9"/>
        <rFont val="Arial"/>
        <family val="2"/>
      </rPr>
      <t>Se deben presentar cuadros No. 7 del cálculo de cantidades y costos cantidades por separado para necesidades preventivas, para necesidades criticas, para necesidades de puentes, para necesidades de pontones, siendo los soportes de cada uno de estos cuadros. Las necesidades de señalización se deben indicar sólo en los cuadros No.15 y 16. Los precios unitarios deben coincidir con los del programa de APU. En caso de encontrar precios no reportados o de requerirse actualización, se debe enviar el respectivo análisis de precios unitarios.</t>
    </r>
  </si>
  <si>
    <t>Indicar el Porcentaje de cumplimiento mensual para cada microempresa</t>
  </si>
  <si>
    <t>LOS VALORES REGISTRADOS EN LA COLUMNA COSTO ESTIMADO, DEBEN ESTAR ENLAZADOS CON EL HIPERVINCULO DEL CUADRO No. 7 "CALCULO DE CANTIDADES Y COSTOS ESTIMADOS DE NECESIDADES DE LAS VIAS", RESPECTIVO.</t>
  </si>
  <si>
    <t>INFORME TRIMESTRAL</t>
  </si>
  <si>
    <t>DEL ADMINISTRADOR VIAL GRUPO No.1</t>
  </si>
  <si>
    <t>TERRITORIAL TOLIMA</t>
  </si>
  <si>
    <t>CHAPARRAL - ORTEGA (3602)</t>
  </si>
  <si>
    <t>ORTEGA - GUAMO (3603)</t>
  </si>
  <si>
    <t xml:space="preserve"> PASO NACIONAL POR GUAMO (4507)   </t>
  </si>
  <si>
    <t>CRUCE RUTA 40 - LA TAMBORA (Espinal) (40TL05)</t>
  </si>
  <si>
    <t xml:space="preserve">PASO NACIONAL POR ESPINAL (4507)       </t>
  </si>
  <si>
    <t>DIRECCION TERRITORIAL TOLIMA</t>
  </si>
  <si>
    <t>CHAPARRAL-ORTEGA</t>
  </si>
  <si>
    <t>1+0000</t>
  </si>
  <si>
    <t>47+0514</t>
  </si>
  <si>
    <t>ORTEGA C.T.A.</t>
  </si>
  <si>
    <t>ORTEGA-GUAMO</t>
  </si>
  <si>
    <t>36+0253</t>
  </si>
  <si>
    <t>SALDAÑA C.T.A</t>
  </si>
  <si>
    <t>PASO NACIONAL POR GUAMO</t>
  </si>
  <si>
    <t>24+0060</t>
  </si>
  <si>
    <t>27+1130</t>
  </si>
  <si>
    <t>CRUCE RUTA 40 - LA TAMBORA (Espinal)</t>
  </si>
  <si>
    <t>40TL05</t>
  </si>
  <si>
    <t>3+0224</t>
  </si>
  <si>
    <t>PASO NACIONAL POR ESPINAL</t>
  </si>
  <si>
    <t>45+0000</t>
  </si>
  <si>
    <t>ORTEGA C.T.A</t>
  </si>
  <si>
    <t>FECHA:</t>
  </si>
  <si>
    <t>3+0050</t>
  </si>
  <si>
    <t>43+0500</t>
  </si>
  <si>
    <t>43+0600</t>
  </si>
  <si>
    <t>44+0000</t>
  </si>
  <si>
    <t>26+0000</t>
  </si>
  <si>
    <t>4+0000</t>
  </si>
  <si>
    <t>10+0000</t>
  </si>
  <si>
    <t>35+0000</t>
  </si>
  <si>
    <t>ORTEGA - GUAMO</t>
  </si>
  <si>
    <t>5+0000</t>
  </si>
  <si>
    <t>7+000</t>
  </si>
  <si>
    <t>7+0000</t>
  </si>
  <si>
    <t>8+0000</t>
  </si>
  <si>
    <t>18+0000</t>
  </si>
  <si>
    <t>21+0000</t>
  </si>
  <si>
    <t>27+0000</t>
  </si>
  <si>
    <t>CHAPARRAL - ORTEGA</t>
  </si>
  <si>
    <t>NOMBRE DE LA VIA:  CRUCE RUTA 40 - LA TAMBORA (Espinal)</t>
  </si>
  <si>
    <t>TRIMESTRE  EVALUADO:</t>
  </si>
  <si>
    <t>Longitud y Porcentaje sobre el total de la vía o del item</t>
  </si>
  <si>
    <t>0</t>
  </si>
  <si>
    <t>3</t>
  </si>
  <si>
    <t>3,228</t>
  </si>
  <si>
    <t>Total ÍTEM</t>
  </si>
  <si>
    <t>LONG</t>
  </si>
  <si>
    <t>Señales verticales</t>
  </si>
  <si>
    <t>Limpieza de bermas</t>
  </si>
  <si>
    <t>45</t>
  </si>
  <si>
    <t>Puentes  ( UNO)</t>
  </si>
  <si>
    <t>CARACOLI</t>
  </si>
  <si>
    <t>LEMAYA</t>
  </si>
  <si>
    <t>LUISA</t>
  </si>
  <si>
    <t>24+0309</t>
  </si>
  <si>
    <t>25+0588</t>
  </si>
  <si>
    <t>27+0020</t>
  </si>
  <si>
    <t>NOMBRE DE LA VIA:  CHAPARRAL - ORTEGA</t>
  </si>
  <si>
    <t>PR0+0000 - PR10+0485</t>
  </si>
  <si>
    <t>Ortega - Chicuambe</t>
  </si>
  <si>
    <t>PR10+0485 - PR20+0000</t>
  </si>
  <si>
    <t>Chicuambe - Cucuana</t>
  </si>
  <si>
    <t>PR20+0000 - PR34+0603</t>
  </si>
  <si>
    <t>Cucuana - Estación Ecopetrol</t>
  </si>
  <si>
    <t>PR34+0603 - PR36+0253</t>
  </si>
  <si>
    <t>Estación Ecopetrol - Guamo Villa Olimpica</t>
  </si>
  <si>
    <t>36+253</t>
  </si>
  <si>
    <t xml:space="preserve">Puentes ( son:  6  ) </t>
  </si>
  <si>
    <t>PR1+0000 - PR7+0635</t>
  </si>
  <si>
    <t>Chaparral - El Triunfo</t>
  </si>
  <si>
    <t>PR7+0635 - PR12+0250</t>
  </si>
  <si>
    <t>El Triunfo - Cruce Puracé</t>
  </si>
  <si>
    <t>PR12+0250 - PR16+0000</t>
  </si>
  <si>
    <t>Cruce Puracé - Linday</t>
  </si>
  <si>
    <t>PR16+0000 - PR27+0150</t>
  </si>
  <si>
    <t>Linday - Olaya Herrera</t>
  </si>
  <si>
    <t>05</t>
  </si>
  <si>
    <t>PR27+0150 - PR47+0514</t>
  </si>
  <si>
    <t>Olaya Herrera - Ortega</t>
  </si>
  <si>
    <t>1</t>
  </si>
  <si>
    <r>
      <t xml:space="preserve">ITEM                                               </t>
    </r>
    <r>
      <rPr>
        <sz val="8"/>
        <rFont val="Arial"/>
        <family val="2"/>
      </rPr>
      <t>1</t>
    </r>
  </si>
  <si>
    <t>5</t>
  </si>
  <si>
    <t>10</t>
  </si>
  <si>
    <t>15</t>
  </si>
  <si>
    <t>20</t>
  </si>
  <si>
    <t>25</t>
  </si>
  <si>
    <t>30</t>
  </si>
  <si>
    <t>35</t>
  </si>
  <si>
    <t>Cruce Ruta 40 - La Tambora</t>
  </si>
  <si>
    <t>PR0+0000 AL PR3+0224</t>
  </si>
  <si>
    <t>Km</t>
  </si>
  <si>
    <t>Puentes  (Son: 0      )</t>
  </si>
  <si>
    <t>PR24+0060 AL PR27+1130</t>
  </si>
  <si>
    <t>Puentes  (TRES)</t>
  </si>
  <si>
    <t>Puentes  (SEIS)</t>
  </si>
  <si>
    <t>CRUCE RUTA 40 - LA TAMBORA
(40TL05)</t>
  </si>
  <si>
    <t>PASO NACIONAL POR ESPINAL
(4507)</t>
  </si>
  <si>
    <t>PASO NACIONAL POR GUAMO
(4507)</t>
  </si>
  <si>
    <t>ORTEGA - GUAMO
(3603)</t>
  </si>
  <si>
    <t>CHAPARRAL - ORTEGA
(3602)</t>
  </si>
  <si>
    <t>DIRECCIONTERRITORIAL TOLIMA</t>
  </si>
  <si>
    <t>CUADRO No. 4</t>
  </si>
  <si>
    <t>CRUCE RUTA 40  -LA TAMBORA (Espinal)</t>
  </si>
  <si>
    <t>2+0000</t>
  </si>
  <si>
    <t>43+0000</t>
  </si>
  <si>
    <t>PASO NACIONAL POR EL GUAMO</t>
  </si>
  <si>
    <t>9+0000</t>
  </si>
  <si>
    <t>11+0000</t>
  </si>
  <si>
    <t>15+0000</t>
  </si>
  <si>
    <t>17+0000</t>
  </si>
  <si>
    <t>19+0000</t>
  </si>
  <si>
    <t>22+0000</t>
  </si>
  <si>
    <t>23+0000</t>
  </si>
  <si>
    <t>34+0000</t>
  </si>
  <si>
    <t>12+0000</t>
  </si>
  <si>
    <t>16+0000</t>
  </si>
  <si>
    <t>20+0000</t>
  </si>
  <si>
    <t>28+0000</t>
  </si>
  <si>
    <t xml:space="preserve">PASO NACIONAL POR ESPINAL </t>
  </si>
  <si>
    <t>Código de la Vía:  4507</t>
  </si>
  <si>
    <t xml:space="preserve">SECTOR:                     </t>
  </si>
  <si>
    <t>Paso Nacional por Espinal</t>
  </si>
  <si>
    <t>Puentes  ( Uno)</t>
  </si>
  <si>
    <t xml:space="preserve">PASO NACIONAL POR EL GUAMO </t>
  </si>
  <si>
    <t>Código de la Vía:    4507</t>
  </si>
  <si>
    <t>Paso Nacional por el Guamo</t>
  </si>
  <si>
    <t>PR24+0060 - PR27+1130</t>
  </si>
  <si>
    <t>27+130</t>
  </si>
  <si>
    <t>PR0+0000 - PR3+0224</t>
  </si>
  <si>
    <t xml:space="preserve">Estación Ecopetrol - Guamo CR4507 </t>
  </si>
  <si>
    <t>CRUCE RUTA 40 -             LA TAMBORA                 40TL05</t>
  </si>
  <si>
    <t>ABRIL MAYO JUNIO</t>
  </si>
  <si>
    <t>ORTEGA - GUAMO                             3603</t>
  </si>
  <si>
    <t>CHAPARRAL - ORTEGA          3602</t>
  </si>
  <si>
    <t xml:space="preserve">SECTOR:     </t>
  </si>
  <si>
    <t>Paso Nacional por Guamo</t>
  </si>
  <si>
    <t>CRUCE RUTA 40 - LA TAMBORA (ESPINAL)</t>
  </si>
  <si>
    <t xml:space="preserve">Código de la Vía:  </t>
  </si>
  <si>
    <t>Puentes  ( Tres)</t>
  </si>
  <si>
    <t>Puentes  ( 0 )</t>
  </si>
  <si>
    <t>Caida de rocas de gran tamaño y deslizamientos constantes de material fino.</t>
  </si>
  <si>
    <t>CRUCE RUTA 40 - LA TAMBORA</t>
  </si>
  <si>
    <t>AREA DE INFLUENCIA DE LA TAMBORA PR3+0200</t>
  </si>
  <si>
    <t>700.3</t>
  </si>
  <si>
    <t>710.1</t>
  </si>
  <si>
    <t>701.1</t>
  </si>
  <si>
    <t>M2</t>
  </si>
  <si>
    <t>Necesidades de Mantenimiento Rutinario.</t>
  </si>
  <si>
    <t>PASO NACIONAL POR EL ESPINAL</t>
  </si>
  <si>
    <t xml:space="preserve">Parcheo,  señalización Horizontal y vertical, </t>
  </si>
  <si>
    <t>ML</t>
  </si>
  <si>
    <t xml:space="preserve">CHAPARRAL -ORTEGA </t>
  </si>
  <si>
    <t>CHAPARRAL - ORTEGA - GUAMO</t>
  </si>
  <si>
    <t>3602
3603</t>
  </si>
  <si>
    <t>1+0000
0+0000</t>
  </si>
  <si>
    <t>47+0514
36+0253</t>
  </si>
  <si>
    <t>Estudio estructural a puentes y Pontones</t>
  </si>
  <si>
    <t>Estudio estructural a Puentes y Pontones</t>
  </si>
  <si>
    <t>Gl</t>
  </si>
  <si>
    <t>Chaparral - Ortega</t>
  </si>
  <si>
    <t>Ortega - Guamo</t>
  </si>
  <si>
    <t>LINDAY</t>
  </si>
  <si>
    <t>17+0612</t>
  </si>
  <si>
    <t>17+0632</t>
  </si>
  <si>
    <t>Chaparral-Ortega</t>
  </si>
  <si>
    <t>X</t>
  </si>
  <si>
    <t>AICO</t>
  </si>
  <si>
    <t>23+0172</t>
  </si>
  <si>
    <t>23+0193</t>
  </si>
  <si>
    <t>TETUAN</t>
  </si>
  <si>
    <t>25+0765</t>
  </si>
  <si>
    <t>25+0825</t>
  </si>
  <si>
    <t>TUMBILI</t>
  </si>
  <si>
    <t>32+0014</t>
  </si>
  <si>
    <t>32+0035</t>
  </si>
  <si>
    <t>PERALONSO</t>
  </si>
  <si>
    <t>37+0825</t>
  </si>
  <si>
    <t>37+0850</t>
  </si>
  <si>
    <t>TAQUIMA (POCARA)</t>
  </si>
  <si>
    <t>39+0880</t>
  </si>
  <si>
    <t>39+0892</t>
  </si>
  <si>
    <t>ORTEGA</t>
  </si>
  <si>
    <t>7+0006</t>
  </si>
  <si>
    <t>7+0063</t>
  </si>
  <si>
    <t>CHICUAMBE</t>
  </si>
  <si>
    <t>13+0370</t>
  </si>
  <si>
    <t>CUCUANA</t>
  </si>
  <si>
    <t>20+0119</t>
  </si>
  <si>
    <t>20+0217</t>
  </si>
  <si>
    <t>CALZON</t>
  </si>
  <si>
    <t>22+0090</t>
  </si>
  <si>
    <t>22+0101</t>
  </si>
  <si>
    <t>LA ARENOSA</t>
  </si>
  <si>
    <t>26+0006</t>
  </si>
  <si>
    <t>26+0025</t>
  </si>
  <si>
    <t>GUAMAL</t>
  </si>
  <si>
    <t>30+0229</t>
  </si>
  <si>
    <t>30+0242</t>
  </si>
  <si>
    <t>Construir barandas L=13,60 m.</t>
  </si>
  <si>
    <t>24+0325</t>
  </si>
  <si>
    <t xml:space="preserve"> L=16,80 m.</t>
  </si>
  <si>
    <t>25+0620</t>
  </si>
  <si>
    <t>L=32,70 m.</t>
  </si>
  <si>
    <t xml:space="preserve">PUENTE LUISA </t>
  </si>
  <si>
    <t>27+0062</t>
  </si>
  <si>
    <t>Tolima</t>
  </si>
  <si>
    <t>Juntas en mal estado</t>
  </si>
  <si>
    <t>Mantenimiento de juntas,</t>
  </si>
  <si>
    <t>43+1200</t>
  </si>
  <si>
    <t>43+1207</t>
  </si>
  <si>
    <t>Paso por Espinal</t>
  </si>
  <si>
    <t>24-4507-001-99</t>
  </si>
  <si>
    <t>44+0530</t>
  </si>
  <si>
    <t>44+0536</t>
  </si>
  <si>
    <t>24-4507-002-99</t>
  </si>
  <si>
    <t>N.E.</t>
  </si>
  <si>
    <t>1+0596</t>
  </si>
  <si>
    <t>1+0603</t>
  </si>
  <si>
    <t>Cruce Ruta 40 -               La Tambora</t>
  </si>
  <si>
    <t>24-40TL05-001-99</t>
  </si>
  <si>
    <t>1+0415</t>
  </si>
  <si>
    <t>1+0420</t>
  </si>
  <si>
    <t>24-3602-002-99</t>
  </si>
  <si>
    <t>5+0070</t>
  </si>
  <si>
    <t>5+0075</t>
  </si>
  <si>
    <t>9+0950</t>
  </si>
  <si>
    <t>9+096</t>
  </si>
  <si>
    <t>24+0100</t>
  </si>
  <si>
    <t>24+0105</t>
  </si>
  <si>
    <t>24+0606</t>
  </si>
  <si>
    <t>24+0613</t>
  </si>
  <si>
    <t>24-3602-003-99</t>
  </si>
  <si>
    <t>36+0834</t>
  </si>
  <si>
    <t>36+0839</t>
  </si>
  <si>
    <t>24-3602-004-99</t>
  </si>
  <si>
    <t>38+0630</t>
  </si>
  <si>
    <t>38+0635</t>
  </si>
  <si>
    <t>24-3602-005-99</t>
  </si>
  <si>
    <t>41+0900</t>
  </si>
  <si>
    <t>41+0908</t>
  </si>
  <si>
    <t>0+0096</t>
  </si>
  <si>
    <t>0+0103</t>
  </si>
  <si>
    <t>24-3603-001-99</t>
  </si>
  <si>
    <t>7+0062</t>
  </si>
  <si>
    <t>8+0792</t>
  </si>
  <si>
    <t>8+0800</t>
  </si>
  <si>
    <t>24-3603-002-99</t>
  </si>
  <si>
    <t>9+0800</t>
  </si>
  <si>
    <t>24-3603-003-99</t>
  </si>
  <si>
    <t>14+0113</t>
  </si>
  <si>
    <t>14+0122</t>
  </si>
  <si>
    <t>24-3603-006-99</t>
  </si>
  <si>
    <t>15+0484</t>
  </si>
  <si>
    <t>15+0492</t>
  </si>
  <si>
    <t>24-3603-007-99</t>
  </si>
  <si>
    <t>23+0540</t>
  </si>
  <si>
    <t>23+0549</t>
  </si>
  <si>
    <t>24-3603-008-99</t>
  </si>
  <si>
    <t>24+0560</t>
  </si>
  <si>
    <t>24+0570</t>
  </si>
  <si>
    <t>24-3603-009-99</t>
  </si>
  <si>
    <t>28+0910</t>
  </si>
  <si>
    <t>28+0919</t>
  </si>
  <si>
    <t>24-3602-010-99</t>
  </si>
  <si>
    <t>29+0792</t>
  </si>
  <si>
    <t>29+0801</t>
  </si>
  <si>
    <t>24-3602-011-99</t>
  </si>
  <si>
    <t>Restrin.</t>
  </si>
  <si>
    <t>SIMBOLOS:</t>
  </si>
  <si>
    <r>
      <t>N.E.</t>
    </r>
    <r>
      <rPr>
        <sz val="10"/>
        <rFont val="Arial"/>
        <family val="2"/>
      </rPr>
      <t xml:space="preserve"> : No existe</t>
    </r>
  </si>
  <si>
    <t>36+0836</t>
  </si>
  <si>
    <t xml:space="preserve">ORTEGA - GUAMO </t>
  </si>
  <si>
    <t>Construccion Barandas Pontones Corredor Chaparral - Ortega</t>
  </si>
  <si>
    <t>DIRECCION TERRITORIAL: TOLIMA</t>
  </si>
  <si>
    <t>(40) - (45) - (36)</t>
  </si>
  <si>
    <t>(TL05) - (07) - (02 - 03)</t>
  </si>
  <si>
    <t>07</t>
  </si>
  <si>
    <t>40</t>
  </si>
  <si>
    <t>TL05</t>
  </si>
  <si>
    <t>36</t>
  </si>
  <si>
    <t xml:space="preserve"> (40) -  (45) - (36)</t>
  </si>
  <si>
    <t>(TL05) - (07) -  (02 - 03)</t>
  </si>
  <si>
    <t xml:space="preserve">PUENTE SALDAÑA </t>
  </si>
  <si>
    <t>CLASE DE ACCIDENTE:</t>
  </si>
  <si>
    <t>NO SE PRESENTARON ACCIDENTES EN ESTA VIA</t>
  </si>
  <si>
    <t>CRUCE RUTA 40 - TAMBORA (Espinal) (40TL05)</t>
  </si>
  <si>
    <t>PASO NACIONAL POR ESPINAL (4507)</t>
  </si>
  <si>
    <t>PASO NACIONAL POR GUAMO (4507)</t>
  </si>
  <si>
    <t>CHAPARRAL - ORTEGA  (3602)</t>
  </si>
  <si>
    <t>COOPERATIVA DE TRABAJO ASOCIADO ORTEGA C.T.A.</t>
  </si>
  <si>
    <t>COOPERATIVA DE TRABAJO ASOCIADO SALDAÑA C.T.A.</t>
  </si>
  <si>
    <t>ORTEGA CTA</t>
  </si>
  <si>
    <t>JOSE FREDY VAQUIRO LEAL</t>
  </si>
  <si>
    <t>800.083.143-2</t>
  </si>
  <si>
    <t>Calle 3 No. 4 - 105                                               El Prado - Ortega</t>
  </si>
  <si>
    <t>2258905              3132094630</t>
  </si>
  <si>
    <t>Chaparral - Ortega (3602)</t>
  </si>
  <si>
    <t>SALDAÑA CTA</t>
  </si>
  <si>
    <t>CLAUDIO CUELLAR MONCALEANO</t>
  </si>
  <si>
    <t>800.016.278-2</t>
  </si>
  <si>
    <t>Calle 13 Villa Coopsaldaña Casa No. 8 Barrio San Carlos - Saldaña</t>
  </si>
  <si>
    <t>2267406              314-3998590</t>
  </si>
  <si>
    <t xml:space="preserve">Cruce Ruta 40 - La Tambora (Espinal)   </t>
  </si>
  <si>
    <t>Paso Nacional por Espinal (4507)</t>
  </si>
  <si>
    <t>Paso Nacional por Guamo (4507)</t>
  </si>
  <si>
    <t>Ortega - Guamo (3603)</t>
  </si>
  <si>
    <t>DIRECCION TERRITORIAL  TOLIMA</t>
  </si>
  <si>
    <t>LUGAR Y FECHA.</t>
  </si>
  <si>
    <t>25+0500</t>
  </si>
  <si>
    <t>ACTUAL</t>
  </si>
  <si>
    <t>ANTERIOR</t>
  </si>
  <si>
    <t>15+0250</t>
  </si>
  <si>
    <t>Deslizamientos constantes de material fino.</t>
  </si>
  <si>
    <t>Obras de Seguridad Vial</t>
  </si>
  <si>
    <t>27+0400</t>
  </si>
  <si>
    <t>M3</t>
  </si>
  <si>
    <t>CUADRO No 17</t>
  </si>
  <si>
    <t>25+0000</t>
  </si>
  <si>
    <t>13+0000</t>
  </si>
  <si>
    <t>14+0000</t>
  </si>
  <si>
    <t>24+0000</t>
  </si>
  <si>
    <t>29+0000</t>
  </si>
  <si>
    <t>30+0000</t>
  </si>
  <si>
    <t>31+0000</t>
  </si>
  <si>
    <t>32+0000</t>
  </si>
  <si>
    <t>33+0000</t>
  </si>
  <si>
    <t>36+0000</t>
  </si>
  <si>
    <t>37+0000</t>
  </si>
  <si>
    <t>38+0000</t>
  </si>
  <si>
    <t>39+0000</t>
  </si>
  <si>
    <t>40+0000</t>
  </si>
  <si>
    <t>41+0000</t>
  </si>
  <si>
    <t>42+0000</t>
  </si>
  <si>
    <t>46+0000</t>
  </si>
  <si>
    <t>47+0000</t>
  </si>
  <si>
    <t>25+0300</t>
  </si>
  <si>
    <t>27+0250</t>
  </si>
  <si>
    <t>14+0200</t>
  </si>
  <si>
    <t>Se debe hacer un tratamiento a la junta de construccion. L=42,60 m.</t>
  </si>
  <si>
    <t xml:space="preserve">PASO NACIONAL POR GUAMO </t>
  </si>
  <si>
    <t>43+0300</t>
  </si>
  <si>
    <t>24+0600</t>
  </si>
  <si>
    <t>2+0100</t>
  </si>
  <si>
    <t>27+0100</t>
  </si>
  <si>
    <t>Muy Bueno</t>
  </si>
  <si>
    <t>Bueno</t>
  </si>
  <si>
    <t>Regular</t>
  </si>
  <si>
    <t>Malo</t>
  </si>
  <si>
    <t>Deformaciones en Pavimento, Hundimientos, Fisuras de Gran Tamaño</t>
  </si>
  <si>
    <t>13+0382</t>
  </si>
  <si>
    <t>9+0809</t>
  </si>
  <si>
    <t>NOMBRE DE LA VIA:  ORTEGA - GUAMO</t>
  </si>
  <si>
    <t>40+0500</t>
  </si>
  <si>
    <t>40+500</t>
  </si>
  <si>
    <t>PR40+0500 - PR45+0000</t>
  </si>
  <si>
    <t>642P</t>
  </si>
  <si>
    <t>Construccion Juntas elastomericas de Ancho 30cm</t>
  </si>
  <si>
    <t>632P</t>
  </si>
  <si>
    <t>Baranda metalica</t>
  </si>
  <si>
    <t>PR24+060 A PR27 +1130</t>
  </si>
  <si>
    <t>VALOR IVA (19% SOBRE UTILIDADES)</t>
  </si>
  <si>
    <t>NOTA (1): El costo debe incluir AIU e IVA (19% sobre utilidades)</t>
  </si>
  <si>
    <t>VALOR IVA (19% )</t>
  </si>
  <si>
    <t>PR40+500 AL PR45+0000</t>
  </si>
  <si>
    <t>20 Tn.  L=18,90 m. SE ENCUENTA HABILITADO POR PUENTE MODULAR DE 33MTS A UN SOLO CARRIL</t>
  </si>
  <si>
    <t>460.1</t>
  </si>
  <si>
    <t>450.2</t>
  </si>
  <si>
    <t>420.2</t>
  </si>
  <si>
    <t>Hidrolavado a presiòn de superficies en concreto.</t>
  </si>
  <si>
    <t>631,P</t>
  </si>
  <si>
    <t>631.P</t>
  </si>
  <si>
    <t>BOLSACRETO</t>
  </si>
  <si>
    <t>DEFENSA METALICA</t>
  </si>
  <si>
    <t>Ejecutar el 09/07/2017 09:57</t>
  </si>
  <si>
    <t>Las siguientes características de este libro no son compatibles con versiones anteriores de Excel. Estas características podrían perderse o degradarse si abre el libro con una versión anterior de Excel o si lo guarda con un formato de archivo anterior.</t>
  </si>
  <si>
    <t>Pérdida significativa de funcionalidad</t>
  </si>
  <si>
    <t>Nº de apariciones</t>
  </si>
  <si>
    <t>Versión</t>
  </si>
  <si>
    <t>Se quitarán los efectos aplicados a este objeto. Cualquier texto que desborde los límites de este gráfico aparecerá recortado.</t>
  </si>
  <si>
    <t>PNE - TEC'!A1:EJ64</t>
  </si>
  <si>
    <t>Excel 97-2003</t>
  </si>
  <si>
    <t>MAPA EST RED'!A1:H63</t>
  </si>
  <si>
    <t>TUNELES'!A1:T34</t>
  </si>
  <si>
    <t>NECESIDADES EN TÚNELES'!A1:L31</t>
  </si>
  <si>
    <t>INTERVENTORIA DE CONTRATOS'!A1:M20</t>
  </si>
  <si>
    <t>FOTOG'!A1:J308</t>
  </si>
  <si>
    <t>PRENSA'!A1:G85</t>
  </si>
  <si>
    <t>Algunas celdas contienen más formatos condicionales de los permitidos en el formato de archivo seleccionado. En las versiones anteriores de Excel solamente se mostrarán las tres primeras condiciones.</t>
  </si>
  <si>
    <t>CUMPLIMIENTO % '!C12:C19</t>
  </si>
  <si>
    <t>CUMPLIMIENTO % '!C20:C25</t>
  </si>
  <si>
    <t>CUMPLIMIENTO % '!E12:E19</t>
  </si>
  <si>
    <t>CUMPLIMIENTO % '!E20:E25</t>
  </si>
  <si>
    <t>ESTADO RED TEC'!G23</t>
  </si>
  <si>
    <t>ESTADO RED TEC'!G21</t>
  </si>
  <si>
    <t>ESTADO RED TEC'!G19</t>
  </si>
  <si>
    <t>ESTADO RED TEC'!G13:G16</t>
  </si>
  <si>
    <t>ESTADO RED TEC'!G70:G116</t>
  </si>
  <si>
    <t>ESTADO RED TEC'!G27:G30</t>
  </si>
  <si>
    <t>ESTADO RED TEC'!G32:G68</t>
  </si>
  <si>
    <t>Pérdida menor de fidelidad</t>
  </si>
  <si>
    <t>Algunas fórmulas de este libro están vinculadas a otros libros que están cerrados. Cuando estas fórmulas se vuelven a calcular en versiones anteriores de Excel sin abrir los libros vinculados, los caracteres que exceden el límite de 255 caracteres no se pueden devolver.</t>
  </si>
  <si>
    <t>ESTADO RED TEC'!E15:E16</t>
  </si>
  <si>
    <t>ESTADO RED TEC'!E27:E29</t>
  </si>
  <si>
    <t>PNE - TEC'!DH36</t>
  </si>
  <si>
    <t>PNE - TEC'!DT36</t>
  </si>
  <si>
    <t>PNE - TEC'!DX36</t>
  </si>
  <si>
    <t>PNG-TEC'!BB11</t>
  </si>
  <si>
    <t>PNG-TEC'!CD36</t>
  </si>
  <si>
    <t>PNG-TEC'!CH36</t>
  </si>
  <si>
    <t>PNG-TEC'!CL36</t>
  </si>
  <si>
    <t>PNG-TEC'!CT36</t>
  </si>
  <si>
    <t>TAMBORA - TEC'!BB10</t>
  </si>
  <si>
    <t>TAMBORA - TEC'!CA34</t>
  </si>
  <si>
    <t>TAMBORA - TEC'!CE34</t>
  </si>
  <si>
    <t>TAMBORA - TEC'!CQ34</t>
  </si>
  <si>
    <t>3602 - TEC'!BB14</t>
  </si>
  <si>
    <t>3602 - TEC'!DI39</t>
  </si>
  <si>
    <t>3603 - TEC'!BB14</t>
  </si>
  <si>
    <t>3603 - TEC'!CT39</t>
  </si>
  <si>
    <t>Algunas celdas o estilos de este libro contienen un formato no admitido en el formato de archivo seleccionado. Estos formatos se convertirán al formato más cercano disponible.</t>
  </si>
  <si>
    <t xml:space="preserve">PROVISIÓN PARA AJUSTES, OBRAS COMPLEMENTARIAS Y/O ADICIONALES, (INCLUYE OBRAS AMBIENTALES DEL PAGA) </t>
  </si>
  <si>
    <t>VALOR TOTAL BÁSICO DE OBRAS</t>
  </si>
  <si>
    <t xml:space="preserve">VALOR IVA (OBRA) (19% SOBRE UTILIDAD OBRA)  </t>
  </si>
  <si>
    <t>SUBTOTAL OBRAS (INCLUYE IVA)</t>
  </si>
  <si>
    <t>INTERVENTORIA</t>
  </si>
  <si>
    <t>TOTAL IVA  DE  INTERVENTORIA</t>
  </si>
  <si>
    <t>TOTAL   INTERVENTORIA</t>
  </si>
  <si>
    <t>ESTUDIOS Y DISEÑO</t>
  </si>
  <si>
    <t>TOTAL IVA  DE  ESTUDIOS Y DISEÑOS</t>
  </si>
  <si>
    <t>TOTAL  ESTUDIOS Y DISEÑOS</t>
  </si>
  <si>
    <t>VALOR TOTAL DEL CONTRATO</t>
  </si>
  <si>
    <t>PRELIMINARES (estimado)</t>
  </si>
  <si>
    <t>EXCAVACION A MANO (estimado)</t>
  </si>
  <si>
    <t>ESTRUCTURA EN CONCRETO (estimado)</t>
  </si>
  <si>
    <t>ACERO DE REFUERZO (estimado)</t>
  </si>
  <si>
    <t>ACERO DE PREESFUERZO(INCLUYE TORONES FUNDATENSIONAMIENTO Y LECHADA) (estimado)</t>
  </si>
  <si>
    <t>APOYOS NEOPRENO (estimado)</t>
  </si>
  <si>
    <t>DRENES EN TUBERIA PVC 4" (estimado)</t>
  </si>
  <si>
    <t>SUELO MECANICAMENTE ESTABILIZADO (estimado)</t>
  </si>
  <si>
    <t>GEOMALLA (estimado)</t>
  </si>
  <si>
    <t>BARANDA PEATONAL METALICA (estimado)</t>
  </si>
  <si>
    <t>BARANDA METALICA PEATONAL SOBRE BARRERA (estimado)</t>
  </si>
  <si>
    <t>JUNTAS DE DILATACION (estimado)</t>
  </si>
  <si>
    <t>SUBTOTAL (estimado)</t>
  </si>
  <si>
    <t>Restriccion 20 Tn. L=20,0 m. falta juntas a los dos costados,carpeta de rodadura,barandas, y hidrolavado al concreto</t>
  </si>
  <si>
    <t>Restriccion 20 Tn. L=21,00 m. falta juntas a los dos costados,carpeta de rodadura,barandas, y disipador de aguas lluvias costado derecho y hidrolavado al concreto</t>
  </si>
  <si>
    <t>Socavacion de bolsacretos proteccion Marginal Estribo de Ingreso, Aguas arriba falta juntas a los dos costados,carpeta de rodadura,barandas, y hidrolavado al concreto</t>
  </si>
  <si>
    <t>Restriccion 20 Tn.  L=21,00 m. falta juntas a los dos costados,carpeta de rodadura,barandas, bolsacreto estribo, hidrolavado al concreto</t>
  </si>
  <si>
    <t>Restricción 20 Tn.  L=25,00 m.falta juntas a los dos costados,carpeta de rodadura,barandas, y defensas metalicas</t>
  </si>
  <si>
    <t>Restriccion 25 Tn. ,barandas, defensas metalicas y hidrolavado al concreto</t>
  </si>
  <si>
    <t>24-3602-03-01</t>
  </si>
  <si>
    <t>24-3602-03-02</t>
  </si>
  <si>
    <t>24-3602-03-03</t>
  </si>
  <si>
    <t>24-3602-03-04</t>
  </si>
  <si>
    <t>24-3602-03-05</t>
  </si>
  <si>
    <t>24-3602-03-06</t>
  </si>
  <si>
    <t>24-3602-03-07</t>
  </si>
  <si>
    <t>24-3602-03-08</t>
  </si>
  <si>
    <t>24-3602-03-09</t>
  </si>
  <si>
    <t>24-3602-03-10</t>
  </si>
  <si>
    <t>24-3602-03-11</t>
  </si>
  <si>
    <t>24-3602-03-12</t>
  </si>
  <si>
    <t>24-3602-03-13</t>
  </si>
  <si>
    <t>24-3602-03-14</t>
  </si>
  <si>
    <t>24-3602-03-15</t>
  </si>
  <si>
    <t>24-3602-03-16</t>
  </si>
  <si>
    <t>24-3602-03-17</t>
  </si>
  <si>
    <t>24-3602-03-18</t>
  </si>
  <si>
    <t>24-3602-03-19</t>
  </si>
  <si>
    <t>24-3602-002.00</t>
  </si>
  <si>
    <t>23+172</t>
  </si>
  <si>
    <t>23+193</t>
  </si>
  <si>
    <t>24-3602-001.00</t>
  </si>
  <si>
    <t>17+612</t>
  </si>
  <si>
    <t>17+632</t>
  </si>
  <si>
    <t>24-3602-003.00</t>
  </si>
  <si>
    <t>24-3602-004.00</t>
  </si>
  <si>
    <t>32+0034</t>
  </si>
  <si>
    <t>24-3602-005.00</t>
  </si>
  <si>
    <t>37+825</t>
  </si>
  <si>
    <t>37+850</t>
  </si>
  <si>
    <t>TAQUIMA</t>
  </si>
  <si>
    <t>39+880</t>
  </si>
  <si>
    <t>39+892</t>
  </si>
  <si>
    <t>24-3602-006.00</t>
  </si>
  <si>
    <t>24-3603-006.00</t>
  </si>
  <si>
    <t>30+229</t>
  </si>
  <si>
    <t>30+242</t>
  </si>
  <si>
    <t>24-3603-005.00</t>
  </si>
  <si>
    <t>DAÑO TOTAL</t>
  </si>
  <si>
    <t>NUEVO</t>
  </si>
  <si>
    <t>24-3603-002.00</t>
  </si>
  <si>
    <t>LAVADO DE LA ESTRCUTURA</t>
  </si>
  <si>
    <t>HIDROLAVADO</t>
  </si>
  <si>
    <t>24-3603-001.00</t>
  </si>
  <si>
    <t>7+0004</t>
  </si>
  <si>
    <t>631P</t>
  </si>
  <si>
    <t>bolsacretos</t>
  </si>
  <si>
    <t>PROTECCION ESTRIBOS</t>
  </si>
  <si>
    <t>BOLSACRETOS</t>
  </si>
  <si>
    <t>GRIETA HORIZONTAL ALETA DESCOLE</t>
  </si>
  <si>
    <t xml:space="preserve"> GRIETA VERTICAL EN EL ESTRIBO, - EXPOSICION ACERO DE REFUERZO VIGAS</t>
  </si>
  <si>
    <t>GRIETA VERTICAL EN ALETA</t>
  </si>
  <si>
    <t>PLACA DE CONCRETO, PROTECCION CIMENTACION ESTRIBOS DESTRUIDA</t>
  </si>
  <si>
    <t>GRIETA VERTICAL LOCAL EN LA PILA</t>
  </si>
  <si>
    <t>RUTA 40</t>
  </si>
  <si>
    <t>3+200</t>
  </si>
  <si>
    <t>RUTA 3602 CHAPARRAL-ORTEGA</t>
  </si>
  <si>
    <t>ELABORACION DE LOS ESTUDIOS HIDROLOGICO, GEOTECNICO, GEOMORFOLOGICO.GEOLICO Y DE ESTABILIZACION DE TALUDES PARA ALGUNOS SECTORES INESTABLE DEL PR 13+0000 AL PR 16+0000 DE LA RUTA 3602 SECTOR CHAPARRAL - ORTEGA VIAS ACARGO DEL INSTITUTO NACIONAL DE VIAS TERRITORIAL TOLIMA,</t>
  </si>
  <si>
    <t>Mantener actualizado el sistema de referenciación vial, con base en la información que le suministre  INVÍAS y reponer los postes de referencia que hagan falta en las vías a su cargo y realizar visitas técnicas de auscultación para el diagnóstico del estado general de las obras ejecutadas mediante contratos y que tienen  póliza de estabilidad vigente, según relación de contratos y programación que les será entregada por INVIAS</t>
  </si>
  <si>
    <t>Capacitar cada mes a los trabajadores de mantenimiento rutinario a  su  cargo,   en  los  temas  relacionados  con  el  mantenimiento rutinario de carreteras,  de puentes,  aspectos administrativos y de economía solidaria</t>
  </si>
  <si>
    <t>Realizar la Interventoría de las obras que le sean asignadas, siguiendo las actividades contenidas en el Manual de Interventoría adoptado mediante Resolución Nº  9337 del 30 de diciembre de 2016 ó el que esté vigente</t>
  </si>
  <si>
    <t>Colaborar en la toma de la georreferenciación desarrollada por el INVIAS para la actualización del mapa digital de la red vial y mantener al día la información del inventario vial, a través del Sistema de Información Geográfico - HERMES - del  INVIAS</t>
  </si>
  <si>
    <t xml:space="preserve">ESTUDIO DE ESTABILIZACION DE TALUDES </t>
  </si>
  <si>
    <t xml:space="preserve">FAX: </t>
  </si>
  <si>
    <t>(3602) CHAPARRAL-ORTEGA (PR1+0000-PR47+0514),  (3603) ORTEGA-GUAMO (PR 0 + 0000-PR 36+0253), (4507) PASO NACIONAL POR GUAMO (PR 24+0060-PR 27+1130),  (4507) ,  (40TL05) CRUCE RUTA 40-LA TAMBORA (PR0+0000 A PR3+0224),(4507) PASO NACIONAL POR ESPINAL (PR 40+0500 A PR 45+0000).</t>
  </si>
  <si>
    <t>3,224</t>
  </si>
  <si>
    <t>VALOR IVA (19% SOBRE UTILIDAD)</t>
  </si>
  <si>
    <t>VALOR TOTAL               ( $ )</t>
  </si>
  <si>
    <t>VALOR UNITARIO                      ( $ )</t>
  </si>
  <si>
    <t>VALOR TOTAL                        ( $ )</t>
  </si>
  <si>
    <t>VALOR TOTAL                                ( $ )</t>
  </si>
  <si>
    <t xml:space="preserve">TRIMESTRE: </t>
  </si>
  <si>
    <t>Informe de compatibilidad para INFORME TRIMESTRAL JULIO-SEPTIEMBRE 2017.xls</t>
  </si>
  <si>
    <t xml:space="preserve">            ADMINISTRACIÓN VIAL GRUPO 1 TERRITORIAL TOLIMA</t>
  </si>
  <si>
    <t>27+900</t>
  </si>
  <si>
    <t>Limpieza de Bermas</t>
  </si>
  <si>
    <t>FALTAN BARANDAS</t>
  </si>
  <si>
    <t>Los puentes estan restringidos a 20Ton y en servicio pasan vehiulos de 52Ton</t>
  </si>
  <si>
    <t>Realizar la correspondiente intervención al Puente La Arenosa ubicado en el PR 26+0000 vía Ortega – Guamo Ruta 3603, ya que actualmente hay paso a un solo carril y por ser una vía con alto transito de vehículos pesados, se hace necesaria la correspondiente estructura que garantice la correcta circulación por este punto.</t>
  </si>
  <si>
    <t>Puente provisional en estructura metalica con paso restringido a un solo carril</t>
  </si>
  <si>
    <t>600.1.1</t>
  </si>
  <si>
    <t>630.4</t>
  </si>
  <si>
    <t>630.6</t>
  </si>
  <si>
    <t>640.1</t>
  </si>
  <si>
    <t>211.1</t>
  </si>
  <si>
    <t>900.3</t>
  </si>
  <si>
    <t>Puente metálico de una vía, paso inferior galibo = 4,25 mts - 40 Tn.  Se solicita visita inspección especial estructura. Reparacion de juntas</t>
  </si>
  <si>
    <t>Puente en concreto construído en 1996 - 52 Tn. L=98,10 m. Daño en el estribo por choque.</t>
  </si>
  <si>
    <t>L=11,00 m. requiere mantenimiento en el bordillo, estribo con fisuras; requiere analisis de resistencia del concreto.</t>
  </si>
  <si>
    <t>Puente L=12.40 m.  hidrolavado al concreto, acero expuesto en vigas y hormigoneo en el concreto, fisuras en estribo.</t>
  </si>
  <si>
    <t>ESTRIBOS FISURADOS Y VIGAS CON ACERO A LA VISTA</t>
  </si>
  <si>
    <t>FISURAS EN ESTRIBO</t>
  </si>
  <si>
    <t>GRIETA EN VERTICE DE ALETA Y ESTRIBO</t>
  </si>
  <si>
    <t xml:space="preserve">ESTRIBO CON SOCAVACIÓN </t>
  </si>
  <si>
    <t>Es necesaria la intervención de un estribo que presenta socavación.</t>
  </si>
  <si>
    <t>Deformaciones en Pavimento, Hundimientos, Fisuras de Gran Tamaño, deslizamiento de pequeños derumbes</t>
  </si>
  <si>
    <t>INGENIERO RESIDENTE</t>
  </si>
  <si>
    <t xml:space="preserve">INGENIERO RESIDENTE: </t>
  </si>
  <si>
    <t xml:space="preserve">Deformaciones en Pavimento, Hundimientos, baches Fisuras de Gran Tamaño, </t>
  </si>
  <si>
    <r>
      <t>NOTA 2:</t>
    </r>
    <r>
      <rPr>
        <sz val="8"/>
        <rFont val="Arial"/>
        <family val="2"/>
      </rPr>
      <t xml:space="preserve">  La Informacion Aquí consignada es entregada por las oficinas de transito y/o Policia de Carreteras </t>
    </r>
  </si>
  <si>
    <t>NOTA 1:</t>
  </si>
  <si>
    <t>DESCRIPCIÓN</t>
  </si>
  <si>
    <t>201.7</t>
  </si>
  <si>
    <r>
      <rPr>
        <b/>
        <sz val="10"/>
        <rFont val="Arial"/>
        <family val="2"/>
      </rPr>
      <t xml:space="preserve">NOTA : </t>
    </r>
    <r>
      <rPr>
        <sz val="10"/>
        <rFont val="Arial"/>
        <family val="2"/>
      </rPr>
      <t>Se deben presentar cuadros No. 7 del cálculo de cantidades y costos cantidades por separado para necesidades preventivas, para necesidades criticas, para necesidades de puentes, para necesidades de pontones, siendo los soportes de cada uno de estos cuadros. Las necesidades de señalización se deben indicar sólo en los cuadros No.15 y 16. Los precios unitarios deben coincidir con los del programa de APU. En caso de encontrar precios no reportados o de requerirse actualización, se debe enviar el respectivo análisis de precios unitarios.</t>
    </r>
  </si>
  <si>
    <t>700.1</t>
  </si>
  <si>
    <t>730.1</t>
  </si>
  <si>
    <t>610.2</t>
  </si>
  <si>
    <t>670.1</t>
  </si>
  <si>
    <t>671.3</t>
  </si>
  <si>
    <t>610.1</t>
  </si>
  <si>
    <t>610.5</t>
  </si>
  <si>
    <t>673.1.1</t>
  </si>
  <si>
    <t>674.1</t>
  </si>
  <si>
    <t>PR 1+000 AL 47+0514</t>
  </si>
  <si>
    <t xml:space="preserve"> ORTEGA -GUAMO</t>
  </si>
  <si>
    <t>PR 0+0000 AL PR 36+0253</t>
  </si>
  <si>
    <t>671.1</t>
  </si>
  <si>
    <t>450.1</t>
  </si>
  <si>
    <t>600.2.1</t>
  </si>
  <si>
    <t>600,2,1</t>
  </si>
  <si>
    <t>600.2,3</t>
  </si>
  <si>
    <t>600.2.3</t>
  </si>
  <si>
    <t>32+0400</t>
  </si>
  <si>
    <t>Flujo de lodos constantemente en la banca</t>
  </si>
  <si>
    <t>Realizar estudios hidrologicos y geotecnicos en el sector CHAPARRAL- ORTEGA PR 32+400  que permitan deteminar la acciones necesarias para mitigar el flujo de lodos y los riesgos asociados del material sobre la banca</t>
  </si>
  <si>
    <t>v</t>
  </si>
  <si>
    <t>Involucra instacion de marcas viales, señales de transito,  tachas reflectivas, fresado de pavimento, mezcla densa en caliente y lineas de demarcación con pintura en frio.</t>
  </si>
  <si>
    <t>LOS VALORES REGISTRADOS EN LA COLUMNA COSTO ESTIMADO, ESTÁN ENLAZADOS CON EL CUADRO No. 7 "CALCULO DE CANTIDADES Y COSTOS ESTIMADOS DE NECESIDADES DE LAS VIAS", RESPECTIVO. REMITASE PARA VER DE MANERA DETALLADA CADA ACTIVIDAD RELACIONADA EN ESTE CUADRO.</t>
  </si>
  <si>
    <t>4507.  PR43+00 A PR44+00</t>
  </si>
  <si>
    <t>Involucra instacion de marcas viales, señales de transito, fresado de pavimento, mezcla densa en caliente y lineas de demarcación con pintura en frio.</t>
  </si>
  <si>
    <t>1. Descripción de la actividad:  MANTENIMIENTO VIAL PR 24+060 A PR27+1130</t>
  </si>
  <si>
    <t>2. Descripción de la actividad  PUENTE LUISA PR27+0020</t>
  </si>
  <si>
    <r>
      <t>2. Descripción de la actividad</t>
    </r>
    <r>
      <rPr>
        <sz val="10"/>
        <rFont val="Arial"/>
        <family val="2"/>
      </rPr>
      <t xml:space="preserve"> (Ejemplo):   Construccion de Juntas Puente LINDAY PR 17+0632</t>
    </r>
  </si>
  <si>
    <r>
      <t>3. Descripción de la actividad</t>
    </r>
    <r>
      <rPr>
        <sz val="10"/>
        <rFont val="Arial"/>
        <family val="2"/>
      </rPr>
      <t xml:space="preserve"> (Ejemplo):   Construccion de Juntas Puente AICO PR23+0172</t>
    </r>
  </si>
  <si>
    <t>Estudio y diseños para la contrucción del Puente La arenosa  PR26+006 Ruta 3603</t>
  </si>
  <si>
    <t>24-4507-010.00</t>
  </si>
  <si>
    <t>3602</t>
  </si>
  <si>
    <t>3603</t>
  </si>
  <si>
    <t>Se deben diligenciar todas las casillas.</t>
  </si>
  <si>
    <t>$13,839,061</t>
  </si>
  <si>
    <t>“LA MOVILIDAD ES DE TODOS”</t>
  </si>
  <si>
    <t>Seguimiento de funciones técnicas y administrativas 2019</t>
  </si>
  <si>
    <t>LUIS GABRIEL IBARRA ANGEL</t>
  </si>
  <si>
    <t>Calle 10 # 3-85</t>
  </si>
  <si>
    <t>310 806 3596</t>
  </si>
  <si>
    <r>
      <t>21, Descripción de la actividad:</t>
    </r>
    <r>
      <rPr>
        <sz val="10"/>
        <rFont val="Arial"/>
        <family val="2"/>
      </rPr>
      <t xml:space="preserve"> REMOCION Y TRANSPORTE DE MATERIAL PROVENIENTE DE DERRUMBES DE LA RUTA 3602 SECTOR CHAPARRAL - ORTEGA VIAS A CARGO DEL INSTITUTO NACIONAL DE VIAS TERRITORIAL TOLIMA.</t>
    </r>
  </si>
  <si>
    <t xml:space="preserve">CLASE DE ACCIDENTE: </t>
  </si>
  <si>
    <t>5+000</t>
  </si>
  <si>
    <t>Jun</t>
  </si>
  <si>
    <t>Jul</t>
  </si>
  <si>
    <t>Ago</t>
  </si>
  <si>
    <t>Sep</t>
  </si>
  <si>
    <t>Dic</t>
  </si>
  <si>
    <t>2273318</t>
  </si>
  <si>
    <t>NOTA: Todos los artículos deben estar identificados, indicando la fecha de la publicación y medio periodístico</t>
  </si>
  <si>
    <t>Oct</t>
  </si>
  <si>
    <t>Nov</t>
  </si>
  <si>
    <t>Ejecutar obras menores preventivas y de mantenimiento rutinario, con mano de obra de los trabajadores de mantenimiento rutinario, aprobadas por la Dirección Territorial, quien suministrará los recursos necesarios y disponibles</t>
  </si>
  <si>
    <t>Recolección, digitación y reporte de la información relacionada con el atropellamiento de fauna ocurrida en los tramos de carreteras, así como la realización de estudios preliminares y presentación de recomendaciones técnicas encaminadas al establecimiento de pasos de fauna, de acuerdo con la metodología planteada por el INVIAS</t>
  </si>
  <si>
    <t>CONSORCIO INTERADMIVIAL</t>
  </si>
  <si>
    <t>interadmivial@gmail.com</t>
  </si>
  <si>
    <t>Calle 10 No 3-85</t>
  </si>
  <si>
    <t>Hacer montaje del mapa de la red vial sobre cartografía o mapas aerofotogramétricos</t>
  </si>
  <si>
    <t>RUTA 3603 ORTEGA-GUAMO</t>
  </si>
  <si>
    <t>2+500</t>
  </si>
  <si>
    <t>estabilizacion de taludes</t>
  </si>
  <si>
    <t>26+0030</t>
  </si>
  <si>
    <t>PUENTE LA ARENOSA</t>
  </si>
  <si>
    <t>1. Descripción de la actividad: REHABILITACION Y MEJORAMIENTO  EN EL (PR 10+0000 AL 16+0000) y (41+000 al pr44+000) VIAS A CARGO DE LA TERRITORIAL TOLIMA</t>
  </si>
  <si>
    <t>201-07</t>
  </si>
  <si>
    <t>Demolicion de Estructuras</t>
  </si>
  <si>
    <t>EXCAVACIÒN PARA LA REPARACIÒN DE PAVIMENTO ASFALTICO EXISTENTE EXCLUYENDO EL CORTE Y LA REMOCIÒN DE LAS CAPAS ASFALTICAS Y DE LAS SUBYACENTES.</t>
  </si>
  <si>
    <t>600,2,3</t>
  </si>
  <si>
    <t>EXCAVACIONES VARIAS EN MATERIAL COMUN EN SECO</t>
  </si>
  <si>
    <t>231-1</t>
  </si>
  <si>
    <t>GEOTEXTIL PARA SEPARACIÓN DE SUELOS DE SUBRASANTE Y CAPAS GRANULARES</t>
  </si>
  <si>
    <t>Subbase Granular Clase A</t>
  </si>
  <si>
    <t>330-1</t>
  </si>
  <si>
    <t>Base Granular Clase A</t>
  </si>
  <si>
    <t>450,2P</t>
  </si>
  <si>
    <t>450-2P</t>
  </si>
  <si>
    <t>Mezcla Densa en Caliente Tipo MDC-19 Comprada*</t>
  </si>
  <si>
    <t>671-1</t>
  </si>
  <si>
    <t>Cuneta de concreto vaciada in situ; no incluye la conformacion de la superficie de apoyo</t>
  </si>
  <si>
    <t>700-1</t>
  </si>
  <si>
    <t>Línea de demarcación con pintura en frío.</t>
  </si>
  <si>
    <t>630-4</t>
  </si>
  <si>
    <t>Concreto Resistencia 21MPa D</t>
  </si>
  <si>
    <t>681-07</t>
  </si>
  <si>
    <t>Disipadores de energía y sedimentadores en gaviones de alambre de acero entrelazado clase 1: recubrimiento de Zinc (galvanizado)</t>
  </si>
  <si>
    <t>SISTEMA DE ESTABILIZACION DE TALUDES</t>
  </si>
  <si>
    <t>EXCAVACIONES VARIAS SIN CLASIFICAR</t>
  </si>
  <si>
    <t>m3</t>
  </si>
  <si>
    <t>810.1</t>
  </si>
  <si>
    <t>PROTECCIÓN DE TALUDES CON BLOQUES DE CÉSPED.</t>
  </si>
  <si>
    <t>SUBTOTAL</t>
  </si>
  <si>
    <t>GL</t>
  </si>
  <si>
    <t xml:space="preserve">VALOR TOTAL BÁSICO DE OBRA </t>
  </si>
  <si>
    <t>SUBTOTAL OBRAS INCLUYENDO IVA (A)</t>
  </si>
  <si>
    <t>ELABORACIÓN DE  DISEÑOS PARA REHABILITACIÓN DE CARRETERAS</t>
  </si>
  <si>
    <t>km</t>
  </si>
  <si>
    <t xml:space="preserve"> IVA ELABORACIÓN DE  DISEÑOS PARA REHABILITACIÓN DE CARRETERAS</t>
  </si>
  <si>
    <t>MEZCLA DENSA EN CALIENTE TIPO MDC-19</t>
  </si>
  <si>
    <t>RIEGO DE IMPRIMACIÓN CON EMILSÍON ASFÁLTICA CRL-1</t>
  </si>
  <si>
    <t>LÍNEA DE DEMARCACIÓN CON PINTURA EN FRÍO.</t>
  </si>
  <si>
    <t>TACHA REFLECTIVA.</t>
  </si>
  <si>
    <r>
      <t>4. Descripción de la actividad</t>
    </r>
    <r>
      <rPr>
        <sz val="10"/>
        <rFont val="Arial"/>
        <family val="2"/>
      </rPr>
      <t xml:space="preserve"> (Ejemplo):   Construccion de Juntas Puente TUMBILI PR 32+0014</t>
    </r>
  </si>
  <si>
    <r>
      <t>5. Descripción de la actividad</t>
    </r>
    <r>
      <rPr>
        <sz val="10"/>
        <rFont val="Arial"/>
        <family val="2"/>
      </rPr>
      <t xml:space="preserve"> (Ejemplo):   Construccion de Juntas Puente PERALONSO 37+0825</t>
    </r>
  </si>
  <si>
    <t>DEFENSA METÁLICA.</t>
  </si>
  <si>
    <r>
      <t>7. Descripción de la actividad</t>
    </r>
    <r>
      <rPr>
        <sz val="10"/>
        <rFont val="Arial"/>
        <family val="2"/>
      </rPr>
      <t xml:space="preserve"> (Ejemplo):   </t>
    </r>
  </si>
  <si>
    <t>DEMOLICIÓN DE ESTRUCTURAS</t>
  </si>
  <si>
    <r>
      <t>8, Descripción de la actividad</t>
    </r>
    <r>
      <rPr>
        <sz val="10"/>
        <rFont val="Arial"/>
        <family val="2"/>
      </rPr>
      <t xml:space="preserve"> (Ejemplo):   Estudio estructural a Puentes y Pontones</t>
    </r>
  </si>
  <si>
    <r>
      <t>9, Descripción de la actividad</t>
    </r>
    <r>
      <rPr>
        <sz val="10"/>
        <rFont val="Arial"/>
        <family val="2"/>
      </rPr>
      <t xml:space="preserve"> (Ejemplo): ELABORACION DE LOS ESTUDIOS HIDROLOGICO, GEOTECNICO, GEOMORFOLOGICO.GEOLICO Y DE ESTABILIZACION DE TALUDES PARA  SECTORES INESTABLES DEL PR 13+0000 AL PR 16+0000 DE LA RUTA 3602 SECTOR CHAPARRAL - ORTEGA VIAS ACARGO DEL INSTITUTO NACIONAL DE VIAS TERRITORIAL TOLIMA,</t>
    </r>
  </si>
  <si>
    <t>RELLENOS PARA ESTRUCTURAS CON RECEBO.</t>
  </si>
  <si>
    <t>CONCRETO RESISTENCIA 21MPA (D)</t>
  </si>
  <si>
    <t>CONCRETO RESISTENCIA 14MPA  (F)</t>
  </si>
  <si>
    <t>ACERO DE REFUERZO FY 4200 MPA.</t>
  </si>
  <si>
    <t>kg</t>
  </si>
  <si>
    <t>DISIPADORES DE ENERGÍA Y SEDIMENTADORES EN GAVIONES DE ALAMBRE DE ACERO ENTRELAZADO CLASE 1: RECUBRIMIENTO DE ZINC (GALVANIZADO)</t>
  </si>
  <si>
    <r>
      <t>11, Descripción de la actividad</t>
    </r>
    <r>
      <rPr>
        <sz val="10"/>
        <rFont val="Arial"/>
        <family val="2"/>
      </rPr>
      <t xml:space="preserve"> (Ejemplo): CUNETAS EN CONCRETO PR 15+0080 al 14+900 DE LA RUTA 3602 SECTOR CHAPARRAL - ORTEGA VIAS ACARGO DEL INSTITUTO NACIONAL DE VIAS TERRITORIAL TOLIMA,</t>
    </r>
  </si>
  <si>
    <t>CUNETA DE CONCRETO VACIADA IN SITU; INCLUYE LA CONFORMACION DE LA SUPERFICIE DE APOYO</t>
  </si>
  <si>
    <r>
      <t>12, Descripción de la actividad</t>
    </r>
    <r>
      <rPr>
        <sz val="10"/>
        <rFont val="Arial"/>
        <family val="2"/>
      </rPr>
      <t xml:space="preserve"> (Ejemplo): CUNETAS EN CONCRETO PR 27+0000 DE LA RUTA 3602 SECTOR CHAPARRAL - ORTEGA VIAS ACARGO DEL INSTITUTO NACIONAL DE VIAS TERRITORIAL TOLIMA,</t>
    </r>
  </si>
  <si>
    <r>
      <t>13, Descripción de la actividad</t>
    </r>
    <r>
      <rPr>
        <sz val="10"/>
        <rFont val="Arial"/>
        <family val="2"/>
      </rPr>
      <t>: DEMOLICION Y CONSTRUCCION ALETAS (2) Y PLACA DE SALIDA EN CONCRETO REFORZADO DESCOLE  BOX COULVERT PR 41+0500 DE LA RUTA 3602 SECTOR CHAPARRAL - ORTEGA VIAS A CARGO DEL INSTITUTO NACIONAL DE VIAS TERRITORIAL TOLIMA,</t>
    </r>
  </si>
  <si>
    <t>RELLENOS CON MATERIAL FILTRANTE</t>
  </si>
  <si>
    <t>GEOTEXTIL TIPO NT-2500 O SIMILAR NO TEJIDO</t>
  </si>
  <si>
    <t>DREN HORIZONTAL DE LONGITUD MENOR O IGUAL A DIEZ (10) METROS.</t>
  </si>
  <si>
    <r>
      <t>14, Descripción de la actividad</t>
    </r>
    <r>
      <rPr>
        <sz val="10"/>
        <rFont val="Arial"/>
        <family val="2"/>
      </rPr>
      <t>: DEMOLICION Y CONSTRUCCION ALETAS (2) Y PLACA DE SALIDA EN CONCRETO REFORZADO DESCOLE  BOX COULVERT PR 42+0100 DE LA RUTA 3602 SECTOR CHAPARRAL - ORTEGA VIAS A CARGO DEL INSTITUTO NACIONAL DE VIAS TERRITORIAL TOLIMA,</t>
    </r>
  </si>
  <si>
    <r>
      <t>15, Descripción de la actividad</t>
    </r>
    <r>
      <rPr>
        <sz val="10"/>
        <rFont val="Arial"/>
        <family val="2"/>
      </rPr>
      <t xml:space="preserve"> (Ejemplo):MURO EN CONCRETO REFORZADO PR14+300DE LA RUTA 3602 SECTOR CHAPARRAL - ORTEGA VIAS ACARGO DEL INSTITUTO NACIONAL DE VIAS TERRITORIAL TOLIMA,</t>
    </r>
  </si>
  <si>
    <t>REMOCIÓN DE DERRUMBES</t>
  </si>
  <si>
    <t>TRANSPORTE DE MATERIALES PROVENIENTES DE DERRUMBES, MEDIDO A PARTIR DE CIEN METROS (100 M)</t>
  </si>
  <si>
    <t>m3/km</t>
  </si>
  <si>
    <t>RELLENOS PARA ESTRUCTURAS CON SUELO.</t>
  </si>
  <si>
    <r>
      <t>16, Descripción de la actividad</t>
    </r>
    <r>
      <rPr>
        <sz val="10"/>
        <rFont val="Arial"/>
        <family val="2"/>
      </rPr>
      <t xml:space="preserve"> (Ejemplo):MURO EN GAVIONES PR 38+0000   DE LA RUTA 3602 SECTOR CHAPARRAL - ORTEGA VIAS ACARGO DEL INSTITUTO NACIONAL DE VIAS TERRITORIAL TOLIMA,</t>
    </r>
  </si>
  <si>
    <r>
      <t>17, Descripción de la actividad</t>
    </r>
    <r>
      <rPr>
        <sz val="10"/>
        <rFont val="Arial Narrow"/>
        <family val="2"/>
      </rPr>
      <t xml:space="preserve"> :CONSTRUCCION DE PUENTE VEHICULAR EN EL PR 26+0000  (PUENTE TETUAN) EN VIAS A CARGO DE LA DIRECCION TERRITORIAL TOLIMA</t>
    </r>
  </si>
  <si>
    <t>PRELIMINARES</t>
  </si>
  <si>
    <t>Localizacion y Replanteo</t>
  </si>
  <si>
    <t>EXCAVACIONES Y RELLENOS</t>
  </si>
  <si>
    <t>Excavacion manual en tierra y conglomerado</t>
  </si>
  <si>
    <t>Excavacion manual en tierra de roca</t>
  </si>
  <si>
    <t>Relleno compacto en material de sitios seleccionados</t>
  </si>
  <si>
    <t>Relleno en recebo compacto</t>
  </si>
  <si>
    <t>Retiro de sobrante max 7.00 km de la obra</t>
  </si>
  <si>
    <t>Demolicion conreto Estructura Exixtente</t>
  </si>
  <si>
    <t>ESTRUTURA DE CONCRETO</t>
  </si>
  <si>
    <t>Caisson Diametro 1,20m bajo agua</t>
  </si>
  <si>
    <t>concreto 4000 psi cimentacion</t>
  </si>
  <si>
    <t>concreto 4000 psi Elevacion</t>
  </si>
  <si>
    <t>Acero de refuerzo</t>
  </si>
  <si>
    <t>concreto ciclope</t>
  </si>
  <si>
    <t>ESTRUTURA METALICA</t>
  </si>
  <si>
    <t>COLUMNAS METALICAS</t>
  </si>
  <si>
    <t>KG</t>
  </si>
  <si>
    <t>DIAGONALES PORTICO</t>
  </si>
  <si>
    <t>CORDON SUPERIOR</t>
  </si>
  <si>
    <t>CORDON INFERIOR</t>
  </si>
  <si>
    <t>DIAGONALES CERCHA IPE 270</t>
  </si>
  <si>
    <t>VERTICALES CERCHA IPE 240</t>
  </si>
  <si>
    <t>VIGAS TRANSVERSALES IPE 690</t>
  </si>
  <si>
    <t>VIGAS LONGITUDINALES IPE 400</t>
  </si>
  <si>
    <t>CABLE TIPO BRIDGE STRAND 1 L/2"</t>
  </si>
  <si>
    <t>PENDOLON EN CABLE TIPO BRIDGE STAND 1 1/4" incl. PLATINA DE FIJACION</t>
  </si>
  <si>
    <t>PENDOLON EN PLATINA</t>
  </si>
  <si>
    <t>RIOSTRA ANGULO 4"X4"X1/2"</t>
  </si>
  <si>
    <t>SISTEMA GENERAL DE PLANTAS DE RETENCION</t>
  </si>
  <si>
    <t>UND</t>
  </si>
  <si>
    <t>PINTURA ANTICORROSIVO DE PROTECCION</t>
  </si>
  <si>
    <t>COMPLEMENTARIOS</t>
  </si>
  <si>
    <t>Baranda de tubo de 3"</t>
  </si>
  <si>
    <t xml:space="preserve">Juntas de dilatacion </t>
  </si>
  <si>
    <t>Apoyo en Neopreno</t>
  </si>
  <si>
    <t>Disipador</t>
  </si>
  <si>
    <t>Cunetas en concreto 3000PSI</t>
  </si>
  <si>
    <t>Alcantarilla en tub em diametro 36" NORMAL</t>
  </si>
  <si>
    <t>Desmonte Estructura Existente</t>
  </si>
  <si>
    <t>Ajuste a los Diseños y Planos de Taller</t>
  </si>
  <si>
    <t>Capa Rodadura Mescla en Caliente Tipo MDC-19</t>
  </si>
  <si>
    <t>Señalizacion Vertical</t>
  </si>
  <si>
    <t>Demarcacion General</t>
  </si>
  <si>
    <t>Plan de Manejo Ambiental Obras Complementarias incluye Costos y Manejonde Aguas</t>
  </si>
  <si>
    <t>Plan de Manejo de Transito</t>
  </si>
  <si>
    <t>Prueba de Carga</t>
  </si>
  <si>
    <t>base granular</t>
  </si>
  <si>
    <t>sub-base granular</t>
  </si>
  <si>
    <t>PROVISIÓN PARA AJUSTES, OBRAS COMPLEMENTARIAS Y/O ADICIONALES, (INCLUYE OBRAS AMBIENTALES DEL PAGA)</t>
  </si>
  <si>
    <t xml:space="preserve">estudios y diseños </t>
  </si>
  <si>
    <r>
      <t>18, Descripción de la actividad</t>
    </r>
    <r>
      <rPr>
        <sz val="10"/>
        <rFont val="Arial"/>
        <family val="2"/>
      </rPr>
      <t xml:space="preserve"> (Ejemplo): ALETA ALCANTARILLA  PR 41+0390 DE LA RUTA 3602 SECTOR CHAPARRAL - ORTEGA VIAS ACARGO DEL INSTITUTO NACIONAL DE VIAS TERRITORIAL TOLIMA,</t>
    </r>
  </si>
  <si>
    <r>
      <t>19, Descripción de la actividad</t>
    </r>
    <r>
      <rPr>
        <sz val="10"/>
        <rFont val="Arial"/>
        <family val="2"/>
      </rPr>
      <t xml:space="preserve"> (Ejemplo): Seguridad vial en los PR 1+100 a 2+900 CHAPARRAL - ORTEGA VIAS ACARGO DEL INSTITUTO NACIONAL DE VIAS TERRITORIAL TOLIMA.</t>
    </r>
  </si>
  <si>
    <t>MARCA VIAL CON PINTURA EN FRÍO.</t>
  </si>
  <si>
    <t>SEÑAL VERTICAL DE TRANSITO TIPO 1 CON LAMINA RETRORREFLECTIVA TIPO III (75 X 75 ) CM</t>
  </si>
  <si>
    <r>
      <t>20, Descripción de la actividad</t>
    </r>
    <r>
      <rPr>
        <sz val="10"/>
        <rFont val="Arial"/>
        <family val="2"/>
      </rPr>
      <t xml:space="preserve"> (Ejemplo): Seguridad vial. Cambio de señales en mal estado en todo el tramo CHAPARRAL - ORTEGA VIAS ACARGO DEL INSTITUTO NACIONAL DE VIAS TERRITORIAL TOLIMA.</t>
    </r>
  </si>
  <si>
    <r>
      <t>22, Descripción de la actividad:</t>
    </r>
    <r>
      <rPr>
        <sz val="10"/>
        <rFont val="Arial"/>
        <family val="2"/>
      </rPr>
      <t xml:space="preserve"> OBRAS DE ESTABILIZACION DE TALUDES Y MUROS DE CONTENCION EN EL PR 13+800 AL 15+300 VIAS A CARGO DE LA TERRITORIAL TOLIMA</t>
    </r>
  </si>
  <si>
    <t>UNID</t>
  </si>
  <si>
    <t>VALOR UNITARIO</t>
  </si>
  <si>
    <t>ESPECIFICACION GENERAL 2013</t>
  </si>
  <si>
    <t>ESPECIFICACION PARTICULAR</t>
  </si>
  <si>
    <t>Localizacion de carreteras</t>
  </si>
  <si>
    <t>Desmonte y limpieza en zonas no rocosas</t>
  </si>
  <si>
    <t>EXCAVACIONES</t>
  </si>
  <si>
    <t>Excavaciones varias en material comun en seco</t>
  </si>
  <si>
    <t>Excavaciones varias en material comun en seco a mano</t>
  </si>
  <si>
    <t>Excavaciones en roca de la explanacion y canales</t>
  </si>
  <si>
    <t>CONCRETOS</t>
  </si>
  <si>
    <t>Concreto Clase C</t>
  </si>
  <si>
    <t>Concreto Clase F</t>
  </si>
  <si>
    <t>Concreto Clase G</t>
  </si>
  <si>
    <t>ACERO DE REFUERZO</t>
  </si>
  <si>
    <t xml:space="preserve">Acero de refuerzo Fy=4200 MPa </t>
  </si>
  <si>
    <t>OTROS</t>
  </si>
  <si>
    <t>Dren horizontal de longitud mayor a 10 (diez) metros</t>
  </si>
  <si>
    <t>Remocion de derrumbes</t>
  </si>
  <si>
    <t>Transporte de material proveniente de derrumbes</t>
  </si>
  <si>
    <t>M3-KM</t>
  </si>
  <si>
    <t xml:space="preserve">Estudios y diseños de estabilizacion </t>
  </si>
  <si>
    <t>7. Descripción de la actividad: REHABILITACION Y MEJORAMIENTO  EN EL (PR 2+0500 AL 5+0000) ) VIAS A CARGO DE LA TERRITORIAL TOLIMA</t>
  </si>
  <si>
    <t>#REF!</t>
  </si>
  <si>
    <t>Choque,volcamiento, salida de la vía, etc.</t>
  </si>
  <si>
    <t>Exceso de velocidad, embriaguez, superficie de la vía, hueco, etc.</t>
  </si>
  <si>
    <t>Motocicleta, automóvil, camión, bus, etc.</t>
  </si>
  <si>
    <t>ADMINISTRACION VIAL  GRUPO 1  TERRITORIAL TOLIMA</t>
  </si>
  <si>
    <t>SEGUIMIENTO DE FUNCIONES TECNICAS  Y ADMINISTRATIVAS 2020-2022</t>
  </si>
  <si>
    <t>Ene</t>
  </si>
  <si>
    <t>Feb</t>
  </si>
  <si>
    <t>Mar</t>
  </si>
  <si>
    <t>Abr</t>
  </si>
  <si>
    <t>May</t>
  </si>
  <si>
    <t xml:space="preserve">Prestar apoyo al programa de gestión de infraestructura que adelante el INVIAS. En coordinación con la Subdirección de Estudios e Innovación y la Dirección Territorial, el Administrador Vial deberá apoyar todas las labores que correspondan a los contratos y convenios que ejecute INVIAS, para el desarrollo del programa de gestión de infraestructura en las vías a su cargo, e igualmente apoyará en el levantamiento de la información respectiva de acuerdo a la metodología suministrada por INVIAS </t>
  </si>
  <si>
    <t>FICHA CUANTITATIVA  DE LOS ADMINISTRADORES VIALES</t>
  </si>
  <si>
    <t>2659-2019</t>
  </si>
  <si>
    <t>UBN080 ; RFY917</t>
  </si>
  <si>
    <t>CAMIONETA NISSAN NP300; RENAUL KOLESOS</t>
  </si>
  <si>
    <t>CONTRATO INICIAL</t>
  </si>
  <si>
    <t>901,349,159-1</t>
  </si>
  <si>
    <t>RAFAEL ALFREDO VILLAR OSPINA</t>
  </si>
  <si>
    <t>FICHA CUANTITATIVA CONTRATISTA MANTENIMIENTO RUTINARIO</t>
  </si>
  <si>
    <t>CONTRATISTA MR</t>
  </si>
  <si>
    <t>2146-2019</t>
  </si>
  <si>
    <t>2147-2019</t>
  </si>
  <si>
    <t>FICHA CUALITATIVA CONTRATISTA MANTENIMIENTO RUTINARIO</t>
  </si>
  <si>
    <t>1894-2019</t>
  </si>
  <si>
    <t xml:space="preserve">HABILITAR Y/O BRINDAR LA TRASITABILIDAD EN LA RED VIAL A CARGO DEL INVIAS A TRAVEZ DEL SISTEMA MONTO AGOTABLE DE LA DIRRECION TOLIMA </t>
  </si>
  <si>
    <t>BRASCO INGENERIA S.A.S</t>
  </si>
  <si>
    <t>2 MES</t>
  </si>
  <si>
    <t>1 MES</t>
  </si>
  <si>
    <t>TRES (3) MESES</t>
  </si>
  <si>
    <t>EN EJECUCION</t>
  </si>
  <si>
    <t>RESEÑA 1 -  FOTOGRAFICA</t>
  </si>
  <si>
    <t>NOTA: Todas las fotografías deben estar identificadas arriba o abajo, indicando la vía, el sector, el PR,</t>
  </si>
  <si>
    <t xml:space="preserve">             la fecha impresa con el fechador de la cámara y la descripción de lo que se quiere resaltar.</t>
  </si>
  <si>
    <t>CUANDO SE REALICEN PARCHEOS SE TOMARAN FOTOS DEL ANTES Y DEL DESPUES</t>
  </si>
  <si>
    <t>CAPACITACION TRABAJADORES DE MANTENIMIENTO RUTINARIO</t>
  </si>
  <si>
    <t>Resumen temas Tratados</t>
  </si>
  <si>
    <t>Resumen: Se realizo capacitacion a las cooperativas de trabajo asociado ortega y saldaña</t>
  </si>
  <si>
    <t xml:space="preserve">Realizar le tramite administrativo para la consecucion de recursos para la construccion del Puente La Arenosa ubicado en el PR 26+0000 vía Ortega – Guamo Ruta 3603, ya que actualmente se cuenta con un puente provisional tipo Bailey, a un carril, el cual esta puesto en servicio desde el mes de abril de 2017.  </t>
  </si>
  <si>
    <t xml:space="preserve">Teniendo en cuenta que los puentes y pontones localizados sobre la carretera Chaparral - Ortega - Guamo (Tramos 3602 y 3603) estan restringidos en su gran mayoria a 20 Ton., se hace necesario contar con una oscultacion por parte de los especialistas, para valorar el estado actual de estas estructuras, toda vez que por la dinamica de la via los pesos de operacion que circulan por la misma son superiores a la capacidad maxima permitida, y asi poder determinar si las estructras existentes a pesar de su antiguedad nois garantizan una larga vida en funcionamiento o si es necesario realizar un reforzamiento general.
</t>
  </si>
  <si>
    <t xml:space="preserve">Con la imnplementacion y puesta en marcha del Sistema de Informacion Geografico de INVIAS.  se debe tener encuenta realizar la corrección del PRinicial y PRfinal del Ramo 4507 Paso Nacional por Guamo.  asi mismo la correccion del PRinicial debe efectuarce al  Tramo 4507, Paso Nacional Por Espinal. Puntos de Referencia que con la contruccion y entrada en funcionamiento de las variantes construidas por la Consecion hoy vienen siendo atendidos por el concecionario Autovia Neiva Giradot. </t>
  </si>
  <si>
    <t>CUNETA DE CONCRETO VACIADA IN SITU; NO INCLUYE LA CONFORMACION DE LA SUPERFICIE DE APOYO</t>
  </si>
  <si>
    <t>NOMBRE DE LA VIA:  PASO NACIONAL POR GUAMO</t>
  </si>
  <si>
    <t xml:space="preserve"> Paso Nacional Por Guamo</t>
  </si>
  <si>
    <t xml:space="preserve">NOMBRE DE LA VIA:  PASO NACIONAL POR EL ESPINAL </t>
  </si>
  <si>
    <t xml:space="preserve"> Paso Nacional Por El Espinal</t>
  </si>
  <si>
    <t>Presenta caida constante de material granular</t>
  </si>
  <si>
    <t>KM</t>
  </si>
  <si>
    <t>M3/KM</t>
  </si>
  <si>
    <t>HA</t>
  </si>
  <si>
    <r>
      <t>1. Descripción de la actividad</t>
    </r>
    <r>
      <rPr>
        <sz val="9"/>
        <rFont val="Arial"/>
        <family val="2"/>
      </rPr>
      <t>:  ESTUDIO ESTRUCTURAL A PUENTES</t>
    </r>
  </si>
  <si>
    <r>
      <t>2. Descripción de la actividad</t>
    </r>
    <r>
      <rPr>
        <sz val="9"/>
        <rFont val="Arial"/>
        <family val="2"/>
      </rPr>
      <t>:   obras complementarias puente guamal pr 30+236</t>
    </r>
  </si>
  <si>
    <r>
      <t>3. Descripción de la actividad</t>
    </r>
    <r>
      <rPr>
        <sz val="9"/>
        <rFont val="Arial"/>
        <family val="2"/>
      </rPr>
      <t>:   obras complementarias puente chicuambe pr 13+370</t>
    </r>
  </si>
  <si>
    <t>4. Descripción de la actividad:   MANTENIMIENTO PUENTE ORTEGA PR7+0006</t>
  </si>
  <si>
    <r>
      <t>6, Descripción de la actividad</t>
    </r>
    <r>
      <rPr>
        <sz val="10"/>
        <rFont val="Arial"/>
        <family val="2"/>
      </rPr>
      <t>: Seguridad vial. Cambio de señales en mal estado en todo el tramo CHAPARRAL - ORTEGA VIAS ACARGO DEL INSTITUTO NACIONAL DE VIAS TERRITORIAL TOLIMA.</t>
    </r>
  </si>
  <si>
    <r>
      <t xml:space="preserve">1. Descripción de la actividad: </t>
    </r>
    <r>
      <rPr>
        <sz val="9"/>
        <rFont val="Arial"/>
        <family val="2"/>
      </rPr>
      <t>Señalizacion Horizontal y vertical</t>
    </r>
  </si>
  <si>
    <t>1. Descripción de la actividad: Señalizacion Horizontal y vertical</t>
  </si>
  <si>
    <r>
      <t>NOTA:</t>
    </r>
    <r>
      <rPr>
        <sz val="8"/>
        <rFont val="Arial"/>
        <family val="2"/>
      </rPr>
      <t xml:space="preserve">  NO SE REGISTRAN ACCIDENTES SEGÚN ORGANISMOS DE TRANSITO DE LOS MUNICIPIOS DONDE SE ENCUENTRAN LAS VIAS A CARGO</t>
    </r>
  </si>
  <si>
    <t>De acuerdo a las necesidades</t>
  </si>
  <si>
    <t>TERMINADO</t>
  </si>
  <si>
    <t>1009-2020</t>
  </si>
  <si>
    <t xml:space="preserve">HABILITAR Y/O BRINDAR TRASITABILIDAD EN LA RED VIAL A CARGO DEL INVIAS A TRAVES DEL SISTEMA MONTO AGOTABLE EN LAS VIAS A CARGO DE LA DIRRECION TOLIMA </t>
  </si>
  <si>
    <t>CONSORCIO CONSTRUTOL 2020</t>
  </si>
  <si>
    <t>HASTA EL 31 DE DICIEMBRE DE 2020</t>
  </si>
  <si>
    <t>974- 2020</t>
  </si>
  <si>
    <t>SUMINISTRO DE MEZCLA ASFÁLTICA VÍA 3602 CHAPARRAL - ORTEGA SECTOR PR8+0000 - PR26+0000;
PR39+0000 - PR43+0000, CON MANO DE OBRA DE LAS COOPERATIVAS DE TRABAJO ASOCIADO. DIRECCIÓN
TERRITORIAL TOLIMA</t>
  </si>
  <si>
    <t>GASVIAL G.V S.A.S</t>
  </si>
  <si>
    <t>2 MESES</t>
  </si>
  <si>
    <t>975-2020</t>
  </si>
  <si>
    <t>SUMINISTRO DE MEZCLA ASFÁLTICA VÍA 3603 ORTEGA – GUAMO PR0+0000 AL PR36+0253, CON MANO DE OBRA
DE LAS COOPERATIVAS DE TRABAJO ASOCIADO. DIRECCIÓN TERRITORIAL TOLIMA</t>
  </si>
  <si>
    <t>1071-2020</t>
  </si>
  <si>
    <t>CONSTRUCCIÓN DE OBRAS Y SEÑALIZACIÓN PARA LA SEGURIDAD
VIAL EN VÍAS A CARGO DEL INVIAS EN JURISDICCIÓN DE LA DIRECCIÓN TERRITORIAL TOLIMA.</t>
  </si>
  <si>
    <t>GRUPO DELVA S.A.S.</t>
  </si>
  <si>
    <t>2015; 2011</t>
  </si>
  <si>
    <t>Muchas de las personas que a la fecha debieron "REACTIVAR" su vida personal y laboral, y debido al incremento en los costos del transporte ademas de buscar un aislamiento social, estan utilizando como medio de transporte la bicicleta, ante este panorama las rutas a cargo no presentan señalizacion de ciclistas en la via, de alli la  importancia para que los conductores cumplan respeten la distancia de vida cuando circulen cerca de ciclistas.</t>
  </si>
  <si>
    <t>MAPA RUTA 36 TRAMO 02 - CHAPARRAL - ORTEGA</t>
  </si>
  <si>
    <t>MAPA RUTA 36 TRAMO 03 - ORTEGA - GUAMO</t>
  </si>
  <si>
    <t>MAPA RUTA 45 TRAMO 07 - PASO NACIONAL POR GUAMO</t>
  </si>
  <si>
    <t xml:space="preserve">CHAPARRAL - ORTEGA </t>
  </si>
  <si>
    <t>Construccion de Juntas Puente LINDAY</t>
  </si>
  <si>
    <t>Construccion de Juntas Puente AICO</t>
  </si>
  <si>
    <t>Construccion de Juntas Puente TUMBILI</t>
  </si>
  <si>
    <t>Puente Linday</t>
  </si>
  <si>
    <t>Puente Aico</t>
  </si>
  <si>
    <t>Puente Tumbili</t>
  </si>
  <si>
    <t>Puente Peralonso</t>
  </si>
  <si>
    <t>Construccion de Juntas Puente PEREALONSO</t>
  </si>
  <si>
    <t>involucra a todos los pontones en el tramo de via</t>
  </si>
  <si>
    <t>involucra el estudio a todos los pontones y puentes en el tramo de via</t>
  </si>
  <si>
    <r>
      <t>10, Descripción de la actividad</t>
    </r>
    <r>
      <rPr>
        <sz val="10"/>
        <rFont val="Arial"/>
        <family val="2"/>
      </rPr>
      <t xml:space="preserve"> (Ejemplo): DISCIPADOR PR 15+120 DE LA RUTA 3602 SECTOR CHAPARRAL - ORTEGA VIAS ACARGO DEL INSTITUTO NACIONAL DE VIAS TERRITORIAL TOLIMA,</t>
    </r>
  </si>
  <si>
    <t>15+0120</t>
  </si>
  <si>
    <t>Construccion Discipador</t>
  </si>
  <si>
    <t>Control erosion de Talud</t>
  </si>
  <si>
    <t>15+0080</t>
  </si>
  <si>
    <t>14+900</t>
  </si>
  <si>
    <t>Construccion de cunetas en concreto</t>
  </si>
  <si>
    <t>Control agua de escorrentia</t>
  </si>
  <si>
    <t xml:space="preserve"> 27+0000</t>
  </si>
  <si>
    <t xml:space="preserve"> 41+0500</t>
  </si>
  <si>
    <t xml:space="preserve"> Demolicion y construccion aletas (2) y placa de salida en concreto reforzado descole box coulvert</t>
  </si>
  <si>
    <t>42+0100</t>
  </si>
  <si>
    <t>Demolicion y construccion aletas (2) y placa de salida en concreto reforzado descole box coulvert</t>
  </si>
  <si>
    <t>control de aguas alcantarilla y estabilizacion de talud aletas</t>
  </si>
  <si>
    <t>14+0300</t>
  </si>
  <si>
    <t>Construccion muro en concreto reforzado</t>
  </si>
  <si>
    <t>Control de deslizamiento</t>
  </si>
  <si>
    <t>Construcion muro en gaviones</t>
  </si>
  <si>
    <t>Control de Talud</t>
  </si>
  <si>
    <t xml:space="preserve"> 26+0000</t>
  </si>
  <si>
    <t>PUENTE TETUAN</t>
  </si>
  <si>
    <t>Ampliacion de puente vehicular -  Puente TETUAN</t>
  </si>
  <si>
    <t>41+0390</t>
  </si>
  <si>
    <t>Construccion aleta alcantarilla</t>
  </si>
  <si>
    <t>2+0900</t>
  </si>
  <si>
    <t>1+0100</t>
  </si>
  <si>
    <t xml:space="preserve">Seguridad vial </t>
  </si>
  <si>
    <t>Involucra instacion de marcas viales, señales de transito, lineas de demarcación con pintura en frio.</t>
  </si>
  <si>
    <t>Cambio de señales en mal estado en todo el tramo</t>
  </si>
  <si>
    <t xml:space="preserve">Seguridad vial.  </t>
  </si>
  <si>
    <t>Remocion y transporte de material proveniente de derrumbes</t>
  </si>
  <si>
    <t xml:space="preserve"> 30+0236</t>
  </si>
  <si>
    <t>30+0236</t>
  </si>
  <si>
    <t xml:space="preserve">Obras complementarias puente guamal </t>
  </si>
  <si>
    <t>Estabilizacion de puente</t>
  </si>
  <si>
    <t xml:space="preserve">obras complementarias puente chicuambe </t>
  </si>
  <si>
    <t xml:space="preserve">Mantenimiento  Puente ORTEGA </t>
  </si>
  <si>
    <t xml:space="preserve">Seguridad vial. Cambio de señales en mal estado en todo el tramo </t>
  </si>
  <si>
    <t>Puente Ortega</t>
  </si>
  <si>
    <t>Incluye instalacion de señales verticales</t>
  </si>
  <si>
    <t>Mantenimiento PUENTE LUISA</t>
  </si>
  <si>
    <t xml:space="preserve"> PUENTE LUISA</t>
  </si>
  <si>
    <r>
      <t>6. Descripción de la actividad</t>
    </r>
    <r>
      <rPr>
        <sz val="10"/>
        <rFont val="Arial"/>
        <family val="2"/>
      </rPr>
      <t xml:space="preserve"> (Ejemplo):   Construccion de Juntas Puente TAQUIMA PR39+0880</t>
    </r>
  </si>
  <si>
    <t>Construccion de Juntas Puente TAQUIMA</t>
  </si>
  <si>
    <t>Puente Taquima</t>
  </si>
  <si>
    <t>No se realizo esta actividad</t>
  </si>
  <si>
    <t>Cargue de informacion al aplicativo sukubum de los registros diarios de la via y diligenciamiento, envio de formato trimestralmente</t>
  </si>
  <si>
    <t>se carga informacion de manera periodica</t>
  </si>
  <si>
    <t>De manera periodica</t>
  </si>
  <si>
    <t>Se carga Informacion de manera periodica</t>
  </si>
  <si>
    <t>De forma periodica</t>
  </si>
  <si>
    <t>De forma Diaria</t>
  </si>
  <si>
    <t>mensualmente</t>
  </si>
  <si>
    <t>Toma de informacion con Gps</t>
  </si>
  <si>
    <t>5. Descripción de la actividad:   Construccion puente nuevo LA ARENOSA pr26+0006</t>
  </si>
  <si>
    <t>REGRESAR NEC PTES</t>
  </si>
  <si>
    <t>REGRESAR NEC PONTONES</t>
  </si>
  <si>
    <r>
      <t>8. Descripción de la actividad</t>
    </r>
    <r>
      <rPr>
        <sz val="10"/>
        <rFont val="Arial"/>
        <family val="2"/>
      </rPr>
      <t>:   Construccion de barandas Ponton PR 00+0096</t>
    </r>
  </si>
  <si>
    <r>
      <t>9. Descripción de la actividad</t>
    </r>
    <r>
      <rPr>
        <sz val="10"/>
        <rFont val="Arial"/>
        <family val="2"/>
      </rPr>
      <t>:  prueba de resistencia del concreto de los estribos PR 9+0800</t>
    </r>
  </si>
  <si>
    <t>Prueba de resistencia</t>
  </si>
  <si>
    <t>Se requiere prueba de resistencia del concreto de los estribos</t>
  </si>
  <si>
    <r>
      <t>10. Descripción de la actividad</t>
    </r>
    <r>
      <rPr>
        <sz val="10"/>
        <rFont val="Arial"/>
        <family val="2"/>
      </rPr>
      <t>:  Proteccion estribos Ponton PR 29+0792</t>
    </r>
  </si>
  <si>
    <t>Bolsacretos</t>
  </si>
  <si>
    <t>Concreto resistencia 1 MPA (D)</t>
  </si>
  <si>
    <t>Acero de refuerzo FY 4200 MPA</t>
  </si>
  <si>
    <t>MAPA RUTA 45 TRAMO 07 -PASO NACIONAL POR EL ESPINAL</t>
  </si>
  <si>
    <t>MAPA RUTA 40TL05 CRUCE RUTA 40 - LA TAMBORA ESPINAL</t>
  </si>
  <si>
    <t>OCTUBRE - DICIEMBRE DEL 2020</t>
  </si>
  <si>
    <t>INFORME TRIMESTRAL PERIODO:  OCTUBRE - DICIEMBRE DEL 2020</t>
  </si>
  <si>
    <t>JUAN CAMILO PORTILLO AGUIRRE</t>
  </si>
  <si>
    <t>JULIO A SEPTIEMBRE 2020</t>
  </si>
  <si>
    <t>36+0200</t>
  </si>
  <si>
    <t>36+250</t>
  </si>
  <si>
    <t xml:space="preserve">RETIRO DE PEQUEÑOS DERRUMBES </t>
  </si>
  <si>
    <t>RETIRO DE PEQUEÑOS DERRUMBES POR FUERTES LLUVIAS</t>
  </si>
  <si>
    <t>la cooperativa de trabajo asociado Ortega cta. realiza limpieza de la calzada y retiro de derrumbes sobre la cunetas.</t>
  </si>
  <si>
    <t>32+0200</t>
  </si>
  <si>
    <t>ARBOL CAIDO SOBRE MARGEN DE VIA</t>
  </si>
  <si>
    <t>PODA, CORTE Y/O RETIRO DE ARBOL Y LIMPIEZA DE CALZADA</t>
  </si>
  <si>
    <t>la cooperativa de trabajo asociado Ortega cta. realiza limpieza de la calzada y retiro de arbol.</t>
  </si>
  <si>
    <t>PASO NAL POR EL ESPINAL</t>
  </si>
  <si>
    <t>43+0850</t>
  </si>
  <si>
    <t>ARBOLES CAIDO POR FUERTES LLUVIAS SOBRE MARGEN DE VIA</t>
  </si>
  <si>
    <t>la cooperativa de trabajo asociado Saldaña cta. realiza limpieza de la calzada y retiro de arboles, ademas realiza control de trafico durante la atencion de la emergencia.</t>
  </si>
  <si>
    <t>OCTUBRE - DICIEMBRE/2020</t>
  </si>
  <si>
    <t>INFORME DE ACCIDENTALIDAD MES DE OCTUBRE</t>
  </si>
  <si>
    <t>ATROPELLO</t>
  </si>
  <si>
    <t>407 - PARARSE SOBRE LA CALZADA</t>
  </si>
  <si>
    <t>BUS - MOTOCICLETA</t>
  </si>
  <si>
    <t>CHAPARRAL -ORTEGA</t>
  </si>
  <si>
    <t>43+0123</t>
  </si>
  <si>
    <t>VOLCAMIENTO</t>
  </si>
  <si>
    <t>CAMPERO</t>
  </si>
  <si>
    <t>NO SE ESPECIFICA EN EL REPORTE POLICIAL</t>
  </si>
  <si>
    <t>INFORME DE ACCIDENTALIDAD MES DE NOVIEMBRE</t>
  </si>
  <si>
    <t>INFORME DE ACCIDENTALIDAD MES DE DICIEMBRE</t>
  </si>
  <si>
    <t>Actualizacion permanente directorio de emergencia</t>
  </si>
  <si>
    <t>APUS II - 2020</t>
  </si>
  <si>
    <t>NO SE EJECUTO ACTIVIDAD EN ESTE PERIODO</t>
  </si>
  <si>
    <t>Se realizo interventoria a los contratos de de mantenimiento rutinario cooperativas de trabajo Ortega y Saldaña</t>
  </si>
  <si>
    <t>no se realizo esta actividad en este periodo</t>
  </si>
  <si>
    <t xml:space="preserve">Pintura de resaltos </t>
  </si>
  <si>
    <t>3108063596; 3144828013</t>
  </si>
  <si>
    <t>10 DIAS</t>
  </si>
  <si>
    <t>RUTA 3603 ORTEGA - GUAMO, PR 9+500 - ROCERIA Y DESMONTE MANUAL</t>
  </si>
  <si>
    <t>RUTA 3603 ORTEGA - GUAMO, PR 10+500 - ROCERIA Y DESMONTE MANUAL</t>
  </si>
  <si>
    <t>RUTA 3603 ORTEGA - GUAMO, PR 2+0450 - CONTROL TRAFICO PARCHEO</t>
  </si>
  <si>
    <t>RUTA 3603 ORTEGA - GUAMO, PR 2+0500 - PARCHEO</t>
  </si>
  <si>
    <t>RUTA 4507 PASO NAL POR GUAMO, PR 24+0060 - LIMPIEZA PUENTE CARACOLI</t>
  </si>
  <si>
    <t>RUTA 4507 PASO NAL POR GUAMO, PR 25+0300 - LIMPIEZA DE PUENTE LEMAYA</t>
  </si>
  <si>
    <t>RUTA 3603 CHAPARRAL - ORTEGA, PR 41+0000 - ROCERIA Y DESMONTE MANUAL</t>
  </si>
  <si>
    <t>RUTA 3603 CHAPARRAL - ORTEGA, PR 42+0300 - ROCERIA Y DESMONTE MANUAL</t>
  </si>
  <si>
    <t>RUTA 3603 CHAPARRAL - ORTEGA, PR 32+0000 - LIMPIEZA DE CUNETAS</t>
  </si>
  <si>
    <t>RUTA 3603 CHAPARRAL - ORTEGA, PR 44+0200 - LIMPIEZA DE CUNETAS</t>
  </si>
  <si>
    <t>RUTA 3603 CHAPARRAL - ORTEGA, PR 1+0700 - PARCHEO</t>
  </si>
  <si>
    <t>RUTA 3603 CHAPARRAL - ORTEGA, PR 7+0500 - PARCHEO</t>
  </si>
  <si>
    <t>RUTA 3603 CHAPARRAL - ORTEGA, PR 15+0900 - PODA, CORTE Y/O RETIRO DE ARBLOLES</t>
  </si>
  <si>
    <t>RUTA 3603 CHAPARRAL - ORTEGA, PR 18+0200 - PODA, CORTE Y/O RETIRO DE ARBOLES</t>
  </si>
  <si>
    <t>RUTA 3603 ORTEGA - GUAMO, PR 34+0700 - RECOLECCION DE BASURA</t>
  </si>
  <si>
    <t>RUTA 3603 ORTEGA - GUAMO, PR 35+0400 - RECOLECCION DE BASURA</t>
  </si>
  <si>
    <t>RUTA 3603 ORTEGA - GUAMO, PR  0+0500 -PINTURA DE MUROS, CABEZOTES ALCANTARILLAS BOX Y PUENTES</t>
  </si>
  <si>
    <t>RUTA 3603 ORTEGA - GUAMO, PR 3+0350 - ROCERIA Y DESMONTE MANULAL</t>
  </si>
  <si>
    <t>RUTA 3603 ORTEGA - GUAMO, PR 5+0100 - ROCERIA Y DESMONTE MANULAL</t>
  </si>
  <si>
    <t>RUTA 3603 ORTEGA - GUAMO, PR 20+0000 - MANTENIMIENTO DE PONTONES Y ALCANTARILLAS</t>
  </si>
  <si>
    <t>RUTA 3603 ORTEGA - GUAMO, PR 22+350 - MANTENIMIENTO DE PONTONES Y ALCANTARILLAS</t>
  </si>
  <si>
    <t>RUTA 3603 ORTEGA - GUAMO, PR 10+0100 -PINTURA DE CABEZOTES Y BARANDAS PONTONES Y ALCANTARILLAS</t>
  </si>
  <si>
    <t>RUTA 3603 ORTEGA - GUAMO, PR 12+0300 -PINTURA DE CABEZOTES Y BARANDAS PONTONES Y ALCANTARILLAS</t>
  </si>
  <si>
    <t>RUTA 3602 CHAPARRAL - ORTEGA, PR 35+0000 - PINTURA DE CABEZOTES Y BARANDAS PONTONES Y ALCANTARILLAS</t>
  </si>
  <si>
    <t>RUTA 3602 CHAPARRAL - ORTEGA, PR 44+0450 - ROCERIA Y DESMONTE MANUAL</t>
  </si>
  <si>
    <t>RUTA 3602 CHAPARRAL - ORTEGA, PR 46+0900 - ROCERIA Y DESMONTE MANUAL</t>
  </si>
  <si>
    <t>RUTA 3603 ORTEGA - GUAMO, PR 3+0250 - LIMPIEZA DE ENCOLES Y DESCOLES</t>
  </si>
  <si>
    <t>RUTA 3603 ORTEGA - GUAMO, PR 3+0260 - LIMPIEZA DE ENCOLES Y DESCOLES</t>
  </si>
  <si>
    <t>RUTA 3602 ORTEGA - GUAMO, PR 33+0600 - ABSCISADO DE CABEZOTES Y SEÑALES VERTICALES</t>
  </si>
  <si>
    <t>RUTA 3602 ORTEGA - GUAMO, PR 39+0000 - ABSCISADO DE CABEZOTES Y SEÑALES VERTICALES</t>
  </si>
  <si>
    <t>RUTA 3602 CHAPARRAL, PR 37+0900 - PINTURA DE RESALTOS</t>
  </si>
  <si>
    <t>RUTA 3602 CHAPARRAL - ORTEGA, PR 13+0420 - RETIRO DE PEQUEÑOS DERRUMBES</t>
  </si>
  <si>
    <t>RUTA 3602 CHAPARRAL - ORTEGA, PR 12+0800 - LIMPIEZA DE CUNETAS</t>
  </si>
  <si>
    <t>RUTA 4507 PASO NAL POR EL ESPINAL, PR 43+0400 - PINTURA DE REDUCTORES</t>
  </si>
  <si>
    <t>RUTA 4507 PASO NAL POR GUAMO, PR 26+0850 - PINTURA DE REDUCTORES</t>
  </si>
  <si>
    <t>RUTA 4507 PASO NAL POR GUAMO, PR 26+0080 - PINTURA DE REDUCTORES</t>
  </si>
  <si>
    <t>Durante los meses evaluados se realizaron las actividades de mantenimiento rutinario en las carreteras a cargo de la Administración vial, cumpliendo con lo programado y  realizando la entrega de los diferentes informes requeridos por el Instituto Nacional de Vías INVIAS.</t>
  </si>
  <si>
    <t>Se realiza la atencion de emergencia presentada el dia 25/12/2020 de la ruta 4507 Paso Nal Por El Espinal por caida de arboles despues de presentarse una fuerte lluvia, se realiza controlde trafico y despeje de via.</t>
  </si>
  <si>
    <t xml:space="preserve">Teniendo en cuenta que de la totalidad del Tramo Ortega Guamo, solo estan en mal estado 3 KM, se deben destinar los recursos para la rehabilitacion en este tramo faltante entre el PR 2+0200 al PR 5+0000. con el fin de garantizar un mayor confort a los usuarios.  </t>
  </si>
  <si>
    <t xml:space="preserve">En consecuencia con el incremento de la velocidad de operación para el Tramo Chapàrral - Ortega - Guamo, se debe continuar con la politica de una mayor inversion en obras de señalizacion y seguridad vial, con el fin de prevenir al maximo la ocurrencia de algun accidente de transito por causas propias de las condiciones viales.  </t>
  </si>
  <si>
    <t xml:space="preserve">Se debe priorizar una rehabilitacion al Tramo 3602 Chaparral Ortega entre el PR41+000 al PR43+0300, obedeciendo a los hundimientos existentes y el alto riego de accidentalidad por tratarse de un alineamiento construido en terraplen. </t>
  </si>
  <si>
    <t>Teniendo en cuenta la socavacion existente en el talud inferior de la carretera Ortega - Guamo PR4+0720, se hace necesario contar con los estudios hidraulicos para evitar la continua erosion que amenaza con perdida de banca, o bien evaluar la propuesta de construccion de bolsacretos presentada por esta AMV bajo el radicado No.  9926 del 11/02/2020.</t>
  </si>
  <si>
    <t>Es necesario realizar los estudios y diseños para la intervención y estabilizacion del talud  ubicado en el PR14+0900 al PR15+0400 vía Chaparral – Ortega Ruta 3602, ya que en este sector los derumbes se presentran de manera constante caida de rocas de gran tamaño, las cuales no solo ocasionan el cierre de la via si no que a generado daños materiales a vehiculos y a cobrado la vida de 2 usuarios de la carretera.</t>
  </si>
  <si>
    <t xml:space="preserve">GUAMO, 09/OCTUBRE/2020 </t>
  </si>
  <si>
    <t>TEMA: INSPECCION Y MANTENIMIENTO DE PUENTES Y PONTONES</t>
  </si>
  <si>
    <t>Inspeccion y mantenimiento de puentes y pontones</t>
  </si>
  <si>
    <t>Elementos y equipos necesarios para la inspeccion</t>
  </si>
  <si>
    <t>Componentes del Puente</t>
  </si>
  <si>
    <t>Aspectos a tener en cuenta en la inspeccion de puentes y pontones</t>
  </si>
  <si>
    <t>Superficie del puente y acceso</t>
  </si>
  <si>
    <t>Juntas de expansion</t>
  </si>
  <si>
    <t>Andenes y bordillos</t>
  </si>
  <si>
    <t>Iluminacion</t>
  </si>
  <si>
    <t>Señalizacion</t>
  </si>
  <si>
    <t>Apoyos</t>
  </si>
  <si>
    <t>Aletas y estribos</t>
  </si>
  <si>
    <t>Daños Tipicos en los Puentes</t>
  </si>
  <si>
    <t>Otros.</t>
  </si>
  <si>
    <t>cuyo tema tratado fue: Inspeccion y mantenimiento de puentes y pontones, dados que el personal</t>
  </si>
  <si>
    <t xml:space="preserve">de las cooperativas de trabajo se encuentran de manera diaria en campo realizando labores de </t>
  </si>
  <si>
    <t>mantenimiento de puentes se realiza la capacitacion enfatizando en la inspeccion visual, para poder</t>
  </si>
  <si>
    <t>detectar una posible falla en los mismo y realizar las respectivas estudios necesarios, se les explica</t>
  </si>
  <si>
    <t>los componentes de los puentes y pontos y sus diferencias.</t>
  </si>
  <si>
    <t>GUAMO, 04/NOVIEMBRE/2020</t>
  </si>
  <si>
    <t>TEMA: COOPERATIVISMO</t>
  </si>
  <si>
    <t>Que es una cooperativa</t>
  </si>
  <si>
    <t>El cooperativismo y su historia</t>
  </si>
  <si>
    <t>A donde apunta el cooperativismo?</t>
  </si>
  <si>
    <t>Valores cooperativos</t>
  </si>
  <si>
    <t>Diferencia entre empresa capitalista y empresa cooperativa</t>
  </si>
  <si>
    <t>Tipos y clases de cooperativas</t>
  </si>
  <si>
    <t>Principios del Cooperativismo</t>
  </si>
  <si>
    <t>Cooperativa y Precoperativa de trabajo asociado</t>
  </si>
  <si>
    <t>Legislacion que rige a las cooperativas de trabajo asociado</t>
  </si>
  <si>
    <t>Un trabajador asociado tiene derecho al pago de salario?</t>
  </si>
  <si>
    <t>Organigrama de las cooperativas</t>
  </si>
  <si>
    <t>Que es una compensacion Ordinaria</t>
  </si>
  <si>
    <t>Se puede despedir un asociado estando en incapacidad?</t>
  </si>
  <si>
    <t>Quien vigila las cooperativas de trabajo asociado</t>
  </si>
  <si>
    <t xml:space="preserve">cuyo tema tratado fue: Salud ocupacional, donde se les explica a los trabajadores todo lo </t>
  </si>
  <si>
    <t>relacionado al cooperativismo, demostra a todos los asociados que se tiene deberes y derechos</t>
  </si>
  <si>
    <t xml:space="preserve">dentro de la conformacion de la cooperativa, y se enfatiza que las cooperativas se encuentran </t>
  </si>
  <si>
    <t>vigilados y dentro de las leyes colombianas.</t>
  </si>
  <si>
    <t>Que debo hacer en caso de un accidente</t>
  </si>
  <si>
    <t>Interrogatorio y observaciones de lecciones</t>
  </si>
  <si>
    <t>Si esta Consiente?</t>
  </si>
  <si>
    <t>Si no esta Consiente</t>
  </si>
  <si>
    <t>Revision de lecciones</t>
  </si>
  <si>
    <t>Valoracion de signos vitales</t>
  </si>
  <si>
    <t>Que debo hacer en caso de una herida</t>
  </si>
  <si>
    <t>Como controlar la hemorragia</t>
  </si>
  <si>
    <t>Que debo hacer en caso de fractura</t>
  </si>
  <si>
    <t>Que debo hacer encaso de quemadura</t>
  </si>
  <si>
    <t>Que debo hacer en caso de atragantamiento.</t>
  </si>
  <si>
    <t xml:space="preserve">TEMA: PRIMERO AUXILIOS BASICO
</t>
  </si>
  <si>
    <t xml:space="preserve">cuyo tema tratado fue: primero auxilios basicos, se da explicacion de que se debe hacer </t>
  </si>
  <si>
    <t xml:space="preserve">o actuar en caso de presentarse un accidente de trabajo o en algunos casos con los </t>
  </si>
  <si>
    <t>usuarios de la via, se presentan de manera didactica con videos y de forma explicita las</t>
  </si>
  <si>
    <t>maneras de reaccionar y de actuar en caso de un accidente.</t>
  </si>
  <si>
    <t>GUAMO, 10/DICIEMBRE/2020</t>
  </si>
  <si>
    <t>ENERO 2020</t>
  </si>
  <si>
    <t>FEBRERO 2020</t>
  </si>
  <si>
    <t>MARZO 2020</t>
  </si>
  <si>
    <t>ABRIL 2020</t>
  </si>
  <si>
    <t>MAYO 2020</t>
  </si>
  <si>
    <t>JUNIO 2020</t>
  </si>
  <si>
    <t>JULIO 2020</t>
  </si>
  <si>
    <t>AGOSTO 2020</t>
  </si>
  <si>
    <t>SEPTIEMBRE 2020</t>
  </si>
  <si>
    <t>OCTUBRE 2020</t>
  </si>
  <si>
    <t>NOVIEMBRE 2020</t>
  </si>
  <si>
    <t>DICIEMBRE 2020</t>
  </si>
  <si>
    <t>Version No 2  DE FECHA: 23/03/2021</t>
  </si>
  <si>
    <t>Guamo, Marzo 23 de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</si>
</sst>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9">
    <numFmt numFmtId="42" formatCode="_-&quot;$&quot;\ * #,##0_-;\-&quot;$&quot;\ * #,##0_-;_-&quot;$&quot;\ * &quot;-&quot;_-;_-@_-"/>
    <numFmt numFmtId="164" formatCode="_(&quot;$&quot;\ * #,##0.00_);_(&quot;$&quot;\ * \(#,##0.00\);_(&quot;$&quot;\ * &quot;-&quot;??_);_(@_)"/>
    <numFmt numFmtId="165" formatCode="_(* #,##0.00_);_(* \(#,##0.00\);_(* &quot;-&quot;??_);_(@_)"/>
    <numFmt numFmtId="166" formatCode="_ &quot;$&quot;\ * #,##0.00_ ;_ &quot;$&quot;\ * \-#,##0.00_ ;_ &quot;$&quot;\ * &quot;-&quot;??_ ;_ @_ "/>
    <numFmt numFmtId="167" formatCode="_ * #,##0.00_ ;_ * \-#,##0.00_ ;_ * &quot;-&quot;??_ ;_ @_ "/>
    <numFmt numFmtId="168" formatCode="_(&quot;$&quot;* #,##0_);_(&quot;$&quot;* \(#,##0\);_(&quot;$&quot;* &quot;-&quot;_);_(@_)"/>
    <numFmt numFmtId="169" formatCode="_(* #,##0_);_(* \(#,##0\);_(* &quot;-&quot;??_);_(@_)"/>
    <numFmt numFmtId="170" formatCode="0.000"/>
    <numFmt numFmtId="171" formatCode="0.0"/>
    <numFmt numFmtId="172" formatCode="0.000000"/>
    <numFmt numFmtId="173" formatCode="0.0000"/>
    <numFmt numFmtId="174" formatCode="_ [$€-2]\ * #,##0.00_ ;_ [$€-2]\ * \-#,##0.00_ ;_ [$€-2]\ * &quot;-&quot;??_ "/>
    <numFmt numFmtId="175" formatCode="[$$-500A]\ #,##0.00"/>
    <numFmt numFmtId="176" formatCode="#,##0.000"/>
    <numFmt numFmtId="177" formatCode="[$-C0A]dd\-mmm\-yy;@"/>
    <numFmt numFmtId="178" formatCode="[$-409]h:mm\ AM/PM;@"/>
    <numFmt numFmtId="179" formatCode="0.0%"/>
    <numFmt numFmtId="180" formatCode="#,##0.0"/>
    <numFmt numFmtId="181" formatCode="&quot;$&quot;#,##0.00"/>
    <numFmt numFmtId="182" formatCode="[$-F800]dddd\,\ mmmm\ dd\,\ yyyy"/>
    <numFmt numFmtId="183" formatCode="_-[$$-240A]\ * #,##0.00_ ;_-[$$-240A]\ * \-#,##0.00\ ;_-[$$-240A]\ * &quot;-&quot;??_ ;_-@_ "/>
    <numFmt numFmtId="184" formatCode="_-[$$-240A]* #,##0.00_-;\-[$$-240A]* #,##0.00_-;_-[$$-240A]* &quot;-&quot;??_-;_-@_-"/>
    <numFmt numFmtId="185" formatCode="dd/mm/yyyy;@"/>
    <numFmt numFmtId="186" formatCode="[$-F400]h:mm:ss\ AM/PM"/>
    <numFmt numFmtId="187" formatCode="_-[$$-240A]* #,##0.00_-;\-[$$-240A]* #,##0.00_-;_-[$$-240A]* &quot;-&quot;??_-;_-@"/>
    <numFmt numFmtId="188" formatCode="_-* #,##0.00\ _€_-;\-* #,##0.00\ _€_-;_-* &quot;-&quot;??\ _€_-;_-@"/>
    <numFmt numFmtId="189" formatCode="&quot;$&quot;\ #,##0"/>
    <numFmt numFmtId="190" formatCode="_-[$$-240A]\ * #,##0.00_-;\-[$$-240A]\ * #,##0.00_-;_-[$$-240A]\ * &quot;-&quot;??_-;_-@"/>
    <numFmt numFmtId="191" formatCode="_-[$$-240A]* #,##0_-;\-[$$-240A]* #,##0_-;_-[$$-240A]* &quot;-&quot;??_-;_-@"/>
  </numFmts>
  <fonts count="140">
    <font>
      <sz val="10"/>
      <name val="Arial"/>
    </font>
    <font>
      <b/>
      <sz val="10"/>
      <name val="Arial"/>
      <family val="2"/>
    </font>
    <font>
      <sz val="10"/>
      <name val="Arial"/>
      <family val="2"/>
    </font>
    <font>
      <sz val="8"/>
      <name val="Arial"/>
      <family val="2"/>
    </font>
    <font>
      <sz val="8"/>
      <name val="Arial"/>
      <family val="2"/>
    </font>
    <font>
      <b/>
      <sz val="11"/>
      <name val="Arial"/>
      <family val="2"/>
    </font>
    <font>
      <sz val="10"/>
      <color indexed="10"/>
      <name val="Arial"/>
      <family val="2"/>
    </font>
    <font>
      <b/>
      <sz val="12"/>
      <name val="Arial"/>
      <family val="2"/>
    </font>
    <font>
      <sz val="10"/>
      <color indexed="8"/>
      <name val="Arial"/>
      <family val="2"/>
    </font>
    <font>
      <b/>
      <sz val="10"/>
      <color indexed="8"/>
      <name val="Arial"/>
      <family val="2"/>
    </font>
    <font>
      <sz val="10"/>
      <color indexed="12"/>
      <name val="Arial"/>
      <family val="2"/>
    </font>
    <font>
      <b/>
      <sz val="10"/>
      <color indexed="12"/>
      <name val="Arial"/>
      <family val="2"/>
    </font>
    <font>
      <b/>
      <sz val="10"/>
      <color indexed="10"/>
      <name val="Arial"/>
      <family val="2"/>
    </font>
    <font>
      <sz val="10"/>
      <color indexed="48"/>
      <name val="Arial"/>
      <family val="2"/>
    </font>
    <font>
      <b/>
      <sz val="14"/>
      <color indexed="48"/>
      <name val="Arial"/>
      <family val="2"/>
    </font>
    <font>
      <b/>
      <sz val="10"/>
      <color indexed="48"/>
      <name val="Arial"/>
      <family val="2"/>
    </font>
    <font>
      <b/>
      <sz val="14"/>
      <color indexed="8"/>
      <name val="Arial"/>
      <family val="2"/>
    </font>
    <font>
      <b/>
      <sz val="8"/>
      <color indexed="8"/>
      <name val="Arial"/>
      <family val="2"/>
    </font>
    <font>
      <sz val="9"/>
      <color indexed="8"/>
      <name val="Arial"/>
      <family val="2"/>
    </font>
    <font>
      <b/>
      <sz val="11"/>
      <color indexed="8"/>
      <name val="Arial"/>
      <family val="2"/>
    </font>
    <font>
      <b/>
      <sz val="16"/>
      <name val="Arial"/>
      <family val="2"/>
    </font>
    <font>
      <sz val="9"/>
      <name val="Arial"/>
      <family val="2"/>
    </font>
    <font>
      <b/>
      <sz val="14"/>
      <name val="Arial"/>
      <family val="2"/>
    </font>
    <font>
      <b/>
      <sz val="9"/>
      <color indexed="8"/>
      <name val="Arial"/>
      <family val="2"/>
    </font>
    <font>
      <b/>
      <i/>
      <sz val="10"/>
      <name val="Arial"/>
      <family val="2"/>
    </font>
    <font>
      <sz val="10"/>
      <name val="Arial"/>
      <family val="2"/>
    </font>
    <font>
      <b/>
      <sz val="9"/>
      <name val="Arial"/>
      <family val="2"/>
    </font>
    <font>
      <b/>
      <sz val="9"/>
      <name val="Arial"/>
      <family val="2"/>
    </font>
    <font>
      <sz val="9"/>
      <name val="Arial"/>
      <family val="2"/>
    </font>
    <font>
      <i/>
      <sz val="8"/>
      <name val="Times New Roman"/>
      <family val="1"/>
    </font>
    <font>
      <sz val="6"/>
      <name val="Arial"/>
      <family val="2"/>
    </font>
    <font>
      <b/>
      <sz val="10"/>
      <name val="Arial"/>
      <family val="2"/>
    </font>
    <font>
      <b/>
      <sz val="8"/>
      <name val="Arial"/>
      <family val="2"/>
    </font>
    <font>
      <b/>
      <sz val="8"/>
      <name val="Arial"/>
      <family val="2"/>
    </font>
    <font>
      <sz val="7"/>
      <name val="Arial"/>
      <family val="2"/>
    </font>
    <font>
      <b/>
      <sz val="10"/>
      <color indexed="23"/>
      <name val="Arial"/>
      <family val="2"/>
    </font>
    <font>
      <b/>
      <sz val="14"/>
      <color indexed="23"/>
      <name val="Arial"/>
      <family val="2"/>
    </font>
    <font>
      <b/>
      <i/>
      <sz val="12"/>
      <name val="Arial"/>
      <family val="2"/>
    </font>
    <font>
      <b/>
      <sz val="18"/>
      <color indexed="8"/>
      <name val="Arial"/>
      <family val="2"/>
    </font>
    <font>
      <b/>
      <sz val="10"/>
      <color indexed="8"/>
      <name val="Arial"/>
      <family val="2"/>
    </font>
    <font>
      <b/>
      <sz val="12"/>
      <name val="Arial"/>
      <family val="2"/>
    </font>
    <font>
      <sz val="12"/>
      <name val="Arial"/>
      <family val="2"/>
    </font>
    <font>
      <b/>
      <sz val="18"/>
      <name val="Arial"/>
      <family val="2"/>
    </font>
    <font>
      <b/>
      <sz val="14"/>
      <name val="Arial"/>
      <family val="2"/>
    </font>
    <font>
      <sz val="10"/>
      <color indexed="17"/>
      <name val="Arial"/>
      <family val="2"/>
    </font>
    <font>
      <sz val="16"/>
      <name val="Arial"/>
      <family val="2"/>
    </font>
    <font>
      <b/>
      <sz val="18"/>
      <name val="Arial"/>
      <family val="2"/>
    </font>
    <font>
      <sz val="10"/>
      <color indexed="11"/>
      <name val="Arial"/>
      <family val="2"/>
    </font>
    <font>
      <b/>
      <sz val="12"/>
      <color indexed="8"/>
      <name val="Arial"/>
      <family val="2"/>
    </font>
    <font>
      <sz val="12"/>
      <color indexed="12"/>
      <name val="Arial"/>
      <family val="2"/>
    </font>
    <font>
      <b/>
      <sz val="7"/>
      <name val="Arial"/>
      <family val="2"/>
    </font>
    <font>
      <b/>
      <sz val="6"/>
      <name val="Arial"/>
      <family val="2"/>
    </font>
    <font>
      <sz val="11"/>
      <name val="Arial"/>
      <family val="2"/>
    </font>
    <font>
      <sz val="18"/>
      <name val="Arial"/>
      <family val="2"/>
    </font>
    <font>
      <b/>
      <sz val="16"/>
      <name val="Arial"/>
      <family val="2"/>
    </font>
    <font>
      <sz val="12"/>
      <color indexed="8"/>
      <name val="Calibri"/>
      <family val="2"/>
    </font>
    <font>
      <b/>
      <sz val="26"/>
      <name val="Aharoni"/>
      <charset val="177"/>
    </font>
    <font>
      <sz val="11"/>
      <color indexed="8"/>
      <name val="Calibri"/>
      <family val="2"/>
    </font>
    <font>
      <sz val="11"/>
      <color indexed="9"/>
      <name val="Calibri"/>
      <family val="2"/>
    </font>
    <font>
      <sz val="11"/>
      <color indexed="17"/>
      <name val="Calibri"/>
      <family val="2"/>
    </font>
    <font>
      <b/>
      <sz val="11"/>
      <color indexed="9"/>
      <name val="Calibri"/>
      <family val="2"/>
    </font>
    <font>
      <sz val="11"/>
      <color indexed="10"/>
      <name val="Calibri"/>
      <family val="2"/>
    </font>
    <font>
      <sz val="11"/>
      <color indexed="62"/>
      <name val="Calibri"/>
      <family val="2"/>
    </font>
    <font>
      <u/>
      <sz val="10"/>
      <color indexed="12"/>
      <name val="Arial"/>
      <family val="2"/>
    </font>
    <font>
      <sz val="11"/>
      <color indexed="20"/>
      <name val="Calibri"/>
      <family val="2"/>
    </font>
    <font>
      <b/>
      <sz val="11"/>
      <color indexed="63"/>
      <name val="Calibri"/>
      <family val="2"/>
    </font>
    <font>
      <i/>
      <sz val="11"/>
      <color indexed="23"/>
      <name val="Calibri"/>
      <family val="2"/>
    </font>
    <font>
      <b/>
      <sz val="11"/>
      <color indexed="8"/>
      <name val="Calibri"/>
      <family val="2"/>
    </font>
    <font>
      <sz val="12"/>
      <name val="Times New Roman"/>
      <family val="1"/>
    </font>
    <font>
      <sz val="10"/>
      <name val="Times New Roman"/>
      <family val="1"/>
    </font>
    <font>
      <u/>
      <sz val="7.5"/>
      <color indexed="12"/>
      <name val="Arial"/>
      <family val="2"/>
    </font>
    <font>
      <sz val="5"/>
      <name val="Arial"/>
      <family val="2"/>
    </font>
    <font>
      <sz val="12"/>
      <color indexed="10"/>
      <name val="Arial"/>
      <family val="2"/>
    </font>
    <font>
      <sz val="12"/>
      <color indexed="10"/>
      <name val="Arial"/>
      <family val="2"/>
    </font>
    <font>
      <sz val="4"/>
      <name val="Arial"/>
      <family val="2"/>
    </font>
    <font>
      <b/>
      <sz val="11"/>
      <color indexed="52"/>
      <name val="Calibri"/>
      <family val="2"/>
    </font>
    <font>
      <sz val="11"/>
      <color indexed="52"/>
      <name val="Calibri"/>
      <family val="2"/>
    </font>
    <font>
      <b/>
      <sz val="11"/>
      <color indexed="56"/>
      <name val="Calibri"/>
      <family val="2"/>
    </font>
    <font>
      <sz val="12"/>
      <name val="Courier"/>
      <family val="3"/>
    </font>
    <font>
      <sz val="1"/>
      <color indexed="8"/>
      <name val="Courier"/>
      <family val="3"/>
    </font>
    <font>
      <i/>
      <sz val="1"/>
      <color indexed="8"/>
      <name val="Courier"/>
      <family val="3"/>
    </font>
    <font>
      <sz val="11"/>
      <color indexed="60"/>
      <name val="Calibri"/>
      <family val="2"/>
    </font>
    <font>
      <b/>
      <sz val="15"/>
      <color indexed="56"/>
      <name val="Calibri"/>
      <family val="2"/>
    </font>
    <font>
      <b/>
      <sz val="13"/>
      <color indexed="56"/>
      <name val="Calibri"/>
      <family val="2"/>
    </font>
    <font>
      <b/>
      <sz val="18"/>
      <color indexed="56"/>
      <name val="Cambria"/>
      <family val="2"/>
    </font>
    <font>
      <b/>
      <sz val="16"/>
      <name val="Times New Roman"/>
      <family val="1"/>
    </font>
    <font>
      <sz val="14"/>
      <name val="Arial"/>
      <family val="2"/>
    </font>
    <font>
      <sz val="8"/>
      <color indexed="8"/>
      <name val="Arial"/>
      <family val="2"/>
    </font>
    <font>
      <sz val="8"/>
      <color indexed="12"/>
      <name val="Arial"/>
      <family val="2"/>
    </font>
    <font>
      <sz val="11"/>
      <color theme="1"/>
      <name val="Calibri"/>
      <family val="2"/>
      <scheme val="minor"/>
    </font>
    <font>
      <u/>
      <sz val="10"/>
      <color theme="10"/>
      <name val="Arial"/>
      <family val="2"/>
    </font>
    <font>
      <b/>
      <i/>
      <u/>
      <sz val="10"/>
      <color theme="10"/>
      <name val="Arial"/>
      <family val="2"/>
    </font>
    <font>
      <sz val="9"/>
      <color rgb="FFFF0000"/>
      <name val="Arial"/>
      <family val="2"/>
    </font>
    <font>
      <sz val="12"/>
      <color rgb="FFFF0000"/>
      <name val="Arial"/>
      <family val="2"/>
    </font>
    <font>
      <sz val="12"/>
      <color rgb="FF00FF00"/>
      <name val="Arial"/>
      <family val="2"/>
    </font>
    <font>
      <b/>
      <sz val="10"/>
      <color rgb="FFCCFFCC"/>
      <name val="Times New Roman"/>
      <family val="1"/>
    </font>
    <font>
      <b/>
      <sz val="10"/>
      <color rgb="FF006600"/>
      <name val="Times New Roman"/>
      <family val="1"/>
    </font>
    <font>
      <b/>
      <sz val="10"/>
      <color rgb="FFFFFF00"/>
      <name val="Times New Roman"/>
      <family val="1"/>
    </font>
    <font>
      <b/>
      <sz val="10"/>
      <color rgb="FFFF0000"/>
      <name val="Times New Roman"/>
      <family val="1"/>
    </font>
    <font>
      <b/>
      <sz val="10"/>
      <color rgb="FFFF6600"/>
      <name val="Times New Roman"/>
      <family val="1"/>
    </font>
    <font>
      <b/>
      <sz val="10"/>
      <color rgb="FFFF0000"/>
      <name val="Arial"/>
      <family val="2"/>
    </font>
    <font>
      <sz val="11"/>
      <color rgb="FFFF0000"/>
      <name val="Arial"/>
      <family val="2"/>
    </font>
    <font>
      <sz val="10"/>
      <color theme="0"/>
      <name val="Arial"/>
      <family val="2"/>
    </font>
    <font>
      <sz val="10"/>
      <color theme="1"/>
      <name val="Arial"/>
      <family val="2"/>
    </font>
    <font>
      <sz val="10"/>
      <name val="Arial Narrow"/>
      <family val="2"/>
    </font>
    <font>
      <sz val="10"/>
      <color theme="1"/>
      <name val="Arial Narrow"/>
      <family val="2"/>
    </font>
    <font>
      <b/>
      <sz val="10"/>
      <color theme="1"/>
      <name val="Arial"/>
      <family val="2"/>
    </font>
    <font>
      <sz val="9"/>
      <color indexed="12"/>
      <name val="Arial"/>
      <family val="2"/>
    </font>
    <font>
      <sz val="10"/>
      <color rgb="FFFF0000"/>
      <name val="Arial"/>
      <family val="2"/>
    </font>
    <font>
      <b/>
      <sz val="10"/>
      <color rgb="FF000000"/>
      <name val="Arial"/>
      <family val="2"/>
    </font>
    <font>
      <sz val="10"/>
      <color rgb="FF0000FF"/>
      <name val="Arial"/>
      <family val="2"/>
    </font>
    <font>
      <sz val="11"/>
      <color theme="1"/>
      <name val="Arial"/>
      <family val="2"/>
    </font>
    <font>
      <b/>
      <sz val="11"/>
      <color theme="1"/>
      <name val="Arial"/>
      <family val="2"/>
    </font>
    <font>
      <b/>
      <sz val="10"/>
      <color theme="1"/>
      <name val="Arial Narrow"/>
      <family val="2"/>
    </font>
    <font>
      <b/>
      <sz val="11"/>
      <color theme="1"/>
      <name val="Calibri"/>
      <family val="2"/>
    </font>
    <font>
      <sz val="10"/>
      <color theme="1"/>
      <name val="Calibri"/>
      <family val="2"/>
    </font>
    <font>
      <b/>
      <sz val="9"/>
      <color theme="1"/>
      <name val="Arial Narrow"/>
      <family val="2"/>
    </font>
    <font>
      <b/>
      <sz val="6"/>
      <color theme="1"/>
      <name val="Arial"/>
      <family val="2"/>
    </font>
    <font>
      <b/>
      <sz val="18"/>
      <color rgb="FF000000"/>
      <name val="Arial"/>
      <family val="2"/>
    </font>
    <font>
      <b/>
      <sz val="14"/>
      <color rgb="FF000000"/>
      <name val="Arial"/>
      <family val="2"/>
    </font>
    <font>
      <b/>
      <sz val="12"/>
      <color rgb="FF000000"/>
      <name val="Arial"/>
      <family val="2"/>
    </font>
    <font>
      <b/>
      <sz val="9"/>
      <color rgb="FF000000"/>
      <name val="Arial"/>
      <family val="2"/>
    </font>
    <font>
      <sz val="9"/>
      <color rgb="FF000000"/>
      <name val="Arial"/>
      <family val="2"/>
    </font>
    <font>
      <b/>
      <sz val="9"/>
      <color theme="1"/>
      <name val="Arial"/>
      <family val="2"/>
    </font>
    <font>
      <sz val="10"/>
      <color theme="1"/>
      <name val="Century Gothic"/>
      <family val="2"/>
    </font>
    <font>
      <sz val="12"/>
      <color theme="1"/>
      <name val="Arial"/>
      <family val="2"/>
    </font>
    <font>
      <sz val="9"/>
      <color theme="1"/>
      <name val="Arial"/>
      <family val="2"/>
    </font>
    <font>
      <b/>
      <sz val="14"/>
      <color theme="1"/>
      <name val="Arial"/>
      <family val="2"/>
    </font>
    <font>
      <b/>
      <sz val="12"/>
      <color theme="1"/>
      <name val="Arial"/>
      <family val="2"/>
    </font>
    <font>
      <sz val="8"/>
      <color theme="1"/>
      <name val="Arial"/>
      <family val="2"/>
    </font>
    <font>
      <b/>
      <i/>
      <sz val="11"/>
      <color theme="1"/>
      <name val="Arial"/>
      <family val="2"/>
    </font>
    <font>
      <b/>
      <sz val="18"/>
      <color theme="1"/>
      <name val="Arial"/>
      <family val="2"/>
    </font>
    <font>
      <b/>
      <sz val="8"/>
      <color theme="1"/>
      <name val="Arial"/>
      <family val="2"/>
    </font>
    <font>
      <b/>
      <sz val="7"/>
      <color theme="1"/>
      <name val="Arial"/>
      <family val="2"/>
    </font>
    <font>
      <sz val="7"/>
      <color theme="1"/>
      <name val="Arial"/>
      <family val="2"/>
    </font>
    <font>
      <sz val="10"/>
      <color rgb="FF3366FF"/>
      <name val="Arial"/>
      <family val="2"/>
    </font>
    <font>
      <b/>
      <sz val="10"/>
      <color rgb="FF3366FF"/>
      <name val="Arial"/>
      <family val="2"/>
    </font>
    <font>
      <b/>
      <sz val="16"/>
      <color theme="1"/>
      <name val="Arial"/>
      <family val="2"/>
    </font>
    <font>
      <sz val="14"/>
      <color theme="1"/>
      <name val="Arial"/>
      <family val="2"/>
    </font>
    <font>
      <sz val="11"/>
      <color rgb="FF9C6500"/>
      <name val="Calibri"/>
      <family val="2"/>
      <scheme val="minor"/>
    </font>
  </fonts>
  <fills count="57">
    <fill>
      <patternFill patternType="none"/>
    </fill>
    <fill>
      <patternFill patternType="gray125"/>
    </fill>
    <fill>
      <patternFill patternType="solid">
        <fgColor indexed="44"/>
      </patternFill>
    </fill>
    <fill>
      <patternFill patternType="solid">
        <fgColor indexed="31"/>
      </patternFill>
    </fill>
    <fill>
      <patternFill patternType="solid">
        <fgColor indexed="29"/>
      </patternFill>
    </fill>
    <fill>
      <patternFill patternType="solid">
        <fgColor indexed="45"/>
      </patternFill>
    </fill>
    <fill>
      <patternFill patternType="solid">
        <fgColor indexed="26"/>
      </patternFill>
    </fill>
    <fill>
      <patternFill patternType="solid">
        <fgColor indexed="42"/>
      </patternFill>
    </fill>
    <fill>
      <patternFill patternType="solid">
        <fgColor indexed="47"/>
      </patternFill>
    </fill>
    <fill>
      <patternFill patternType="solid">
        <fgColor indexed="46"/>
      </patternFill>
    </fill>
    <fill>
      <patternFill patternType="solid">
        <fgColor indexed="27"/>
      </patternFill>
    </fill>
    <fill>
      <patternFill patternType="solid">
        <fgColor indexed="43"/>
      </patternFill>
    </fill>
    <fill>
      <patternFill patternType="solid">
        <fgColor indexed="11"/>
      </patternFill>
    </fill>
    <fill>
      <patternFill patternType="solid">
        <fgColor indexed="51"/>
      </patternFill>
    </fill>
    <fill>
      <patternFill patternType="solid">
        <fgColor indexed="30"/>
      </patternFill>
    </fill>
    <fill>
      <patternFill patternType="solid">
        <fgColor indexed="53"/>
      </patternFill>
    </fill>
    <fill>
      <patternFill patternType="solid">
        <fgColor indexed="36"/>
      </patternFill>
    </fill>
    <fill>
      <patternFill patternType="solid">
        <fgColor indexed="49"/>
      </patternFill>
    </fill>
    <fill>
      <patternFill patternType="solid">
        <fgColor indexed="52"/>
      </patternFill>
    </fill>
    <fill>
      <patternFill patternType="solid">
        <fgColor indexed="22"/>
      </patternFill>
    </fill>
    <fill>
      <patternFill patternType="solid">
        <fgColor indexed="55"/>
      </patternFill>
    </fill>
    <fill>
      <patternFill patternType="solid">
        <fgColor indexed="62"/>
      </patternFill>
    </fill>
    <fill>
      <patternFill patternType="solid">
        <fgColor indexed="10"/>
      </patternFill>
    </fill>
    <fill>
      <patternFill patternType="solid">
        <fgColor indexed="57"/>
      </patternFill>
    </fill>
    <fill>
      <patternFill patternType="solid">
        <fgColor indexed="22"/>
        <bgColor indexed="64"/>
      </patternFill>
    </fill>
    <fill>
      <patternFill patternType="solid">
        <fgColor indexed="9"/>
        <bgColor indexed="64"/>
      </patternFill>
    </fill>
    <fill>
      <patternFill patternType="solid">
        <fgColor indexed="13"/>
        <bgColor indexed="64"/>
      </patternFill>
    </fill>
    <fill>
      <patternFill patternType="solid">
        <fgColor indexed="10"/>
        <bgColor indexed="64"/>
      </patternFill>
    </fill>
    <fill>
      <patternFill patternType="solid">
        <fgColor indexed="11"/>
        <bgColor indexed="64"/>
      </patternFill>
    </fill>
    <fill>
      <patternFill patternType="gray125">
        <fgColor indexed="8"/>
      </patternFill>
    </fill>
    <fill>
      <patternFill patternType="solid">
        <fgColor indexed="43"/>
        <bgColor indexed="64"/>
      </patternFill>
    </fill>
    <fill>
      <patternFill patternType="solid">
        <fgColor indexed="44"/>
        <bgColor indexed="64"/>
      </patternFill>
    </fill>
    <fill>
      <patternFill patternType="solid">
        <fgColor indexed="42"/>
        <bgColor indexed="64"/>
      </patternFill>
    </fill>
    <fill>
      <patternFill patternType="solid">
        <fgColor rgb="FF00FF00"/>
        <bgColor indexed="64"/>
      </patternFill>
    </fill>
    <fill>
      <patternFill patternType="solid">
        <fgColor rgb="FFFFFF00"/>
        <bgColor indexed="64"/>
      </patternFill>
    </fill>
    <fill>
      <patternFill patternType="solid">
        <fgColor theme="0"/>
        <bgColor indexed="64"/>
      </patternFill>
    </fill>
    <fill>
      <patternFill patternType="solid">
        <fgColor rgb="FFFF0000"/>
        <bgColor indexed="64"/>
      </patternFill>
    </fill>
    <fill>
      <patternFill patternType="solid">
        <fgColor rgb="FFCC9CCC"/>
        <bgColor indexed="64"/>
      </patternFill>
    </fill>
    <fill>
      <patternFill patternType="solid">
        <fgColor rgb="FF9999FF"/>
        <bgColor indexed="64"/>
      </patternFill>
    </fill>
    <fill>
      <patternFill patternType="solid">
        <fgColor rgb="FFCC99FF"/>
        <bgColor indexed="64"/>
      </patternFill>
    </fill>
    <fill>
      <patternFill patternType="solid">
        <fgColor rgb="FF92D050"/>
        <bgColor indexed="64"/>
      </patternFill>
    </fill>
    <fill>
      <patternFill patternType="solid">
        <fgColor rgb="FF00B0F0"/>
        <bgColor indexed="64"/>
      </patternFill>
    </fill>
    <fill>
      <patternFill patternType="solid">
        <fgColor theme="0" tint="-0.249977111117893"/>
        <bgColor indexed="64"/>
      </patternFill>
    </fill>
    <fill>
      <patternFill patternType="solid">
        <fgColor rgb="FF99CCFF"/>
        <bgColor indexed="64"/>
      </patternFill>
    </fill>
    <fill>
      <patternFill patternType="solid">
        <fgColor rgb="FF66FF33"/>
        <bgColor indexed="64"/>
      </patternFill>
    </fill>
    <fill>
      <patternFill patternType="solid">
        <fgColor rgb="FFFFFFFF"/>
        <bgColor rgb="FFFFFFFF"/>
      </patternFill>
    </fill>
    <fill>
      <patternFill patternType="solid">
        <fgColor rgb="FFC0C0C0"/>
        <bgColor rgb="FFC0C0C0"/>
      </patternFill>
    </fill>
    <fill>
      <patternFill patternType="solid">
        <fgColor rgb="FFBFBFBF"/>
        <bgColor rgb="FFBFBFBF"/>
      </patternFill>
    </fill>
    <fill>
      <patternFill patternType="solid">
        <fgColor theme="0"/>
        <bgColor theme="0"/>
      </patternFill>
    </fill>
    <fill>
      <patternFill patternType="solid">
        <fgColor rgb="FFD8D8D8"/>
        <bgColor rgb="FFD8D8D8"/>
      </patternFill>
    </fill>
    <fill>
      <patternFill patternType="solid">
        <fgColor rgb="FF999933"/>
        <bgColor rgb="FF999933"/>
      </patternFill>
    </fill>
    <fill>
      <patternFill patternType="solid">
        <fgColor rgb="FFFFFF00"/>
        <bgColor rgb="FFFFFF00"/>
      </patternFill>
    </fill>
    <fill>
      <patternFill patternType="solid">
        <fgColor theme="0"/>
        <bgColor rgb="FFBFBFBF"/>
      </patternFill>
    </fill>
    <fill>
      <patternFill patternType="solid">
        <fgColor theme="0"/>
        <bgColor rgb="FFC0C0C0"/>
      </patternFill>
    </fill>
    <fill>
      <patternFill patternType="solid">
        <fgColor theme="0"/>
        <bgColor rgb="FFD8D8D8"/>
      </patternFill>
    </fill>
    <fill>
      <patternFill patternType="solid">
        <fgColor theme="0"/>
        <bgColor rgb="FF999933"/>
      </patternFill>
    </fill>
    <fill>
      <patternFill patternType="solid">
        <fgColor rgb="FFFFEB9C"/>
      </patternFill>
    </fill>
  </fills>
  <borders count="189">
    <border>
      <left/>
      <right/>
      <top/>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right/>
      <top/>
      <bottom style="thin">
        <color indexed="64"/>
      </bottom>
      <diagonal/>
    </border>
    <border>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style="thin">
        <color indexed="64"/>
      </right>
      <top/>
      <bottom/>
      <diagonal/>
    </border>
    <border>
      <left style="thin">
        <color indexed="64"/>
      </left>
      <right/>
      <top/>
      <bottom style="thin">
        <color indexed="64"/>
      </bottom>
      <diagonal/>
    </border>
    <border>
      <left style="medium">
        <color indexed="64"/>
      </left>
      <right/>
      <top/>
      <bottom/>
      <diagonal/>
    </border>
    <border>
      <left style="thin">
        <color indexed="64"/>
      </left>
      <right/>
      <top/>
      <bottom/>
      <diagonal/>
    </border>
    <border>
      <left style="medium">
        <color indexed="64"/>
      </left>
      <right/>
      <top/>
      <bottom style="medium">
        <color indexed="64"/>
      </bottom>
      <diagonal/>
    </border>
    <border>
      <left style="thin">
        <color indexed="64"/>
      </left>
      <right/>
      <top style="thin">
        <color indexed="64"/>
      </top>
      <bottom/>
      <diagonal/>
    </border>
    <border>
      <left/>
      <right style="thin">
        <color indexed="64"/>
      </right>
      <top style="thin">
        <color indexed="64"/>
      </top>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style="thin">
        <color indexed="64"/>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right/>
      <top style="thin">
        <color indexed="64"/>
      </top>
      <bottom style="medium">
        <color indexed="64"/>
      </bottom>
      <diagonal/>
    </border>
    <border>
      <left style="thin">
        <color indexed="64"/>
      </left>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style="medium">
        <color indexed="64"/>
      </bottom>
      <diagonal/>
    </border>
    <border>
      <left/>
      <right style="thin">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right/>
      <top/>
      <bottom style="double">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top style="medium">
        <color indexed="64"/>
      </top>
      <bottom style="medium">
        <color indexed="64"/>
      </bottom>
      <diagonal/>
    </border>
    <border>
      <left style="medium">
        <color indexed="64"/>
      </left>
      <right style="medium">
        <color indexed="64"/>
      </right>
      <top/>
      <bottom style="thin">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bottom/>
      <diagonal/>
    </border>
    <border>
      <left style="medium">
        <color indexed="64"/>
      </left>
      <right/>
      <top style="thin">
        <color indexed="64"/>
      </top>
      <bottom/>
      <diagonal/>
    </border>
    <border>
      <left style="thin">
        <color indexed="64"/>
      </left>
      <right style="thin">
        <color indexed="64"/>
      </right>
      <top style="medium">
        <color indexed="64"/>
      </top>
      <bottom/>
      <diagonal/>
    </border>
    <border>
      <left style="thin">
        <color indexed="64"/>
      </left>
      <right/>
      <top style="medium">
        <color indexed="64"/>
      </top>
      <bottom/>
      <diagonal/>
    </border>
    <border>
      <left style="medium">
        <color indexed="64"/>
      </left>
      <right/>
      <top/>
      <bottom style="thin">
        <color indexed="64"/>
      </bottom>
      <diagonal/>
    </border>
    <border>
      <left/>
      <right style="medium">
        <color indexed="64"/>
      </right>
      <top/>
      <bottom style="thin">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medium">
        <color indexed="64"/>
      </top>
      <bottom/>
      <diagonal/>
    </border>
    <border>
      <left/>
      <right style="thin">
        <color indexed="64"/>
      </right>
      <top style="medium">
        <color indexed="64"/>
      </top>
      <bottom/>
      <diagonal/>
    </border>
    <border>
      <left/>
      <right style="medium">
        <color indexed="64"/>
      </right>
      <top style="thin">
        <color indexed="64"/>
      </top>
      <bottom/>
      <diagonal/>
    </border>
    <border>
      <left style="thin">
        <color indexed="64"/>
      </left>
      <right style="medium">
        <color indexed="64"/>
      </right>
      <top/>
      <bottom/>
      <diagonal/>
    </border>
    <border>
      <left style="thin">
        <color indexed="64"/>
      </left>
      <right style="medium">
        <color indexed="64"/>
      </right>
      <top/>
      <bottom style="medium">
        <color indexed="64"/>
      </bottom>
      <diagonal/>
    </border>
    <border>
      <left/>
      <right style="thin">
        <color indexed="64"/>
      </right>
      <top style="medium">
        <color indexed="64"/>
      </top>
      <bottom style="thin">
        <color indexed="64"/>
      </bottom>
      <diagonal/>
    </border>
    <border>
      <left style="thin">
        <color indexed="64"/>
      </left>
      <right style="medium">
        <color indexed="64"/>
      </right>
      <top/>
      <bottom style="thin">
        <color indexed="64"/>
      </bottom>
      <diagonal/>
    </border>
    <border>
      <left style="medium">
        <color indexed="64"/>
      </left>
      <right style="medium">
        <color indexed="64"/>
      </right>
      <top style="thin">
        <color indexed="64"/>
      </top>
      <bottom style="medium">
        <color indexed="64"/>
      </bottom>
      <diagonal/>
    </border>
    <border>
      <left style="thin">
        <color indexed="64"/>
      </left>
      <right style="medium">
        <color indexed="64"/>
      </right>
      <top style="medium">
        <color indexed="64"/>
      </top>
      <bottom/>
      <diagonal/>
    </border>
    <border>
      <left style="medium">
        <color indexed="64"/>
      </left>
      <right style="thin">
        <color indexed="64"/>
      </right>
      <top style="thin">
        <color indexed="64"/>
      </top>
      <bottom/>
      <diagonal/>
    </border>
    <border>
      <left style="medium">
        <color indexed="8"/>
      </left>
      <right/>
      <top style="medium">
        <color indexed="8"/>
      </top>
      <bottom/>
      <diagonal/>
    </border>
    <border>
      <left/>
      <right/>
      <top style="medium">
        <color indexed="8"/>
      </top>
      <bottom/>
      <diagonal/>
    </border>
    <border>
      <left style="medium">
        <color indexed="8"/>
      </left>
      <right/>
      <top/>
      <bottom/>
      <diagonal/>
    </border>
    <border>
      <left style="medium">
        <color indexed="8"/>
      </left>
      <right/>
      <top/>
      <bottom style="medium">
        <color indexed="8"/>
      </bottom>
      <diagonal/>
    </border>
    <border>
      <left/>
      <right/>
      <top/>
      <bottom style="medium">
        <color indexed="8"/>
      </bottom>
      <diagonal/>
    </border>
    <border>
      <left style="medium">
        <color indexed="8"/>
      </left>
      <right/>
      <top style="medium">
        <color indexed="8"/>
      </top>
      <bottom style="medium">
        <color indexed="8"/>
      </bottom>
      <diagonal/>
    </border>
    <border>
      <left/>
      <right/>
      <top style="medium">
        <color indexed="8"/>
      </top>
      <bottom style="medium">
        <color indexed="8"/>
      </bottom>
      <diagonal/>
    </border>
    <border>
      <left/>
      <right style="medium">
        <color indexed="8"/>
      </right>
      <top style="medium">
        <color indexed="8"/>
      </top>
      <bottom/>
      <diagonal/>
    </border>
    <border>
      <left/>
      <right style="medium">
        <color indexed="8"/>
      </right>
      <top/>
      <bottom/>
      <diagonal/>
    </border>
    <border>
      <left/>
      <right style="medium">
        <color indexed="8"/>
      </right>
      <top/>
      <bottom style="medium">
        <color indexed="8"/>
      </bottom>
      <diagonal/>
    </border>
    <border>
      <left/>
      <right style="medium">
        <color indexed="8"/>
      </right>
      <top style="medium">
        <color indexed="8"/>
      </top>
      <bottom style="medium">
        <color indexed="8"/>
      </bottom>
      <diagonal/>
    </border>
    <border>
      <left/>
      <right style="medium">
        <color indexed="64"/>
      </right>
      <top style="thin">
        <color indexed="64"/>
      </top>
      <bottom style="medium">
        <color indexed="64"/>
      </bottom>
      <diagonal/>
    </border>
    <border>
      <left style="medium">
        <color indexed="64"/>
      </left>
      <right/>
      <top style="thin">
        <color indexed="64"/>
      </top>
      <bottom style="medium">
        <color indexed="64"/>
      </bottom>
      <diagonal/>
    </border>
    <border>
      <left style="medium">
        <color rgb="FF000000"/>
      </left>
      <right style="thin">
        <color rgb="FF000000"/>
      </right>
      <top style="thin">
        <color rgb="FF000000"/>
      </top>
      <bottom/>
      <diagonal/>
    </border>
    <border>
      <left style="thin">
        <color rgb="FF000000"/>
      </left>
      <right style="thin">
        <color rgb="FF000000"/>
      </right>
      <top style="thin">
        <color rgb="FF000000"/>
      </top>
      <bottom/>
      <diagonal/>
    </border>
    <border>
      <left style="thin">
        <color rgb="FF000000"/>
      </left>
      <right style="thin">
        <color rgb="FF000000"/>
      </right>
      <top style="thin">
        <color rgb="FF000000"/>
      </top>
      <bottom style="thin">
        <color rgb="FF000000"/>
      </bottom>
      <diagonal/>
    </border>
    <border>
      <left style="thin">
        <color rgb="FF000000"/>
      </left>
      <right style="medium">
        <color rgb="FF000000"/>
      </right>
      <top style="thin">
        <color rgb="FF000000"/>
      </top>
      <bottom style="thin">
        <color rgb="FF000000"/>
      </bottom>
      <diagonal/>
    </border>
    <border>
      <left/>
      <right style="thin">
        <color rgb="FF000000"/>
      </right>
      <top style="thin">
        <color rgb="FF000000"/>
      </top>
      <bottom/>
      <diagonal/>
    </border>
    <border>
      <left style="thin">
        <color rgb="FF000000"/>
      </left>
      <right/>
      <top style="thin">
        <color rgb="FF000000"/>
      </top>
      <bottom style="thin">
        <color rgb="FF000000"/>
      </bottom>
      <diagonal/>
    </border>
    <border>
      <left/>
      <right/>
      <top/>
      <bottom style="thin">
        <color rgb="FF000000"/>
      </bottom>
      <diagonal/>
    </border>
    <border>
      <left style="medium">
        <color rgb="FF000000"/>
      </left>
      <right style="medium">
        <color rgb="FF000000"/>
      </right>
      <top style="medium">
        <color rgb="FF000000"/>
      </top>
      <bottom/>
      <diagonal/>
    </border>
    <border>
      <left style="medium">
        <color rgb="FF000000"/>
      </left>
      <right/>
      <top style="medium">
        <color rgb="FF000000"/>
      </top>
      <bottom style="medium">
        <color rgb="FF000000"/>
      </bottom>
      <diagonal/>
    </border>
    <border>
      <left/>
      <right style="medium">
        <color rgb="FF000000"/>
      </right>
      <top style="medium">
        <color rgb="FF000000"/>
      </top>
      <bottom style="medium">
        <color rgb="FF000000"/>
      </bottom>
      <diagonal/>
    </border>
    <border>
      <left style="medium">
        <color rgb="FF000000"/>
      </left>
      <right style="medium">
        <color rgb="FF000000"/>
      </right>
      <top/>
      <bottom/>
      <diagonal/>
    </border>
    <border>
      <left/>
      <right style="thin">
        <color rgb="FF000000"/>
      </right>
      <top style="medium">
        <color rgb="FF000000"/>
      </top>
      <bottom/>
      <diagonal/>
    </border>
    <border>
      <left style="thin">
        <color rgb="FF000000"/>
      </left>
      <right style="thin">
        <color rgb="FF000000"/>
      </right>
      <top style="medium">
        <color rgb="FF000000"/>
      </top>
      <bottom/>
      <diagonal/>
    </border>
    <border>
      <left style="thin">
        <color rgb="FF000000"/>
      </left>
      <right style="medium">
        <color rgb="FF000000"/>
      </right>
      <top style="medium">
        <color rgb="FF000000"/>
      </top>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medium">
        <color rgb="FF000000"/>
      </right>
      <top style="thin">
        <color rgb="FF000000"/>
      </top>
      <bottom style="medium">
        <color rgb="FF000000"/>
      </bottom>
      <diagonal/>
    </border>
    <border>
      <left/>
      <right/>
      <top style="thin">
        <color rgb="FF000000"/>
      </top>
      <bottom/>
      <diagonal/>
    </border>
    <border>
      <left/>
      <right style="thin">
        <color rgb="FF000000"/>
      </right>
      <top/>
      <bottom/>
      <diagonal/>
    </border>
    <border>
      <left style="thin">
        <color rgb="FF000000"/>
      </left>
      <right style="thin">
        <color rgb="FF000000"/>
      </right>
      <top/>
      <bottom style="thin">
        <color rgb="FF000000"/>
      </bottom>
      <diagonal/>
    </border>
    <border>
      <left/>
      <right style="thick">
        <color rgb="FF000000"/>
      </right>
      <top style="thin">
        <color rgb="FF000000"/>
      </top>
      <bottom style="thin">
        <color rgb="FF000000"/>
      </bottom>
      <diagonal/>
    </border>
    <border>
      <left/>
      <right style="thick">
        <color rgb="FF000000"/>
      </right>
      <top/>
      <bottom/>
      <diagonal/>
    </border>
    <border>
      <left style="thin">
        <color rgb="FF000000"/>
      </left>
      <right/>
      <top style="thin">
        <color rgb="FF000000"/>
      </top>
      <bottom/>
      <diagonal/>
    </border>
    <border>
      <left style="thin">
        <color rgb="FF000000"/>
      </left>
      <right/>
      <top/>
      <bottom style="thin">
        <color rgb="FF000000"/>
      </bottom>
      <diagonal/>
    </border>
    <border>
      <left/>
      <right style="thin">
        <color rgb="FF000000"/>
      </right>
      <top/>
      <bottom style="thin">
        <color rgb="FF000000"/>
      </bottom>
      <diagonal/>
    </border>
    <border>
      <left style="thin">
        <color rgb="FF000000"/>
      </left>
      <right style="thin">
        <color rgb="FF000000"/>
      </right>
      <top/>
      <bottom/>
      <diagonal/>
    </border>
    <border>
      <left/>
      <right/>
      <top/>
      <bottom style="medium">
        <color rgb="FF000000"/>
      </bottom>
      <diagonal/>
    </border>
    <border>
      <left/>
      <right/>
      <top style="medium">
        <color rgb="FF000000"/>
      </top>
      <bottom/>
      <diagonal/>
    </border>
    <border>
      <left style="medium">
        <color rgb="FF000000"/>
      </left>
      <right style="medium">
        <color rgb="FF000000"/>
      </right>
      <top/>
      <bottom style="medium">
        <color rgb="FF000000"/>
      </bottom>
      <diagonal/>
    </border>
    <border>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style="thin">
        <color rgb="FF000000"/>
      </left>
      <right style="medium">
        <color rgb="FF000000"/>
      </right>
      <top style="medium">
        <color rgb="FF000000"/>
      </top>
      <bottom style="medium">
        <color rgb="FF000000"/>
      </bottom>
      <diagonal/>
    </border>
    <border>
      <left/>
      <right style="medium">
        <color rgb="FF000000"/>
      </right>
      <top style="medium">
        <color rgb="FF000000"/>
      </top>
      <bottom/>
      <diagonal/>
    </border>
    <border>
      <left/>
      <right style="thick">
        <color rgb="FF000000"/>
      </right>
      <top/>
      <bottom style="thin">
        <color rgb="FF000000"/>
      </bottom>
      <diagonal/>
    </border>
    <border>
      <left style="medium">
        <color rgb="FF000000"/>
      </left>
      <right style="thin">
        <color rgb="FF000000"/>
      </right>
      <top style="thin">
        <color rgb="FF000000"/>
      </top>
      <bottom style="thin">
        <color rgb="FF000000"/>
      </bottom>
      <diagonal/>
    </border>
    <border>
      <left/>
      <right style="medium">
        <color rgb="FF000000"/>
      </right>
      <top style="thin">
        <color rgb="FF000000"/>
      </top>
      <bottom style="thin">
        <color rgb="FF000000"/>
      </bottom>
      <diagonal/>
    </border>
    <border>
      <left/>
      <right/>
      <top style="medium">
        <color rgb="FF000000"/>
      </top>
      <bottom style="medium">
        <color rgb="FF000000"/>
      </bottom>
      <diagonal/>
    </border>
    <border>
      <left/>
      <right style="medium">
        <color rgb="FF000000"/>
      </right>
      <top style="medium">
        <color rgb="FF000000"/>
      </top>
      <bottom style="thin">
        <color rgb="FF000000"/>
      </bottom>
      <diagonal/>
    </border>
    <border>
      <left style="medium">
        <color rgb="FF000000"/>
      </left>
      <right style="thin">
        <color rgb="FF000000"/>
      </right>
      <top/>
      <bottom style="thin">
        <color rgb="FF000000"/>
      </bottom>
      <diagonal/>
    </border>
    <border>
      <left style="thin">
        <color rgb="FF000000"/>
      </left>
      <right style="medium">
        <color rgb="FF000000"/>
      </right>
      <top/>
      <bottom style="thin">
        <color rgb="FF000000"/>
      </bottom>
      <diagonal/>
    </border>
    <border>
      <left style="medium">
        <color rgb="FF000000"/>
      </left>
      <right style="thin">
        <color rgb="FF000000"/>
      </right>
      <top/>
      <bottom/>
      <diagonal/>
    </border>
    <border>
      <left style="thin">
        <color rgb="FF000000"/>
      </left>
      <right style="medium">
        <color rgb="FF000000"/>
      </right>
      <top/>
      <bottom/>
      <diagonal/>
    </border>
    <border>
      <left/>
      <right style="medium">
        <color rgb="FF000000"/>
      </right>
      <top style="thin">
        <color rgb="FF000000"/>
      </top>
      <bottom/>
      <diagonal/>
    </border>
    <border>
      <left style="medium">
        <color rgb="FF000000"/>
      </left>
      <right style="thin">
        <color rgb="FF000000"/>
      </right>
      <top/>
      <bottom style="medium">
        <color rgb="FF000000"/>
      </bottom>
      <diagonal/>
    </border>
    <border>
      <left style="thin">
        <color rgb="FF000000"/>
      </left>
      <right style="thin">
        <color rgb="FF000000"/>
      </right>
      <top/>
      <bottom style="medium">
        <color rgb="FF000000"/>
      </bottom>
      <diagonal/>
    </border>
    <border>
      <left style="medium">
        <color rgb="FF000000"/>
      </left>
      <right/>
      <top style="medium">
        <color rgb="FF000000"/>
      </top>
      <bottom/>
      <diagonal/>
    </border>
    <border>
      <left style="medium">
        <color rgb="FF000000"/>
      </left>
      <right/>
      <top/>
      <bottom style="medium">
        <color rgb="FF000000"/>
      </bottom>
      <diagonal/>
    </border>
    <border>
      <left style="medium">
        <color rgb="FF000000"/>
      </left>
      <right style="thin">
        <color rgb="FF000000"/>
      </right>
      <top style="thin">
        <color rgb="FF000000"/>
      </top>
      <bottom style="medium">
        <color rgb="FF000000"/>
      </bottom>
      <diagonal/>
    </border>
    <border>
      <left style="thin">
        <color rgb="FF000000"/>
      </left>
      <right style="thin">
        <color rgb="FF000000"/>
      </right>
      <top style="thin">
        <color rgb="FF000000"/>
      </top>
      <bottom style="medium">
        <color rgb="FF000000"/>
      </bottom>
      <diagonal/>
    </border>
    <border>
      <left style="thin">
        <color rgb="FF000000"/>
      </left>
      <right/>
      <top/>
      <bottom/>
      <diagonal/>
    </border>
    <border>
      <left style="thin">
        <color rgb="FF000000"/>
      </left>
      <right/>
      <top/>
      <bottom style="medium">
        <color rgb="FF000000"/>
      </bottom>
      <diagonal/>
    </border>
    <border>
      <left/>
      <right style="thin">
        <color rgb="FF000000"/>
      </right>
      <top style="thin">
        <color rgb="FF000000"/>
      </top>
      <bottom style="medium">
        <color rgb="FF000000"/>
      </bottom>
      <diagonal/>
    </border>
    <border>
      <left style="medium">
        <color rgb="FF000000"/>
      </left>
      <right/>
      <top/>
      <bottom/>
      <diagonal/>
    </border>
    <border>
      <left/>
      <right style="medium">
        <color rgb="FF000000"/>
      </right>
      <top/>
      <bottom/>
      <diagonal/>
    </border>
    <border>
      <left/>
      <right style="medium">
        <color rgb="FF000000"/>
      </right>
      <top/>
      <bottom style="medium">
        <color rgb="FF000000"/>
      </bottom>
      <diagonal/>
    </border>
    <border>
      <left style="medium">
        <color rgb="FF000000"/>
      </left>
      <right style="thin">
        <color rgb="FF000000"/>
      </right>
      <top style="medium">
        <color rgb="FF000000"/>
      </top>
      <bottom/>
      <diagonal/>
    </border>
    <border>
      <left style="medium">
        <color indexed="64"/>
      </left>
      <right style="thin">
        <color rgb="FF000000"/>
      </right>
      <top/>
      <bottom style="thin">
        <color rgb="FF000000"/>
      </bottom>
      <diagonal/>
    </border>
    <border>
      <left style="thin">
        <color rgb="FF000000"/>
      </left>
      <right style="medium">
        <color indexed="64"/>
      </right>
      <top/>
      <bottom style="thin">
        <color rgb="FF000000"/>
      </bottom>
      <diagonal/>
    </border>
    <border>
      <left/>
      <right style="medium">
        <color rgb="FF000000"/>
      </right>
      <top style="thin">
        <color rgb="FF000000"/>
      </top>
      <bottom style="medium">
        <color rgb="FF000000"/>
      </bottom>
      <diagonal/>
    </border>
    <border>
      <left style="medium">
        <color indexed="64"/>
      </left>
      <right style="thin">
        <color rgb="FF000000"/>
      </right>
      <top style="medium">
        <color indexed="64"/>
      </top>
      <bottom style="thin">
        <color rgb="FF000000"/>
      </bottom>
      <diagonal/>
    </border>
    <border>
      <left style="thin">
        <color rgb="FF000000"/>
      </left>
      <right style="medium">
        <color rgb="FF000000"/>
      </right>
      <top style="medium">
        <color indexed="64"/>
      </top>
      <bottom style="thin">
        <color rgb="FF000000"/>
      </bottom>
      <diagonal/>
    </border>
    <border>
      <left style="medium">
        <color rgb="FF000000"/>
      </left>
      <right style="thin">
        <color rgb="FF000000"/>
      </right>
      <top style="medium">
        <color indexed="64"/>
      </top>
      <bottom style="thin">
        <color rgb="FF000000"/>
      </bottom>
      <diagonal/>
    </border>
    <border>
      <left style="thin">
        <color rgb="FF000000"/>
      </left>
      <right style="thin">
        <color rgb="FF000000"/>
      </right>
      <top style="medium">
        <color indexed="64"/>
      </top>
      <bottom style="thin">
        <color rgb="FF000000"/>
      </bottom>
      <diagonal/>
    </border>
    <border>
      <left style="thin">
        <color rgb="FF000000"/>
      </left>
      <right/>
      <top style="medium">
        <color indexed="64"/>
      </top>
      <bottom style="thin">
        <color rgb="FF000000"/>
      </bottom>
      <diagonal/>
    </border>
    <border>
      <left/>
      <right/>
      <top style="medium">
        <color indexed="64"/>
      </top>
      <bottom style="thin">
        <color rgb="FF000000"/>
      </bottom>
      <diagonal/>
    </border>
    <border>
      <left style="thin">
        <color rgb="FF000000"/>
      </left>
      <right style="medium">
        <color indexed="64"/>
      </right>
      <top style="medium">
        <color indexed="64"/>
      </top>
      <bottom style="thin">
        <color rgb="FF000000"/>
      </bottom>
      <diagonal/>
    </border>
    <border>
      <left style="medium">
        <color indexed="64"/>
      </left>
      <right style="thin">
        <color rgb="FF000000"/>
      </right>
      <top style="thin">
        <color rgb="FF000000"/>
      </top>
      <bottom style="thin">
        <color rgb="FF000000"/>
      </bottom>
      <diagonal/>
    </border>
    <border>
      <left style="thin">
        <color rgb="FF000000"/>
      </left>
      <right style="medium">
        <color indexed="64"/>
      </right>
      <top style="thin">
        <color rgb="FF000000"/>
      </top>
      <bottom style="thin">
        <color rgb="FF000000"/>
      </bottom>
      <diagonal/>
    </border>
    <border>
      <left style="thin">
        <color rgb="FF000000"/>
      </left>
      <right style="medium">
        <color indexed="64"/>
      </right>
      <top/>
      <bottom/>
      <diagonal/>
    </border>
    <border>
      <left style="medium">
        <color indexed="64"/>
      </left>
      <right style="thin">
        <color rgb="FF000000"/>
      </right>
      <top/>
      <bottom style="medium">
        <color indexed="64"/>
      </bottom>
      <diagonal/>
    </border>
    <border>
      <left/>
      <right style="thin">
        <color rgb="FF000000"/>
      </right>
      <top/>
      <bottom style="medium">
        <color indexed="64"/>
      </bottom>
      <diagonal/>
    </border>
    <border>
      <left/>
      <right style="thin">
        <color rgb="FF000000"/>
      </right>
      <top style="thin">
        <color rgb="FF000000"/>
      </top>
      <bottom style="medium">
        <color indexed="64"/>
      </bottom>
      <diagonal/>
    </border>
    <border>
      <left style="thin">
        <color rgb="FF000000"/>
      </left>
      <right style="medium">
        <color rgb="FF000000"/>
      </right>
      <top/>
      <bottom style="medium">
        <color indexed="64"/>
      </bottom>
      <diagonal/>
    </border>
    <border>
      <left style="thin">
        <color rgb="FF000000"/>
      </left>
      <right style="thin">
        <color rgb="FF000000"/>
      </right>
      <top/>
      <bottom style="medium">
        <color indexed="64"/>
      </bottom>
      <diagonal/>
    </border>
    <border>
      <left style="thin">
        <color rgb="FF000000"/>
      </left>
      <right style="medium">
        <color indexed="64"/>
      </right>
      <top/>
      <bottom style="medium">
        <color indexed="64"/>
      </bottom>
      <diagonal/>
    </border>
    <border>
      <left style="medium">
        <color indexed="64"/>
      </left>
      <right style="thin">
        <color rgb="FF000000"/>
      </right>
      <top style="medium">
        <color indexed="64"/>
      </top>
      <bottom style="medium">
        <color indexed="64"/>
      </bottom>
      <diagonal/>
    </border>
    <border>
      <left style="thin">
        <color rgb="FF000000"/>
      </left>
      <right style="thin">
        <color rgb="FF000000"/>
      </right>
      <top style="medium">
        <color indexed="64"/>
      </top>
      <bottom style="medium">
        <color indexed="64"/>
      </bottom>
      <diagonal/>
    </border>
    <border>
      <left style="thin">
        <color rgb="FF000000"/>
      </left>
      <right style="medium">
        <color indexed="64"/>
      </right>
      <top style="medium">
        <color indexed="64"/>
      </top>
      <bottom style="medium">
        <color indexed="64"/>
      </bottom>
      <diagonal/>
    </border>
    <border>
      <left style="medium">
        <color indexed="64"/>
      </left>
      <right style="medium">
        <color rgb="FF000000"/>
      </right>
      <top style="medium">
        <color indexed="64"/>
      </top>
      <bottom/>
      <diagonal/>
    </border>
    <border>
      <left style="medium">
        <color rgb="FF000000"/>
      </left>
      <right style="medium">
        <color rgb="FF000000"/>
      </right>
      <top style="medium">
        <color indexed="64"/>
      </top>
      <bottom/>
      <diagonal/>
    </border>
    <border>
      <left style="medium">
        <color rgb="FF000000"/>
      </left>
      <right/>
      <top style="medium">
        <color indexed="64"/>
      </top>
      <bottom style="medium">
        <color rgb="FF000000"/>
      </bottom>
      <diagonal/>
    </border>
    <border>
      <left/>
      <right style="medium">
        <color rgb="FF000000"/>
      </right>
      <top style="medium">
        <color indexed="64"/>
      </top>
      <bottom style="medium">
        <color rgb="FF000000"/>
      </bottom>
      <diagonal/>
    </border>
    <border>
      <left style="medium">
        <color rgb="FF000000"/>
      </left>
      <right style="medium">
        <color indexed="64"/>
      </right>
      <top style="medium">
        <color indexed="64"/>
      </top>
      <bottom/>
      <diagonal/>
    </border>
    <border>
      <left style="medium">
        <color indexed="64"/>
      </left>
      <right style="medium">
        <color rgb="FF000000"/>
      </right>
      <top/>
      <bottom style="medium">
        <color indexed="64"/>
      </bottom>
      <diagonal/>
    </border>
    <border>
      <left style="medium">
        <color rgb="FF000000"/>
      </left>
      <right style="medium">
        <color rgb="FF000000"/>
      </right>
      <top/>
      <bottom style="medium">
        <color indexed="64"/>
      </bottom>
      <diagonal/>
    </border>
    <border>
      <left style="medium">
        <color rgb="FF000000"/>
      </left>
      <right style="medium">
        <color rgb="FF000000"/>
      </right>
      <top style="medium">
        <color rgb="FF000000"/>
      </top>
      <bottom style="medium">
        <color indexed="64"/>
      </bottom>
      <diagonal/>
    </border>
    <border>
      <left style="medium">
        <color rgb="FF000000"/>
      </left>
      <right style="medium">
        <color indexed="64"/>
      </right>
      <top/>
      <bottom style="medium">
        <color indexed="64"/>
      </bottom>
      <diagonal/>
    </border>
    <border>
      <left/>
      <right style="thin">
        <color rgb="FF000000"/>
      </right>
      <top style="medium">
        <color indexed="64"/>
      </top>
      <bottom style="thin">
        <color rgb="FF000000"/>
      </bottom>
      <diagonal/>
    </border>
    <border>
      <left style="medium">
        <color indexed="64"/>
      </left>
      <right style="thin">
        <color rgb="FF000000"/>
      </right>
      <top/>
      <bottom/>
      <diagonal/>
    </border>
    <border>
      <left style="medium">
        <color indexed="64"/>
      </left>
      <right/>
      <top style="medium">
        <color indexed="64"/>
      </top>
      <bottom style="thin">
        <color indexed="64"/>
      </bottom>
      <diagonal/>
    </border>
    <border>
      <left/>
      <right style="medium">
        <color indexed="64"/>
      </right>
      <top style="thin">
        <color rgb="FF000000"/>
      </top>
      <bottom style="thin">
        <color rgb="FF000000"/>
      </bottom>
      <diagonal/>
    </border>
  </borders>
  <cellStyleXfs count="88">
    <xf numFmtId="0" fontId="0" fillId="0" borderId="0"/>
    <xf numFmtId="0" fontId="57" fillId="3" borderId="0" applyNumberFormat="0" applyBorder="0" applyAlignment="0" applyProtection="0"/>
    <xf numFmtId="0" fontId="57" fillId="5" borderId="0" applyNumberFormat="0" applyBorder="0" applyAlignment="0" applyProtection="0"/>
    <xf numFmtId="0" fontId="57" fillId="7" borderId="0" applyNumberFormat="0" applyBorder="0" applyAlignment="0" applyProtection="0"/>
    <xf numFmtId="0" fontId="57" fillId="9" borderId="0" applyNumberFormat="0" applyBorder="0" applyAlignment="0" applyProtection="0"/>
    <xf numFmtId="0" fontId="57" fillId="10" borderId="0" applyNumberFormat="0" applyBorder="0" applyAlignment="0" applyProtection="0"/>
    <xf numFmtId="0" fontId="57" fillId="8" borderId="0" applyNumberFormat="0" applyBorder="0" applyAlignment="0" applyProtection="0"/>
    <xf numFmtId="0" fontId="57" fillId="2" borderId="0" applyNumberFormat="0" applyBorder="0" applyAlignment="0" applyProtection="0"/>
    <xf numFmtId="0" fontId="57" fillId="4" borderId="0" applyNumberFormat="0" applyBorder="0" applyAlignment="0" applyProtection="0"/>
    <xf numFmtId="0" fontId="57" fillId="12" borderId="0" applyNumberFormat="0" applyBorder="0" applyAlignment="0" applyProtection="0"/>
    <xf numFmtId="0" fontId="57" fillId="9" borderId="0" applyNumberFormat="0" applyBorder="0" applyAlignment="0" applyProtection="0"/>
    <xf numFmtId="0" fontId="57" fillId="2" borderId="0" applyNumberFormat="0" applyBorder="0" applyAlignment="0" applyProtection="0"/>
    <xf numFmtId="0" fontId="57" fillId="13" borderId="0" applyNumberFormat="0" applyBorder="0" applyAlignment="0" applyProtection="0"/>
    <xf numFmtId="0" fontId="58" fillId="14" borderId="0" applyNumberFormat="0" applyBorder="0" applyAlignment="0" applyProtection="0"/>
    <xf numFmtId="0" fontId="58" fillId="4" borderId="0" applyNumberFormat="0" applyBorder="0" applyAlignment="0" applyProtection="0"/>
    <xf numFmtId="0" fontId="58" fillId="12" borderId="0" applyNumberFormat="0" applyBorder="0" applyAlignment="0" applyProtection="0"/>
    <xf numFmtId="0" fontId="58" fillId="16" borderId="0" applyNumberFormat="0" applyBorder="0" applyAlignment="0" applyProtection="0"/>
    <xf numFmtId="0" fontId="58" fillId="17" borderId="0" applyNumberFormat="0" applyBorder="0" applyAlignment="0" applyProtection="0"/>
    <xf numFmtId="0" fontId="58" fillId="18" borderId="0" applyNumberFormat="0" applyBorder="0" applyAlignment="0" applyProtection="0"/>
    <xf numFmtId="0" fontId="59" fillId="7" borderId="0" applyNumberFormat="0" applyBorder="0" applyAlignment="0" applyProtection="0"/>
    <xf numFmtId="0" fontId="75" fillId="19" borderId="1" applyNumberFormat="0" applyAlignment="0" applyProtection="0"/>
    <xf numFmtId="0" fontId="60" fillId="20" borderId="2" applyNumberFormat="0" applyAlignment="0" applyProtection="0"/>
    <xf numFmtId="0" fontId="76" fillId="0" borderId="3" applyNumberFormat="0" applyFill="0" applyAlignment="0" applyProtection="0"/>
    <xf numFmtId="185" fontId="2" fillId="0" borderId="0" applyFont="0" applyFill="0" applyBorder="0" applyAlignment="0" applyProtection="0"/>
    <xf numFmtId="0" fontId="77" fillId="0" borderId="0" applyNumberFormat="0" applyFill="0" applyBorder="0" applyAlignment="0" applyProtection="0"/>
    <xf numFmtId="0" fontId="58" fillId="21" borderId="0" applyNumberFormat="0" applyBorder="0" applyAlignment="0" applyProtection="0"/>
    <xf numFmtId="0" fontId="58" fillId="22" borderId="0" applyNumberFormat="0" applyBorder="0" applyAlignment="0" applyProtection="0"/>
    <xf numFmtId="0" fontId="58" fillId="23" borderId="0" applyNumberFormat="0" applyBorder="0" applyAlignment="0" applyProtection="0"/>
    <xf numFmtId="0" fontId="58" fillId="16" borderId="0" applyNumberFormat="0" applyBorder="0" applyAlignment="0" applyProtection="0"/>
    <xf numFmtId="0" fontId="58" fillId="17" borderId="0" applyNumberFormat="0" applyBorder="0" applyAlignment="0" applyProtection="0"/>
    <xf numFmtId="0" fontId="58" fillId="15" borderId="0" applyNumberFormat="0" applyBorder="0" applyAlignment="0" applyProtection="0"/>
    <xf numFmtId="0" fontId="62" fillId="8" borderId="1" applyNumberFormat="0" applyAlignment="0" applyProtection="0"/>
    <xf numFmtId="174" fontId="2" fillId="0" borderId="0" applyFont="0" applyFill="0" applyBorder="0" applyAlignment="0" applyProtection="0"/>
    <xf numFmtId="0" fontId="78" fillId="0" borderId="0" applyFont="0" applyFill="0" applyBorder="0" applyAlignment="0" applyProtection="0"/>
    <xf numFmtId="4" fontId="79" fillId="0" borderId="0">
      <protection locked="0"/>
    </xf>
    <xf numFmtId="4" fontId="79" fillId="0" borderId="0">
      <protection locked="0"/>
    </xf>
    <xf numFmtId="4" fontId="80" fillId="0" borderId="0">
      <protection locked="0"/>
    </xf>
    <xf numFmtId="4" fontId="79" fillId="0" borderId="0">
      <protection locked="0"/>
    </xf>
    <xf numFmtId="4" fontId="79" fillId="0" borderId="0">
      <protection locked="0"/>
    </xf>
    <xf numFmtId="4" fontId="79" fillId="0" borderId="0">
      <protection locked="0"/>
    </xf>
    <xf numFmtId="4" fontId="80" fillId="0" borderId="0">
      <protection locked="0"/>
    </xf>
    <xf numFmtId="0" fontId="90" fillId="0" borderId="0" applyNumberFormat="0" applyFill="0" applyBorder="0" applyAlignment="0" applyProtection="0">
      <alignment vertical="top"/>
      <protection locked="0"/>
    </xf>
    <xf numFmtId="0" fontId="70" fillId="0" borderId="0" applyNumberFormat="0" applyFill="0" applyBorder="0" applyAlignment="0" applyProtection="0">
      <alignment vertical="top"/>
      <protection locked="0"/>
    </xf>
    <xf numFmtId="0" fontId="90" fillId="0" borderId="0" applyNumberFormat="0" applyFill="0" applyBorder="0" applyAlignment="0" applyProtection="0">
      <alignment vertical="top"/>
      <protection locked="0"/>
    </xf>
    <xf numFmtId="0" fontId="63" fillId="0" borderId="0" applyNumberFormat="0" applyFill="0" applyBorder="0" applyAlignment="0" applyProtection="0">
      <alignment vertical="top"/>
      <protection locked="0"/>
    </xf>
    <xf numFmtId="0" fontId="64" fillId="5" borderId="0" applyNumberFormat="0" applyBorder="0" applyAlignment="0" applyProtection="0"/>
    <xf numFmtId="165" fontId="2" fillId="0" borderId="0" applyFont="0" applyFill="0" applyBorder="0" applyAlignment="0" applyProtection="0"/>
    <xf numFmtId="167" fontId="2" fillId="0" borderId="0" applyFont="0" applyFill="0" applyBorder="0" applyAlignment="0" applyProtection="0"/>
    <xf numFmtId="165" fontId="2" fillId="0" borderId="0" applyFont="0" applyFill="0" applyBorder="0" applyAlignment="0" applyProtection="0"/>
    <xf numFmtId="167" fontId="2" fillId="0" borderId="0" applyFont="0" applyFill="0" applyBorder="0" applyAlignment="0" applyProtection="0"/>
    <xf numFmtId="165" fontId="2" fillId="0" borderId="0" applyFont="0" applyFill="0" applyBorder="0" applyAlignment="0" applyProtection="0"/>
    <xf numFmtId="168" fontId="2" fillId="0" borderId="0" applyFont="0" applyFill="0" applyBorder="0" applyAlignment="0" applyProtection="0"/>
    <xf numFmtId="166" fontId="2" fillId="0" borderId="0" applyFont="0" applyFill="0" applyBorder="0" applyAlignment="0" applyProtection="0"/>
    <xf numFmtId="175" fontId="2" fillId="0" borderId="0" applyFont="0" applyFill="0" applyBorder="0" applyAlignment="0" applyProtection="0"/>
    <xf numFmtId="164" fontId="89" fillId="0" borderId="0" applyFont="0" applyFill="0" applyBorder="0" applyAlignment="0" applyProtection="0"/>
    <xf numFmtId="0" fontId="81" fillId="11" borderId="0" applyNumberFormat="0" applyBorder="0" applyAlignment="0" applyProtection="0"/>
    <xf numFmtId="0" fontId="2" fillId="0" borderId="0"/>
    <xf numFmtId="0" fontId="55" fillId="0" borderId="0"/>
    <xf numFmtId="0" fontId="2" fillId="0" borderId="0"/>
    <xf numFmtId="0" fontId="2" fillId="0" borderId="0"/>
    <xf numFmtId="0" fontId="2" fillId="0" borderId="0"/>
    <xf numFmtId="0" fontId="2" fillId="0" borderId="0"/>
    <xf numFmtId="0" fontId="2" fillId="0" borderId="0"/>
    <xf numFmtId="0" fontId="2" fillId="0" borderId="0"/>
    <xf numFmtId="0" fontId="25" fillId="0" borderId="0"/>
    <xf numFmtId="0" fontId="2" fillId="0" borderId="0"/>
    <xf numFmtId="0" fontId="89" fillId="0" borderId="0"/>
    <xf numFmtId="0" fontId="89" fillId="0" borderId="0"/>
    <xf numFmtId="0" fontId="68" fillId="0" borderId="0"/>
    <xf numFmtId="0" fontId="68" fillId="0" borderId="0"/>
    <xf numFmtId="0" fontId="68" fillId="0" borderId="0"/>
    <xf numFmtId="0" fontId="68" fillId="0" borderId="0"/>
    <xf numFmtId="0" fontId="2" fillId="0" borderId="0"/>
    <xf numFmtId="0" fontId="2" fillId="0" borderId="0"/>
    <xf numFmtId="0" fontId="2" fillId="6" borderId="4" applyNumberFormat="0" applyFont="0" applyAlignment="0" applyProtection="0"/>
    <xf numFmtId="9" fontId="2" fillId="0" borderId="0" applyFont="0" applyFill="0" applyBorder="0" applyAlignment="0" applyProtection="0"/>
    <xf numFmtId="9" fontId="2" fillId="0" borderId="0" applyFont="0" applyFill="0" applyBorder="0" applyAlignment="0" applyProtection="0"/>
    <xf numFmtId="9" fontId="89" fillId="0" borderId="0" applyFont="0" applyFill="0" applyBorder="0" applyAlignment="0" applyProtection="0"/>
    <xf numFmtId="9" fontId="2" fillId="0" borderId="0" applyFont="0" applyFill="0" applyBorder="0" applyAlignment="0" applyProtection="0"/>
    <xf numFmtId="0" fontId="65" fillId="19" borderId="5" applyNumberFormat="0" applyAlignment="0" applyProtection="0"/>
    <xf numFmtId="0" fontId="61" fillId="0" borderId="0" applyNumberFormat="0" applyFill="0" applyBorder="0" applyAlignment="0" applyProtection="0"/>
    <xf numFmtId="0" fontId="66" fillId="0" borderId="0" applyNumberFormat="0" applyFill="0" applyBorder="0" applyAlignment="0" applyProtection="0"/>
    <xf numFmtId="0" fontId="82" fillId="0" borderId="6" applyNumberFormat="0" applyFill="0" applyAlignment="0" applyProtection="0"/>
    <xf numFmtId="0" fontId="83" fillId="0" borderId="7" applyNumberFormat="0" applyFill="0" applyAlignment="0" applyProtection="0"/>
    <xf numFmtId="0" fontId="77" fillId="0" borderId="8" applyNumberFormat="0" applyFill="0" applyAlignment="0" applyProtection="0"/>
    <xf numFmtId="0" fontId="84" fillId="0" borderId="0" applyNumberFormat="0" applyFill="0" applyBorder="0" applyAlignment="0" applyProtection="0"/>
    <xf numFmtId="0" fontId="67" fillId="0" borderId="9" applyNumberFormat="0" applyFill="0" applyAlignment="0" applyProtection="0"/>
    <xf numFmtId="0" fontId="139" fillId="56" borderId="0" applyNumberFormat="0" applyBorder="0" applyAlignment="0" applyProtection="0"/>
  </cellStyleXfs>
  <cellXfs count="2413">
    <xf numFmtId="0" fontId="0" fillId="0" borderId="0" xfId="0"/>
    <xf numFmtId="0" fontId="0" fillId="0" borderId="0" xfId="0" applyAlignment="1">
      <alignment horizontal="centerContinuous"/>
    </xf>
    <xf numFmtId="0" fontId="1" fillId="0" borderId="0" xfId="0" applyFont="1" applyAlignment="1">
      <alignment horizontal="centerContinuous"/>
    </xf>
    <xf numFmtId="0" fontId="0" fillId="0" borderId="10" xfId="0" applyBorder="1"/>
    <xf numFmtId="0" fontId="0" fillId="0" borderId="11" xfId="0" applyBorder="1"/>
    <xf numFmtId="0" fontId="0" fillId="0" borderId="12" xfId="0" applyBorder="1"/>
    <xf numFmtId="0" fontId="0" fillId="0" borderId="13" xfId="0" applyBorder="1"/>
    <xf numFmtId="0" fontId="0" fillId="0" borderId="14" xfId="0" applyBorder="1"/>
    <xf numFmtId="0" fontId="0" fillId="0" borderId="15" xfId="0" applyBorder="1"/>
    <xf numFmtId="0" fontId="0" fillId="0" borderId="16" xfId="0" applyBorder="1"/>
    <xf numFmtId="0" fontId="0" fillId="0" borderId="17" xfId="0" applyBorder="1"/>
    <xf numFmtId="0" fontId="0" fillId="0" borderId="18" xfId="0" applyBorder="1"/>
    <xf numFmtId="0" fontId="0" fillId="0" borderId="20" xfId="0" applyBorder="1"/>
    <xf numFmtId="0" fontId="0" fillId="0" borderId="21" xfId="0" applyBorder="1"/>
    <xf numFmtId="0" fontId="0" fillId="0" borderId="22" xfId="0" applyBorder="1"/>
    <xf numFmtId="0" fontId="0" fillId="0" borderId="23" xfId="0" applyBorder="1"/>
    <xf numFmtId="0" fontId="0" fillId="0" borderId="24" xfId="0" applyBorder="1"/>
    <xf numFmtId="0" fontId="0" fillId="0" borderId="25" xfId="0" applyBorder="1"/>
    <xf numFmtId="0" fontId="0" fillId="0" borderId="26" xfId="0" applyBorder="1"/>
    <xf numFmtId="0" fontId="0" fillId="0" borderId="27" xfId="0" applyBorder="1"/>
    <xf numFmtId="0" fontId="0" fillId="0" borderId="28" xfId="0" applyBorder="1"/>
    <xf numFmtId="0" fontId="0" fillId="0" borderId="13" xfId="0" applyBorder="1" applyAlignment="1">
      <alignment horizontal="center"/>
    </xf>
    <xf numFmtId="0" fontId="0" fillId="0" borderId="29" xfId="0" applyBorder="1"/>
    <xf numFmtId="0" fontId="6" fillId="0" borderId="0" xfId="0" applyFont="1"/>
    <xf numFmtId="0" fontId="5" fillId="0" borderId="0" xfId="0" applyFont="1"/>
    <xf numFmtId="0" fontId="0" fillId="0" borderId="30" xfId="0" applyBorder="1"/>
    <xf numFmtId="0" fontId="1" fillId="0" borderId="0" xfId="0" applyFont="1" applyAlignment="1">
      <alignment horizontal="center" vertical="center"/>
    </xf>
    <xf numFmtId="0" fontId="0" fillId="0" borderId="13" xfId="0" applyBorder="1" applyAlignment="1">
      <alignment wrapText="1"/>
    </xf>
    <xf numFmtId="0" fontId="10" fillId="0" borderId="0" xfId="0" applyFont="1" applyAlignment="1">
      <alignment horizontal="centerContinuous"/>
    </xf>
    <xf numFmtId="0" fontId="10" fillId="0" borderId="0" xfId="0" applyFont="1"/>
    <xf numFmtId="0" fontId="12" fillId="0" borderId="0" xfId="0" applyFont="1"/>
    <xf numFmtId="0" fontId="13" fillId="0" borderId="0" xfId="0" applyFont="1" applyAlignment="1">
      <alignment horizontal="centerContinuous"/>
    </xf>
    <xf numFmtId="0" fontId="13" fillId="0" borderId="0" xfId="0" applyFont="1"/>
    <xf numFmtId="0" fontId="14" fillId="0" borderId="0" xfId="0" applyFont="1" applyAlignment="1">
      <alignment horizontal="centerContinuous"/>
    </xf>
    <xf numFmtId="0" fontId="15" fillId="0" borderId="0" xfId="0" applyFont="1" applyAlignment="1">
      <alignment horizontal="centerContinuous"/>
    </xf>
    <xf numFmtId="0" fontId="11" fillId="0" borderId="0" xfId="0" applyFont="1"/>
    <xf numFmtId="0" fontId="16" fillId="0" borderId="0" xfId="0" applyFont="1" applyAlignment="1">
      <alignment horizontal="centerContinuous"/>
    </xf>
    <xf numFmtId="0" fontId="8" fillId="0" borderId="0" xfId="0" applyFont="1" applyAlignment="1">
      <alignment horizontal="centerContinuous"/>
    </xf>
    <xf numFmtId="0" fontId="9" fillId="0" borderId="31" xfId="0" applyFont="1" applyBorder="1" applyAlignment="1">
      <alignment horizontal="center" vertical="center"/>
    </xf>
    <xf numFmtId="0" fontId="9" fillId="0" borderId="13" xfId="0" applyFont="1" applyBorder="1" applyAlignment="1">
      <alignment horizontal="center" vertical="center" wrapText="1"/>
    </xf>
    <xf numFmtId="0" fontId="9" fillId="0" borderId="13" xfId="0" applyFont="1" applyBorder="1" applyAlignment="1">
      <alignment horizontal="center" vertical="center"/>
    </xf>
    <xf numFmtId="0" fontId="9" fillId="0" borderId="0" xfId="0" applyFont="1" applyAlignment="1">
      <alignment horizontal="centerContinuous"/>
    </xf>
    <xf numFmtId="0" fontId="8" fillId="0" borderId="0" xfId="0" applyFont="1"/>
    <xf numFmtId="0" fontId="18" fillId="0" borderId="13" xfId="0" applyFont="1" applyBorder="1" applyAlignment="1">
      <alignment vertical="center"/>
    </xf>
    <xf numFmtId="0" fontId="19" fillId="0" borderId="0" xfId="0" applyFont="1"/>
    <xf numFmtId="0" fontId="9" fillId="0" borderId="0" xfId="0" applyFont="1" applyAlignment="1">
      <alignment vertical="center" textRotation="180"/>
    </xf>
    <xf numFmtId="0" fontId="10" fillId="0" borderId="0" xfId="0" applyFont="1" applyAlignment="1">
      <alignment textRotation="180"/>
    </xf>
    <xf numFmtId="0" fontId="0" fillId="0" borderId="0" xfId="0" applyAlignment="1">
      <alignment textRotation="180"/>
    </xf>
    <xf numFmtId="0" fontId="20" fillId="0" borderId="0" xfId="0" applyFont="1" applyAlignment="1">
      <alignment horizontal="centerContinuous"/>
    </xf>
    <xf numFmtId="0" fontId="22" fillId="0" borderId="0" xfId="0" applyFont="1" applyAlignment="1">
      <alignment horizontal="centerContinuous"/>
    </xf>
    <xf numFmtId="0" fontId="0" fillId="0" borderId="12" xfId="0" applyBorder="1" applyAlignment="1">
      <alignment horizontal="center" vertical="center"/>
    </xf>
    <xf numFmtId="0" fontId="2" fillId="0" borderId="0" xfId="0" applyFont="1"/>
    <xf numFmtId="0" fontId="24" fillId="0" borderId="0" xfId="0" applyFont="1" applyAlignment="1">
      <alignment horizontal="centerContinuous"/>
    </xf>
    <xf numFmtId="0" fontId="26" fillId="0" borderId="0" xfId="0" applyFont="1" applyAlignment="1">
      <alignment horizontal="left"/>
    </xf>
    <xf numFmtId="0" fontId="21" fillId="0" borderId="0" xfId="0" applyFont="1" applyAlignment="1">
      <alignment horizontal="centerContinuous"/>
    </xf>
    <xf numFmtId="0" fontId="26" fillId="0" borderId="0" xfId="0" applyFont="1"/>
    <xf numFmtId="0" fontId="21" fillId="0" borderId="0" xfId="0" applyFont="1"/>
    <xf numFmtId="0" fontId="35" fillId="0" borderId="0" xfId="0" applyFont="1" applyAlignment="1">
      <alignment horizontal="centerContinuous"/>
    </xf>
    <xf numFmtId="0" fontId="36" fillId="0" borderId="0" xfId="0" applyFont="1" applyAlignment="1">
      <alignment horizontal="centerContinuous" wrapText="1"/>
    </xf>
    <xf numFmtId="0" fontId="10" fillId="0" borderId="0" xfId="0" applyFont="1" applyAlignment="1">
      <alignment horizontal="centerContinuous" wrapText="1"/>
    </xf>
    <xf numFmtId="49" fontId="37" fillId="0" borderId="26" xfId="0" applyNumberFormat="1" applyFont="1" applyBorder="1" applyAlignment="1">
      <alignment horizontal="center"/>
    </xf>
    <xf numFmtId="0" fontId="0" fillId="0" borderId="32" xfId="0" applyBorder="1"/>
    <xf numFmtId="9" fontId="25" fillId="0" borderId="0" xfId="0" applyNumberFormat="1" applyFont="1"/>
    <xf numFmtId="9" fontId="2" fillId="0" borderId="0" xfId="75"/>
    <xf numFmtId="0" fontId="0" fillId="0" borderId="33" xfId="0" applyBorder="1"/>
    <xf numFmtId="9" fontId="0" fillId="0" borderId="0" xfId="0" applyNumberFormat="1"/>
    <xf numFmtId="0" fontId="0" fillId="0" borderId="34" xfId="0" applyBorder="1"/>
    <xf numFmtId="0" fontId="7" fillId="0" borderId="25" xfId="0" applyFont="1" applyBorder="1" applyAlignment="1">
      <alignment horizontal="centerContinuous"/>
    </xf>
    <xf numFmtId="165" fontId="2" fillId="0" borderId="13" xfId="46" applyBorder="1"/>
    <xf numFmtId="169" fontId="0" fillId="0" borderId="13" xfId="0" applyNumberFormat="1" applyBorder="1" applyAlignment="1">
      <alignment horizontal="center"/>
    </xf>
    <xf numFmtId="0" fontId="0" fillId="0" borderId="35" xfId="0" applyBorder="1"/>
    <xf numFmtId="49" fontId="26" fillId="0" borderId="0" xfId="0" applyNumberFormat="1" applyFont="1"/>
    <xf numFmtId="0" fontId="4" fillId="0" borderId="0" xfId="0" applyFont="1"/>
    <xf numFmtId="0" fontId="40" fillId="0" borderId="24" xfId="0" applyFont="1" applyBorder="1"/>
    <xf numFmtId="0" fontId="1" fillId="0" borderId="24" xfId="0" applyFont="1" applyBorder="1"/>
    <xf numFmtId="0" fontId="40" fillId="0" borderId="0" xfId="0" applyFont="1"/>
    <xf numFmtId="0" fontId="1" fillId="0" borderId="0" xfId="0" applyFont="1"/>
    <xf numFmtId="0" fontId="41" fillId="0" borderId="0" xfId="0" applyFont="1"/>
    <xf numFmtId="0" fontId="28" fillId="0" borderId="0" xfId="0" applyFont="1" applyAlignment="1">
      <alignment horizontal="centerContinuous"/>
    </xf>
    <xf numFmtId="0" fontId="1" fillId="0" borderId="0" xfId="0" quotePrefix="1" applyFont="1" applyAlignment="1">
      <alignment horizontal="left"/>
    </xf>
    <xf numFmtId="0" fontId="1" fillId="0" borderId="33" xfId="0" applyFont="1" applyBorder="1"/>
    <xf numFmtId="0" fontId="1" fillId="0" borderId="34" xfId="0" applyFont="1" applyBorder="1"/>
    <xf numFmtId="0" fontId="28" fillId="0" borderId="0" xfId="0" applyFont="1"/>
    <xf numFmtId="49" fontId="3" fillId="0" borderId="13" xfId="0" applyNumberFormat="1" applyFont="1" applyBorder="1" applyAlignment="1">
      <alignment horizontal="center"/>
    </xf>
    <xf numFmtId="0" fontId="4" fillId="0" borderId="21" xfId="0" applyFont="1" applyBorder="1"/>
    <xf numFmtId="0" fontId="4" fillId="0" borderId="13" xfId="0" applyFont="1" applyBorder="1" applyAlignment="1">
      <alignment horizontal="center"/>
    </xf>
    <xf numFmtId="0" fontId="16" fillId="24" borderId="23" xfId="0" applyFont="1" applyFill="1" applyBorder="1" applyAlignment="1">
      <alignment horizontal="centerContinuous"/>
    </xf>
    <xf numFmtId="0" fontId="10" fillId="24" borderId="25" xfId="0" applyFont="1" applyFill="1" applyBorder="1" applyAlignment="1">
      <alignment horizontal="centerContinuous"/>
    </xf>
    <xf numFmtId="0" fontId="10" fillId="24" borderId="24" xfId="0" applyFont="1" applyFill="1" applyBorder="1" applyAlignment="1">
      <alignment horizontal="centerContinuous"/>
    </xf>
    <xf numFmtId="0" fontId="0" fillId="0" borderId="36" xfId="0" applyBorder="1"/>
    <xf numFmtId="0" fontId="41" fillId="0" borderId="31" xfId="0" applyFont="1" applyBorder="1"/>
    <xf numFmtId="1" fontId="9" fillId="0" borderId="13" xfId="0" applyNumberFormat="1" applyFont="1" applyBorder="1" applyAlignment="1">
      <alignment horizontal="center" vertical="center" wrapText="1"/>
    </xf>
    <xf numFmtId="1" fontId="41" fillId="0" borderId="13" xfId="0" applyNumberFormat="1" applyFont="1" applyBorder="1" applyAlignment="1">
      <alignment horizontal="center"/>
    </xf>
    <xf numFmtId="0" fontId="41" fillId="0" borderId="13" xfId="0" applyFont="1" applyBorder="1" applyAlignment="1">
      <alignment horizontal="center"/>
    </xf>
    <xf numFmtId="49" fontId="41" fillId="0" borderId="13" xfId="0" applyNumberFormat="1" applyFont="1" applyBorder="1" applyAlignment="1">
      <alignment horizontal="center"/>
    </xf>
    <xf numFmtId="0" fontId="41" fillId="0" borderId="13" xfId="0" applyFont="1" applyBorder="1"/>
    <xf numFmtId="0" fontId="1" fillId="0" borderId="29" xfId="0" applyFont="1" applyBorder="1" applyAlignment="1">
      <alignment horizontal="center" vertical="center"/>
    </xf>
    <xf numFmtId="0" fontId="9" fillId="24" borderId="38" xfId="0" applyFont="1" applyFill="1" applyBorder="1" applyAlignment="1">
      <alignment horizontal="center" vertical="center"/>
    </xf>
    <xf numFmtId="0" fontId="0" fillId="0" borderId="40" xfId="0" applyBorder="1"/>
    <xf numFmtId="0" fontId="9" fillId="24" borderId="41" xfId="0" applyFont="1" applyFill="1" applyBorder="1" applyAlignment="1">
      <alignment horizontal="center" vertical="center"/>
    </xf>
    <xf numFmtId="0" fontId="9" fillId="24" borderId="42" xfId="0" applyFont="1" applyFill="1" applyBorder="1" applyAlignment="1">
      <alignment horizontal="center" vertical="center"/>
    </xf>
    <xf numFmtId="0" fontId="9" fillId="24" borderId="43" xfId="0" applyFont="1" applyFill="1" applyBorder="1" applyAlignment="1">
      <alignment horizontal="center" vertical="center"/>
    </xf>
    <xf numFmtId="0" fontId="0" fillId="0" borderId="44" xfId="0" applyBorder="1"/>
    <xf numFmtId="0" fontId="9" fillId="24" borderId="37" xfId="0" applyFont="1" applyFill="1" applyBorder="1" applyAlignment="1">
      <alignment horizontal="center" vertical="center"/>
    </xf>
    <xf numFmtId="0" fontId="9" fillId="24" borderId="42" xfId="0" applyFont="1" applyFill="1" applyBorder="1" applyAlignment="1">
      <alignment horizontal="center" vertical="center" wrapText="1"/>
    </xf>
    <xf numFmtId="0" fontId="9" fillId="24" borderId="45" xfId="0" applyFont="1" applyFill="1" applyBorder="1" applyAlignment="1">
      <alignment horizontal="center" vertical="center"/>
    </xf>
    <xf numFmtId="0" fontId="0" fillId="0" borderId="46" xfId="0" applyBorder="1"/>
    <xf numFmtId="49" fontId="3" fillId="0" borderId="35" xfId="0" applyNumberFormat="1" applyFont="1" applyBorder="1" applyAlignment="1">
      <alignment horizontal="center"/>
    </xf>
    <xf numFmtId="49" fontId="3" fillId="0" borderId="46" xfId="0" applyNumberFormat="1" applyFont="1" applyBorder="1" applyAlignment="1">
      <alignment horizontal="center"/>
    </xf>
    <xf numFmtId="49" fontId="3" fillId="0" borderId="44" xfId="0" applyNumberFormat="1" applyFont="1" applyBorder="1" applyAlignment="1">
      <alignment horizontal="center"/>
    </xf>
    <xf numFmtId="0" fontId="9" fillId="24" borderId="45" xfId="0" applyFont="1" applyFill="1" applyBorder="1" applyAlignment="1">
      <alignment horizontal="center" vertical="center" wrapText="1"/>
    </xf>
    <xf numFmtId="0" fontId="0" fillId="0" borderId="0" xfId="0" applyAlignment="1">
      <alignment horizontal="center"/>
    </xf>
    <xf numFmtId="1" fontId="9" fillId="0" borderId="13" xfId="0" applyNumberFormat="1" applyFont="1" applyBorder="1" applyAlignment="1">
      <alignment horizontal="centerContinuous" vertical="center" wrapText="1"/>
    </xf>
    <xf numFmtId="0" fontId="42" fillId="25" borderId="0" xfId="0" applyFont="1" applyFill="1" applyAlignment="1">
      <alignment horizontal="centerContinuous"/>
    </xf>
    <xf numFmtId="0" fontId="0" fillId="25" borderId="0" xfId="0" applyFill="1" applyAlignment="1">
      <alignment horizontal="centerContinuous"/>
    </xf>
    <xf numFmtId="0" fontId="0" fillId="25" borderId="0" xfId="0" applyFill="1"/>
    <xf numFmtId="0" fontId="1" fillId="25" borderId="0" xfId="0" applyFont="1" applyFill="1" applyAlignment="1">
      <alignment horizontal="centerContinuous"/>
    </xf>
    <xf numFmtId="0" fontId="22" fillId="25" borderId="0" xfId="0" applyFont="1" applyFill="1" applyAlignment="1">
      <alignment horizontal="centerContinuous"/>
    </xf>
    <xf numFmtId="0" fontId="1" fillId="25" borderId="0" xfId="0" applyFont="1" applyFill="1" applyAlignment="1">
      <alignment textRotation="180"/>
    </xf>
    <xf numFmtId="49" fontId="1" fillId="25" borderId="0" xfId="0" applyNumberFormat="1" applyFont="1" applyFill="1"/>
    <xf numFmtId="0" fontId="1" fillId="25" borderId="0" xfId="0" applyFont="1" applyFill="1"/>
    <xf numFmtId="0" fontId="9" fillId="24" borderId="47" xfId="0" applyFont="1" applyFill="1" applyBorder="1" applyAlignment="1">
      <alignment horizontal="center" vertical="center"/>
    </xf>
    <xf numFmtId="0" fontId="18" fillId="0" borderId="0" xfId="0" applyFont="1"/>
    <xf numFmtId="0" fontId="0" fillId="0" borderId="13" xfId="0" applyBorder="1" applyAlignment="1">
      <alignment horizontal="center" vertical="center"/>
    </xf>
    <xf numFmtId="0" fontId="0" fillId="26" borderId="14" xfId="0" applyFill="1" applyBorder="1"/>
    <xf numFmtId="0" fontId="0" fillId="27" borderId="11" xfId="0" applyFill="1" applyBorder="1"/>
    <xf numFmtId="0" fontId="49" fillId="0" borderId="0" xfId="0" applyFont="1" applyAlignment="1">
      <alignment horizontal="centerContinuous"/>
    </xf>
    <xf numFmtId="0" fontId="49" fillId="0" borderId="0" xfId="0" applyFont="1"/>
    <xf numFmtId="0" fontId="49" fillId="0" borderId="0" xfId="0" applyFont="1" applyAlignment="1">
      <alignment textRotation="180"/>
    </xf>
    <xf numFmtId="0" fontId="22" fillId="0" borderId="0" xfId="0" applyFont="1" applyAlignment="1">
      <alignment horizontal="center" wrapText="1"/>
    </xf>
    <xf numFmtId="0" fontId="31" fillId="0" borderId="0" xfId="0" applyFont="1" applyAlignment="1">
      <alignment horizontal="center"/>
    </xf>
    <xf numFmtId="0" fontId="8" fillId="0" borderId="0" xfId="0" applyFont="1" applyAlignment="1">
      <alignment horizontal="centerContinuous" wrapText="1"/>
    </xf>
    <xf numFmtId="0" fontId="0" fillId="0" borderId="0" xfId="0" applyAlignment="1">
      <alignment horizontal="centerContinuous" wrapText="1"/>
    </xf>
    <xf numFmtId="0" fontId="1" fillId="0" borderId="0" xfId="0" applyFont="1" applyAlignment="1">
      <alignment horizontal="centerContinuous" wrapText="1"/>
    </xf>
    <xf numFmtId="0" fontId="0" fillId="0" borderId="49" xfId="0" applyBorder="1" applyAlignment="1">
      <alignment horizontal="center"/>
    </xf>
    <xf numFmtId="0" fontId="31" fillId="24" borderId="50" xfId="0" applyFont="1" applyFill="1" applyBorder="1" applyAlignment="1">
      <alignment horizontal="center"/>
    </xf>
    <xf numFmtId="0" fontId="0" fillId="0" borderId="0" xfId="0" applyAlignment="1">
      <alignment horizontal="left"/>
    </xf>
    <xf numFmtId="0" fontId="1" fillId="0" borderId="0" xfId="0" applyFont="1" applyAlignment="1">
      <alignment horizontal="left"/>
    </xf>
    <xf numFmtId="0" fontId="31" fillId="24" borderId="51" xfId="0" applyFont="1" applyFill="1" applyBorder="1" applyAlignment="1">
      <alignment horizontal="center"/>
    </xf>
    <xf numFmtId="0" fontId="31" fillId="0" borderId="0" xfId="0" applyFont="1"/>
    <xf numFmtId="0" fontId="9" fillId="24" borderId="52" xfId="0" applyFont="1" applyFill="1" applyBorder="1" applyAlignment="1">
      <alignment horizontal="center" vertical="center"/>
    </xf>
    <xf numFmtId="0" fontId="9" fillId="0" borderId="0" xfId="0" applyFont="1"/>
    <xf numFmtId="0" fontId="28" fillId="0" borderId="0" xfId="0" applyFont="1" applyAlignment="1">
      <alignment horizontal="left"/>
    </xf>
    <xf numFmtId="0" fontId="0" fillId="25" borderId="33" xfId="0" applyFill="1" applyBorder="1"/>
    <xf numFmtId="0" fontId="27" fillId="0" borderId="0" xfId="0" applyFont="1" applyAlignment="1">
      <alignment horizontal="left"/>
    </xf>
    <xf numFmtId="0" fontId="0" fillId="0" borderId="0" xfId="0" applyAlignment="1">
      <alignment horizontal="center" vertical="center"/>
    </xf>
    <xf numFmtId="0" fontId="0" fillId="0" borderId="0" xfId="0" applyAlignment="1">
      <alignment wrapText="1"/>
    </xf>
    <xf numFmtId="165" fontId="2" fillId="0" borderId="0" xfId="46"/>
    <xf numFmtId="0" fontId="2" fillId="0" borderId="0" xfId="46" applyNumberFormat="1" applyAlignment="1">
      <alignment horizontal="center"/>
    </xf>
    <xf numFmtId="0" fontId="9" fillId="0" borderId="0" xfId="0" applyFont="1" applyAlignment="1">
      <alignment vertical="center"/>
    </xf>
    <xf numFmtId="0" fontId="46" fillId="0" borderId="0" xfId="0" applyFont="1" applyAlignment="1">
      <alignment horizontal="center"/>
    </xf>
    <xf numFmtId="0" fontId="7" fillId="0" borderId="0" xfId="0" applyFont="1"/>
    <xf numFmtId="0" fontId="7" fillId="0" borderId="0" xfId="0" applyFont="1" applyAlignment="1">
      <alignment horizontal="left"/>
    </xf>
    <xf numFmtId="0" fontId="0" fillId="0" borderId="52" xfId="0" quotePrefix="1" applyBorder="1" applyAlignment="1">
      <alignment horizontal="center"/>
    </xf>
    <xf numFmtId="0" fontId="0" fillId="0" borderId="22" xfId="0" quotePrefix="1" applyBorder="1"/>
    <xf numFmtId="0" fontId="0" fillId="0" borderId="19" xfId="0" quotePrefix="1" applyBorder="1"/>
    <xf numFmtId="0" fontId="0" fillId="0" borderId="15" xfId="0" quotePrefix="1" applyBorder="1"/>
    <xf numFmtId="0" fontId="0" fillId="0" borderId="0" xfId="0" quotePrefix="1"/>
    <xf numFmtId="0" fontId="31" fillId="0" borderId="0" xfId="0" applyFont="1" applyAlignment="1">
      <alignment horizontal="left"/>
    </xf>
    <xf numFmtId="0" fontId="25" fillId="0" borderId="10" xfId="0" applyFont="1" applyBorder="1"/>
    <xf numFmtId="0" fontId="34" fillId="0" borderId="0" xfId="0" applyFont="1"/>
    <xf numFmtId="0" fontId="31" fillId="24" borderId="13" xfId="0" applyFont="1" applyFill="1" applyBorder="1" applyAlignment="1">
      <alignment horizontal="center"/>
    </xf>
    <xf numFmtId="0" fontId="31" fillId="0" borderId="0" xfId="72" applyFont="1" applyAlignment="1">
      <alignment horizontal="right"/>
    </xf>
    <xf numFmtId="0" fontId="31" fillId="0" borderId="0" xfId="72" applyFont="1" applyAlignment="1">
      <alignment horizontal="center"/>
    </xf>
    <xf numFmtId="0" fontId="2" fillId="0" borderId="0" xfId="72"/>
    <xf numFmtId="0" fontId="31" fillId="0" borderId="55" xfId="72" applyFont="1" applyBorder="1" applyAlignment="1">
      <alignment horizontal="center"/>
    </xf>
    <xf numFmtId="0" fontId="2" fillId="0" borderId="0" xfId="72" applyAlignment="1">
      <alignment horizontal="center"/>
    </xf>
    <xf numFmtId="49" fontId="2" fillId="0" borderId="0" xfId="72" applyNumberFormat="1"/>
    <xf numFmtId="0" fontId="2" fillId="0" borderId="0" xfId="72" applyAlignment="1">
      <alignment horizontal="justify"/>
    </xf>
    <xf numFmtId="0" fontId="0" fillId="25" borderId="27" xfId="0" applyFill="1" applyBorder="1"/>
    <xf numFmtId="0" fontId="16" fillId="0" borderId="0" xfId="0" applyFont="1" applyAlignment="1">
      <alignment horizontal="center"/>
    </xf>
    <xf numFmtId="0" fontId="38" fillId="0" borderId="0" xfId="0" applyFont="1" applyAlignment="1">
      <alignment horizontal="center"/>
    </xf>
    <xf numFmtId="0" fontId="7" fillId="0" borderId="0" xfId="0" applyFont="1" applyAlignment="1">
      <alignment horizontal="center"/>
    </xf>
    <xf numFmtId="0" fontId="8" fillId="0" borderId="27" xfId="0" applyFont="1" applyBorder="1"/>
    <xf numFmtId="0" fontId="44" fillId="25" borderId="0" xfId="0" applyFont="1" applyFill="1"/>
    <xf numFmtId="0" fontId="50" fillId="25" borderId="32" xfId="0" applyFont="1" applyFill="1" applyBorder="1" applyAlignment="1">
      <alignment vertical="center"/>
    </xf>
    <xf numFmtId="0" fontId="50" fillId="25" borderId="33" xfId="0" applyFont="1" applyFill="1" applyBorder="1" applyAlignment="1">
      <alignment vertical="center"/>
    </xf>
    <xf numFmtId="0" fontId="50" fillId="25" borderId="33" xfId="0" applyFont="1" applyFill="1" applyBorder="1" applyAlignment="1">
      <alignment horizontal="justify" vertical="center"/>
    </xf>
    <xf numFmtId="0" fontId="50" fillId="25" borderId="34" xfId="0" applyFont="1" applyFill="1" applyBorder="1" applyAlignment="1">
      <alignment vertical="center"/>
    </xf>
    <xf numFmtId="0" fontId="1" fillId="0" borderId="32" xfId="0" applyFont="1" applyBorder="1" applyAlignment="1">
      <alignment horizontal="center"/>
    </xf>
    <xf numFmtId="0" fontId="1" fillId="0" borderId="33" xfId="0" applyFont="1" applyBorder="1" applyAlignment="1">
      <alignment horizontal="center"/>
    </xf>
    <xf numFmtId="0" fontId="44" fillId="25" borderId="27" xfId="0" applyFont="1" applyFill="1" applyBorder="1"/>
    <xf numFmtId="0" fontId="0" fillId="25" borderId="34" xfId="0" applyFill="1" applyBorder="1"/>
    <xf numFmtId="0" fontId="1" fillId="0" borderId="0" xfId="0" applyFont="1" applyAlignment="1">
      <alignment horizontal="center"/>
    </xf>
    <xf numFmtId="0" fontId="1" fillId="0" borderId="34" xfId="0" applyFont="1" applyBorder="1" applyAlignment="1">
      <alignment horizontal="center"/>
    </xf>
    <xf numFmtId="0" fontId="1" fillId="0" borderId="0" xfId="0" applyFont="1" applyAlignment="1">
      <alignment horizontal="right"/>
    </xf>
    <xf numFmtId="0" fontId="50" fillId="25" borderId="0" xfId="0" applyFont="1" applyFill="1" applyAlignment="1">
      <alignment vertical="center"/>
    </xf>
    <xf numFmtId="0" fontId="50" fillId="25" borderId="0" xfId="0" applyFont="1" applyFill="1" applyAlignment="1">
      <alignment horizontal="justify" vertical="center"/>
    </xf>
    <xf numFmtId="0" fontId="1" fillId="0" borderId="32" xfId="0" applyFont="1" applyBorder="1" applyAlignment="1">
      <alignment horizontal="right"/>
    </xf>
    <xf numFmtId="0" fontId="1" fillId="0" borderId="10" xfId="0" applyFont="1" applyBorder="1" applyAlignment="1">
      <alignment horizontal="left"/>
    </xf>
    <xf numFmtId="0" fontId="0" fillId="25" borderId="56" xfId="0" applyFill="1" applyBorder="1"/>
    <xf numFmtId="0" fontId="0" fillId="25" borderId="57" xfId="0" applyFill="1" applyBorder="1"/>
    <xf numFmtId="0" fontId="22" fillId="0" borderId="0" xfId="0" applyFont="1" applyAlignment="1">
      <alignment horizontal="left"/>
    </xf>
    <xf numFmtId="0" fontId="34" fillId="0" borderId="13" xfId="0" applyFont="1" applyBorder="1" applyAlignment="1">
      <alignment vertical="center"/>
    </xf>
    <xf numFmtId="0" fontId="22" fillId="0" borderId="0" xfId="0" applyFont="1" applyAlignment="1">
      <alignment horizontal="center"/>
    </xf>
    <xf numFmtId="0" fontId="34" fillId="27" borderId="13" xfId="0" applyFont="1" applyFill="1" applyBorder="1" applyAlignment="1">
      <alignment horizontal="center"/>
    </xf>
    <xf numFmtId="0" fontId="34" fillId="26" borderId="13" xfId="0" applyFont="1" applyFill="1" applyBorder="1" applyAlignment="1">
      <alignment horizontal="centerContinuous"/>
    </xf>
    <xf numFmtId="0" fontId="34" fillId="28" borderId="13" xfId="0" applyFont="1" applyFill="1" applyBorder="1" applyAlignment="1">
      <alignment horizontal="centerContinuous"/>
    </xf>
    <xf numFmtId="0" fontId="27" fillId="0" borderId="13" xfId="0" applyFont="1" applyBorder="1" applyAlignment="1">
      <alignment horizontal="center"/>
    </xf>
    <xf numFmtId="0" fontId="7" fillId="0" borderId="32" xfId="0" applyFont="1" applyBorder="1" applyAlignment="1">
      <alignment horizontal="centerContinuous"/>
    </xf>
    <xf numFmtId="49" fontId="37" fillId="0" borderId="33" xfId="0" applyNumberFormat="1" applyFont="1" applyBorder="1" applyAlignment="1">
      <alignment horizontal="center"/>
    </xf>
    <xf numFmtId="0" fontId="25" fillId="0" borderId="0" xfId="0" applyFont="1"/>
    <xf numFmtId="0" fontId="47" fillId="0" borderId="0" xfId="0" applyFont="1"/>
    <xf numFmtId="0" fontId="10" fillId="0" borderId="10" xfId="0" applyFont="1" applyBorder="1"/>
    <xf numFmtId="0" fontId="47" fillId="28" borderId="14" xfId="0" applyFont="1" applyFill="1" applyBorder="1"/>
    <xf numFmtId="0" fontId="18" fillId="0" borderId="10" xfId="0" applyFont="1" applyBorder="1"/>
    <xf numFmtId="0" fontId="8" fillId="0" borderId="10" xfId="0" applyFont="1" applyBorder="1"/>
    <xf numFmtId="0" fontId="27" fillId="0" borderId="0" xfId="0" applyFont="1"/>
    <xf numFmtId="0" fontId="8" fillId="0" borderId="0" xfId="0" applyFont="1" applyAlignment="1">
      <alignment horizontal="right" vertical="center"/>
    </xf>
    <xf numFmtId="0" fontId="1" fillId="29" borderId="13" xfId="0" applyFont="1" applyFill="1" applyBorder="1" applyAlignment="1">
      <alignment horizontal="center" vertical="center"/>
    </xf>
    <xf numFmtId="0" fontId="8" fillId="0" borderId="14" xfId="0" applyFont="1" applyBorder="1" applyAlignment="1">
      <alignment horizontal="center" wrapText="1"/>
    </xf>
    <xf numFmtId="0" fontId="31" fillId="0" borderId="0" xfId="0" applyFont="1" applyAlignment="1">
      <alignment vertical="center"/>
    </xf>
    <xf numFmtId="0" fontId="31" fillId="0" borderId="0" xfId="0" applyFont="1" applyAlignment="1">
      <alignment horizontal="right"/>
    </xf>
    <xf numFmtId="0" fontId="30" fillId="0" borderId="0" xfId="0" applyFont="1"/>
    <xf numFmtId="0" fontId="4" fillId="0" borderId="15" xfId="0" quotePrefix="1" applyFont="1" applyBorder="1"/>
    <xf numFmtId="0" fontId="4" fillId="0" borderId="10" xfId="0" applyFont="1" applyBorder="1"/>
    <xf numFmtId="0" fontId="4" fillId="0" borderId="19" xfId="0" quotePrefix="1" applyFont="1" applyBorder="1"/>
    <xf numFmtId="0" fontId="4" fillId="0" borderId="30" xfId="0" applyFont="1" applyBorder="1"/>
    <xf numFmtId="0" fontId="4" fillId="0" borderId="20" xfId="0" applyFont="1" applyBorder="1"/>
    <xf numFmtId="0" fontId="4" fillId="0" borderId="17" xfId="0" applyFont="1" applyBorder="1"/>
    <xf numFmtId="0" fontId="4" fillId="0" borderId="14" xfId="0" applyFont="1" applyBorder="1"/>
    <xf numFmtId="0" fontId="4" fillId="0" borderId="22" xfId="0" quotePrefix="1" applyFont="1" applyBorder="1"/>
    <xf numFmtId="0" fontId="30" fillId="0" borderId="13" xfId="0" applyFont="1" applyBorder="1" applyAlignment="1">
      <alignment horizontal="center"/>
    </xf>
    <xf numFmtId="0" fontId="21" fillId="0" borderId="13" xfId="0" quotePrefix="1" applyFont="1" applyBorder="1" applyAlignment="1">
      <alignment horizontal="center"/>
    </xf>
    <xf numFmtId="0" fontId="30" fillId="0" borderId="35" xfId="0" applyFont="1" applyBorder="1" applyAlignment="1">
      <alignment horizontal="center"/>
    </xf>
    <xf numFmtId="0" fontId="30" fillId="0" borderId="29" xfId="0" applyFont="1" applyBorder="1" applyAlignment="1">
      <alignment horizontal="center"/>
    </xf>
    <xf numFmtId="0" fontId="4" fillId="0" borderId="35" xfId="0" applyFont="1" applyBorder="1" applyAlignment="1">
      <alignment horizontal="center"/>
    </xf>
    <xf numFmtId="0" fontId="4" fillId="0" borderId="29" xfId="0" applyFont="1" applyBorder="1" applyAlignment="1">
      <alignment horizontal="center"/>
    </xf>
    <xf numFmtId="0" fontId="21" fillId="0" borderId="35" xfId="0" quotePrefix="1" applyFont="1" applyBorder="1" applyAlignment="1">
      <alignment horizontal="center"/>
    </xf>
    <xf numFmtId="0" fontId="21" fillId="0" borderId="29" xfId="0" quotePrefix="1" applyFont="1" applyBorder="1" applyAlignment="1">
      <alignment horizontal="center"/>
    </xf>
    <xf numFmtId="0" fontId="46" fillId="0" borderId="0" xfId="0" applyFont="1" applyAlignment="1">
      <alignment horizontal="left"/>
    </xf>
    <xf numFmtId="0" fontId="7" fillId="0" borderId="10" xfId="0" applyFont="1" applyBorder="1" applyAlignment="1">
      <alignment horizontal="left"/>
    </xf>
    <xf numFmtId="0" fontId="0" fillId="0" borderId="58" xfId="0" quotePrefix="1" applyBorder="1" applyAlignment="1">
      <alignment horizontal="center"/>
    </xf>
    <xf numFmtId="0" fontId="33" fillId="24" borderId="37" xfId="0" applyFont="1" applyFill="1" applyBorder="1" applyAlignment="1">
      <alignment horizontal="center" vertical="center"/>
    </xf>
    <xf numFmtId="0" fontId="0" fillId="25" borderId="10" xfId="0" applyFill="1" applyBorder="1"/>
    <xf numFmtId="0" fontId="8" fillId="0" borderId="0" xfId="0" applyFont="1" applyAlignment="1">
      <alignment horizontal="left"/>
    </xf>
    <xf numFmtId="0" fontId="23" fillId="0" borderId="0" xfId="0" applyFont="1"/>
    <xf numFmtId="0" fontId="0" fillId="25" borderId="59" xfId="0" applyFill="1" applyBorder="1"/>
    <xf numFmtId="0" fontId="44" fillId="25" borderId="10" xfId="0" applyFont="1" applyFill="1" applyBorder="1"/>
    <xf numFmtId="49" fontId="17" fillId="24" borderId="42" xfId="0" applyNumberFormat="1" applyFont="1" applyFill="1" applyBorder="1" applyAlignment="1">
      <alignment horizontal="center" vertical="center" wrapText="1"/>
    </xf>
    <xf numFmtId="0" fontId="33" fillId="24" borderId="37" xfId="0" applyFont="1" applyFill="1" applyBorder="1" applyAlignment="1">
      <alignment horizontal="center" vertical="center" wrapText="1"/>
    </xf>
    <xf numFmtId="0" fontId="32" fillId="0" borderId="0" xfId="0" applyFont="1"/>
    <xf numFmtId="0" fontId="27" fillId="0" borderId="0" xfId="0" applyFont="1" applyAlignment="1">
      <alignment horizontal="center"/>
    </xf>
    <xf numFmtId="0" fontId="31" fillId="0" borderId="37" xfId="0" applyFont="1" applyBorder="1"/>
    <xf numFmtId="0" fontId="31" fillId="0" borderId="42" xfId="0" applyFont="1" applyBorder="1" applyAlignment="1">
      <alignment horizontal="center"/>
    </xf>
    <xf numFmtId="0" fontId="4" fillId="0" borderId="0" xfId="0" applyFont="1" applyAlignment="1">
      <alignment vertical="center" wrapText="1"/>
    </xf>
    <xf numFmtId="0" fontId="32" fillId="0" borderId="0" xfId="0" applyFont="1" applyAlignment="1">
      <alignment horizontal="center" vertical="center" wrapText="1"/>
    </xf>
    <xf numFmtId="0" fontId="32" fillId="0" borderId="0" xfId="0" applyFont="1" applyAlignment="1">
      <alignment vertical="center" wrapText="1"/>
    </xf>
    <xf numFmtId="0" fontId="0" fillId="0" borderId="13" xfId="0" applyBorder="1" applyAlignment="1">
      <alignment vertical="center"/>
    </xf>
    <xf numFmtId="0" fontId="0" fillId="0" borderId="0" xfId="0" applyAlignment="1">
      <alignment vertical="center"/>
    </xf>
    <xf numFmtId="0" fontId="90" fillId="0" borderId="0" xfId="41" applyAlignment="1" applyProtection="1"/>
    <xf numFmtId="0" fontId="20" fillId="0" borderId="14" xfId="0" applyFont="1" applyBorder="1" applyAlignment="1">
      <alignment horizontal="centerContinuous"/>
    </xf>
    <xf numFmtId="0" fontId="0" fillId="0" borderId="14" xfId="0" applyBorder="1" applyAlignment="1">
      <alignment horizontal="centerContinuous"/>
    </xf>
    <xf numFmtId="0" fontId="90" fillId="0" borderId="0" xfId="41" applyAlignment="1" applyProtection="1">
      <alignment horizontal="center"/>
    </xf>
    <xf numFmtId="0" fontId="5" fillId="0" borderId="48" xfId="0" applyFont="1" applyBorder="1" applyAlignment="1">
      <alignment horizontal="center"/>
    </xf>
    <xf numFmtId="0" fontId="5" fillId="0" borderId="50" xfId="0" applyFont="1" applyBorder="1" applyAlignment="1">
      <alignment horizontal="center"/>
    </xf>
    <xf numFmtId="0" fontId="5" fillId="0" borderId="15" xfId="0" applyFont="1" applyBorder="1" applyAlignment="1">
      <alignment horizontal="centerContinuous"/>
    </xf>
    <xf numFmtId="0" fontId="5" fillId="0" borderId="39" xfId="0" applyFont="1" applyBorder="1" applyAlignment="1">
      <alignment horizontal="center"/>
    </xf>
    <xf numFmtId="0" fontId="5" fillId="0" borderId="62" xfId="0" applyFont="1" applyBorder="1" applyAlignment="1">
      <alignment horizontal="center"/>
    </xf>
    <xf numFmtId="0" fontId="5" fillId="0" borderId="63" xfId="0" applyFont="1" applyBorder="1" applyAlignment="1">
      <alignment horizontal="centerContinuous"/>
    </xf>
    <xf numFmtId="0" fontId="5" fillId="0" borderId="64" xfId="0" applyFont="1" applyBorder="1" applyAlignment="1">
      <alignment horizontal="centerContinuous"/>
    </xf>
    <xf numFmtId="0" fontId="5" fillId="0" borderId="63" xfId="0" applyFont="1" applyBorder="1" applyAlignment="1">
      <alignment horizontal="center"/>
    </xf>
    <xf numFmtId="0" fontId="52" fillId="0" borderId="46" xfId="0" applyFont="1" applyBorder="1" applyAlignment="1">
      <alignment horizontal="center"/>
    </xf>
    <xf numFmtId="0" fontId="52" fillId="0" borderId="44" xfId="0" applyFont="1" applyBorder="1" applyAlignment="1">
      <alignment horizontal="center"/>
    </xf>
    <xf numFmtId="0" fontId="52" fillId="0" borderId="65" xfId="0" applyFont="1" applyBorder="1" applyAlignment="1">
      <alignment horizontal="center"/>
    </xf>
    <xf numFmtId="0" fontId="52" fillId="0" borderId="36" xfId="0" applyFont="1" applyBorder="1" applyAlignment="1">
      <alignment horizontal="center"/>
    </xf>
    <xf numFmtId="0" fontId="52" fillId="0" borderId="37" xfId="0" quotePrefix="1" applyFont="1" applyBorder="1" applyAlignment="1">
      <alignment horizontal="center"/>
    </xf>
    <xf numFmtId="0" fontId="52" fillId="0" borderId="42" xfId="0" quotePrefix="1" applyFont="1" applyBorder="1" applyAlignment="1">
      <alignment horizontal="center"/>
    </xf>
    <xf numFmtId="0" fontId="52" fillId="0" borderId="41" xfId="0" quotePrefix="1" applyFont="1" applyBorder="1" applyAlignment="1">
      <alignment horizontal="center"/>
    </xf>
    <xf numFmtId="0" fontId="52" fillId="0" borderId="45" xfId="0" quotePrefix="1" applyFont="1" applyBorder="1" applyAlignment="1">
      <alignment horizontal="center"/>
    </xf>
    <xf numFmtId="0" fontId="38" fillId="0" borderId="0" xfId="0" applyFont="1"/>
    <xf numFmtId="0" fontId="16" fillId="0" borderId="0" xfId="0" applyFont="1"/>
    <xf numFmtId="0" fontId="5" fillId="0" borderId="0" xfId="0" applyFont="1" applyAlignment="1">
      <alignment horizontal="center"/>
    </xf>
    <xf numFmtId="0" fontId="91" fillId="0" borderId="0" xfId="41" applyFont="1" applyAlignment="1" applyProtection="1">
      <alignment horizontal="center"/>
    </xf>
    <xf numFmtId="0" fontId="18" fillId="0" borderId="13" xfId="0" applyFont="1" applyBorder="1" applyAlignment="1">
      <alignment horizontal="center" vertical="center" wrapText="1"/>
    </xf>
    <xf numFmtId="0" fontId="31" fillId="30" borderId="22" xfId="72" applyFont="1" applyFill="1" applyBorder="1" applyAlignment="1">
      <alignment horizontal="center" vertical="center" wrapText="1"/>
    </xf>
    <xf numFmtId="0" fontId="31" fillId="30" borderId="13" xfId="72" applyFont="1" applyFill="1" applyBorder="1" applyAlignment="1">
      <alignment horizontal="center" vertical="center" wrapText="1"/>
    </xf>
    <xf numFmtId="0" fontId="31" fillId="0" borderId="0" xfId="0" applyFont="1" applyAlignment="1">
      <alignment horizontal="center" vertical="center"/>
    </xf>
    <xf numFmtId="0" fontId="0" fillId="0" borderId="10" xfId="0" applyBorder="1" applyAlignment="1">
      <alignment vertical="center"/>
    </xf>
    <xf numFmtId="0" fontId="27" fillId="0" borderId="44" xfId="0" applyFont="1" applyBorder="1" applyAlignment="1">
      <alignment horizontal="center" vertical="center" wrapText="1"/>
    </xf>
    <xf numFmtId="0" fontId="0" fillId="0" borderId="39" xfId="0" applyBorder="1" applyAlignment="1">
      <alignment vertical="center"/>
    </xf>
    <xf numFmtId="0" fontId="0" fillId="0" borderId="62" xfId="0" applyBorder="1" applyAlignment="1">
      <alignment vertical="center"/>
    </xf>
    <xf numFmtId="0" fontId="0" fillId="0" borderId="63" xfId="0" applyBorder="1" applyAlignment="1">
      <alignment vertical="center"/>
    </xf>
    <xf numFmtId="0" fontId="0" fillId="0" borderId="35" xfId="0" applyBorder="1" applyAlignment="1">
      <alignment vertical="center"/>
    </xf>
    <xf numFmtId="0" fontId="0" fillId="0" borderId="29" xfId="0" applyBorder="1" applyAlignment="1">
      <alignment vertical="center"/>
    </xf>
    <xf numFmtId="0" fontId="0" fillId="0" borderId="46" xfId="0" applyBorder="1" applyAlignment="1">
      <alignment vertical="center"/>
    </xf>
    <xf numFmtId="0" fontId="0" fillId="0" borderId="44" xfId="0" applyBorder="1" applyAlignment="1">
      <alignment vertical="center"/>
    </xf>
    <xf numFmtId="0" fontId="0" fillId="0" borderId="36" xfId="0" applyBorder="1" applyAlignment="1">
      <alignment vertical="center"/>
    </xf>
    <xf numFmtId="0" fontId="31" fillId="0" borderId="37" xfId="0" applyFont="1" applyBorder="1" applyAlignment="1">
      <alignment horizontal="center"/>
    </xf>
    <xf numFmtId="0" fontId="41" fillId="0" borderId="0" xfId="0" applyFont="1" applyAlignment="1">
      <alignment horizontal="center"/>
    </xf>
    <xf numFmtId="0" fontId="22" fillId="0" borderId="0" xfId="0" applyFont="1"/>
    <xf numFmtId="0" fontId="45" fillId="0" borderId="0" xfId="0" applyFont="1"/>
    <xf numFmtId="0" fontId="92" fillId="0" borderId="0" xfId="0" applyFont="1" applyAlignment="1">
      <alignment horizontal="left"/>
    </xf>
    <xf numFmtId="0" fontId="2" fillId="0" borderId="17" xfId="0" applyFont="1" applyBorder="1" applyAlignment="1">
      <alignment horizontal="center"/>
    </xf>
    <xf numFmtId="0" fontId="7" fillId="0" borderId="24" xfId="0" applyFont="1" applyBorder="1"/>
    <xf numFmtId="0" fontId="0" fillId="0" borderId="16" xfId="0" applyBorder="1" applyAlignment="1">
      <alignment horizontal="left" vertical="center"/>
    </xf>
    <xf numFmtId="0" fontId="90" fillId="0" borderId="26" xfId="41" applyBorder="1" applyAlignment="1" applyProtection="1"/>
    <xf numFmtId="0" fontId="21" fillId="0" borderId="68" xfId="0" applyFont="1" applyBorder="1" applyAlignment="1">
      <alignment horizontal="justify" vertical="center"/>
    </xf>
    <xf numFmtId="0" fontId="2" fillId="0" borderId="51" xfId="0" applyFont="1" applyBorder="1" applyAlignment="1">
      <alignment horizontal="center" vertical="center"/>
    </xf>
    <xf numFmtId="2" fontId="2" fillId="0" borderId="49" xfId="0" applyNumberFormat="1" applyFont="1" applyBorder="1" applyAlignment="1">
      <alignment horizontal="center" vertical="center"/>
    </xf>
    <xf numFmtId="2" fontId="2" fillId="0" borderId="51" xfId="0" applyNumberFormat="1" applyFont="1" applyBorder="1" applyAlignment="1">
      <alignment horizontal="center" vertical="center"/>
    </xf>
    <xf numFmtId="1" fontId="2" fillId="0" borderId="49" xfId="0" applyNumberFormat="1" applyFont="1" applyBorder="1" applyAlignment="1">
      <alignment horizontal="center" vertical="center"/>
    </xf>
    <xf numFmtId="0" fontId="2" fillId="0" borderId="49" xfId="0" applyFont="1" applyBorder="1" applyAlignment="1">
      <alignment horizontal="center" vertical="center"/>
    </xf>
    <xf numFmtId="3" fontId="2" fillId="0" borderId="49" xfId="0" applyNumberFormat="1" applyFont="1" applyBorder="1" applyAlignment="1">
      <alignment horizontal="center" vertical="center"/>
    </xf>
    <xf numFmtId="0" fontId="2" fillId="0" borderId="17" xfId="0" applyFont="1" applyBorder="1" applyAlignment="1">
      <alignment vertical="center"/>
    </xf>
    <xf numFmtId="0" fontId="21" fillId="0" borderId="31" xfId="0" applyFont="1" applyBorder="1" applyAlignment="1">
      <alignment horizontal="justify" vertical="center"/>
    </xf>
    <xf numFmtId="0" fontId="2" fillId="0" borderId="13" xfId="0" applyFont="1" applyBorder="1" applyAlignment="1">
      <alignment horizontal="center" vertical="center"/>
    </xf>
    <xf numFmtId="2" fontId="2" fillId="0" borderId="13" xfId="0" applyNumberFormat="1" applyFont="1" applyBorder="1" applyAlignment="1">
      <alignment horizontal="center" vertical="center"/>
    </xf>
    <xf numFmtId="1" fontId="2" fillId="0" borderId="13" xfId="0" applyNumberFormat="1" applyFont="1" applyBorder="1" applyAlignment="1">
      <alignment horizontal="center" vertical="center"/>
    </xf>
    <xf numFmtId="3" fontId="2" fillId="0" borderId="13" xfId="0" applyNumberFormat="1" applyFont="1" applyBorder="1" applyAlignment="1">
      <alignment horizontal="center" vertical="center"/>
    </xf>
    <xf numFmtId="0" fontId="2" fillId="0" borderId="22" xfId="0" applyFont="1" applyBorder="1" applyAlignment="1">
      <alignment vertical="center"/>
    </xf>
    <xf numFmtId="0" fontId="21" fillId="0" borderId="31" xfId="0" applyFont="1" applyBorder="1" applyAlignment="1">
      <alignment horizontal="justify" vertical="center" wrapText="1"/>
    </xf>
    <xf numFmtId="2" fontId="2" fillId="0" borderId="50" xfId="0" applyNumberFormat="1" applyFont="1" applyBorder="1" applyAlignment="1">
      <alignment horizontal="center" vertical="center"/>
    </xf>
    <xf numFmtId="1" fontId="2" fillId="0" borderId="50" xfId="0" applyNumberFormat="1" applyFont="1" applyBorder="1" applyAlignment="1">
      <alignment horizontal="center" vertical="center"/>
    </xf>
    <xf numFmtId="0" fontId="2" fillId="0" borderId="50" xfId="0" applyFont="1" applyBorder="1" applyAlignment="1">
      <alignment horizontal="center" vertical="center"/>
    </xf>
    <xf numFmtId="3" fontId="2" fillId="0" borderId="50" xfId="0" applyNumberFormat="1" applyFont="1" applyBorder="1" applyAlignment="1">
      <alignment horizontal="center" vertical="center"/>
    </xf>
    <xf numFmtId="0" fontId="2" fillId="0" borderId="13" xfId="0" applyFont="1" applyBorder="1" applyAlignment="1">
      <alignment vertical="center"/>
    </xf>
    <xf numFmtId="0" fontId="2" fillId="0" borderId="10" xfId="0" applyFont="1" applyBorder="1"/>
    <xf numFmtId="0" fontId="31" fillId="0" borderId="32" xfId="0" applyFont="1" applyBorder="1" applyAlignment="1">
      <alignment horizontal="center"/>
    </xf>
    <xf numFmtId="0" fontId="0" fillId="25" borderId="56" xfId="0" applyFill="1" applyBorder="1" applyAlignment="1">
      <alignment horizontal="center" vertical="center"/>
    </xf>
    <xf numFmtId="0" fontId="0" fillId="25" borderId="0" xfId="0" applyFill="1" applyAlignment="1">
      <alignment horizontal="center" vertical="center"/>
    </xf>
    <xf numFmtId="0" fontId="0" fillId="25" borderId="57" xfId="0" applyFill="1" applyBorder="1" applyAlignment="1">
      <alignment horizontal="center" vertical="center"/>
    </xf>
    <xf numFmtId="0" fontId="0" fillId="25" borderId="10" xfId="0" applyFill="1" applyBorder="1" applyAlignment="1">
      <alignment horizontal="center" vertical="center"/>
    </xf>
    <xf numFmtId="0" fontId="2" fillId="0" borderId="0" xfId="0" applyFont="1" applyAlignment="1">
      <alignment horizontal="right"/>
    </xf>
    <xf numFmtId="0" fontId="31" fillId="24" borderId="51" xfId="0" applyFont="1" applyFill="1" applyBorder="1" applyAlignment="1">
      <alignment horizontal="center" vertical="center"/>
    </xf>
    <xf numFmtId="0" fontId="31" fillId="24" borderId="50" xfId="0" applyFont="1" applyFill="1" applyBorder="1" applyAlignment="1">
      <alignment horizontal="center" vertical="center"/>
    </xf>
    <xf numFmtId="0" fontId="2" fillId="0" borderId="54" xfId="0" applyFont="1" applyBorder="1" applyAlignment="1">
      <alignment horizontal="center" vertical="center"/>
    </xf>
    <xf numFmtId="0" fontId="0" fillId="0" borderId="54" xfId="0" applyBorder="1" applyAlignment="1">
      <alignment horizontal="center"/>
    </xf>
    <xf numFmtId="170" fontId="0" fillId="0" borderId="54" xfId="0" applyNumberFormat="1" applyBorder="1" applyAlignment="1">
      <alignment horizontal="center"/>
    </xf>
    <xf numFmtId="170" fontId="0" fillId="0" borderId="49" xfId="0" applyNumberFormat="1" applyBorder="1" applyAlignment="1">
      <alignment horizontal="center"/>
    </xf>
    <xf numFmtId="170" fontId="0" fillId="0" borderId="51" xfId="0" applyNumberFormat="1" applyBorder="1" applyAlignment="1">
      <alignment horizontal="center"/>
    </xf>
    <xf numFmtId="0" fontId="2" fillId="0" borderId="49" xfId="0" applyFont="1" applyBorder="1" applyAlignment="1">
      <alignment horizontal="center"/>
    </xf>
    <xf numFmtId="0" fontId="2" fillId="0" borderId="54" xfId="0" applyFont="1" applyBorder="1" applyAlignment="1">
      <alignment horizontal="center"/>
    </xf>
    <xf numFmtId="0" fontId="0" fillId="0" borderId="69" xfId="0" applyBorder="1" applyAlignment="1">
      <alignment horizontal="center" vertical="center"/>
    </xf>
    <xf numFmtId="0" fontId="2" fillId="0" borderId="70" xfId="0" applyFont="1" applyBorder="1" applyAlignment="1">
      <alignment horizontal="center" vertical="center" wrapText="1"/>
    </xf>
    <xf numFmtId="170" fontId="0" fillId="0" borderId="69" xfId="0" applyNumberFormat="1" applyBorder="1" applyAlignment="1">
      <alignment horizontal="center"/>
    </xf>
    <xf numFmtId="0" fontId="2" fillId="0" borderId="69" xfId="0" applyFont="1" applyBorder="1" applyAlignment="1">
      <alignment horizontal="center"/>
    </xf>
    <xf numFmtId="0" fontId="0" fillId="0" borderId="49" xfId="0" applyBorder="1" applyAlignment="1">
      <alignment horizontal="center" vertical="center"/>
    </xf>
    <xf numFmtId="0" fontId="0" fillId="0" borderId="54" xfId="0" applyBorder="1" applyAlignment="1">
      <alignment horizontal="center" vertical="center"/>
    </xf>
    <xf numFmtId="170" fontId="0" fillId="0" borderId="49" xfId="0" applyNumberFormat="1" applyBorder="1" applyAlignment="1">
      <alignment horizontal="center" vertical="center"/>
    </xf>
    <xf numFmtId="170" fontId="0" fillId="0" borderId="69" xfId="0" applyNumberFormat="1" applyBorder="1" applyAlignment="1">
      <alignment horizontal="center" vertical="center"/>
    </xf>
    <xf numFmtId="170" fontId="0" fillId="0" borderId="54" xfId="0" applyNumberFormat="1" applyBorder="1" applyAlignment="1">
      <alignment horizontal="center" vertical="center"/>
    </xf>
    <xf numFmtId="0" fontId="2" fillId="0" borderId="0" xfId="0" applyFont="1" applyAlignment="1">
      <alignment horizontal="centerContinuous"/>
    </xf>
    <xf numFmtId="0" fontId="21" fillId="0" borderId="0" xfId="0" applyFont="1" applyAlignment="1">
      <alignment vertical="center"/>
    </xf>
    <xf numFmtId="0" fontId="2" fillId="0" borderId="0" xfId="0" applyFont="1" applyAlignment="1">
      <alignment vertical="center"/>
    </xf>
    <xf numFmtId="49" fontId="26" fillId="0" borderId="0" xfId="0" applyNumberFormat="1" applyFont="1" applyAlignment="1">
      <alignment horizontal="center" vertical="center"/>
    </xf>
    <xf numFmtId="0" fontId="2" fillId="0" borderId="0" xfId="0" applyFont="1" applyAlignment="1">
      <alignment horizontal="center"/>
    </xf>
    <xf numFmtId="0" fontId="2" fillId="0" borderId="0" xfId="0" applyFont="1" applyAlignment="1">
      <alignment horizontal="left"/>
    </xf>
    <xf numFmtId="0" fontId="5" fillId="0" borderId="0" xfId="68" applyFont="1"/>
    <xf numFmtId="0" fontId="41" fillId="0" borderId="0" xfId="68" applyFont="1"/>
    <xf numFmtId="0" fontId="52" fillId="0" borderId="0" xfId="68" applyFont="1"/>
    <xf numFmtId="0" fontId="31" fillId="0" borderId="0" xfId="69" applyFont="1" applyAlignment="1">
      <alignment horizontal="right" vertical="top"/>
    </xf>
    <xf numFmtId="0" fontId="52" fillId="0" borderId="23" xfId="68" applyFont="1" applyBorder="1"/>
    <xf numFmtId="0" fontId="5" fillId="0" borderId="24" xfId="68" applyFont="1" applyBorder="1"/>
    <xf numFmtId="0" fontId="41" fillId="0" borderId="24" xfId="68" applyFont="1" applyBorder="1"/>
    <xf numFmtId="0" fontId="52" fillId="0" borderId="24" xfId="68" applyFont="1" applyBorder="1"/>
    <xf numFmtId="0" fontId="41" fillId="0" borderId="16" xfId="68" applyFont="1" applyBorder="1"/>
    <xf numFmtId="0" fontId="41" fillId="0" borderId="26" xfId="68" applyFont="1" applyBorder="1"/>
    <xf numFmtId="0" fontId="41" fillId="0" borderId="18" xfId="68" applyFont="1" applyBorder="1"/>
    <xf numFmtId="0" fontId="41" fillId="0" borderId="27" xfId="68" applyFont="1" applyBorder="1"/>
    <xf numFmtId="0" fontId="41" fillId="0" borderId="28" xfId="68" applyFont="1" applyBorder="1"/>
    <xf numFmtId="0" fontId="5" fillId="0" borderId="23" xfId="68" applyFont="1" applyBorder="1" applyAlignment="1">
      <alignment horizontal="center"/>
    </xf>
    <xf numFmtId="0" fontId="5" fillId="0" borderId="23" xfId="68" applyFont="1" applyBorder="1" applyAlignment="1">
      <alignment horizontal="right"/>
    </xf>
    <xf numFmtId="0" fontId="5" fillId="0" borderId="18" xfId="68" applyFont="1" applyBorder="1"/>
    <xf numFmtId="0" fontId="69" fillId="0" borderId="0" xfId="0" applyFont="1" applyAlignment="1">
      <alignment horizontal="right" vertical="center"/>
    </xf>
    <xf numFmtId="0" fontId="41" fillId="0" borderId="17" xfId="68" applyFont="1" applyBorder="1"/>
    <xf numFmtId="0" fontId="41" fillId="0" borderId="14" xfId="68" applyFont="1" applyBorder="1"/>
    <xf numFmtId="170" fontId="69" fillId="0" borderId="0" xfId="0" applyNumberFormat="1" applyFont="1" applyAlignment="1">
      <alignment vertical="center"/>
    </xf>
    <xf numFmtId="170" fontId="69" fillId="0" borderId="0" xfId="0" applyNumberFormat="1" applyFont="1" applyAlignment="1">
      <alignment horizontal="right" vertical="center"/>
    </xf>
    <xf numFmtId="170" fontId="69" fillId="0" borderId="0" xfId="0" applyNumberFormat="1" applyFont="1" applyAlignment="1">
      <alignment horizontal="center" vertical="center"/>
    </xf>
    <xf numFmtId="0" fontId="41" fillId="33" borderId="17" xfId="68" applyFont="1" applyFill="1" applyBorder="1"/>
    <xf numFmtId="0" fontId="41" fillId="33" borderId="0" xfId="68" applyFont="1" applyFill="1"/>
    <xf numFmtId="0" fontId="41" fillId="33" borderId="14" xfId="68" applyFont="1" applyFill="1" applyBorder="1"/>
    <xf numFmtId="0" fontId="41" fillId="34" borderId="0" xfId="68" applyFont="1" applyFill="1"/>
    <xf numFmtId="49" fontId="30" fillId="0" borderId="71" xfId="69" applyNumberFormat="1" applyFont="1" applyBorder="1" applyAlignment="1">
      <alignment horizontal="center"/>
    </xf>
    <xf numFmtId="49" fontId="30" fillId="0" borderId="10" xfId="69" applyNumberFormat="1" applyFont="1" applyBorder="1" applyAlignment="1">
      <alignment horizontal="center"/>
    </xf>
    <xf numFmtId="49" fontId="30" fillId="0" borderId="72" xfId="69" applyNumberFormat="1" applyFont="1" applyBorder="1" applyAlignment="1">
      <alignment horizontal="center"/>
    </xf>
    <xf numFmtId="0" fontId="69" fillId="0" borderId="0" xfId="0" applyFont="1" applyAlignment="1">
      <alignment vertical="center"/>
    </xf>
    <xf numFmtId="0" fontId="41" fillId="0" borderId="15" xfId="68" applyFont="1" applyBorder="1"/>
    <xf numFmtId="0" fontId="41" fillId="0" borderId="10" xfId="68" applyFont="1" applyBorder="1"/>
    <xf numFmtId="0" fontId="41" fillId="0" borderId="11" xfId="68" applyFont="1" applyBorder="1"/>
    <xf numFmtId="9" fontId="69" fillId="0" borderId="0" xfId="0" applyNumberFormat="1" applyFont="1" applyAlignment="1">
      <alignment vertical="center"/>
    </xf>
    <xf numFmtId="49" fontId="30" fillId="0" borderId="16" xfId="69" applyNumberFormat="1" applyFont="1" applyBorder="1" applyAlignment="1">
      <alignment horizontal="center"/>
    </xf>
    <xf numFmtId="49" fontId="30" fillId="0" borderId="0" xfId="69" applyNumberFormat="1" applyFont="1" applyAlignment="1">
      <alignment horizontal="center"/>
    </xf>
    <xf numFmtId="49" fontId="30" fillId="0" borderId="26" xfId="69" applyNumberFormat="1" applyFont="1" applyBorder="1" applyAlignment="1">
      <alignment horizontal="center"/>
    </xf>
    <xf numFmtId="1" fontId="69" fillId="0" borderId="0" xfId="0" applyNumberFormat="1" applyFont="1" applyAlignment="1">
      <alignment vertical="center"/>
    </xf>
    <xf numFmtId="0" fontId="41" fillId="35" borderId="0" xfId="68" applyFont="1" applyFill="1"/>
    <xf numFmtId="170" fontId="69" fillId="0" borderId="0" xfId="68" applyNumberFormat="1" applyFont="1"/>
    <xf numFmtId="0" fontId="41" fillId="0" borderId="73" xfId="68" applyFont="1" applyBorder="1"/>
    <xf numFmtId="0" fontId="41" fillId="0" borderId="74" xfId="68" applyFont="1" applyBorder="1"/>
    <xf numFmtId="0" fontId="63" fillId="0" borderId="0" xfId="42" applyFont="1" applyAlignment="1" applyProtection="1"/>
    <xf numFmtId="0" fontId="21" fillId="0" borderId="10" xfId="0" applyFont="1" applyBorder="1" applyAlignment="1">
      <alignment horizontal="center"/>
    </xf>
    <xf numFmtId="0" fontId="52" fillId="0" borderId="0" xfId="68" applyFont="1" applyAlignment="1">
      <alignment vertical="top"/>
    </xf>
    <xf numFmtId="0" fontId="5" fillId="0" borderId="0" xfId="68" applyFont="1" applyAlignment="1">
      <alignment vertical="top"/>
    </xf>
    <xf numFmtId="0" fontId="2" fillId="0" borderId="0" xfId="68" applyFont="1"/>
    <xf numFmtId="0" fontId="41" fillId="0" borderId="23" xfId="68" applyFont="1" applyBorder="1"/>
    <xf numFmtId="0" fontId="41" fillId="0" borderId="25" xfId="68" applyFont="1" applyBorder="1"/>
    <xf numFmtId="0" fontId="5" fillId="0" borderId="32" xfId="68" applyFont="1" applyBorder="1" applyAlignment="1">
      <alignment horizontal="right"/>
    </xf>
    <xf numFmtId="49" fontId="5" fillId="0" borderId="25" xfId="68" applyNumberFormat="1" applyFont="1" applyBorder="1"/>
    <xf numFmtId="0" fontId="5" fillId="0" borderId="34" xfId="68" applyFont="1" applyBorder="1"/>
    <xf numFmtId="0" fontId="41" fillId="0" borderId="17" xfId="68" applyFont="1" applyBorder="1" applyAlignment="1">
      <alignment horizontal="left"/>
    </xf>
    <xf numFmtId="0" fontId="41" fillId="34" borderId="14" xfId="68" applyFont="1" applyFill="1" applyBorder="1"/>
    <xf numFmtId="2" fontId="69" fillId="0" borderId="0" xfId="0" applyNumberFormat="1" applyFont="1" applyAlignment="1">
      <alignment vertical="center"/>
    </xf>
    <xf numFmtId="0" fontId="2" fillId="0" borderId="0" xfId="70" applyFont="1"/>
    <xf numFmtId="0" fontId="41" fillId="0" borderId="23" xfId="70" applyFont="1" applyBorder="1"/>
    <xf numFmtId="0" fontId="41" fillId="0" borderId="24" xfId="70" applyFont="1" applyBorder="1"/>
    <xf numFmtId="0" fontId="41" fillId="0" borderId="25" xfId="70" applyFont="1" applyBorder="1"/>
    <xf numFmtId="0" fontId="41" fillId="0" borderId="0" xfId="70" applyFont="1"/>
    <xf numFmtId="0" fontId="41" fillId="0" borderId="16" xfId="70" applyFont="1" applyBorder="1"/>
    <xf numFmtId="0" fontId="41" fillId="0" borderId="26" xfId="70" applyFont="1" applyBorder="1"/>
    <xf numFmtId="0" fontId="41" fillId="0" borderId="18" xfId="70" applyFont="1" applyBorder="1"/>
    <xf numFmtId="0" fontId="41" fillId="0" borderId="27" xfId="70" applyFont="1" applyBorder="1"/>
    <xf numFmtId="0" fontId="41" fillId="0" borderId="28" xfId="70" applyFont="1" applyBorder="1"/>
    <xf numFmtId="0" fontId="5" fillId="0" borderId="23" xfId="70" applyFont="1" applyBorder="1" applyAlignment="1">
      <alignment horizontal="center"/>
    </xf>
    <xf numFmtId="0" fontId="5" fillId="0" borderId="32" xfId="70" applyFont="1" applyBorder="1" applyAlignment="1">
      <alignment horizontal="right"/>
    </xf>
    <xf numFmtId="0" fontId="5" fillId="0" borderId="34" xfId="70" applyFont="1" applyBorder="1"/>
    <xf numFmtId="0" fontId="41" fillId="0" borderId="67" xfId="70" applyFont="1" applyBorder="1"/>
    <xf numFmtId="0" fontId="41" fillId="0" borderId="14" xfId="70" applyFont="1" applyBorder="1"/>
    <xf numFmtId="0" fontId="2" fillId="0" borderId="67" xfId="70" applyFont="1" applyBorder="1"/>
    <xf numFmtId="0" fontId="41" fillId="34" borderId="0" xfId="70" applyFont="1" applyFill="1"/>
    <xf numFmtId="0" fontId="41" fillId="34" borderId="14" xfId="70" applyFont="1" applyFill="1" applyBorder="1"/>
    <xf numFmtId="0" fontId="73" fillId="34" borderId="0" xfId="70" applyFont="1" applyFill="1"/>
    <xf numFmtId="0" fontId="41" fillId="36" borderId="0" xfId="70" applyFont="1" applyFill="1"/>
    <xf numFmtId="0" fontId="41" fillId="33" borderId="0" xfId="70" applyFont="1" applyFill="1"/>
    <xf numFmtId="0" fontId="41" fillId="36" borderId="14" xfId="70" applyFont="1" applyFill="1" applyBorder="1"/>
    <xf numFmtId="0" fontId="2" fillId="0" borderId="48" xfId="70" applyFont="1" applyBorder="1"/>
    <xf numFmtId="0" fontId="41" fillId="0" borderId="10" xfId="70" applyFont="1" applyBorder="1"/>
    <xf numFmtId="0" fontId="41" fillId="0" borderId="11" xfId="70" applyFont="1" applyBorder="1"/>
    <xf numFmtId="0" fontId="74" fillId="0" borderId="10" xfId="70" applyFont="1" applyBorder="1" applyAlignment="1">
      <alignment vertical="top"/>
    </xf>
    <xf numFmtId="0" fontId="74" fillId="0" borderId="0" xfId="70" applyFont="1"/>
    <xf numFmtId="0" fontId="30" fillId="0" borderId="0" xfId="70" applyFont="1"/>
    <xf numFmtId="0" fontId="41" fillId="33" borderId="10" xfId="70" applyFont="1" applyFill="1" applyBorder="1"/>
    <xf numFmtId="0" fontId="74" fillId="0" borderId="10" xfId="70" applyFont="1" applyBorder="1"/>
    <xf numFmtId="0" fontId="41" fillId="33" borderId="14" xfId="70" applyFont="1" applyFill="1" applyBorder="1"/>
    <xf numFmtId="170" fontId="41" fillId="0" borderId="0" xfId="70" applyNumberFormat="1" applyFont="1"/>
    <xf numFmtId="0" fontId="2" fillId="0" borderId="53" xfId="70" applyFont="1" applyBorder="1"/>
    <xf numFmtId="0" fontId="41" fillId="0" borderId="74" xfId="70" applyFont="1" applyBorder="1"/>
    <xf numFmtId="0" fontId="93" fillId="33" borderId="0" xfId="70" applyFont="1" applyFill="1"/>
    <xf numFmtId="0" fontId="93" fillId="33" borderId="14" xfId="70" applyFont="1" applyFill="1" applyBorder="1"/>
    <xf numFmtId="173" fontId="69" fillId="0" borderId="0" xfId="0" applyNumberFormat="1" applyFont="1" applyAlignment="1">
      <alignment vertical="center"/>
    </xf>
    <xf numFmtId="2" fontId="41" fillId="0" borderId="0" xfId="70" applyNumberFormat="1" applyFont="1"/>
    <xf numFmtId="0" fontId="34" fillId="0" borderId="0" xfId="70" applyFont="1"/>
    <xf numFmtId="0" fontId="2" fillId="0" borderId="0" xfId="71" applyFont="1"/>
    <xf numFmtId="0" fontId="52" fillId="0" borderId="0" xfId="71" applyFont="1"/>
    <xf numFmtId="0" fontId="5" fillId="0" borderId="0" xfId="71" applyFont="1"/>
    <xf numFmtId="0" fontId="41" fillId="0" borderId="0" xfId="71" applyFont="1"/>
    <xf numFmtId="0" fontId="41" fillId="0" borderId="23" xfId="71" applyFont="1" applyBorder="1"/>
    <xf numFmtId="0" fontId="41" fillId="0" borderId="24" xfId="71" applyFont="1" applyBorder="1"/>
    <xf numFmtId="0" fontId="41" fillId="0" borderId="25" xfId="71" applyFont="1" applyBorder="1"/>
    <xf numFmtId="0" fontId="41" fillId="0" borderId="16" xfId="71" applyFont="1" applyBorder="1"/>
    <xf numFmtId="0" fontId="41" fillId="0" borderId="26" xfId="71" applyFont="1" applyBorder="1"/>
    <xf numFmtId="0" fontId="41" fillId="0" borderId="18" xfId="71" applyFont="1" applyBorder="1"/>
    <xf numFmtId="0" fontId="41" fillId="0" borderId="27" xfId="71" applyFont="1" applyBorder="1"/>
    <xf numFmtId="0" fontId="41" fillId="0" borderId="28" xfId="71" applyFont="1" applyBorder="1"/>
    <xf numFmtId="0" fontId="5" fillId="0" borderId="75" xfId="71" applyFont="1" applyBorder="1" applyAlignment="1">
      <alignment horizontal="center"/>
    </xf>
    <xf numFmtId="0" fontId="5" fillId="0" borderId="58" xfId="71" applyFont="1" applyBorder="1" applyAlignment="1">
      <alignment horizontal="right"/>
    </xf>
    <xf numFmtId="0" fontId="5" fillId="0" borderId="16" xfId="71" applyFont="1" applyBorder="1" applyAlignment="1">
      <alignment vertical="center"/>
    </xf>
    <xf numFmtId="49" fontId="3" fillId="0" borderId="17" xfId="71" applyNumberFormat="1" applyFont="1" applyBorder="1" applyAlignment="1">
      <alignment horizontal="right"/>
    </xf>
    <xf numFmtId="49" fontId="3" fillId="0" borderId="0" xfId="71" applyNumberFormat="1" applyFont="1" applyAlignment="1">
      <alignment horizontal="right"/>
    </xf>
    <xf numFmtId="49" fontId="3" fillId="0" borderId="14" xfId="71" applyNumberFormat="1" applyFont="1" applyBorder="1" applyAlignment="1">
      <alignment horizontal="right"/>
    </xf>
    <xf numFmtId="1" fontId="3" fillId="0" borderId="0" xfId="71" applyNumberFormat="1" applyFont="1" applyAlignment="1">
      <alignment horizontal="right"/>
    </xf>
    <xf numFmtId="1" fontId="3" fillId="0" borderId="14" xfId="71" applyNumberFormat="1" applyFont="1" applyBorder="1" applyAlignment="1">
      <alignment horizontal="right"/>
    </xf>
    <xf numFmtId="1" fontId="3" fillId="0" borderId="26" xfId="71" applyNumberFormat="1" applyFont="1" applyBorder="1" applyAlignment="1">
      <alignment horizontal="right"/>
    </xf>
    <xf numFmtId="0" fontId="41" fillId="0" borderId="70" xfId="71" applyFont="1" applyBorder="1"/>
    <xf numFmtId="0" fontId="41" fillId="0" borderId="76" xfId="71" applyFont="1" applyBorder="1"/>
    <xf numFmtId="2" fontId="69" fillId="0" borderId="0" xfId="0" applyNumberFormat="1" applyFont="1" applyAlignment="1">
      <alignment horizontal="right" vertical="center"/>
    </xf>
    <xf numFmtId="0" fontId="41" fillId="34" borderId="0" xfId="71" applyFont="1" applyFill="1"/>
    <xf numFmtId="0" fontId="41" fillId="33" borderId="0" xfId="71" applyFont="1" applyFill="1"/>
    <xf numFmtId="0" fontId="94" fillId="33" borderId="0" xfId="71" applyFont="1" applyFill="1"/>
    <xf numFmtId="0" fontId="94" fillId="33" borderId="14" xfId="71" applyFont="1" applyFill="1" applyBorder="1"/>
    <xf numFmtId="0" fontId="41" fillId="34" borderId="14" xfId="71" applyFont="1" applyFill="1" applyBorder="1"/>
    <xf numFmtId="0" fontId="41" fillId="33" borderId="14" xfId="71" applyFont="1" applyFill="1" applyBorder="1"/>
    <xf numFmtId="0" fontId="2" fillId="0" borderId="16" xfId="71" applyFont="1" applyBorder="1"/>
    <xf numFmtId="0" fontId="41" fillId="0" borderId="15" xfId="71" applyFont="1" applyBorder="1"/>
    <xf numFmtId="0" fontId="41" fillId="0" borderId="10" xfId="71" applyFont="1" applyBorder="1"/>
    <xf numFmtId="0" fontId="41" fillId="0" borderId="11" xfId="71" applyFont="1" applyBorder="1"/>
    <xf numFmtId="0" fontId="41" fillId="0" borderId="72" xfId="71" applyFont="1" applyBorder="1"/>
    <xf numFmtId="0" fontId="2" fillId="0" borderId="68" xfId="71" applyFont="1" applyBorder="1"/>
    <xf numFmtId="0" fontId="41" fillId="0" borderId="17" xfId="71" applyFont="1" applyBorder="1"/>
    <xf numFmtId="0" fontId="41" fillId="0" borderId="14" xfId="71" applyFont="1" applyBorder="1"/>
    <xf numFmtId="0" fontId="73" fillId="0" borderId="0" xfId="71" applyFont="1"/>
    <xf numFmtId="170" fontId="41" fillId="0" borderId="0" xfId="68" applyNumberFormat="1" applyFont="1"/>
    <xf numFmtId="0" fontId="2" fillId="0" borderId="71" xfId="71" applyFont="1" applyBorder="1"/>
    <xf numFmtId="0" fontId="73" fillId="0" borderId="10" xfId="71" applyFont="1" applyBorder="1"/>
    <xf numFmtId="0" fontId="41" fillId="33" borderId="10" xfId="71" applyFont="1" applyFill="1" applyBorder="1"/>
    <xf numFmtId="170" fontId="41" fillId="0" borderId="0" xfId="71" applyNumberFormat="1" applyFont="1"/>
    <xf numFmtId="0" fontId="41" fillId="33" borderId="17" xfId="71" applyFont="1" applyFill="1" applyBorder="1"/>
    <xf numFmtId="0" fontId="41" fillId="0" borderId="73" xfId="71" applyFont="1" applyBorder="1"/>
    <xf numFmtId="0" fontId="41" fillId="0" borderId="74" xfId="71" applyFont="1" applyBorder="1"/>
    <xf numFmtId="0" fontId="34" fillId="0" borderId="0" xfId="71" applyFont="1"/>
    <xf numFmtId="0" fontId="21" fillId="0" borderId="21" xfId="0" applyFont="1" applyBorder="1" applyAlignment="1">
      <alignment vertical="center"/>
    </xf>
    <xf numFmtId="0" fontId="2" fillId="0" borderId="21" xfId="0" applyFont="1" applyBorder="1" applyAlignment="1">
      <alignment vertical="center"/>
    </xf>
    <xf numFmtId="0" fontId="0" fillId="0" borderId="21" xfId="0" applyBorder="1" applyAlignment="1">
      <alignment vertical="center"/>
    </xf>
    <xf numFmtId="0" fontId="5" fillId="0" borderId="16" xfId="68" applyFont="1" applyBorder="1"/>
    <xf numFmtId="0" fontId="5" fillId="0" borderId="31" xfId="68" applyFont="1" applyBorder="1"/>
    <xf numFmtId="0" fontId="3" fillId="0" borderId="22" xfId="68" applyFont="1" applyBorder="1" applyAlignment="1">
      <alignment horizontal="right"/>
    </xf>
    <xf numFmtId="0" fontId="3" fillId="0" borderId="21" xfId="68" applyFont="1" applyBorder="1" applyAlignment="1">
      <alignment horizontal="right"/>
    </xf>
    <xf numFmtId="0" fontId="3" fillId="0" borderId="12" xfId="68" applyFont="1" applyBorder="1" applyAlignment="1">
      <alignment horizontal="right"/>
    </xf>
    <xf numFmtId="49" fontId="3" fillId="0" borderId="21" xfId="68" applyNumberFormat="1" applyFont="1" applyBorder="1" applyAlignment="1">
      <alignment horizontal="right"/>
    </xf>
    <xf numFmtId="49" fontId="3" fillId="0" borderId="12" xfId="68" applyNumberFormat="1" applyFont="1" applyBorder="1" applyAlignment="1">
      <alignment horizontal="right"/>
    </xf>
    <xf numFmtId="49" fontId="3" fillId="0" borderId="21" xfId="68" applyNumberFormat="1" applyFont="1" applyBorder="1" applyAlignment="1">
      <alignment horizontal="center"/>
    </xf>
    <xf numFmtId="0" fontId="31" fillId="0" borderId="16" xfId="68" applyFont="1" applyBorder="1"/>
    <xf numFmtId="0" fontId="31" fillId="0" borderId="68" xfId="68" applyFont="1" applyBorder="1"/>
    <xf numFmtId="0" fontId="31" fillId="0" borderId="71" xfId="68" applyFont="1" applyBorder="1"/>
    <xf numFmtId="0" fontId="31" fillId="0" borderId="18" xfId="68" applyFont="1" applyBorder="1"/>
    <xf numFmtId="0" fontId="21" fillId="0" borderId="22" xfId="0" applyFont="1" applyBorder="1" applyAlignment="1">
      <alignment vertical="center"/>
    </xf>
    <xf numFmtId="1" fontId="3" fillId="0" borderId="21" xfId="68" applyNumberFormat="1" applyFont="1" applyBorder="1" applyAlignment="1">
      <alignment horizontal="left"/>
    </xf>
    <xf numFmtId="1" fontId="3" fillId="0" borderId="12" xfId="68" applyNumberFormat="1" applyFont="1" applyBorder="1" applyAlignment="1">
      <alignment horizontal="left"/>
    </xf>
    <xf numFmtId="1" fontId="3" fillId="0" borderId="21" xfId="68" applyNumberFormat="1" applyFont="1" applyBorder="1" applyAlignment="1">
      <alignment horizontal="right"/>
    </xf>
    <xf numFmtId="1" fontId="3" fillId="0" borderId="12" xfId="68" applyNumberFormat="1" applyFont="1" applyBorder="1" applyAlignment="1">
      <alignment horizontal="right"/>
    </xf>
    <xf numFmtId="49" fontId="3" fillId="0" borderId="21" xfId="68" applyNumberFormat="1" applyFont="1" applyBorder="1" applyAlignment="1">
      <alignment horizontal="left"/>
    </xf>
    <xf numFmtId="49" fontId="3" fillId="0" borderId="12" xfId="68" applyNumberFormat="1" applyFont="1" applyBorder="1" applyAlignment="1">
      <alignment horizontal="left"/>
    </xf>
    <xf numFmtId="49" fontId="34" fillId="0" borderId="21" xfId="68" applyNumberFormat="1" applyFont="1" applyBorder="1" applyAlignment="1">
      <alignment horizontal="right"/>
    </xf>
    <xf numFmtId="0" fontId="41" fillId="34" borderId="10" xfId="70" applyFont="1" applyFill="1" applyBorder="1"/>
    <xf numFmtId="0" fontId="2" fillId="0" borderId="21" xfId="70" applyFont="1" applyBorder="1" applyAlignment="1">
      <alignment vertical="center"/>
    </xf>
    <xf numFmtId="0" fontId="21" fillId="0" borderId="19" xfId="0" applyFont="1" applyBorder="1" applyAlignment="1">
      <alignment vertical="center"/>
    </xf>
    <xf numFmtId="0" fontId="2" fillId="0" borderId="30" xfId="70" applyFont="1" applyBorder="1" applyAlignment="1">
      <alignment vertical="center"/>
    </xf>
    <xf numFmtId="0" fontId="21" fillId="0" borderId="30" xfId="0" applyFont="1" applyBorder="1" applyAlignment="1">
      <alignment vertical="center"/>
    </xf>
    <xf numFmtId="0" fontId="2" fillId="0" borderId="30" xfId="0" applyFont="1" applyBorder="1" applyAlignment="1">
      <alignment vertical="center"/>
    </xf>
    <xf numFmtId="0" fontId="0" fillId="0" borderId="30" xfId="0" applyBorder="1" applyAlignment="1">
      <alignment vertical="center"/>
    </xf>
    <xf numFmtId="0" fontId="21" fillId="0" borderId="17" xfId="0" applyFont="1" applyBorder="1" applyAlignment="1">
      <alignment vertical="center"/>
    </xf>
    <xf numFmtId="0" fontId="2" fillId="0" borderId="0" xfId="70" applyFont="1" applyAlignment="1">
      <alignment vertical="center"/>
    </xf>
    <xf numFmtId="0" fontId="21" fillId="0" borderId="15" xfId="0" applyFont="1" applyBorder="1" applyAlignment="1">
      <alignment vertical="center"/>
    </xf>
    <xf numFmtId="0" fontId="2" fillId="0" borderId="10" xfId="70" applyFont="1" applyBorder="1" applyAlignment="1">
      <alignment vertical="center"/>
    </xf>
    <xf numFmtId="0" fontId="21" fillId="0" borderId="10" xfId="0" applyFont="1" applyBorder="1" applyAlignment="1">
      <alignment vertical="center"/>
    </xf>
    <xf numFmtId="0" fontId="2" fillId="0" borderId="10" xfId="0" applyFont="1" applyBorder="1" applyAlignment="1">
      <alignment vertical="center"/>
    </xf>
    <xf numFmtId="0" fontId="5" fillId="0" borderId="33" xfId="68" applyFont="1" applyBorder="1"/>
    <xf numFmtId="0" fontId="5" fillId="0" borderId="22" xfId="68" applyFont="1" applyBorder="1"/>
    <xf numFmtId="0" fontId="3" fillId="0" borderId="21" xfId="70" applyFont="1" applyBorder="1" applyAlignment="1">
      <alignment horizontal="left"/>
    </xf>
    <xf numFmtId="0" fontId="3" fillId="0" borderId="12" xfId="70" applyFont="1" applyBorder="1" applyAlignment="1">
      <alignment horizontal="left"/>
    </xf>
    <xf numFmtId="0" fontId="3" fillId="0" borderId="21" xfId="70" applyFont="1" applyBorder="1" applyAlignment="1">
      <alignment horizontal="right"/>
    </xf>
    <xf numFmtId="0" fontId="3" fillId="0" borderId="12" xfId="70" applyFont="1" applyBorder="1" applyAlignment="1">
      <alignment horizontal="right"/>
    </xf>
    <xf numFmtId="0" fontId="3" fillId="0" borderId="21" xfId="70" applyFont="1" applyBorder="1" applyAlignment="1">
      <alignment horizontal="center"/>
    </xf>
    <xf numFmtId="0" fontId="41" fillId="0" borderId="19" xfId="71" applyFont="1" applyBorder="1"/>
    <xf numFmtId="0" fontId="41" fillId="0" borderId="30" xfId="71" applyFont="1" applyBorder="1"/>
    <xf numFmtId="0" fontId="41" fillId="0" borderId="20" xfId="71" applyFont="1" applyBorder="1"/>
    <xf numFmtId="0" fontId="41" fillId="0" borderId="77" xfId="71" applyFont="1" applyBorder="1"/>
    <xf numFmtId="0" fontId="2" fillId="0" borderId="21" xfId="71" applyFont="1" applyBorder="1" applyAlignment="1">
      <alignment vertical="center"/>
    </xf>
    <xf numFmtId="0" fontId="2" fillId="0" borderId="21" xfId="70" applyFont="1" applyBorder="1"/>
    <xf numFmtId="0" fontId="2" fillId="0" borderId="0" xfId="71" applyFont="1" applyAlignment="1">
      <alignment vertical="center"/>
    </xf>
    <xf numFmtId="0" fontId="94" fillId="34" borderId="0" xfId="71" applyFont="1" applyFill="1"/>
    <xf numFmtId="0" fontId="7" fillId="0" borderId="0" xfId="68" applyFont="1" applyAlignment="1">
      <alignment horizontal="center"/>
    </xf>
    <xf numFmtId="9" fontId="41" fillId="0" borderId="0" xfId="68" applyNumberFormat="1" applyFont="1"/>
    <xf numFmtId="0" fontId="7" fillId="0" borderId="0" xfId="68" applyFont="1" applyAlignment="1">
      <alignment horizontal="center" vertical="center"/>
    </xf>
    <xf numFmtId="0" fontId="41" fillId="0" borderId="0" xfId="68" applyFont="1" applyAlignment="1">
      <alignment vertical="center"/>
    </xf>
    <xf numFmtId="9" fontId="41" fillId="0" borderId="0" xfId="68" applyNumberFormat="1" applyFont="1" applyAlignment="1">
      <alignment vertical="center"/>
    </xf>
    <xf numFmtId="0" fontId="2" fillId="0" borderId="0" xfId="59"/>
    <xf numFmtId="0" fontId="8" fillId="0" borderId="0" xfId="59" applyFont="1" applyAlignment="1">
      <alignment horizontal="centerContinuous" wrapText="1"/>
    </xf>
    <xf numFmtId="0" fontId="10" fillId="0" borderId="0" xfId="59" applyFont="1" applyAlignment="1">
      <alignment horizontal="centerContinuous" wrapText="1"/>
    </xf>
    <xf numFmtId="0" fontId="2" fillId="0" borderId="0" xfId="59" applyAlignment="1">
      <alignment horizontal="centerContinuous" wrapText="1"/>
    </xf>
    <xf numFmtId="0" fontId="22" fillId="0" borderId="0" xfId="59" applyFont="1" applyAlignment="1">
      <alignment horizontal="center" wrapText="1"/>
    </xf>
    <xf numFmtId="0" fontId="31" fillId="0" borderId="0" xfId="59" applyFont="1" applyAlignment="1">
      <alignment horizontal="left"/>
    </xf>
    <xf numFmtId="0" fontId="5" fillId="0" borderId="0" xfId="59" applyFont="1" applyAlignment="1">
      <alignment horizontal="right"/>
    </xf>
    <xf numFmtId="0" fontId="2" fillId="0" borderId="0" xfId="59" applyAlignment="1">
      <alignment horizontal="left"/>
    </xf>
    <xf numFmtId="0" fontId="24" fillId="0" borderId="0" xfId="59" applyFont="1"/>
    <xf numFmtId="0" fontId="31" fillId="24" borderId="69" xfId="59" applyFont="1" applyFill="1" applyBorder="1" applyAlignment="1">
      <alignment horizontal="center" vertical="center"/>
    </xf>
    <xf numFmtId="0" fontId="31" fillId="24" borderId="54" xfId="59" applyFont="1" applyFill="1" applyBorder="1" applyAlignment="1">
      <alignment horizontal="center" vertical="center"/>
    </xf>
    <xf numFmtId="0" fontId="2" fillId="0" borderId="69" xfId="59" applyBorder="1" applyAlignment="1">
      <alignment horizontal="center" vertical="center" wrapText="1"/>
    </xf>
    <xf numFmtId="0" fontId="3" fillId="26" borderId="29" xfId="59" applyFont="1" applyFill="1" applyBorder="1" applyAlignment="1">
      <alignment horizontal="center" vertical="center"/>
    </xf>
    <xf numFmtId="0" fontId="2" fillId="0" borderId="49" xfId="59" applyBorder="1" applyAlignment="1">
      <alignment horizontal="center" vertical="center" wrapText="1"/>
    </xf>
    <xf numFmtId="0" fontId="2" fillId="0" borderId="54" xfId="59" applyBorder="1" applyAlignment="1">
      <alignment horizontal="center" vertical="center" wrapText="1"/>
    </xf>
    <xf numFmtId="0" fontId="2" fillId="0" borderId="58" xfId="59" applyBorder="1" applyAlignment="1">
      <alignment horizontal="center" vertical="center" wrapText="1"/>
    </xf>
    <xf numFmtId="0" fontId="2" fillId="0" borderId="38" xfId="59" applyBorder="1" applyAlignment="1">
      <alignment horizontal="center" vertical="center" wrapText="1"/>
    </xf>
    <xf numFmtId="0" fontId="31" fillId="0" borderId="38" xfId="59" applyFont="1" applyBorder="1" applyAlignment="1">
      <alignment horizontal="center" vertical="center" wrapText="1"/>
    </xf>
    <xf numFmtId="170" fontId="31" fillId="0" borderId="38" xfId="59" applyNumberFormat="1" applyFont="1" applyBorder="1" applyAlignment="1">
      <alignment horizontal="center" vertical="center" wrapText="1"/>
    </xf>
    <xf numFmtId="0" fontId="2" fillId="0" borderId="43" xfId="59" applyBorder="1" applyAlignment="1">
      <alignment horizontal="center"/>
    </xf>
    <xf numFmtId="0" fontId="2" fillId="0" borderId="49" xfId="59" applyBorder="1" applyAlignment="1">
      <alignment horizontal="center"/>
    </xf>
    <xf numFmtId="170" fontId="2" fillId="0" borderId="0" xfId="59" applyNumberFormat="1" applyAlignment="1">
      <alignment horizontal="center" vertical="center" wrapText="1"/>
    </xf>
    <xf numFmtId="176" fontId="2" fillId="0" borderId="49" xfId="59" applyNumberFormat="1" applyBorder="1" applyAlignment="1">
      <alignment horizontal="center"/>
    </xf>
    <xf numFmtId="176" fontId="31" fillId="0" borderId="38" xfId="59" applyNumberFormat="1" applyFont="1" applyBorder="1" applyAlignment="1">
      <alignment horizontal="center" vertical="center" wrapText="1"/>
    </xf>
    <xf numFmtId="0" fontId="2" fillId="0" borderId="17" xfId="59" applyBorder="1" applyAlignment="1">
      <alignment horizontal="center" vertical="center" wrapText="1"/>
    </xf>
    <xf numFmtId="0" fontId="2" fillId="0" borderId="49" xfId="59" applyBorder="1"/>
    <xf numFmtId="0" fontId="2" fillId="0" borderId="70" xfId="59" applyBorder="1" applyAlignment="1">
      <alignment horizontal="center"/>
    </xf>
    <xf numFmtId="0" fontId="2" fillId="0" borderId="69" xfId="59" applyBorder="1" applyAlignment="1">
      <alignment horizontal="center"/>
    </xf>
    <xf numFmtId="170" fontId="2" fillId="0" borderId="0" xfId="59" applyNumberFormat="1" applyAlignment="1">
      <alignment horizontal="center"/>
    </xf>
    <xf numFmtId="0" fontId="2" fillId="0" borderId="17" xfId="59" applyBorder="1" applyAlignment="1">
      <alignment horizontal="center"/>
    </xf>
    <xf numFmtId="0" fontId="31" fillId="0" borderId="58" xfId="59" applyFont="1" applyBorder="1"/>
    <xf numFmtId="0" fontId="31" fillId="0" borderId="38" xfId="59" applyFont="1" applyBorder="1"/>
    <xf numFmtId="0" fontId="31" fillId="0" borderId="38" xfId="59" applyFont="1" applyBorder="1" applyAlignment="1">
      <alignment horizontal="center"/>
    </xf>
    <xf numFmtId="170" fontId="31" fillId="0" borderId="38" xfId="59" applyNumberFormat="1" applyFont="1" applyBorder="1" applyAlignment="1">
      <alignment horizontal="center"/>
    </xf>
    <xf numFmtId="170" fontId="2" fillId="0" borderId="38" xfId="59" applyNumberFormat="1" applyBorder="1" applyAlignment="1">
      <alignment horizontal="center"/>
    </xf>
    <xf numFmtId="170" fontId="2" fillId="0" borderId="76" xfId="59" applyNumberFormat="1" applyBorder="1" applyAlignment="1">
      <alignment horizontal="center"/>
    </xf>
    <xf numFmtId="170" fontId="2" fillId="0" borderId="49" xfId="59" applyNumberFormat="1" applyBorder="1" applyAlignment="1">
      <alignment horizontal="center"/>
    </xf>
    <xf numFmtId="0" fontId="2" fillId="25" borderId="26" xfId="59" applyFill="1" applyBorder="1" applyAlignment="1">
      <alignment horizontal="center"/>
    </xf>
    <xf numFmtId="0" fontId="2" fillId="0" borderId="54" xfId="59" applyBorder="1" applyAlignment="1">
      <alignment horizontal="center"/>
    </xf>
    <xf numFmtId="170" fontId="2" fillId="0" borderId="54" xfId="59" applyNumberFormat="1" applyBorder="1" applyAlignment="1">
      <alignment horizontal="center"/>
    </xf>
    <xf numFmtId="0" fontId="2" fillId="25" borderId="79" xfId="59" applyFill="1" applyBorder="1" applyAlignment="1">
      <alignment horizontal="center"/>
    </xf>
    <xf numFmtId="0" fontId="2" fillId="0" borderId="58" xfId="59" applyBorder="1" applyAlignment="1">
      <alignment horizontal="center"/>
    </xf>
    <xf numFmtId="0" fontId="2" fillId="0" borderId="38" xfId="59" applyBorder="1" applyAlignment="1">
      <alignment horizontal="center"/>
    </xf>
    <xf numFmtId="0" fontId="21" fillId="0" borderId="0" xfId="59" applyFont="1"/>
    <xf numFmtId="0" fontId="2" fillId="0" borderId="0" xfId="59" applyAlignment="1">
      <alignment horizontal="center"/>
    </xf>
    <xf numFmtId="0" fontId="31" fillId="0" borderId="0" xfId="59" applyFont="1"/>
    <xf numFmtId="0" fontId="34" fillId="31" borderId="22" xfId="59" applyFont="1" applyFill="1" applyBorder="1" applyAlignment="1">
      <alignment horizontal="center"/>
    </xf>
    <xf numFmtId="0" fontId="34" fillId="0" borderId="12" xfId="59" applyFont="1" applyBorder="1" applyAlignment="1">
      <alignment horizontal="left"/>
    </xf>
    <xf numFmtId="0" fontId="34" fillId="28" borderId="13" xfId="59" applyFont="1" applyFill="1" applyBorder="1" applyAlignment="1">
      <alignment horizontal="centerContinuous"/>
    </xf>
    <xf numFmtId="0" fontId="34" fillId="0" borderId="13" xfId="59" applyFont="1" applyBorder="1" applyAlignment="1">
      <alignment vertical="center"/>
    </xf>
    <xf numFmtId="0" fontId="34" fillId="26" borderId="13" xfId="59" applyFont="1" applyFill="1" applyBorder="1" applyAlignment="1">
      <alignment horizontal="centerContinuous"/>
    </xf>
    <xf numFmtId="0" fontId="34" fillId="37" borderId="13" xfId="59" applyFont="1" applyFill="1" applyBorder="1" applyAlignment="1">
      <alignment horizontal="center"/>
    </xf>
    <xf numFmtId="0" fontId="34" fillId="27" borderId="13" xfId="59" applyFont="1" applyFill="1" applyBorder="1" applyAlignment="1">
      <alignment horizontal="center"/>
    </xf>
    <xf numFmtId="0" fontId="85" fillId="0" borderId="0" xfId="68" applyFont="1"/>
    <xf numFmtId="0" fontId="31" fillId="0" borderId="0" xfId="68" applyFont="1"/>
    <xf numFmtId="0" fontId="31" fillId="0" borderId="0" xfId="68" applyFont="1" applyAlignment="1">
      <alignment horizontal="left"/>
    </xf>
    <xf numFmtId="49" fontId="31" fillId="0" borderId="0" xfId="68" applyNumberFormat="1" applyFont="1" applyAlignment="1">
      <alignment horizontal="justify" vertical="center"/>
    </xf>
    <xf numFmtId="0" fontId="2" fillId="0" borderId="0" xfId="68" applyFont="1" applyAlignment="1">
      <alignment vertical="center"/>
    </xf>
    <xf numFmtId="0" fontId="2" fillId="0" borderId="21" xfId="68" applyFont="1" applyBorder="1" applyAlignment="1">
      <alignment horizontal="center" vertical="center"/>
    </xf>
    <xf numFmtId="0" fontId="2" fillId="0" borderId="21" xfId="68" applyFont="1" applyBorder="1" applyAlignment="1">
      <alignment vertical="center"/>
    </xf>
    <xf numFmtId="0" fontId="2" fillId="0" borderId="12" xfId="68" applyFont="1" applyBorder="1" applyAlignment="1">
      <alignment horizontal="center" vertical="center"/>
    </xf>
    <xf numFmtId="0" fontId="2" fillId="0" borderId="0" xfId="68" applyFont="1" applyAlignment="1">
      <alignment horizontal="center" vertical="center"/>
    </xf>
    <xf numFmtId="49" fontId="31" fillId="0" borderId="0" xfId="68" applyNumberFormat="1" applyFont="1" applyAlignment="1">
      <alignment horizontal="justify"/>
    </xf>
    <xf numFmtId="0" fontId="2" fillId="0" borderId="0" xfId="68" applyFont="1" applyAlignment="1">
      <alignment horizontal="center"/>
    </xf>
    <xf numFmtId="0" fontId="31" fillId="0" borderId="0" xfId="69" applyFont="1" applyAlignment="1">
      <alignment vertical="top"/>
    </xf>
    <xf numFmtId="0" fontId="69" fillId="0" borderId="0" xfId="59" applyFont="1" applyAlignment="1">
      <alignment horizontal="right" vertical="center"/>
    </xf>
    <xf numFmtId="170" fontId="69" fillId="0" borderId="0" xfId="59" applyNumberFormat="1" applyFont="1" applyAlignment="1">
      <alignment vertical="center"/>
    </xf>
    <xf numFmtId="170" fontId="69" fillId="0" borderId="0" xfId="59" applyNumberFormat="1" applyFont="1" applyAlignment="1">
      <alignment horizontal="right" vertical="center"/>
    </xf>
    <xf numFmtId="170" fontId="69" fillId="0" borderId="0" xfId="59" applyNumberFormat="1" applyFont="1" applyAlignment="1">
      <alignment horizontal="center" vertical="center"/>
    </xf>
    <xf numFmtId="0" fontId="69" fillId="0" borderId="0" xfId="59" applyFont="1" applyAlignment="1">
      <alignment vertical="center"/>
    </xf>
    <xf numFmtId="9" fontId="69" fillId="0" borderId="0" xfId="59" applyNumberFormat="1" applyFont="1" applyAlignment="1">
      <alignment vertical="center"/>
    </xf>
    <xf numFmtId="2" fontId="69" fillId="0" borderId="0" xfId="59" applyNumberFormat="1" applyFont="1" applyAlignment="1">
      <alignment vertical="center"/>
    </xf>
    <xf numFmtId="0" fontId="26" fillId="0" borderId="0" xfId="59" applyFont="1"/>
    <xf numFmtId="0" fontId="90" fillId="0" borderId="0" xfId="43" applyAlignment="1" applyProtection="1">
      <alignment horizontal="left"/>
    </xf>
    <xf numFmtId="0" fontId="31" fillId="0" borderId="0" xfId="70" applyFont="1"/>
    <xf numFmtId="0" fontId="31" fillId="0" borderId="0" xfId="70" applyFont="1" applyAlignment="1">
      <alignment horizontal="center"/>
    </xf>
    <xf numFmtId="49" fontId="31" fillId="0" borderId="0" xfId="70" applyNumberFormat="1" applyFont="1" applyAlignment="1">
      <alignment horizontal="justify"/>
    </xf>
    <xf numFmtId="0" fontId="2" fillId="0" borderId="0" xfId="70" applyFont="1" applyAlignment="1">
      <alignment horizontal="center"/>
    </xf>
    <xf numFmtId="1" fontId="69" fillId="0" borderId="0" xfId="59" applyNumberFormat="1" applyFont="1" applyAlignment="1">
      <alignment vertical="center"/>
    </xf>
    <xf numFmtId="0" fontId="41" fillId="38" borderId="0" xfId="68" applyFont="1" applyFill="1"/>
    <xf numFmtId="0" fontId="31" fillId="0" borderId="0" xfId="71" applyFont="1"/>
    <xf numFmtId="2" fontId="69" fillId="0" borderId="0" xfId="59" applyNumberFormat="1" applyFont="1" applyAlignment="1">
      <alignment horizontal="right" vertical="center"/>
    </xf>
    <xf numFmtId="0" fontId="41" fillId="39" borderId="0" xfId="71" applyFont="1" applyFill="1"/>
    <xf numFmtId="0" fontId="72" fillId="0" borderId="0" xfId="71" applyFont="1"/>
    <xf numFmtId="0" fontId="72" fillId="0" borderId="10" xfId="71" applyFont="1" applyBorder="1"/>
    <xf numFmtId="0" fontId="41" fillId="34" borderId="10" xfId="71" applyFont="1" applyFill="1" applyBorder="1"/>
    <xf numFmtId="0" fontId="41" fillId="39" borderId="14" xfId="71" applyFont="1" applyFill="1" applyBorder="1"/>
    <xf numFmtId="0" fontId="41" fillId="34" borderId="26" xfId="71" applyFont="1" applyFill="1" applyBorder="1"/>
    <xf numFmtId="0" fontId="41" fillId="33" borderId="26" xfId="71" applyFont="1" applyFill="1" applyBorder="1"/>
    <xf numFmtId="173" fontId="69" fillId="0" borderId="0" xfId="59" applyNumberFormat="1" applyFont="1" applyAlignment="1">
      <alignment vertical="center"/>
    </xf>
    <xf numFmtId="0" fontId="10" fillId="0" borderId="0" xfId="59" applyFont="1"/>
    <xf numFmtId="0" fontId="35" fillId="0" borderId="0" xfId="59" applyFont="1" applyAlignment="1">
      <alignment horizontal="centerContinuous"/>
    </xf>
    <xf numFmtId="0" fontId="10" fillId="0" borderId="0" xfId="59" applyFont="1" applyAlignment="1">
      <alignment horizontal="centerContinuous"/>
    </xf>
    <xf numFmtId="0" fontId="2" fillId="0" borderId="0" xfId="59" applyAlignment="1">
      <alignment horizontal="centerContinuous"/>
    </xf>
    <xf numFmtId="0" fontId="36" fillId="0" borderId="0" xfId="59" applyFont="1" applyAlignment="1">
      <alignment horizontal="centerContinuous" wrapText="1"/>
    </xf>
    <xf numFmtId="0" fontId="50" fillId="0" borderId="0" xfId="69" applyFont="1" applyAlignment="1">
      <alignment vertical="top"/>
    </xf>
    <xf numFmtId="0" fontId="32" fillId="0" borderId="0" xfId="59" applyFont="1" applyAlignment="1">
      <alignment horizontal="right"/>
    </xf>
    <xf numFmtId="0" fontId="32" fillId="0" borderId="0" xfId="59" applyFont="1" applyAlignment="1">
      <alignment horizontal="right" wrapText="1"/>
    </xf>
    <xf numFmtId="176" fontId="10" fillId="0" borderId="0" xfId="59" applyNumberFormat="1" applyFont="1"/>
    <xf numFmtId="0" fontId="2" fillId="0" borderId="26" xfId="59" applyBorder="1"/>
    <xf numFmtId="49" fontId="29" fillId="0" borderId="0" xfId="59" applyNumberFormat="1" applyFont="1" applyAlignment="1">
      <alignment horizontal="center"/>
    </xf>
    <xf numFmtId="49" fontId="29" fillId="0" borderId="14" xfId="59" applyNumberFormat="1" applyFont="1" applyBorder="1"/>
    <xf numFmtId="0" fontId="2" fillId="0" borderId="13" xfId="59" applyBorder="1"/>
    <xf numFmtId="0" fontId="69" fillId="0" borderId="0" xfId="59" applyFont="1"/>
    <xf numFmtId="0" fontId="69" fillId="0" borderId="0" xfId="59" applyFont="1" applyAlignment="1">
      <alignment horizontal="center"/>
    </xf>
    <xf numFmtId="9" fontId="69" fillId="0" borderId="0" xfId="59" applyNumberFormat="1" applyFont="1"/>
    <xf numFmtId="0" fontId="95" fillId="0" borderId="13" xfId="59" applyFont="1" applyBorder="1" applyAlignment="1">
      <alignment horizontal="center"/>
    </xf>
    <xf numFmtId="0" fontId="96" fillId="0" borderId="13" xfId="59" applyFont="1" applyBorder="1" applyAlignment="1">
      <alignment horizontal="center"/>
    </xf>
    <xf numFmtId="0" fontId="97" fillId="0" borderId="13" xfId="59" applyFont="1" applyBorder="1" applyAlignment="1">
      <alignment horizontal="center"/>
    </xf>
    <xf numFmtId="0" fontId="98" fillId="0" borderId="13" xfId="59" applyFont="1" applyBorder="1" applyAlignment="1">
      <alignment horizontal="center"/>
    </xf>
    <xf numFmtId="0" fontId="99" fillId="0" borderId="13" xfId="59" applyFont="1" applyBorder="1" applyAlignment="1">
      <alignment horizontal="center"/>
    </xf>
    <xf numFmtId="176" fontId="69" fillId="0" borderId="0" xfId="59" applyNumberFormat="1" applyFont="1"/>
    <xf numFmtId="176" fontId="69" fillId="0" borderId="0" xfId="59" applyNumberFormat="1" applyFont="1" applyAlignment="1">
      <alignment horizontal="right"/>
    </xf>
    <xf numFmtId="170" fontId="69" fillId="0" borderId="0" xfId="59" applyNumberFormat="1" applyFont="1"/>
    <xf numFmtId="0" fontId="2" fillId="0" borderId="13" xfId="59" applyBorder="1" applyAlignment="1">
      <alignment horizontal="right"/>
    </xf>
    <xf numFmtId="0" fontId="7" fillId="0" borderId="26" xfId="59" applyFont="1" applyBorder="1" applyAlignment="1">
      <alignment horizontal="centerContinuous"/>
    </xf>
    <xf numFmtId="1" fontId="69" fillId="0" borderId="0" xfId="59" applyNumberFormat="1" applyFont="1"/>
    <xf numFmtId="169" fontId="69" fillId="0" borderId="0" xfId="46" applyNumberFormat="1" applyFont="1"/>
    <xf numFmtId="169" fontId="69" fillId="0" borderId="0" xfId="59" applyNumberFormat="1" applyFont="1"/>
    <xf numFmtId="9" fontId="3" fillId="0" borderId="13" xfId="75" applyFont="1" applyBorder="1"/>
    <xf numFmtId="0" fontId="2" fillId="0" borderId="50" xfId="59" applyBorder="1"/>
    <xf numFmtId="49" fontId="37" fillId="0" borderId="26" xfId="59" applyNumberFormat="1" applyFont="1" applyBorder="1" applyAlignment="1">
      <alignment horizontal="center"/>
    </xf>
    <xf numFmtId="0" fontId="2" fillId="0" borderId="51" xfId="59" applyBorder="1"/>
    <xf numFmtId="0" fontId="2" fillId="0" borderId="77" xfId="59" applyBorder="1"/>
    <xf numFmtId="2" fontId="69" fillId="0" borderId="0" xfId="59" applyNumberFormat="1" applyFont="1"/>
    <xf numFmtId="0" fontId="2" fillId="0" borderId="72" xfId="59" applyBorder="1"/>
    <xf numFmtId="49" fontId="29" fillId="0" borderId="0" xfId="59" applyNumberFormat="1" applyFont="1"/>
    <xf numFmtId="170" fontId="69" fillId="0" borderId="0" xfId="59" applyNumberFormat="1" applyFont="1" applyAlignment="1">
      <alignment horizontal="right"/>
    </xf>
    <xf numFmtId="9" fontId="69" fillId="0" borderId="0" xfId="75" applyFont="1"/>
    <xf numFmtId="0" fontId="2" fillId="0" borderId="69" xfId="59" applyBorder="1"/>
    <xf numFmtId="0" fontId="2" fillId="0" borderId="25" xfId="59" applyBorder="1"/>
    <xf numFmtId="2" fontId="2" fillId="0" borderId="26" xfId="59" applyNumberFormat="1" applyBorder="1"/>
    <xf numFmtId="2" fontId="2" fillId="0" borderId="13" xfId="59" applyNumberFormat="1" applyBorder="1"/>
    <xf numFmtId="2" fontId="34" fillId="32" borderId="13" xfId="69" applyNumberFormat="1" applyFont="1" applyFill="1" applyBorder="1"/>
    <xf numFmtId="0" fontId="2" fillId="0" borderId="22" xfId="59" applyBorder="1" applyAlignment="1">
      <alignment horizontal="right"/>
    </xf>
    <xf numFmtId="3" fontId="69" fillId="0" borderId="0" xfId="59" applyNumberFormat="1" applyFont="1"/>
    <xf numFmtId="0" fontId="2" fillId="0" borderId="54" xfId="59" applyBorder="1"/>
    <xf numFmtId="0" fontId="2" fillId="0" borderId="28" xfId="59" applyBorder="1"/>
    <xf numFmtId="1" fontId="2" fillId="0" borderId="0" xfId="59" applyNumberFormat="1"/>
    <xf numFmtId="0" fontId="2" fillId="0" borderId="24" xfId="59" applyBorder="1"/>
    <xf numFmtId="0" fontId="26" fillId="0" borderId="0" xfId="59" applyFont="1" applyAlignment="1">
      <alignment horizontal="center"/>
    </xf>
    <xf numFmtId="0" fontId="21" fillId="0" borderId="14" xfId="59" applyFont="1" applyBorder="1" applyAlignment="1">
      <alignment horizontal="left"/>
    </xf>
    <xf numFmtId="0" fontId="2" fillId="0" borderId="17" xfId="59" applyBorder="1"/>
    <xf numFmtId="0" fontId="2" fillId="0" borderId="14" xfId="59" applyBorder="1"/>
    <xf numFmtId="0" fontId="22" fillId="0" borderId="0" xfId="69" applyFont="1" applyAlignment="1">
      <alignment wrapText="1"/>
    </xf>
    <xf numFmtId="0" fontId="2" fillId="0" borderId="12" xfId="70" applyFont="1" applyBorder="1"/>
    <xf numFmtId="0" fontId="42" fillId="0" borderId="0" xfId="70" applyFont="1"/>
    <xf numFmtId="0" fontId="22" fillId="0" borderId="0" xfId="68" applyFont="1"/>
    <xf numFmtId="0" fontId="2" fillId="0" borderId="14" xfId="70" applyFont="1" applyBorder="1"/>
    <xf numFmtId="0" fontId="2" fillId="0" borderId="21" xfId="71" applyFont="1" applyBorder="1"/>
    <xf numFmtId="0" fontId="2" fillId="0" borderId="22" xfId="0" applyFont="1" applyBorder="1" applyAlignment="1">
      <alignment horizontal="center" vertical="center" wrapText="1"/>
    </xf>
    <xf numFmtId="0" fontId="2" fillId="0" borderId="50" xfId="0" applyFont="1" applyBorder="1" applyAlignment="1">
      <alignment horizontal="center" vertical="center" wrapText="1"/>
    </xf>
    <xf numFmtId="169" fontId="0" fillId="0" borderId="13" xfId="46" applyNumberFormat="1" applyFont="1" applyBorder="1"/>
    <xf numFmtId="2" fontId="2" fillId="0" borderId="13" xfId="46" applyNumberFormat="1" applyBorder="1" applyAlignment="1">
      <alignment horizontal="center"/>
    </xf>
    <xf numFmtId="0" fontId="2" fillId="0" borderId="29" xfId="0" applyFont="1" applyBorder="1" applyAlignment="1">
      <alignment horizontal="center" vertical="center" wrapText="1"/>
    </xf>
    <xf numFmtId="3" fontId="90" fillId="0" borderId="13" xfId="41" applyNumberFormat="1" applyBorder="1" applyAlignment="1" applyProtection="1">
      <alignment horizontal="center" vertical="center" wrapText="1"/>
    </xf>
    <xf numFmtId="0" fontId="2" fillId="0" borderId="13" xfId="0" applyFont="1" applyBorder="1"/>
    <xf numFmtId="0" fontId="2" fillId="0" borderId="13" xfId="0" applyFont="1" applyBorder="1" applyAlignment="1">
      <alignment horizontal="center"/>
    </xf>
    <xf numFmtId="0" fontId="2" fillId="0" borderId="13" xfId="0" applyFont="1" applyBorder="1" applyAlignment="1">
      <alignment horizontal="center" vertical="center" wrapText="1"/>
    </xf>
    <xf numFmtId="0" fontId="8" fillId="0" borderId="51" xfId="0" applyFont="1" applyBorder="1" applyAlignment="1">
      <alignment horizontal="center" vertical="center"/>
    </xf>
    <xf numFmtId="0" fontId="8" fillId="0" borderId="13" xfId="0" applyFont="1" applyBorder="1" applyAlignment="1">
      <alignment horizontal="center" vertical="center"/>
    </xf>
    <xf numFmtId="0" fontId="8" fillId="0" borderId="13" xfId="0" applyFont="1" applyBorder="1" applyAlignment="1">
      <alignment horizontal="center" vertical="center" wrapText="1"/>
    </xf>
    <xf numFmtId="0" fontId="2" fillId="0" borderId="35" xfId="0" applyFont="1" applyBorder="1" applyAlignment="1">
      <alignment horizontal="center" vertical="center" wrapText="1"/>
    </xf>
    <xf numFmtId="165" fontId="0" fillId="0" borderId="0" xfId="0" applyNumberFormat="1"/>
    <xf numFmtId="15" fontId="2" fillId="0" borderId="35" xfId="59" applyNumberFormat="1" applyBorder="1" applyAlignment="1">
      <alignment horizontal="center" vertical="center" wrapText="1"/>
    </xf>
    <xf numFmtId="0" fontId="2" fillId="0" borderId="13" xfId="59" applyBorder="1" applyAlignment="1">
      <alignment horizontal="center" vertical="center" wrapText="1"/>
    </xf>
    <xf numFmtId="0" fontId="2" fillId="0" borderId="29" xfId="59" applyBorder="1" applyAlignment="1">
      <alignment horizontal="center" vertical="center" wrapText="1"/>
    </xf>
    <xf numFmtId="0" fontId="9" fillId="33" borderId="39" xfId="0" applyFont="1" applyFill="1" applyBorder="1" applyAlignment="1">
      <alignment horizontal="center" vertical="center"/>
    </xf>
    <xf numFmtId="0" fontId="3" fillId="0" borderId="62" xfId="0" applyFont="1" applyBorder="1" applyAlignment="1">
      <alignment horizontal="center" vertical="center"/>
    </xf>
    <xf numFmtId="0" fontId="3" fillId="0" borderId="49" xfId="0" applyFont="1" applyBorder="1" applyAlignment="1">
      <alignment horizontal="center" vertical="center"/>
    </xf>
    <xf numFmtId="0" fontId="32" fillId="0" borderId="62" xfId="0" applyFont="1" applyBorder="1" applyAlignment="1">
      <alignment horizontal="center" vertical="center"/>
    </xf>
    <xf numFmtId="0" fontId="32" fillId="0" borderId="13" xfId="0" applyFont="1" applyBorder="1" applyAlignment="1">
      <alignment horizontal="center" vertical="center"/>
    </xf>
    <xf numFmtId="0" fontId="3" fillId="0" borderId="63" xfId="0" applyFont="1" applyBorder="1" applyAlignment="1">
      <alignment horizontal="left" vertical="center" wrapText="1"/>
    </xf>
    <xf numFmtId="0" fontId="9" fillId="33" borderId="35" xfId="0" applyFont="1" applyFill="1" applyBorder="1" applyAlignment="1">
      <alignment horizontal="center" vertical="center"/>
    </xf>
    <xf numFmtId="0" fontId="3" fillId="0" borderId="13" xfId="0" applyFont="1" applyBorder="1" applyAlignment="1">
      <alignment horizontal="center" vertical="center"/>
    </xf>
    <xf numFmtId="0" fontId="3" fillId="0" borderId="29" xfId="0" applyFont="1" applyBorder="1" applyAlignment="1">
      <alignment horizontal="left" vertical="center" wrapText="1"/>
    </xf>
    <xf numFmtId="3" fontId="3" fillId="0" borderId="13" xfId="0" applyNumberFormat="1" applyFont="1" applyBorder="1" applyAlignment="1">
      <alignment horizontal="center" vertical="center"/>
    </xf>
    <xf numFmtId="0" fontId="32" fillId="0" borderId="13" xfId="0" applyFont="1" applyBorder="1" applyAlignment="1">
      <alignment vertical="center"/>
    </xf>
    <xf numFmtId="0" fontId="9" fillId="33" borderId="46" xfId="0" applyFont="1" applyFill="1" applyBorder="1" applyAlignment="1">
      <alignment horizontal="center" vertical="center"/>
    </xf>
    <xf numFmtId="0" fontId="3" fillId="0" borderId="44" xfId="0" applyFont="1" applyBorder="1" applyAlignment="1">
      <alignment horizontal="center" vertical="center"/>
    </xf>
    <xf numFmtId="0" fontId="32" fillId="0" borderId="44" xfId="0" applyFont="1" applyBorder="1" applyAlignment="1">
      <alignment horizontal="center" vertical="center"/>
    </xf>
    <xf numFmtId="0" fontId="3" fillId="0" borderId="36" xfId="0" applyFont="1" applyBorder="1" applyAlignment="1">
      <alignment horizontal="left" vertical="center" wrapText="1"/>
    </xf>
    <xf numFmtId="0" fontId="3" fillId="0" borderId="39" xfId="0" applyFont="1" applyBorder="1" applyAlignment="1">
      <alignment horizontal="center" vertical="center"/>
    </xf>
    <xf numFmtId="0" fontId="32" fillId="0" borderId="62" xfId="0" applyFont="1" applyBorder="1" applyAlignment="1">
      <alignment vertical="center"/>
    </xf>
    <xf numFmtId="0" fontId="3" fillId="0" borderId="48" xfId="0" applyFont="1" applyBorder="1" applyAlignment="1">
      <alignment horizontal="center" vertical="center"/>
    </xf>
    <xf numFmtId="0" fontId="3" fillId="0" borderId="50" xfId="0" applyFont="1" applyBorder="1" applyAlignment="1">
      <alignment horizontal="center" vertical="center"/>
    </xf>
    <xf numFmtId="0" fontId="32" fillId="0" borderId="50" xfId="0" applyFont="1" applyBorder="1" applyAlignment="1">
      <alignment horizontal="center" vertical="center"/>
    </xf>
    <xf numFmtId="0" fontId="3" fillId="0" borderId="35" xfId="0" applyFont="1" applyBorder="1" applyAlignment="1">
      <alignment horizontal="center" vertical="center"/>
    </xf>
    <xf numFmtId="0" fontId="3" fillId="0" borderId="46" xfId="0" applyFont="1" applyBorder="1" applyAlignment="1">
      <alignment horizontal="center" vertical="center"/>
    </xf>
    <xf numFmtId="0" fontId="3" fillId="0" borderId="67" xfId="0" applyFont="1" applyBorder="1" applyAlignment="1">
      <alignment horizontal="center" vertical="center"/>
    </xf>
    <xf numFmtId="0" fontId="32" fillId="0" borderId="49" xfId="0" applyFont="1" applyBorder="1" applyAlignment="1">
      <alignment horizontal="center" vertical="center"/>
    </xf>
    <xf numFmtId="0" fontId="3" fillId="0" borderId="78" xfId="0" applyFont="1" applyBorder="1" applyAlignment="1">
      <alignment horizontal="left" vertical="center" wrapText="1"/>
    </xf>
    <xf numFmtId="0" fontId="9" fillId="33" borderId="37" xfId="0" applyFont="1" applyFill="1" applyBorder="1" applyAlignment="1">
      <alignment horizontal="center" vertical="center"/>
    </xf>
    <xf numFmtId="0" fontId="3" fillId="0" borderId="47" xfId="0" applyFont="1" applyBorder="1" applyAlignment="1">
      <alignment horizontal="center" vertical="center"/>
    </xf>
    <xf numFmtId="0" fontId="3" fillId="0" borderId="42" xfId="0" applyFont="1" applyBorder="1" applyAlignment="1">
      <alignment horizontal="center" vertical="center"/>
    </xf>
    <xf numFmtId="0" fontId="32" fillId="0" borderId="42" xfId="0" applyFont="1" applyBorder="1" applyAlignment="1">
      <alignment horizontal="center" vertical="center"/>
    </xf>
    <xf numFmtId="0" fontId="3" fillId="0" borderId="45" xfId="0" applyFont="1" applyBorder="1" applyAlignment="1">
      <alignment horizontal="left" vertical="center" wrapText="1"/>
    </xf>
    <xf numFmtId="0" fontId="18" fillId="0" borderId="44" xfId="0" applyFont="1" applyBorder="1" applyAlignment="1">
      <alignment horizontal="center" vertical="center" wrapText="1"/>
    </xf>
    <xf numFmtId="0" fontId="21" fillId="0" borderId="35" xfId="73" applyFont="1" applyBorder="1" applyAlignment="1">
      <alignment horizontal="center" vertical="center" wrapText="1"/>
    </xf>
    <xf numFmtId="0" fontId="21" fillId="0" borderId="13" xfId="72" applyFont="1" applyBorder="1" applyAlignment="1">
      <alignment horizontal="center" vertical="center" wrapText="1"/>
    </xf>
    <xf numFmtId="0" fontId="3" fillId="0" borderId="13" xfId="59" applyFont="1" applyBorder="1" applyAlignment="1">
      <alignment horizontal="center" vertical="center"/>
    </xf>
    <xf numFmtId="0" fontId="21" fillId="0" borderId="13" xfId="59" applyFont="1" applyBorder="1" applyAlignment="1">
      <alignment horizontal="center" vertical="center" wrapText="1"/>
    </xf>
    <xf numFmtId="0" fontId="21" fillId="25" borderId="13" xfId="59" applyFont="1" applyFill="1" applyBorder="1" applyAlignment="1">
      <alignment horizontal="center" vertical="center"/>
    </xf>
    <xf numFmtId="171" fontId="21" fillId="25" borderId="13" xfId="59" applyNumberFormat="1" applyFont="1" applyFill="1" applyBorder="1" applyAlignment="1">
      <alignment horizontal="center" vertical="center"/>
    </xf>
    <xf numFmtId="0" fontId="21" fillId="0" borderId="13" xfId="59" applyFont="1" applyBorder="1" applyAlignment="1">
      <alignment horizontal="center" vertical="center"/>
    </xf>
    <xf numFmtId="0" fontId="21" fillId="0" borderId="13" xfId="59" applyFont="1" applyBorder="1" applyAlignment="1">
      <alignment horizontal="justify" vertical="center"/>
    </xf>
    <xf numFmtId="3" fontId="2" fillId="0" borderId="13" xfId="59" applyNumberFormat="1" applyBorder="1" applyAlignment="1">
      <alignment horizontal="center" vertical="center"/>
    </xf>
    <xf numFmtId="0" fontId="21" fillId="25" borderId="29" xfId="59" applyFont="1" applyFill="1" applyBorder="1" applyAlignment="1">
      <alignment vertical="center" wrapText="1"/>
    </xf>
    <xf numFmtId="0" fontId="2" fillId="0" borderId="12" xfId="0" applyFont="1" applyBorder="1" applyAlignment="1">
      <alignment horizontal="center" vertical="center"/>
    </xf>
    <xf numFmtId="0" fontId="16" fillId="0" borderId="0" xfId="59" applyFont="1" applyAlignment="1">
      <alignment horizontal="center"/>
    </xf>
    <xf numFmtId="0" fontId="16" fillId="0" borderId="0" xfId="59" applyFont="1" applyAlignment="1">
      <alignment horizontal="centerContinuous"/>
    </xf>
    <xf numFmtId="0" fontId="8" fillId="0" borderId="0" xfId="59" applyFont="1" applyAlignment="1">
      <alignment horizontal="centerContinuous"/>
    </xf>
    <xf numFmtId="0" fontId="41" fillId="0" borderId="0" xfId="59" applyFont="1"/>
    <xf numFmtId="0" fontId="8" fillId="0" borderId="0" xfId="59" applyFont="1"/>
    <xf numFmtId="0" fontId="11" fillId="0" borderId="0" xfId="59" applyFont="1"/>
    <xf numFmtId="0" fontId="10" fillId="0" borderId="10" xfId="59" applyFont="1" applyBorder="1"/>
    <xf numFmtId="0" fontId="18" fillId="0" borderId="13" xfId="59" applyFont="1" applyBorder="1" applyAlignment="1">
      <alignment horizontal="center" vertical="center"/>
    </xf>
    <xf numFmtId="0" fontId="18" fillId="0" borderId="13" xfId="59" applyFont="1" applyBorder="1" applyAlignment="1">
      <alignment horizontal="center" vertical="center" wrapText="1"/>
    </xf>
    <xf numFmtId="0" fontId="31" fillId="33" borderId="13" xfId="59" applyFont="1" applyFill="1" applyBorder="1" applyAlignment="1">
      <alignment horizontal="center" vertical="center"/>
    </xf>
    <xf numFmtId="0" fontId="8" fillId="0" borderId="13" xfId="59" applyFont="1" applyBorder="1" applyAlignment="1">
      <alignment horizontal="center" vertical="center"/>
    </xf>
    <xf numFmtId="0" fontId="2" fillId="0" borderId="13" xfId="59" applyBorder="1" applyAlignment="1">
      <alignment horizontal="center" vertical="center"/>
    </xf>
    <xf numFmtId="0" fontId="31" fillId="0" borderId="13" xfId="59" applyFont="1" applyBorder="1" applyAlignment="1">
      <alignment horizontal="center" vertical="center"/>
    </xf>
    <xf numFmtId="0" fontId="31" fillId="0" borderId="13" xfId="59" applyFont="1" applyBorder="1" applyAlignment="1">
      <alignment horizontal="center"/>
    </xf>
    <xf numFmtId="0" fontId="2" fillId="30" borderId="0" xfId="59" applyFill="1"/>
    <xf numFmtId="0" fontId="2" fillId="0" borderId="13" xfId="59" applyBorder="1" applyAlignment="1">
      <alignment wrapText="1"/>
    </xf>
    <xf numFmtId="0" fontId="3" fillId="0" borderId="13" xfId="59" applyFont="1" applyBorder="1" applyAlignment="1">
      <alignment horizontal="justify" wrapText="1"/>
    </xf>
    <xf numFmtId="0" fontId="31" fillId="34" borderId="13" xfId="59" applyFont="1" applyFill="1" applyBorder="1" applyAlignment="1">
      <alignment horizontal="center" vertical="center"/>
    </xf>
    <xf numFmtId="0" fontId="9" fillId="0" borderId="18" xfId="59" applyFont="1" applyBorder="1" applyAlignment="1">
      <alignment vertical="center"/>
    </xf>
    <xf numFmtId="0" fontId="2" fillId="0" borderId="27" xfId="59" applyBorder="1"/>
    <xf numFmtId="0" fontId="8" fillId="0" borderId="27" xfId="59" applyFont="1" applyBorder="1" applyAlignment="1">
      <alignment vertical="center"/>
    </xf>
    <xf numFmtId="0" fontId="31" fillId="0" borderId="28" xfId="59" applyFont="1" applyBorder="1" applyAlignment="1">
      <alignment vertical="center"/>
    </xf>
    <xf numFmtId="0" fontId="31" fillId="0" borderId="0" xfId="59" applyFont="1" applyAlignment="1">
      <alignment horizontal="center" vertical="center"/>
    </xf>
    <xf numFmtId="0" fontId="8" fillId="0" borderId="0" xfId="59" applyFont="1" applyAlignment="1">
      <alignment vertical="center"/>
    </xf>
    <xf numFmtId="0" fontId="8" fillId="0" borderId="0" xfId="59" applyFont="1" applyAlignment="1">
      <alignment wrapText="1"/>
    </xf>
    <xf numFmtId="0" fontId="7" fillId="0" borderId="0" xfId="0" applyFont="1" applyAlignment="1">
      <alignment horizontal="right"/>
    </xf>
    <xf numFmtId="49" fontId="3" fillId="0" borderId="57" xfId="0" applyNumberFormat="1" applyFont="1" applyBorder="1" applyAlignment="1">
      <alignment horizontal="center"/>
    </xf>
    <xf numFmtId="2" fontId="3" fillId="0" borderId="81" xfId="0" applyNumberFormat="1" applyFont="1" applyBorder="1" applyAlignment="1">
      <alignment horizontal="center"/>
    </xf>
    <xf numFmtId="0" fontId="3" fillId="0" borderId="48" xfId="0" applyFont="1" applyBorder="1" applyAlignment="1">
      <alignment horizontal="center"/>
    </xf>
    <xf numFmtId="0" fontId="3" fillId="0" borderId="50" xfId="0" applyFont="1" applyBorder="1" applyAlignment="1">
      <alignment horizontal="center"/>
    </xf>
    <xf numFmtId="0" fontId="3" fillId="0" borderId="15" xfId="0" applyFont="1" applyBorder="1" applyAlignment="1">
      <alignment horizontal="center"/>
    </xf>
    <xf numFmtId="0" fontId="3" fillId="0" borderId="81" xfId="0" applyFont="1" applyBorder="1" applyAlignment="1">
      <alignment horizontal="center"/>
    </xf>
    <xf numFmtId="2" fontId="3" fillId="0" borderId="29" xfId="0" applyNumberFormat="1" applyFont="1" applyBorder="1" applyAlignment="1">
      <alignment horizontal="center"/>
    </xf>
    <xf numFmtId="0" fontId="3" fillId="0" borderId="35" xfId="0" applyFont="1" applyBorder="1" applyAlignment="1">
      <alignment horizontal="center"/>
    </xf>
    <xf numFmtId="0" fontId="3" fillId="0" borderId="13" xfId="0" applyFont="1" applyBorder="1" applyAlignment="1">
      <alignment horizontal="center"/>
    </xf>
    <xf numFmtId="0" fontId="3" fillId="0" borderId="22" xfId="0" applyFont="1" applyBorder="1" applyAlignment="1">
      <alignment horizontal="center"/>
    </xf>
    <xf numFmtId="0" fontId="3" fillId="0" borderId="29" xfId="0" applyFont="1" applyBorder="1" applyAlignment="1">
      <alignment horizontal="center"/>
    </xf>
    <xf numFmtId="2" fontId="3" fillId="0" borderId="36" xfId="0" applyNumberFormat="1" applyFont="1" applyBorder="1" applyAlignment="1">
      <alignment horizontal="center"/>
    </xf>
    <xf numFmtId="49" fontId="3" fillId="0" borderId="48" xfId="0" applyNumberFormat="1" applyFont="1" applyBorder="1" applyAlignment="1">
      <alignment horizontal="center"/>
    </xf>
    <xf numFmtId="49" fontId="3" fillId="0" borderId="50" xfId="0" applyNumberFormat="1" applyFont="1" applyBorder="1" applyAlignment="1">
      <alignment horizontal="center"/>
    </xf>
    <xf numFmtId="3" fontId="0" fillId="0" borderId="12" xfId="0" applyNumberFormat="1" applyBorder="1"/>
    <xf numFmtId="4" fontId="0" fillId="0" borderId="13" xfId="0" applyNumberFormat="1" applyBorder="1"/>
    <xf numFmtId="3" fontId="0" fillId="0" borderId="13" xfId="0" applyNumberFormat="1" applyBorder="1"/>
    <xf numFmtId="3" fontId="0" fillId="0" borderId="22" xfId="0" applyNumberFormat="1" applyBorder="1"/>
    <xf numFmtId="3" fontId="0" fillId="0" borderId="35" xfId="0" applyNumberFormat="1" applyBorder="1"/>
    <xf numFmtId="3" fontId="0" fillId="0" borderId="29" xfId="0" applyNumberFormat="1" applyBorder="1"/>
    <xf numFmtId="3" fontId="0" fillId="0" borderId="44" xfId="0" applyNumberFormat="1" applyBorder="1"/>
    <xf numFmtId="3" fontId="0" fillId="0" borderId="46" xfId="0" applyNumberFormat="1" applyBorder="1"/>
    <xf numFmtId="3" fontId="0" fillId="0" borderId="36" xfId="0" applyNumberFormat="1" applyBorder="1"/>
    <xf numFmtId="3" fontId="0" fillId="0" borderId="65" xfId="0" applyNumberFormat="1" applyBorder="1"/>
    <xf numFmtId="3" fontId="0" fillId="0" borderId="37" xfId="0" applyNumberFormat="1" applyBorder="1"/>
    <xf numFmtId="4" fontId="0" fillId="0" borderId="42" xfId="0" applyNumberFormat="1" applyBorder="1"/>
    <xf numFmtId="3" fontId="0" fillId="0" borderId="42" xfId="0" applyNumberFormat="1" applyBorder="1"/>
    <xf numFmtId="3" fontId="0" fillId="0" borderId="45" xfId="0" applyNumberFormat="1" applyBorder="1"/>
    <xf numFmtId="3" fontId="0" fillId="0" borderId="43" xfId="0" applyNumberFormat="1" applyBorder="1"/>
    <xf numFmtId="0" fontId="31" fillId="0" borderId="37" xfId="0" applyFont="1" applyBorder="1" applyAlignment="1">
      <alignment horizontal="center" vertical="center"/>
    </xf>
    <xf numFmtId="3" fontId="31" fillId="0" borderId="42" xfId="0" applyNumberFormat="1" applyFont="1" applyBorder="1" applyAlignment="1">
      <alignment horizontal="center" vertical="center"/>
    </xf>
    <xf numFmtId="0" fontId="4" fillId="0" borderId="22" xfId="0" applyFont="1" applyBorder="1" applyAlignment="1">
      <alignment horizontal="center" vertical="center"/>
    </xf>
    <xf numFmtId="0" fontId="4" fillId="0" borderId="13" xfId="0" quotePrefix="1" applyFont="1" applyBorder="1" applyAlignment="1">
      <alignment horizontal="center" vertical="center"/>
    </xf>
    <xf numFmtId="0" fontId="3" fillId="0" borderId="13" xfId="0" applyFont="1" applyBorder="1" applyAlignment="1">
      <alignment horizontal="center" vertical="center" wrapText="1"/>
    </xf>
    <xf numFmtId="0" fontId="3" fillId="0" borderId="22" xfId="0" applyFont="1" applyBorder="1" applyAlignment="1">
      <alignment horizontal="center" vertical="center" wrapText="1"/>
    </xf>
    <xf numFmtId="0" fontId="3" fillId="0" borderId="50" xfId="0" applyFont="1" applyBorder="1" applyAlignment="1">
      <alignment horizontal="center" vertical="center" wrapText="1"/>
    </xf>
    <xf numFmtId="0" fontId="3" fillId="0" borderId="11" xfId="0" applyFont="1" applyBorder="1" applyAlignment="1">
      <alignment horizontal="center" vertical="center" wrapText="1"/>
    </xf>
    <xf numFmtId="0" fontId="3" fillId="0" borderId="15" xfId="0" applyFont="1" applyBorder="1" applyAlignment="1">
      <alignment horizontal="center" vertical="center" wrapText="1"/>
    </xf>
    <xf numFmtId="0" fontId="31" fillId="0" borderId="16" xfId="0" applyFont="1" applyBorder="1" applyAlignment="1">
      <alignment horizontal="center" vertical="center" wrapText="1"/>
    </xf>
    <xf numFmtId="0" fontId="0" fillId="0" borderId="26" xfId="0" applyBorder="1" applyAlignment="1">
      <alignment wrapText="1"/>
    </xf>
    <xf numFmtId="0" fontId="2" fillId="0" borderId="0" xfId="0" applyFont="1" applyAlignment="1">
      <alignment wrapText="1"/>
    </xf>
    <xf numFmtId="0" fontId="9" fillId="0" borderId="0" xfId="59" applyFont="1" applyAlignment="1">
      <alignment horizontal="centerContinuous"/>
    </xf>
    <xf numFmtId="0" fontId="2" fillId="0" borderId="10" xfId="59" applyBorder="1"/>
    <xf numFmtId="0" fontId="100" fillId="0" borderId="0" xfId="0" applyFont="1"/>
    <xf numFmtId="3" fontId="31" fillId="0" borderId="0" xfId="72" applyNumberFormat="1" applyFont="1" applyAlignment="1">
      <alignment horizontal="center"/>
    </xf>
    <xf numFmtId="0" fontId="2" fillId="0" borderId="17" xfId="0" applyFont="1" applyBorder="1" applyAlignment="1">
      <alignment horizontal="center" vertical="center" wrapText="1"/>
    </xf>
    <xf numFmtId="9" fontId="2" fillId="0" borderId="0" xfId="0" applyNumberFormat="1" applyFont="1"/>
    <xf numFmtId="0" fontId="2" fillId="0" borderId="13" xfId="59" applyBorder="1" applyAlignment="1">
      <alignment horizontal="left" vertical="center" wrapText="1"/>
    </xf>
    <xf numFmtId="179" fontId="3" fillId="0" borderId="13" xfId="75" applyNumberFormat="1" applyFont="1" applyBorder="1"/>
    <xf numFmtId="0" fontId="2" fillId="0" borderId="76" xfId="0" applyFont="1" applyBorder="1" applyAlignment="1">
      <alignment horizontal="center" vertical="center" wrapText="1"/>
    </xf>
    <xf numFmtId="0" fontId="2" fillId="0" borderId="11" xfId="0" applyFont="1" applyBorder="1" applyAlignment="1">
      <alignment horizontal="center" vertical="center" wrapText="1"/>
    </xf>
    <xf numFmtId="0" fontId="0" fillId="0" borderId="35" xfId="0" applyBorder="1" applyAlignment="1">
      <alignment horizontal="center" vertical="center"/>
    </xf>
    <xf numFmtId="0" fontId="9" fillId="0" borderId="0" xfId="59" applyFont="1"/>
    <xf numFmtId="0" fontId="8" fillId="0" borderId="10" xfId="59" applyFont="1" applyBorder="1"/>
    <xf numFmtId="0" fontId="23" fillId="0" borderId="0" xfId="59" applyFont="1"/>
    <xf numFmtId="0" fontId="18" fillId="0" borderId="10" xfId="59" applyFont="1" applyBorder="1"/>
    <xf numFmtId="0" fontId="18" fillId="0" borderId="0" xfId="59" applyFont="1"/>
    <xf numFmtId="0" fontId="9" fillId="24" borderId="47" xfId="59" applyFont="1" applyFill="1" applyBorder="1" applyAlignment="1">
      <alignment horizontal="center" vertical="center"/>
    </xf>
    <xf numFmtId="0" fontId="9" fillId="24" borderId="42" xfId="59" applyFont="1" applyFill="1" applyBorder="1" applyAlignment="1">
      <alignment horizontal="center" vertical="center"/>
    </xf>
    <xf numFmtId="0" fontId="9" fillId="24" borderId="42" xfId="59" applyFont="1" applyFill="1" applyBorder="1" applyAlignment="1">
      <alignment horizontal="center" vertical="center" wrapText="1"/>
    </xf>
    <xf numFmtId="0" fontId="9" fillId="24" borderId="45" xfId="59" applyFont="1" applyFill="1" applyBorder="1" applyAlignment="1">
      <alignment horizontal="center" vertical="center" wrapText="1"/>
    </xf>
    <xf numFmtId="0" fontId="6" fillId="0" borderId="0" xfId="59" applyFont="1"/>
    <xf numFmtId="0" fontId="2" fillId="0" borderId="12" xfId="59" applyBorder="1" applyAlignment="1">
      <alignment horizontal="center" vertical="center"/>
    </xf>
    <xf numFmtId="0" fontId="2" fillId="0" borderId="13" xfId="59" applyBorder="1" applyAlignment="1">
      <alignment horizontal="center"/>
    </xf>
    <xf numFmtId="0" fontId="2" fillId="0" borderId="0" xfId="59" applyAlignment="1">
      <alignment horizontal="center" vertical="center"/>
    </xf>
    <xf numFmtId="0" fontId="2" fillId="0" borderId="0" xfId="59" applyAlignment="1">
      <alignment wrapText="1"/>
    </xf>
    <xf numFmtId="0" fontId="2" fillId="0" borderId="30" xfId="59" applyBorder="1"/>
    <xf numFmtId="0" fontId="41" fillId="0" borderId="0" xfId="59" applyFont="1" applyAlignment="1">
      <alignment horizontal="center"/>
    </xf>
    <xf numFmtId="2" fontId="2" fillId="0" borderId="0" xfId="46" applyNumberFormat="1" applyAlignment="1">
      <alignment horizontal="center"/>
    </xf>
    <xf numFmtId="169" fontId="0" fillId="0" borderId="0" xfId="46" applyNumberFormat="1" applyFont="1"/>
    <xf numFmtId="169" fontId="31" fillId="0" borderId="0" xfId="46" applyNumberFormat="1" applyFont="1" applyAlignment="1">
      <alignment horizontal="center"/>
    </xf>
    <xf numFmtId="0" fontId="2" fillId="30" borderId="0" xfId="59" applyFill="1" applyAlignment="1">
      <alignment vertical="center"/>
    </xf>
    <xf numFmtId="0" fontId="31" fillId="0" borderId="0" xfId="59" applyFont="1" applyAlignment="1">
      <alignment textRotation="180"/>
    </xf>
    <xf numFmtId="49" fontId="31" fillId="0" borderId="0" xfId="59" applyNumberFormat="1" applyFont="1" applyAlignment="1">
      <alignment horizontal="right"/>
    </xf>
    <xf numFmtId="0" fontId="3" fillId="0" borderId="0" xfId="59" applyFont="1"/>
    <xf numFmtId="2" fontId="3" fillId="0" borderId="13" xfId="59" applyNumberFormat="1" applyFont="1" applyBorder="1"/>
    <xf numFmtId="0" fontId="17" fillId="0" borderId="58" xfId="0" applyFont="1" applyBorder="1" applyAlignment="1">
      <alignment horizontal="center" vertical="center"/>
    </xf>
    <xf numFmtId="0" fontId="2" fillId="0" borderId="42" xfId="0" applyFont="1" applyBorder="1" applyAlignment="1">
      <alignment vertical="center"/>
    </xf>
    <xf numFmtId="2" fontId="31" fillId="0" borderId="42" xfId="0" applyNumberFormat="1" applyFont="1" applyBorder="1" applyAlignment="1">
      <alignment horizontal="center" vertical="center"/>
    </xf>
    <xf numFmtId="1" fontId="31" fillId="0" borderId="42" xfId="0" applyNumberFormat="1" applyFont="1" applyBorder="1" applyAlignment="1">
      <alignment horizontal="center" vertical="center"/>
    </xf>
    <xf numFmtId="0" fontId="2" fillId="0" borderId="42" xfId="0" applyFont="1" applyBorder="1" applyAlignment="1">
      <alignment horizontal="center" vertical="center"/>
    </xf>
    <xf numFmtId="0" fontId="2" fillId="0" borderId="41" xfId="0" applyFont="1" applyBorder="1" applyAlignment="1">
      <alignment vertical="center"/>
    </xf>
    <xf numFmtId="170" fontId="2" fillId="0" borderId="49" xfId="0" applyNumberFormat="1" applyFont="1" applyBorder="1" applyAlignment="1">
      <alignment horizontal="center"/>
    </xf>
    <xf numFmtId="177" fontId="8" fillId="0" borderId="35" xfId="0" applyNumberFormat="1" applyFont="1" applyBorder="1" applyAlignment="1">
      <alignment horizontal="center" vertical="center" wrapText="1"/>
    </xf>
    <xf numFmtId="178" fontId="8" fillId="0" borderId="13" xfId="0" applyNumberFormat="1" applyFont="1" applyBorder="1" applyAlignment="1">
      <alignment horizontal="center" vertical="center" wrapText="1"/>
    </xf>
    <xf numFmtId="0" fontId="2" fillId="0" borderId="51" xfId="0" applyFont="1" applyBorder="1" applyAlignment="1">
      <alignment horizontal="center" vertical="center" wrapText="1"/>
    </xf>
    <xf numFmtId="0" fontId="2" fillId="0" borderId="13" xfId="0" applyFont="1" applyBorder="1" applyAlignment="1">
      <alignment horizontal="left" vertical="center"/>
    </xf>
    <xf numFmtId="0" fontId="2" fillId="0" borderId="44" xfId="0" applyFont="1" applyBorder="1" applyAlignment="1">
      <alignment horizontal="center" vertical="center" wrapText="1"/>
    </xf>
    <xf numFmtId="3" fontId="2" fillId="0" borderId="13" xfId="0" applyNumberFormat="1" applyFont="1" applyBorder="1"/>
    <xf numFmtId="0" fontId="26" fillId="0" borderId="84" xfId="68" applyFont="1" applyBorder="1" applyAlignment="1">
      <alignment horizontal="left" vertical="center"/>
    </xf>
    <xf numFmtId="0" fontId="26" fillId="0" borderId="67" xfId="68" applyFont="1" applyBorder="1" applyAlignment="1">
      <alignment horizontal="left" vertical="center"/>
    </xf>
    <xf numFmtId="0" fontId="26" fillId="0" borderId="53" xfId="68" applyFont="1" applyBorder="1" applyAlignment="1">
      <alignment horizontal="left" vertical="center"/>
    </xf>
    <xf numFmtId="0" fontId="0" fillId="0" borderId="46" xfId="0" applyBorder="1" applyAlignment="1">
      <alignment horizontal="center" vertical="center"/>
    </xf>
    <xf numFmtId="0" fontId="2" fillId="0" borderId="74" xfId="59" applyBorder="1"/>
    <xf numFmtId="0" fontId="0" fillId="0" borderId="29" xfId="0" applyBorder="1" applyAlignment="1">
      <alignment horizontal="left" vertical="center"/>
    </xf>
    <xf numFmtId="17" fontId="0" fillId="0" borderId="0" xfId="0" applyNumberFormat="1"/>
    <xf numFmtId="169" fontId="2" fillId="0" borderId="13" xfId="46" applyNumberFormat="1" applyBorder="1" applyAlignment="1">
      <alignment horizontal="center" vertical="center" wrapText="1"/>
    </xf>
    <xf numFmtId="177" fontId="8" fillId="0" borderId="13" xfId="0" applyNumberFormat="1" applyFont="1" applyBorder="1" applyAlignment="1">
      <alignment horizontal="center" vertical="center" wrapText="1"/>
    </xf>
    <xf numFmtId="17" fontId="3" fillId="0" borderId="0" xfId="0" applyNumberFormat="1" applyFont="1"/>
    <xf numFmtId="0" fontId="3" fillId="0" borderId="0" xfId="0" applyFont="1"/>
    <xf numFmtId="0" fontId="5" fillId="0" borderId="24" xfId="68" applyFont="1" applyBorder="1" applyAlignment="1">
      <alignment horizontal="center" vertical="center"/>
    </xf>
    <xf numFmtId="0" fontId="5" fillId="0" borderId="24" xfId="68" applyFont="1" applyBorder="1" applyAlignment="1">
      <alignment horizontal="center"/>
    </xf>
    <xf numFmtId="170" fontId="0" fillId="0" borderId="0" xfId="0" applyNumberFormat="1"/>
    <xf numFmtId="170" fontId="0" fillId="0" borderId="0" xfId="0" applyNumberFormat="1" applyAlignment="1">
      <alignment horizontal="center" vertical="center"/>
    </xf>
    <xf numFmtId="0" fontId="5" fillId="0" borderId="27" xfId="68" applyFont="1" applyBorder="1" applyAlignment="1">
      <alignment horizontal="center" vertical="center"/>
    </xf>
    <xf numFmtId="0" fontId="41" fillId="34" borderId="17" xfId="68" applyFont="1" applyFill="1" applyBorder="1"/>
    <xf numFmtId="176" fontId="2" fillId="0" borderId="0" xfId="59" applyNumberFormat="1"/>
    <xf numFmtId="2" fontId="2" fillId="0" borderId="13" xfId="0" applyNumberFormat="1" applyFont="1" applyBorder="1" applyAlignment="1">
      <alignment horizontal="center"/>
    </xf>
    <xf numFmtId="169" fontId="2" fillId="0" borderId="13" xfId="46" applyNumberFormat="1" applyBorder="1"/>
    <xf numFmtId="0" fontId="0" fillId="0" borderId="13" xfId="0" applyBorder="1" applyAlignment="1">
      <alignment horizontal="center" vertical="center" wrapText="1"/>
    </xf>
    <xf numFmtId="0" fontId="41" fillId="35" borderId="0" xfId="70" applyFont="1" applyFill="1"/>
    <xf numFmtId="0" fontId="2" fillId="35" borderId="49" xfId="0" applyFont="1" applyFill="1" applyBorder="1" applyAlignment="1">
      <alignment horizontal="center"/>
    </xf>
    <xf numFmtId="0" fontId="2" fillId="0" borderId="73" xfId="0" applyFont="1" applyBorder="1" applyAlignment="1">
      <alignment horizontal="center" vertical="center"/>
    </xf>
    <xf numFmtId="0" fontId="41" fillId="36" borderId="10" xfId="70" applyFont="1" applyFill="1" applyBorder="1"/>
    <xf numFmtId="0" fontId="32" fillId="0" borderId="13" xfId="0" applyFont="1" applyBorder="1" applyAlignment="1">
      <alignment horizontal="center"/>
    </xf>
    <xf numFmtId="0" fontId="2" fillId="0" borderId="0" xfId="0" applyFont="1" applyAlignment="1">
      <alignment horizontal="center" vertical="center"/>
    </xf>
    <xf numFmtId="0" fontId="1" fillId="0" borderId="0" xfId="0" applyFont="1" applyAlignment="1">
      <alignment vertical="top" wrapText="1"/>
    </xf>
    <xf numFmtId="0" fontId="0" fillId="0" borderId="0" xfId="0" applyAlignment="1">
      <alignment vertical="top" wrapText="1"/>
    </xf>
    <xf numFmtId="0" fontId="0" fillId="0" borderId="85" xfId="0" applyBorder="1" applyAlignment="1">
      <alignment vertical="top" wrapText="1"/>
    </xf>
    <xf numFmtId="0" fontId="0" fillId="0" borderId="86" xfId="0" applyBorder="1" applyAlignment="1">
      <alignment vertical="top" wrapText="1"/>
    </xf>
    <xf numFmtId="0" fontId="0" fillId="0" borderId="87" xfId="0" applyBorder="1" applyAlignment="1">
      <alignment vertical="top" wrapText="1"/>
    </xf>
    <xf numFmtId="0" fontId="0" fillId="0" borderId="88" xfId="0" applyBorder="1" applyAlignment="1">
      <alignment vertical="top" wrapText="1"/>
    </xf>
    <xf numFmtId="0" fontId="0" fillId="0" borderId="89" xfId="0" applyBorder="1" applyAlignment="1">
      <alignment vertical="top" wrapText="1"/>
    </xf>
    <xf numFmtId="0" fontId="0" fillId="0" borderId="90" xfId="0" applyBorder="1" applyAlignment="1">
      <alignment vertical="top" wrapText="1"/>
    </xf>
    <xf numFmtId="0" fontId="0" fillId="0" borderId="91" xfId="0" applyBorder="1" applyAlignment="1">
      <alignment vertical="top" wrapText="1"/>
    </xf>
    <xf numFmtId="0" fontId="1" fillId="0" borderId="0" xfId="0" applyFont="1" applyAlignment="1">
      <alignment horizontal="center" vertical="top" wrapText="1"/>
    </xf>
    <xf numFmtId="0" fontId="0" fillId="0" borderId="0" xfId="0" applyAlignment="1">
      <alignment horizontal="center" vertical="top" wrapText="1"/>
    </xf>
    <xf numFmtId="0" fontId="0" fillId="0" borderId="86" xfId="0" applyBorder="1" applyAlignment="1">
      <alignment horizontal="center" vertical="top" wrapText="1"/>
    </xf>
    <xf numFmtId="0" fontId="0" fillId="0" borderId="92" xfId="0" applyBorder="1" applyAlignment="1">
      <alignment horizontal="center" vertical="top" wrapText="1"/>
    </xf>
    <xf numFmtId="0" fontId="90" fillId="0" borderId="0" xfId="41" quotePrefix="1" applyAlignment="1" applyProtection="1">
      <alignment horizontal="center" vertical="top" wrapText="1"/>
    </xf>
    <xf numFmtId="0" fontId="0" fillId="0" borderId="93" xfId="0" applyBorder="1" applyAlignment="1">
      <alignment horizontal="center" vertical="top" wrapText="1"/>
    </xf>
    <xf numFmtId="0" fontId="0" fillId="0" borderId="89" xfId="0" applyBorder="1" applyAlignment="1">
      <alignment horizontal="center" vertical="top" wrapText="1"/>
    </xf>
    <xf numFmtId="0" fontId="90" fillId="0" borderId="89" xfId="41" quotePrefix="1" applyBorder="1" applyAlignment="1" applyProtection="1">
      <alignment horizontal="center" vertical="top" wrapText="1"/>
    </xf>
    <xf numFmtId="0" fontId="0" fillId="0" borderId="94" xfId="0" applyBorder="1" applyAlignment="1">
      <alignment horizontal="center" vertical="top" wrapText="1"/>
    </xf>
    <xf numFmtId="0" fontId="0" fillId="0" borderId="91" xfId="0" applyBorder="1" applyAlignment="1">
      <alignment horizontal="center" vertical="top" wrapText="1"/>
    </xf>
    <xf numFmtId="0" fontId="0" fillId="0" borderId="95" xfId="0" applyBorder="1" applyAlignment="1">
      <alignment horizontal="center" vertical="top" wrapText="1"/>
    </xf>
    <xf numFmtId="0" fontId="3" fillId="0" borderId="13" xfId="59" applyFont="1" applyBorder="1" applyAlignment="1">
      <alignment horizontal="justify" vertical="center"/>
    </xf>
    <xf numFmtId="0" fontId="2" fillId="35" borderId="13" xfId="59" applyFill="1" applyBorder="1" applyAlignment="1">
      <alignment vertical="center" wrapText="1"/>
    </xf>
    <xf numFmtId="0" fontId="3" fillId="35" borderId="13" xfId="59" applyFont="1" applyFill="1" applyBorder="1" applyAlignment="1">
      <alignment horizontal="justify"/>
    </xf>
    <xf numFmtId="0" fontId="2" fillId="35" borderId="13" xfId="59" applyFill="1" applyBorder="1"/>
    <xf numFmtId="0" fontId="21" fillId="0" borderId="13" xfId="59" applyFont="1" applyBorder="1" applyAlignment="1">
      <alignment vertical="center" wrapText="1"/>
    </xf>
    <xf numFmtId="0" fontId="2" fillId="0" borderId="13" xfId="59" applyBorder="1" applyAlignment="1">
      <alignment vertical="center" wrapText="1"/>
    </xf>
    <xf numFmtId="0" fontId="102" fillId="0" borderId="0" xfId="0" applyFont="1"/>
    <xf numFmtId="4" fontId="102" fillId="0" borderId="0" xfId="0" applyNumberFormat="1" applyFont="1"/>
    <xf numFmtId="3" fontId="102" fillId="0" borderId="0" xfId="0" applyNumberFormat="1" applyFont="1"/>
    <xf numFmtId="2" fontId="102" fillId="0" borderId="0" xfId="0" applyNumberFormat="1" applyFont="1"/>
    <xf numFmtId="17" fontId="102" fillId="0" borderId="0" xfId="0" applyNumberFormat="1" applyFont="1"/>
    <xf numFmtId="0" fontId="0" fillId="0" borderId="51" xfId="0" applyBorder="1" applyAlignment="1">
      <alignment horizontal="center" vertical="center" wrapText="1"/>
    </xf>
    <xf numFmtId="0" fontId="2" fillId="0" borderId="0" xfId="0" applyFont="1" applyAlignment="1">
      <alignment horizontal="center" vertical="center" wrapText="1"/>
    </xf>
    <xf numFmtId="0" fontId="41" fillId="41" borderId="0" xfId="71" applyFont="1" applyFill="1"/>
    <xf numFmtId="0" fontId="41" fillId="41" borderId="0" xfId="70" applyFont="1" applyFill="1"/>
    <xf numFmtId="0" fontId="93" fillId="41" borderId="0" xfId="70" applyFont="1" applyFill="1"/>
    <xf numFmtId="0" fontId="41" fillId="41" borderId="14" xfId="70" applyFont="1" applyFill="1" applyBorder="1"/>
    <xf numFmtId="184" fontId="0" fillId="0" borderId="13" xfId="46" applyNumberFormat="1" applyFont="1" applyBorder="1"/>
    <xf numFmtId="184" fontId="2" fillId="0" borderId="13" xfId="46" applyNumberFormat="1" applyBorder="1"/>
    <xf numFmtId="184" fontId="31" fillId="42" borderId="13" xfId="46" applyNumberFormat="1" applyFont="1" applyFill="1" applyBorder="1"/>
    <xf numFmtId="0" fontId="93" fillId="34" borderId="0" xfId="70" applyFont="1" applyFill="1"/>
    <xf numFmtId="0" fontId="93" fillId="34" borderId="14" xfId="70" applyFont="1" applyFill="1" applyBorder="1"/>
    <xf numFmtId="0" fontId="31" fillId="0" borderId="0" xfId="59" applyFont="1" applyAlignment="1">
      <alignment horizontal="right"/>
    </xf>
    <xf numFmtId="0" fontId="3" fillId="0" borderId="0" xfId="59" applyFont="1" applyAlignment="1">
      <alignment vertical="center" wrapText="1"/>
    </xf>
    <xf numFmtId="0" fontId="3" fillId="0" borderId="27" xfId="59" applyFont="1" applyBorder="1" applyAlignment="1">
      <alignment vertical="center" wrapText="1"/>
    </xf>
    <xf numFmtId="0" fontId="3" fillId="0" borderId="0" xfId="69" applyFont="1" applyAlignment="1">
      <alignment vertical="center"/>
    </xf>
    <xf numFmtId="0" fontId="2" fillId="0" borderId="13" xfId="0" applyFont="1" applyBorder="1" applyAlignment="1">
      <alignment vertical="center" wrapText="1"/>
    </xf>
    <xf numFmtId="0" fontId="94" fillId="36" borderId="0" xfId="71" applyFont="1" applyFill="1"/>
    <xf numFmtId="0" fontId="41" fillId="35" borderId="14" xfId="70" applyFont="1" applyFill="1" applyBorder="1"/>
    <xf numFmtId="0" fontId="93" fillId="36" borderId="0" xfId="70" applyFont="1" applyFill="1"/>
    <xf numFmtId="0" fontId="0" fillId="0" borderId="12" xfId="0" applyBorder="1" applyAlignment="1">
      <alignment horizontal="center" vertical="center" wrapText="1"/>
    </xf>
    <xf numFmtId="0" fontId="39" fillId="24" borderId="37" xfId="0" applyFont="1" applyFill="1" applyBorder="1" applyAlignment="1">
      <alignment horizontal="center" vertical="center"/>
    </xf>
    <xf numFmtId="0" fontId="9" fillId="24" borderId="69" xfId="0" applyFont="1" applyFill="1" applyBorder="1" applyAlignment="1">
      <alignment horizontal="center" vertical="center" wrapText="1"/>
    </xf>
    <xf numFmtId="0" fontId="87" fillId="0" borderId="10" xfId="0" applyFont="1" applyBorder="1"/>
    <xf numFmtId="0" fontId="32" fillId="0" borderId="10" xfId="59" applyFont="1" applyBorder="1" applyAlignment="1">
      <alignment horizontal="right"/>
    </xf>
    <xf numFmtId="17" fontId="3" fillId="0" borderId="10" xfId="0" applyNumberFormat="1" applyFont="1" applyBorder="1" applyAlignment="1">
      <alignment horizontal="center"/>
    </xf>
    <xf numFmtId="168" fontId="2" fillId="0" borderId="13" xfId="51" applyBorder="1" applyAlignment="1">
      <alignment horizontal="center" vertical="center" wrapText="1"/>
    </xf>
    <xf numFmtId="0" fontId="41" fillId="40" borderId="0" xfId="70" applyFont="1" applyFill="1"/>
    <xf numFmtId="14" fontId="8" fillId="0" borderId="13" xfId="0" applyNumberFormat="1" applyFont="1" applyBorder="1" applyAlignment="1">
      <alignment horizontal="center" vertical="center" wrapText="1"/>
    </xf>
    <xf numFmtId="186" fontId="2" fillId="0" borderId="13" xfId="0" applyNumberFormat="1" applyFont="1" applyBorder="1" applyAlignment="1">
      <alignment horizontal="center" vertical="center"/>
    </xf>
    <xf numFmtId="0" fontId="53" fillId="0" borderId="0" xfId="0" applyFont="1" applyAlignment="1">
      <alignment horizontal="centerContinuous" vertical="center"/>
    </xf>
    <xf numFmtId="1" fontId="2" fillId="0" borderId="0" xfId="0" applyNumberFormat="1" applyFont="1"/>
    <xf numFmtId="1" fontId="0" fillId="0" borderId="27" xfId="0" applyNumberFormat="1" applyBorder="1"/>
    <xf numFmtId="0" fontId="1" fillId="0" borderId="0" xfId="59" applyFont="1" applyAlignment="1">
      <alignment horizontal="left"/>
    </xf>
    <xf numFmtId="170" fontId="0" fillId="0" borderId="0" xfId="0" applyNumberFormat="1" applyAlignment="1">
      <alignment horizontal="center"/>
    </xf>
    <xf numFmtId="0" fontId="0" fillId="0" borderId="0" xfId="0"/>
    <xf numFmtId="0" fontId="2" fillId="0" borderId="0" xfId="59" applyAlignment="1">
      <alignment horizontal="center"/>
    </xf>
    <xf numFmtId="0" fontId="7" fillId="0" borderId="0" xfId="0" applyFont="1" applyAlignment="1"/>
    <xf numFmtId="0" fontId="0" fillId="34" borderId="0" xfId="0" applyFill="1"/>
    <xf numFmtId="49" fontId="9" fillId="0" borderId="13" xfId="59" applyNumberFormat="1" applyFont="1" applyBorder="1" applyAlignment="1">
      <alignment horizontal="center" vertical="center" wrapText="1"/>
    </xf>
    <xf numFmtId="0" fontId="31" fillId="0" borderId="13" xfId="59" applyFont="1" applyBorder="1" applyAlignment="1">
      <alignment horizontal="center" vertical="center" wrapText="1"/>
    </xf>
    <xf numFmtId="14" fontId="2" fillId="0" borderId="13" xfId="0" applyNumberFormat="1" applyFont="1" applyBorder="1" applyAlignment="1">
      <alignment horizontal="center" vertical="center"/>
    </xf>
    <xf numFmtId="0" fontId="31" fillId="0" borderId="13" xfId="59" applyFont="1" applyBorder="1" applyAlignment="1">
      <alignment horizontal="center"/>
    </xf>
    <xf numFmtId="0" fontId="0" fillId="0" borderId="80" xfId="0" applyBorder="1" applyAlignment="1">
      <alignment horizontal="center" vertical="center" wrapText="1"/>
    </xf>
    <xf numFmtId="0" fontId="0" fillId="0" borderId="63" xfId="0" applyBorder="1" applyAlignment="1">
      <alignment horizontal="center" vertical="center" wrapText="1"/>
    </xf>
    <xf numFmtId="0" fontId="0" fillId="0" borderId="29" xfId="0" applyBorder="1" applyAlignment="1">
      <alignment horizontal="center" vertical="center" wrapText="1"/>
    </xf>
    <xf numFmtId="0" fontId="0" fillId="0" borderId="11" xfId="0" applyBorder="1" applyAlignment="1">
      <alignment horizontal="center" vertical="center" wrapText="1"/>
    </xf>
    <xf numFmtId="0" fontId="0" fillId="0" borderId="81" xfId="0" applyBorder="1" applyAlignment="1">
      <alignment horizontal="center" vertical="center" wrapText="1"/>
    </xf>
    <xf numFmtId="0" fontId="0" fillId="0" borderId="14" xfId="0" applyBorder="1" applyAlignment="1">
      <alignment horizontal="center" vertical="center" wrapText="1"/>
    </xf>
    <xf numFmtId="0" fontId="0" fillId="0" borderId="78" xfId="0" applyBorder="1" applyAlignment="1">
      <alignment horizontal="center" vertical="center" wrapText="1"/>
    </xf>
    <xf numFmtId="0" fontId="0" fillId="0" borderId="36" xfId="0" applyBorder="1" applyAlignment="1">
      <alignment horizontal="center" vertical="center" wrapText="1"/>
    </xf>
    <xf numFmtId="0" fontId="41" fillId="33" borderId="0" xfId="70" applyFont="1" applyFill="1" applyBorder="1"/>
    <xf numFmtId="0" fontId="41" fillId="41" borderId="0" xfId="70" applyFont="1" applyFill="1" applyBorder="1"/>
    <xf numFmtId="0" fontId="2" fillId="0" borderId="0" xfId="59" applyFill="1"/>
    <xf numFmtId="49" fontId="3" fillId="0" borderId="57" xfId="0" applyNumberFormat="1" applyFont="1" applyFill="1" applyBorder="1" applyAlignment="1">
      <alignment horizontal="center"/>
    </xf>
    <xf numFmtId="2" fontId="3" fillId="0" borderId="29" xfId="0" applyNumberFormat="1" applyFont="1" applyFill="1" applyBorder="1" applyAlignment="1">
      <alignment horizontal="center"/>
    </xf>
    <xf numFmtId="0" fontId="3" fillId="0" borderId="35" xfId="0" applyFont="1" applyFill="1" applyBorder="1" applyAlignment="1">
      <alignment horizontal="center"/>
    </xf>
    <xf numFmtId="0" fontId="3" fillId="0" borderId="13" xfId="0" applyFont="1" applyFill="1" applyBorder="1" applyAlignment="1">
      <alignment horizontal="center"/>
    </xf>
    <xf numFmtId="0" fontId="3" fillId="0" borderId="22" xfId="0" applyFont="1" applyFill="1" applyBorder="1" applyAlignment="1">
      <alignment horizontal="center"/>
    </xf>
    <xf numFmtId="0" fontId="3" fillId="0" borderId="29" xfId="0" applyFont="1" applyFill="1" applyBorder="1" applyAlignment="1">
      <alignment horizontal="center"/>
    </xf>
    <xf numFmtId="49" fontId="3" fillId="0" borderId="82" xfId="0" applyNumberFormat="1" applyFont="1" applyFill="1" applyBorder="1" applyAlignment="1">
      <alignment horizontal="center"/>
    </xf>
    <xf numFmtId="2" fontId="3" fillId="0" borderId="36" xfId="0" applyNumberFormat="1" applyFont="1" applyFill="1" applyBorder="1" applyAlignment="1">
      <alignment horizontal="center"/>
    </xf>
    <xf numFmtId="0" fontId="3" fillId="0" borderId="46" xfId="0" applyFont="1" applyFill="1" applyBorder="1" applyAlignment="1">
      <alignment horizontal="center"/>
    </xf>
    <xf numFmtId="0" fontId="3" fillId="0" borderId="44" xfId="0" applyFont="1" applyFill="1" applyBorder="1" applyAlignment="1">
      <alignment horizontal="center"/>
    </xf>
    <xf numFmtId="0" fontId="3" fillId="0" borderId="65" xfId="0" applyFont="1" applyFill="1" applyBorder="1" applyAlignment="1">
      <alignment horizontal="center"/>
    </xf>
    <xf numFmtId="0" fontId="3" fillId="0" borderId="36" xfId="0" applyFont="1" applyFill="1" applyBorder="1" applyAlignment="1">
      <alignment horizontal="center"/>
    </xf>
    <xf numFmtId="0" fontId="32" fillId="0" borderId="53" xfId="0" applyFont="1" applyFill="1" applyBorder="1" applyAlignment="1">
      <alignment horizontal="center"/>
    </xf>
    <xf numFmtId="0" fontId="32" fillId="0" borderId="54" xfId="0" applyFont="1" applyFill="1" applyBorder="1" applyAlignment="1">
      <alignment horizontal="center"/>
    </xf>
    <xf numFmtId="0" fontId="32" fillId="0" borderId="79" xfId="0" applyFont="1" applyFill="1" applyBorder="1" applyAlignment="1">
      <alignment horizontal="center"/>
    </xf>
    <xf numFmtId="0" fontId="32" fillId="0" borderId="74" xfId="0" applyFont="1" applyFill="1" applyBorder="1" applyAlignment="1">
      <alignment horizontal="center"/>
    </xf>
    <xf numFmtId="0" fontId="32" fillId="0" borderId="73" xfId="0" applyFont="1" applyFill="1" applyBorder="1" applyAlignment="1">
      <alignment horizontal="center"/>
    </xf>
    <xf numFmtId="0" fontId="2" fillId="0" borderId="22" xfId="0" applyFont="1" applyBorder="1" applyAlignment="1">
      <alignment horizontal="center" vertical="center" wrapText="1"/>
    </xf>
    <xf numFmtId="0" fontId="0" fillId="0" borderId="0" xfId="0"/>
    <xf numFmtId="0" fontId="2" fillId="0" borderId="0" xfId="0" applyFont="1" applyAlignment="1">
      <alignment horizontal="center"/>
    </xf>
    <xf numFmtId="184" fontId="2" fillId="0" borderId="13" xfId="46" applyNumberFormat="1" applyFont="1" applyBorder="1"/>
    <xf numFmtId="184" fontId="2" fillId="0" borderId="13" xfId="46" applyNumberFormat="1" applyFont="1" applyBorder="1" applyAlignment="1">
      <alignment vertical="center"/>
    </xf>
    <xf numFmtId="2" fontId="2" fillId="0" borderId="13" xfId="46" applyNumberFormat="1" applyFont="1" applyBorder="1" applyAlignment="1">
      <alignment horizontal="center"/>
    </xf>
    <xf numFmtId="184" fontId="1" fillId="42" borderId="13" xfId="46" applyNumberFormat="1" applyFont="1" applyFill="1" applyBorder="1"/>
    <xf numFmtId="165" fontId="2" fillId="0" borderId="0" xfId="46" applyFont="1"/>
    <xf numFmtId="184" fontId="2" fillId="0" borderId="13" xfId="46" applyNumberFormat="1" applyFont="1" applyBorder="1" applyAlignment="1">
      <alignment horizontal="center" vertical="center" wrapText="1"/>
    </xf>
    <xf numFmtId="2" fontId="2" fillId="0" borderId="13" xfId="46" applyNumberFormat="1" applyFont="1" applyBorder="1" applyAlignment="1">
      <alignment horizontal="center" vertical="center"/>
    </xf>
    <xf numFmtId="0" fontId="1" fillId="0" borderId="0" xfId="46" applyNumberFormat="1" applyFont="1" applyAlignment="1">
      <alignment horizontal="left"/>
    </xf>
    <xf numFmtId="0" fontId="2" fillId="0" borderId="13" xfId="0" applyFont="1" applyBorder="1" applyAlignment="1">
      <alignment horizontal="centerContinuous" vertical="center"/>
    </xf>
    <xf numFmtId="4" fontId="2" fillId="0" borderId="13" xfId="0" applyNumberFormat="1" applyFont="1" applyBorder="1" applyAlignment="1">
      <alignment vertical="center"/>
    </xf>
    <xf numFmtId="184" fontId="2" fillId="0" borderId="13" xfId="0" applyNumberFormat="1" applyFont="1" applyBorder="1" applyAlignment="1">
      <alignment horizontal="right" vertical="center"/>
    </xf>
    <xf numFmtId="184" fontId="2" fillId="0" borderId="29" xfId="50" applyNumberFormat="1" applyFont="1" applyBorder="1" applyAlignment="1">
      <alignment vertical="center"/>
    </xf>
    <xf numFmtId="4" fontId="2" fillId="0" borderId="13" xfId="0" applyNumberFormat="1" applyFont="1" applyBorder="1" applyAlignment="1">
      <alignment horizontal="right" vertical="center"/>
    </xf>
    <xf numFmtId="0" fontId="103" fillId="0" borderId="0" xfId="0" applyFont="1" applyAlignment="1">
      <alignment horizontal="center" vertical="center"/>
    </xf>
    <xf numFmtId="1" fontId="2" fillId="0" borderId="13" xfId="67" applyNumberFormat="1" applyFont="1" applyFill="1" applyBorder="1" applyAlignment="1">
      <alignment horizontal="center" vertical="center" wrapText="1"/>
    </xf>
    <xf numFmtId="0" fontId="0" fillId="0" borderId="0" xfId="0" applyAlignment="1">
      <alignment horizontal="center"/>
    </xf>
    <xf numFmtId="0" fontId="2" fillId="0" borderId="22" xfId="0" applyFont="1" applyBorder="1" applyAlignment="1">
      <alignment horizontal="center" vertical="center" wrapText="1"/>
    </xf>
    <xf numFmtId="0" fontId="0" fillId="0" borderId="26" xfId="0" applyBorder="1" applyAlignment="1">
      <alignment horizontal="left" vertical="top" wrapText="1"/>
    </xf>
    <xf numFmtId="0" fontId="0" fillId="0" borderId="0" xfId="0" applyBorder="1" applyAlignment="1">
      <alignment wrapText="1"/>
    </xf>
    <xf numFmtId="0" fontId="2" fillId="0" borderId="0" xfId="0" applyFont="1" applyBorder="1" applyAlignment="1">
      <alignment wrapText="1"/>
    </xf>
    <xf numFmtId="0" fontId="0" fillId="0" borderId="0" xfId="0" applyBorder="1" applyAlignment="1">
      <alignment horizontal="left" wrapText="1"/>
    </xf>
    <xf numFmtId="0" fontId="0" fillId="0" borderId="26" xfId="0" applyBorder="1" applyAlignment="1">
      <alignment horizontal="left" wrapText="1"/>
    </xf>
    <xf numFmtId="0" fontId="0" fillId="0" borderId="0" xfId="0" applyBorder="1" applyAlignment="1">
      <alignment horizontal="left" vertical="top" wrapText="1"/>
    </xf>
    <xf numFmtId="0" fontId="41" fillId="34" borderId="0" xfId="71" applyFont="1" applyFill="1" applyBorder="1"/>
    <xf numFmtId="0" fontId="41" fillId="33" borderId="0" xfId="71" applyFont="1" applyFill="1" applyBorder="1"/>
    <xf numFmtId="0" fontId="41" fillId="41" borderId="0" xfId="71" applyFont="1" applyFill="1" applyBorder="1"/>
    <xf numFmtId="0" fontId="0" fillId="0" borderId="0" xfId="0" applyAlignment="1">
      <alignment horizontal="center"/>
    </xf>
    <xf numFmtId="9" fontId="41" fillId="0" borderId="0" xfId="71" applyNumberFormat="1" applyFont="1"/>
    <xf numFmtId="0" fontId="32" fillId="0" borderId="0" xfId="69" applyFont="1" applyAlignment="1">
      <alignment vertical="top"/>
    </xf>
    <xf numFmtId="184" fontId="2" fillId="0" borderId="13" xfId="46" applyNumberFormat="1" applyBorder="1" applyAlignment="1">
      <alignment vertical="center"/>
    </xf>
    <xf numFmtId="2" fontId="2" fillId="0" borderId="13" xfId="46" applyNumberFormat="1" applyBorder="1" applyAlignment="1">
      <alignment horizontal="center" vertical="center"/>
    </xf>
    <xf numFmtId="178" fontId="8" fillId="0" borderId="13" xfId="0" applyNumberFormat="1" applyFont="1" applyBorder="1" applyAlignment="1">
      <alignment horizontal="center" vertical="center" wrapText="1"/>
    </xf>
    <xf numFmtId="0" fontId="21" fillId="0" borderId="13" xfId="0" applyFont="1" applyBorder="1" applyAlignment="1">
      <alignment vertical="center" wrapText="1"/>
    </xf>
    <xf numFmtId="0" fontId="27" fillId="0" borderId="0" xfId="0" applyFont="1" applyFill="1"/>
    <xf numFmtId="0" fontId="0" fillId="0" borderId="0" xfId="0" applyFill="1"/>
    <xf numFmtId="0" fontId="0" fillId="0" borderId="0" xfId="0" applyAlignment="1">
      <alignment horizontal="center"/>
    </xf>
    <xf numFmtId="0" fontId="2" fillId="0" borderId="49" xfId="59" applyBorder="1" applyAlignment="1">
      <alignment horizontal="center" vertical="center" wrapText="1"/>
    </xf>
    <xf numFmtId="0" fontId="2" fillId="0" borderId="0" xfId="0" applyFont="1" applyAlignment="1">
      <alignment horizontal="center" vertical="center" wrapText="1"/>
    </xf>
    <xf numFmtId="0" fontId="2" fillId="0" borderId="0" xfId="0" applyFont="1" applyAlignment="1">
      <alignment horizontal="center"/>
    </xf>
    <xf numFmtId="0" fontId="2" fillId="0" borderId="13" xfId="59" applyBorder="1" applyAlignment="1">
      <alignment horizontal="center" vertical="center" wrapText="1"/>
    </xf>
    <xf numFmtId="0" fontId="0" fillId="0" borderId="0" xfId="0"/>
    <xf numFmtId="0" fontId="21" fillId="0" borderId="13" xfId="0" applyFont="1" applyBorder="1" applyAlignment="1">
      <alignment horizontal="center" vertical="center" wrapText="1"/>
    </xf>
    <xf numFmtId="0" fontId="90" fillId="0" borderId="0" xfId="0" applyFont="1"/>
    <xf numFmtId="0" fontId="2" fillId="0" borderId="0" xfId="41" applyFont="1" applyAlignment="1" applyProtection="1"/>
    <xf numFmtId="170" fontId="2" fillId="0" borderId="0" xfId="59" applyNumberFormat="1" applyFont="1" applyBorder="1" applyAlignment="1">
      <alignment horizontal="center" vertical="center" wrapText="1"/>
    </xf>
    <xf numFmtId="0" fontId="3" fillId="44" borderId="29" xfId="59" applyFont="1" applyFill="1" applyBorder="1" applyAlignment="1">
      <alignment horizontal="center" vertical="center"/>
    </xf>
    <xf numFmtId="0" fontId="108" fillId="0" borderId="0" xfId="59" applyFont="1"/>
    <xf numFmtId="0" fontId="103" fillId="0" borderId="100" xfId="0" applyFont="1" applyBorder="1" applyAlignment="1">
      <alignment horizontal="center" vertical="center" wrapText="1"/>
    </xf>
    <xf numFmtId="0" fontId="103" fillId="0" borderId="100" xfId="0" applyFont="1" applyBorder="1"/>
    <xf numFmtId="0" fontId="103" fillId="0" borderId="100" xfId="0" applyFont="1" applyBorder="1" applyAlignment="1">
      <alignment horizontal="center"/>
    </xf>
    <xf numFmtId="0" fontId="103" fillId="0" borderId="100" xfId="0" applyFont="1" applyBorder="1" applyAlignment="1">
      <alignment horizontal="center" wrapText="1"/>
    </xf>
    <xf numFmtId="0" fontId="103" fillId="0" borderId="100" xfId="0" applyFont="1" applyBorder="1" applyAlignment="1">
      <alignment horizontal="center" vertical="center"/>
    </xf>
    <xf numFmtId="0" fontId="0" fillId="0" borderId="99" xfId="0" applyBorder="1" applyAlignment="1">
      <alignment horizontal="center" vertical="center"/>
    </xf>
    <xf numFmtId="0" fontId="0" fillId="0" borderId="100" xfId="0" applyBorder="1" applyAlignment="1">
      <alignment horizontal="center" vertical="center"/>
    </xf>
    <xf numFmtId="0" fontId="0" fillId="0" borderId="100" xfId="0" applyBorder="1" applyAlignment="1">
      <alignment horizontal="center" vertical="center" wrapText="1"/>
    </xf>
    <xf numFmtId="0" fontId="0" fillId="0" borderId="103" xfId="0" applyBorder="1" applyAlignment="1">
      <alignment horizontal="center" vertical="center"/>
    </xf>
    <xf numFmtId="0" fontId="110" fillId="0" borderId="0" xfId="0" applyFont="1" applyAlignment="1">
      <alignment horizontal="center"/>
    </xf>
    <xf numFmtId="0" fontId="109" fillId="0" borderId="0" xfId="0" applyFont="1" applyAlignment="1">
      <alignment horizontal="center"/>
    </xf>
    <xf numFmtId="0" fontId="103" fillId="0" borderId="0" xfId="0" applyFont="1" applyAlignment="1">
      <alignment horizontal="center"/>
    </xf>
    <xf numFmtId="0" fontId="109" fillId="0" borderId="0" xfId="0" applyFont="1" applyAlignment="1">
      <alignment horizontal="left"/>
    </xf>
    <xf numFmtId="0" fontId="106" fillId="0" borderId="0" xfId="0" applyFont="1" applyAlignment="1">
      <alignment horizontal="center"/>
    </xf>
    <xf numFmtId="0" fontId="110" fillId="0" borderId="104" xfId="0" applyFont="1" applyBorder="1" applyAlignment="1">
      <alignment horizontal="center"/>
    </xf>
    <xf numFmtId="0" fontId="109" fillId="46" borderId="109" xfId="0" applyFont="1" applyFill="1" applyBorder="1" applyAlignment="1">
      <alignment horizontal="center" vertical="center"/>
    </xf>
    <xf numFmtId="0" fontId="109" fillId="46" borderId="110" xfId="0" applyFont="1" applyFill="1" applyBorder="1" applyAlignment="1">
      <alignment horizontal="center" vertical="center"/>
    </xf>
    <xf numFmtId="0" fontId="109" fillId="46" borderId="110" xfId="0" applyFont="1" applyFill="1" applyBorder="1" applyAlignment="1">
      <alignment horizontal="center" vertical="center" wrapText="1"/>
    </xf>
    <xf numFmtId="0" fontId="109" fillId="46" borderId="111" xfId="0" applyFont="1" applyFill="1" applyBorder="1" applyAlignment="1">
      <alignment horizontal="center" vertical="center" wrapText="1"/>
    </xf>
    <xf numFmtId="0" fontId="108" fillId="0" borderId="0" xfId="0" applyFont="1" applyAlignment="1">
      <alignment horizontal="center"/>
    </xf>
    <xf numFmtId="0" fontId="106" fillId="0" borderId="100" xfId="0" applyFont="1" applyBorder="1" applyAlignment="1">
      <alignment horizontal="left"/>
    </xf>
    <xf numFmtId="165" fontId="111" fillId="0" borderId="100" xfId="0" applyNumberFormat="1" applyFont="1" applyBorder="1" applyAlignment="1">
      <alignment horizontal="center" vertical="center" wrapText="1"/>
    </xf>
    <xf numFmtId="0" fontId="105" fillId="0" borderId="100" xfId="0" applyFont="1" applyBorder="1" applyAlignment="1">
      <alignment horizontal="center" vertical="center" wrapText="1"/>
    </xf>
    <xf numFmtId="0" fontId="105" fillId="0" borderId="100" xfId="0" applyFont="1" applyBorder="1" applyAlignment="1">
      <alignment horizontal="center" vertical="center"/>
    </xf>
    <xf numFmtId="0" fontId="103" fillId="0" borderId="100" xfId="0" applyFont="1" applyBorder="1" applyAlignment="1">
      <alignment horizontal="left"/>
    </xf>
    <xf numFmtId="164" fontId="103" fillId="0" borderId="100" xfId="0" applyNumberFormat="1" applyFont="1" applyBorder="1" applyAlignment="1">
      <alignment horizontal="center"/>
    </xf>
    <xf numFmtId="164" fontId="103" fillId="0" borderId="100" xfId="0" applyNumberFormat="1" applyFont="1" applyBorder="1"/>
    <xf numFmtId="0" fontId="103" fillId="0" borderId="100" xfId="0" applyFont="1" applyBorder="1" applyAlignment="1">
      <alignment horizontal="left" wrapText="1"/>
    </xf>
    <xf numFmtId="1" fontId="103" fillId="0" borderId="100" xfId="0" applyNumberFormat="1" applyFont="1" applyBorder="1" applyAlignment="1">
      <alignment horizontal="center" vertical="center"/>
    </xf>
    <xf numFmtId="0" fontId="105" fillId="45" borderId="100" xfId="0" applyFont="1" applyFill="1" applyBorder="1" applyAlignment="1">
      <alignment horizontal="center" vertical="center" wrapText="1"/>
    </xf>
    <xf numFmtId="1" fontId="103" fillId="0" borderId="100" xfId="0" applyNumberFormat="1" applyFont="1" applyBorder="1" applyAlignment="1">
      <alignment horizontal="center"/>
    </xf>
    <xf numFmtId="165" fontId="112" fillId="47" borderId="100" xfId="0" applyNumberFormat="1" applyFont="1" applyFill="1" applyBorder="1" applyAlignment="1">
      <alignment horizontal="center" vertical="center" wrapText="1"/>
    </xf>
    <xf numFmtId="0" fontId="113" fillId="47" borderId="100" xfId="0" applyFont="1" applyFill="1" applyBorder="1" applyAlignment="1">
      <alignment horizontal="center" vertical="center" wrapText="1"/>
    </xf>
    <xf numFmtId="0" fontId="113" fillId="47" borderId="100" xfId="0" applyFont="1" applyFill="1" applyBorder="1" applyAlignment="1">
      <alignment horizontal="center" vertical="center"/>
    </xf>
    <xf numFmtId="0" fontId="105" fillId="0" borderId="100" xfId="0" applyFont="1" applyBorder="1" applyAlignment="1">
      <alignment horizontal="left" vertical="center"/>
    </xf>
    <xf numFmtId="0" fontId="111" fillId="0" borderId="100" xfId="0" applyFont="1" applyBorder="1" applyAlignment="1">
      <alignment horizontal="center"/>
    </xf>
    <xf numFmtId="0" fontId="114" fillId="0" borderId="100" xfId="0" applyFont="1" applyBorder="1" applyAlignment="1">
      <alignment horizontal="center"/>
    </xf>
    <xf numFmtId="164" fontId="114" fillId="0" borderId="100" xfId="0" applyNumberFormat="1" applyFont="1" applyBorder="1"/>
    <xf numFmtId="0" fontId="105" fillId="0" borderId="100" xfId="0" applyFont="1" applyBorder="1" applyAlignment="1">
      <alignment horizontal="right" vertical="center" wrapText="1"/>
    </xf>
    <xf numFmtId="0" fontId="113" fillId="0" borderId="100" xfId="0" applyFont="1" applyBorder="1" applyAlignment="1">
      <alignment vertical="center" wrapText="1"/>
    </xf>
    <xf numFmtId="0" fontId="113" fillId="0" borderId="100" xfId="0" applyFont="1" applyBorder="1" applyAlignment="1">
      <alignment horizontal="right" vertical="center" wrapText="1"/>
    </xf>
    <xf numFmtId="0" fontId="106" fillId="0" borderId="0" xfId="0" applyFont="1" applyAlignment="1">
      <alignment horizontal="left"/>
    </xf>
    <xf numFmtId="0" fontId="103" fillId="48" borderId="100" xfId="0" applyFont="1" applyFill="1" applyBorder="1" applyAlignment="1">
      <alignment horizontal="center" vertical="center"/>
    </xf>
    <xf numFmtId="0" fontId="103" fillId="48" borderId="113" xfId="0" applyFont="1" applyFill="1" applyBorder="1" applyAlignment="1">
      <alignment horizontal="center" vertical="center"/>
    </xf>
    <xf numFmtId="0" fontId="103" fillId="48" borderId="100" xfId="0" applyFont="1" applyFill="1" applyBorder="1" applyAlignment="1">
      <alignment horizontal="center" vertical="center" wrapText="1"/>
    </xf>
    <xf numFmtId="0" fontId="103" fillId="48" borderId="100" xfId="0" applyFont="1" applyFill="1" applyBorder="1" applyAlignment="1">
      <alignment horizontal="center"/>
    </xf>
    <xf numFmtId="2" fontId="103" fillId="48" borderId="100" xfId="0" applyNumberFormat="1" applyFont="1" applyFill="1" applyBorder="1" applyAlignment="1">
      <alignment horizontal="center"/>
    </xf>
    <xf numFmtId="187" fontId="103" fillId="48" borderId="100" xfId="0" applyNumberFormat="1" applyFont="1" applyFill="1" applyBorder="1" applyAlignment="1">
      <alignment horizontal="center"/>
    </xf>
    <xf numFmtId="1" fontId="103" fillId="48" borderId="100" xfId="0" applyNumberFormat="1" applyFont="1" applyFill="1" applyBorder="1" applyAlignment="1">
      <alignment horizontal="center" vertical="center"/>
    </xf>
    <xf numFmtId="187" fontId="103" fillId="48" borderId="100" xfId="0" applyNumberFormat="1" applyFont="1" applyFill="1" applyBorder="1" applyAlignment="1">
      <alignment horizontal="center" vertical="center" wrapText="1"/>
    </xf>
    <xf numFmtId="187" fontId="103" fillId="48" borderId="100" xfId="0" applyNumberFormat="1" applyFont="1" applyFill="1" applyBorder="1" applyAlignment="1">
      <alignment horizontal="center" vertical="center"/>
    </xf>
    <xf numFmtId="187" fontId="106" fillId="47" borderId="100" xfId="0" applyNumberFormat="1" applyFont="1" applyFill="1" applyBorder="1" applyAlignment="1">
      <alignment horizontal="center"/>
    </xf>
    <xf numFmtId="165" fontId="103" fillId="0" borderId="0" xfId="0" applyNumberFormat="1" applyFont="1" applyAlignment="1">
      <alignment horizontal="center"/>
    </xf>
    <xf numFmtId="0" fontId="103" fillId="0" borderId="103" xfId="0" applyFont="1" applyBorder="1" applyAlignment="1">
      <alignment horizontal="center" vertical="center"/>
    </xf>
    <xf numFmtId="0" fontId="103" fillId="0" borderId="115" xfId="0" applyFont="1" applyBorder="1" applyAlignment="1">
      <alignment horizontal="center" vertical="center"/>
    </xf>
    <xf numFmtId="0" fontId="103" fillId="0" borderId="115" xfId="0" applyFont="1" applyBorder="1" applyAlignment="1">
      <alignment horizontal="center"/>
    </xf>
    <xf numFmtId="0" fontId="103" fillId="0" borderId="0" xfId="0" applyFont="1" applyAlignment="1">
      <alignment horizontal="center" wrapText="1"/>
    </xf>
    <xf numFmtId="0" fontId="103" fillId="48" borderId="0" xfId="0" applyFont="1" applyFill="1" applyAlignment="1">
      <alignment horizontal="center" vertical="center"/>
    </xf>
    <xf numFmtId="0" fontId="103" fillId="48" borderId="0" xfId="0" applyFont="1" applyFill="1" applyAlignment="1">
      <alignment horizontal="center"/>
    </xf>
    <xf numFmtId="0" fontId="103" fillId="0" borderId="0" xfId="0" applyFont="1" applyAlignment="1">
      <alignment horizontal="left"/>
    </xf>
    <xf numFmtId="1" fontId="103" fillId="45" borderId="100" xfId="0" applyNumberFormat="1" applyFont="1" applyFill="1" applyBorder="1" applyAlignment="1">
      <alignment horizontal="center" vertical="center"/>
    </xf>
    <xf numFmtId="187" fontId="103" fillId="0" borderId="100" xfId="0" applyNumberFormat="1" applyFont="1" applyBorder="1" applyAlignment="1">
      <alignment horizontal="center" vertical="center" wrapText="1"/>
    </xf>
    <xf numFmtId="2" fontId="103" fillId="0" borderId="100" xfId="0" applyNumberFormat="1" applyFont="1" applyBorder="1" applyAlignment="1">
      <alignment horizontal="center"/>
    </xf>
    <xf numFmtId="169" fontId="103" fillId="0" borderId="100" xfId="0" applyNumberFormat="1" applyFont="1" applyBorder="1" applyAlignment="1">
      <alignment horizontal="center"/>
    </xf>
    <xf numFmtId="169" fontId="103" fillId="48" borderId="100" xfId="0" applyNumberFormat="1" applyFont="1" applyFill="1" applyBorder="1" applyAlignment="1">
      <alignment horizontal="center" vertical="center"/>
    </xf>
    <xf numFmtId="169" fontId="103" fillId="48" borderId="100" xfId="0" applyNumberFormat="1" applyFont="1" applyFill="1" applyBorder="1" applyAlignment="1">
      <alignment horizontal="center"/>
    </xf>
    <xf numFmtId="0" fontId="103" fillId="0" borderId="113" xfId="0" applyFont="1" applyBorder="1" applyAlignment="1">
      <alignment horizontal="center" vertical="center"/>
    </xf>
    <xf numFmtId="165" fontId="103" fillId="0" borderId="100" xfId="0" applyNumberFormat="1" applyFont="1" applyBorder="1" applyAlignment="1">
      <alignment horizontal="center"/>
    </xf>
    <xf numFmtId="0" fontId="103" fillId="48" borderId="100" xfId="0" applyFont="1" applyFill="1" applyBorder="1" applyAlignment="1">
      <alignment horizontal="center" wrapText="1"/>
    </xf>
    <xf numFmtId="188" fontId="103" fillId="0" borderId="0" xfId="0" applyNumberFormat="1" applyFont="1" applyAlignment="1">
      <alignment horizontal="center"/>
    </xf>
    <xf numFmtId="187" fontId="106" fillId="0" borderId="0" xfId="0" applyNumberFormat="1" applyFont="1" applyAlignment="1">
      <alignment horizontal="center"/>
    </xf>
    <xf numFmtId="171" fontId="103" fillId="45" borderId="100" xfId="0" applyNumberFormat="1" applyFont="1" applyFill="1" applyBorder="1" applyAlignment="1">
      <alignment horizontal="center" vertical="center"/>
    </xf>
    <xf numFmtId="4" fontId="103" fillId="0" borderId="100" xfId="0" applyNumberFormat="1" applyFont="1" applyBorder="1" applyAlignment="1">
      <alignment horizontal="center" vertical="center" wrapText="1"/>
    </xf>
    <xf numFmtId="187" fontId="103" fillId="0" borderId="100" xfId="0" applyNumberFormat="1" applyFont="1" applyBorder="1" applyAlignment="1">
      <alignment horizontal="center"/>
    </xf>
    <xf numFmtId="2" fontId="103" fillId="45" borderId="100" xfId="0" applyNumberFormat="1" applyFont="1" applyFill="1" applyBorder="1" applyAlignment="1">
      <alignment horizontal="center" vertical="center"/>
    </xf>
    <xf numFmtId="180" fontId="103" fillId="48" borderId="100" xfId="0" applyNumberFormat="1" applyFont="1" applyFill="1" applyBorder="1" applyAlignment="1">
      <alignment horizontal="center" vertical="center"/>
    </xf>
    <xf numFmtId="171" fontId="105" fillId="48" borderId="100" xfId="0" applyNumberFormat="1" applyFont="1" applyFill="1" applyBorder="1" applyAlignment="1">
      <alignment horizontal="center" vertical="center"/>
    </xf>
    <xf numFmtId="1" fontId="105" fillId="48" borderId="100" xfId="0" applyNumberFormat="1" applyFont="1" applyFill="1" applyBorder="1" applyAlignment="1">
      <alignment horizontal="center" vertical="center"/>
    </xf>
    <xf numFmtId="4" fontId="105" fillId="48" borderId="100" xfId="0" applyNumberFormat="1" applyFont="1" applyFill="1" applyBorder="1" applyAlignment="1">
      <alignment horizontal="center" vertical="center"/>
    </xf>
    <xf numFmtId="2" fontId="105" fillId="48" borderId="100" xfId="0" applyNumberFormat="1" applyFont="1" applyFill="1" applyBorder="1" applyAlignment="1">
      <alignment horizontal="center" vertical="center"/>
    </xf>
    <xf numFmtId="187" fontId="106" fillId="47" borderId="100" xfId="0" applyNumberFormat="1" applyFont="1" applyFill="1" applyBorder="1" applyAlignment="1">
      <alignment horizontal="center" vertical="center"/>
    </xf>
    <xf numFmtId="187" fontId="106" fillId="48" borderId="0" xfId="0" applyNumberFormat="1" applyFont="1" applyFill="1" applyAlignment="1">
      <alignment horizontal="center"/>
    </xf>
    <xf numFmtId="187" fontId="106" fillId="47" borderId="117" xfId="0" applyNumberFormat="1" applyFont="1" applyFill="1" applyBorder="1" applyAlignment="1">
      <alignment horizontal="center"/>
    </xf>
    <xf numFmtId="187" fontId="103" fillId="0" borderId="100" xfId="0" applyNumberFormat="1" applyFont="1" applyBorder="1" applyAlignment="1">
      <alignment horizontal="center" vertical="center"/>
    </xf>
    <xf numFmtId="0" fontId="114" fillId="49" borderId="112" xfId="0" applyFont="1" applyFill="1" applyBorder="1"/>
    <xf numFmtId="0" fontId="114" fillId="49" borderId="113" xfId="0" applyFont="1" applyFill="1" applyBorder="1"/>
    <xf numFmtId="0" fontId="114" fillId="49" borderId="103" xfId="0" applyFont="1" applyFill="1" applyBorder="1"/>
    <xf numFmtId="0" fontId="114" fillId="49" borderId="118" xfId="0" applyFont="1" applyFill="1" applyBorder="1"/>
    <xf numFmtId="168" fontId="103" fillId="0" borderId="100" xfId="0" applyNumberFormat="1" applyFont="1" applyBorder="1" applyAlignment="1">
      <alignment horizontal="center"/>
    </xf>
    <xf numFmtId="0" fontId="114" fillId="49" borderId="112" xfId="0" applyFont="1" applyFill="1" applyBorder="1" applyAlignment="1">
      <alignment horizontal="center"/>
    </xf>
    <xf numFmtId="168" fontId="114" fillId="49" borderId="112" xfId="0" applyNumberFormat="1" applyFont="1" applyFill="1" applyBorder="1" applyAlignment="1">
      <alignment horizontal="center"/>
    </xf>
    <xf numFmtId="168" fontId="114" fillId="49" borderId="118" xfId="0" applyNumberFormat="1" applyFont="1" applyFill="1" applyBorder="1" applyAlignment="1">
      <alignment horizontal="center"/>
    </xf>
    <xf numFmtId="0" fontId="114" fillId="0" borderId="100" xfId="0" applyFont="1" applyBorder="1" applyAlignment="1">
      <alignment horizontal="left"/>
    </xf>
    <xf numFmtId="0" fontId="115" fillId="0" borderId="100" xfId="0" applyFont="1" applyBorder="1" applyAlignment="1">
      <alignment horizontal="left"/>
    </xf>
    <xf numFmtId="0" fontId="114" fillId="0" borderId="100" xfId="0" applyFont="1" applyBorder="1"/>
    <xf numFmtId="0" fontId="112" fillId="0" borderId="100" xfId="0" applyFont="1" applyBorder="1" applyAlignment="1">
      <alignment vertical="center"/>
    </xf>
    <xf numFmtId="0" fontId="115" fillId="0" borderId="100" xfId="0" applyFont="1" applyBorder="1"/>
    <xf numFmtId="165" fontId="111" fillId="49" borderId="117" xfId="0" applyNumberFormat="1" applyFont="1" applyFill="1" applyBorder="1" applyAlignment="1">
      <alignment horizontal="center" vertical="center" wrapText="1"/>
    </xf>
    <xf numFmtId="0" fontId="111" fillId="49" borderId="117" xfId="0" applyFont="1" applyFill="1" applyBorder="1" applyAlignment="1">
      <alignment horizontal="center"/>
    </xf>
    <xf numFmtId="0" fontId="103" fillId="49" borderId="0" xfId="0" applyFont="1" applyFill="1" applyAlignment="1">
      <alignment horizontal="center"/>
    </xf>
    <xf numFmtId="0" fontId="114" fillId="49" borderId="0" xfId="0" applyFont="1" applyFill="1" applyAlignment="1">
      <alignment horizontal="center"/>
    </xf>
    <xf numFmtId="164" fontId="114" fillId="49" borderId="119" xfId="0" applyNumberFormat="1" applyFont="1" applyFill="1" applyBorder="1"/>
    <xf numFmtId="183" fontId="103" fillId="49" borderId="101" xfId="0" applyNumberFormat="1" applyFont="1" applyFill="1" applyBorder="1" applyAlignment="1">
      <alignment vertical="center"/>
    </xf>
    <xf numFmtId="183" fontId="106" fillId="49" borderId="101" xfId="0" applyNumberFormat="1" applyFont="1" applyFill="1" applyBorder="1" applyAlignment="1">
      <alignment vertical="center"/>
    </xf>
    <xf numFmtId="165" fontId="111" fillId="49" borderId="100" xfId="0" applyNumberFormat="1" applyFont="1" applyFill="1" applyBorder="1" applyAlignment="1">
      <alignment horizontal="center" vertical="center" wrapText="1"/>
    </xf>
    <xf numFmtId="0" fontId="111" fillId="49" borderId="100" xfId="0" applyFont="1" applyFill="1" applyBorder="1" applyAlignment="1">
      <alignment horizontal="center"/>
    </xf>
    <xf numFmtId="165" fontId="111" fillId="49" borderId="100" xfId="0" applyNumberFormat="1" applyFont="1" applyFill="1" applyBorder="1" applyAlignment="1">
      <alignment horizontal="left" vertical="center" wrapText="1"/>
    </xf>
    <xf numFmtId="0" fontId="105" fillId="49" borderId="100" xfId="0" applyFont="1" applyFill="1" applyBorder="1" applyAlignment="1">
      <alignment horizontal="center" vertical="center" wrapText="1"/>
    </xf>
    <xf numFmtId="180" fontId="105" fillId="49" borderId="100" xfId="0" applyNumberFormat="1" applyFont="1" applyFill="1" applyBorder="1" applyAlignment="1">
      <alignment horizontal="center" vertical="center" wrapText="1"/>
    </xf>
    <xf numFmtId="183" fontId="105" fillId="49" borderId="100" xfId="0" applyNumberFormat="1" applyFont="1" applyFill="1" applyBorder="1" applyAlignment="1">
      <alignment vertical="center" wrapText="1"/>
    </xf>
    <xf numFmtId="171" fontId="103" fillId="48" borderId="100" xfId="0" applyNumberFormat="1" applyFont="1" applyFill="1" applyBorder="1" applyAlignment="1">
      <alignment horizontal="center" vertical="center"/>
    </xf>
    <xf numFmtId="2" fontId="103" fillId="48" borderId="100" xfId="0" applyNumberFormat="1" applyFont="1" applyFill="1" applyBorder="1" applyAlignment="1">
      <alignment horizontal="center" vertical="center"/>
    </xf>
    <xf numFmtId="0" fontId="109" fillId="46" borderId="100" xfId="0" applyFont="1" applyFill="1" applyBorder="1" applyAlignment="1">
      <alignment horizontal="center" vertical="center"/>
    </xf>
    <xf numFmtId="0" fontId="109" fillId="46" borderId="100" xfId="0" applyFont="1" applyFill="1" applyBorder="1" applyAlignment="1">
      <alignment horizontal="center" vertical="center" wrapText="1"/>
    </xf>
    <xf numFmtId="171" fontId="105" fillId="48" borderId="100" xfId="0" applyNumberFormat="1" applyFont="1" applyFill="1" applyBorder="1" applyAlignment="1">
      <alignment horizontal="center" vertical="center" wrapText="1"/>
    </xf>
    <xf numFmtId="1" fontId="105" fillId="48" borderId="100" xfId="0" applyNumberFormat="1" applyFont="1" applyFill="1" applyBorder="1" applyAlignment="1">
      <alignment horizontal="center" vertical="center" wrapText="1"/>
    </xf>
    <xf numFmtId="0" fontId="114" fillId="49" borderId="100" xfId="0" applyFont="1" applyFill="1" applyBorder="1"/>
    <xf numFmtId="0" fontId="114" fillId="49" borderId="100" xfId="0" applyFont="1" applyFill="1" applyBorder="1" applyAlignment="1">
      <alignment horizontal="center"/>
    </xf>
    <xf numFmtId="0" fontId="111" fillId="48" borderId="100" xfId="0" applyFont="1" applyFill="1" applyBorder="1" applyAlignment="1">
      <alignment horizontal="center"/>
    </xf>
    <xf numFmtId="183" fontId="103" fillId="0" borderId="100" xfId="0" applyNumberFormat="1" applyFont="1" applyBorder="1" applyAlignment="1">
      <alignment vertical="center"/>
    </xf>
    <xf numFmtId="183" fontId="103" fillId="48" borderId="100" xfId="0" applyNumberFormat="1" applyFont="1" applyFill="1" applyBorder="1" applyAlignment="1">
      <alignment vertical="center"/>
    </xf>
    <xf numFmtId="165" fontId="111" fillId="0" borderId="100" xfId="0" applyNumberFormat="1" applyFont="1" applyBorder="1" applyAlignment="1">
      <alignment horizontal="left" vertical="center" wrapText="1"/>
    </xf>
    <xf numFmtId="180" fontId="105" fillId="0" borderId="100" xfId="0" applyNumberFormat="1" applyFont="1" applyBorder="1" applyAlignment="1">
      <alignment horizontal="center" vertical="center" wrapText="1"/>
    </xf>
    <xf numFmtId="187" fontId="106" fillId="0" borderId="100" xfId="0" applyNumberFormat="1" applyFont="1" applyBorder="1" applyAlignment="1">
      <alignment horizontal="center"/>
    </xf>
    <xf numFmtId="0" fontId="103" fillId="0" borderId="124" xfId="0" applyFont="1" applyBorder="1" applyAlignment="1">
      <alignment horizontal="center"/>
    </xf>
    <xf numFmtId="0" fontId="110" fillId="0" borderId="0" xfId="0" applyFont="1"/>
    <xf numFmtId="0" fontId="119" fillId="0" borderId="0" xfId="0" applyFont="1" applyAlignment="1">
      <alignment horizontal="center"/>
    </xf>
    <xf numFmtId="0" fontId="109" fillId="0" borderId="0" xfId="0" applyFont="1"/>
    <xf numFmtId="0" fontId="103" fillId="0" borderId="104" xfId="0" applyFont="1" applyBorder="1"/>
    <xf numFmtId="0" fontId="106" fillId="0" borderId="0" xfId="0" applyFont="1"/>
    <xf numFmtId="0" fontId="121" fillId="0" borderId="0" xfId="0" applyFont="1"/>
    <xf numFmtId="0" fontId="122" fillId="0" borderId="104" xfId="0" applyFont="1" applyBorder="1"/>
    <xf numFmtId="0" fontId="0" fillId="0" borderId="104" xfId="0" applyBorder="1"/>
    <xf numFmtId="0" fontId="110" fillId="0" borderId="104" xfId="0" applyFont="1" applyBorder="1"/>
    <xf numFmtId="0" fontId="122" fillId="0" borderId="0" xfId="0" applyFont="1"/>
    <xf numFmtId="0" fontId="109" fillId="46" borderId="127" xfId="0" applyFont="1" applyFill="1" applyBorder="1" applyAlignment="1">
      <alignment horizontal="center" vertical="center"/>
    </xf>
    <xf numFmtId="0" fontId="109" fillId="46" borderId="128" xfId="0" applyFont="1" applyFill="1" applyBorder="1" applyAlignment="1">
      <alignment horizontal="center" vertical="center"/>
    </xf>
    <xf numFmtId="0" fontId="109" fillId="46" borderId="128" xfId="0" applyFont="1" applyFill="1" applyBorder="1" applyAlignment="1">
      <alignment horizontal="center" vertical="center" wrapText="1"/>
    </xf>
    <xf numFmtId="0" fontId="109" fillId="46" borderId="129" xfId="0" applyFont="1" applyFill="1" applyBorder="1" applyAlignment="1">
      <alignment horizontal="center" vertical="center" wrapText="1"/>
    </xf>
    <xf numFmtId="0" fontId="108" fillId="0" borderId="0" xfId="0" applyFont="1"/>
    <xf numFmtId="0" fontId="123" fillId="0" borderId="0" xfId="0" applyFont="1"/>
    <xf numFmtId="187" fontId="106" fillId="47" borderId="100" xfId="0" applyNumberFormat="1" applyFont="1" applyFill="1" applyBorder="1"/>
    <xf numFmtId="165" fontId="103" fillId="0" borderId="100" xfId="0" applyNumberFormat="1" applyFont="1" applyBorder="1"/>
    <xf numFmtId="188" fontId="103" fillId="0" borderId="0" xfId="0" applyNumberFormat="1" applyFont="1"/>
    <xf numFmtId="0" fontId="103" fillId="0" borderId="113" xfId="0" applyFont="1" applyBorder="1" applyAlignment="1">
      <alignment horizontal="center" vertical="center" wrapText="1"/>
    </xf>
    <xf numFmtId="0" fontId="124" fillId="0" borderId="100" xfId="0" applyFont="1" applyBorder="1" applyAlignment="1">
      <alignment horizontal="center" vertical="center" wrapText="1"/>
    </xf>
    <xf numFmtId="2" fontId="103" fillId="0" borderId="100" xfId="0" applyNumberFormat="1" applyFont="1" applyBorder="1" applyAlignment="1">
      <alignment horizontal="center" wrapText="1"/>
    </xf>
    <xf numFmtId="187" fontId="103" fillId="0" borderId="100" xfId="0" applyNumberFormat="1" applyFont="1" applyBorder="1" applyAlignment="1">
      <alignment horizontal="center" wrapText="1"/>
    </xf>
    <xf numFmtId="0" fontId="103" fillId="0" borderId="0" xfId="0" applyFont="1"/>
    <xf numFmtId="1" fontId="103" fillId="0" borderId="100" xfId="0" applyNumberFormat="1" applyFont="1" applyBorder="1" applyAlignment="1">
      <alignment horizontal="center" vertical="center" wrapText="1"/>
    </xf>
    <xf numFmtId="2" fontId="103" fillId="0" borderId="100" xfId="0" applyNumberFormat="1" applyFont="1" applyBorder="1" applyAlignment="1">
      <alignment horizontal="center" vertical="center" wrapText="1"/>
    </xf>
    <xf numFmtId="165" fontId="103" fillId="0" borderId="0" xfId="0" applyNumberFormat="1" applyFont="1"/>
    <xf numFmtId="187" fontId="106" fillId="0" borderId="100" xfId="0" applyNumberFormat="1" applyFont="1" applyBorder="1"/>
    <xf numFmtId="187" fontId="103" fillId="0" borderId="100" xfId="0" applyNumberFormat="1" applyFont="1" applyBorder="1"/>
    <xf numFmtId="0" fontId="103" fillId="0" borderId="125" xfId="0" applyFont="1" applyBorder="1" applyAlignment="1">
      <alignment horizontal="center"/>
    </xf>
    <xf numFmtId="0" fontId="103" fillId="0" borderId="130" xfId="0" applyFont="1" applyBorder="1" applyAlignment="1">
      <alignment horizontal="center"/>
    </xf>
    <xf numFmtId="0" fontId="114" fillId="49" borderId="104" xfId="0" applyFont="1" applyFill="1" applyBorder="1"/>
    <xf numFmtId="0" fontId="114" fillId="49" borderId="122" xfId="0" applyFont="1" applyFill="1" applyBorder="1"/>
    <xf numFmtId="0" fontId="114" fillId="49" borderId="121" xfId="0" applyFont="1" applyFill="1" applyBorder="1"/>
    <xf numFmtId="0" fontId="114" fillId="49" borderId="131" xfId="0" applyFont="1" applyFill="1" applyBorder="1"/>
    <xf numFmtId="0" fontId="111" fillId="48" borderId="100" xfId="0" applyFont="1" applyFill="1" applyBorder="1" applyAlignment="1">
      <alignment horizontal="center" vertical="center" wrapText="1"/>
    </xf>
    <xf numFmtId="0" fontId="111" fillId="48" borderId="100" xfId="0" applyFont="1" applyFill="1" applyBorder="1" applyAlignment="1">
      <alignment horizontal="center" vertical="center"/>
    </xf>
    <xf numFmtId="169" fontId="103" fillId="0" borderId="100" xfId="0" applyNumberFormat="1" applyFont="1" applyBorder="1" applyAlignment="1">
      <alignment wrapText="1"/>
    </xf>
    <xf numFmtId="169" fontId="103" fillId="0" borderId="100" xfId="0" applyNumberFormat="1" applyFont="1" applyBorder="1"/>
    <xf numFmtId="169" fontId="103" fillId="0" borderId="100" xfId="0" applyNumberFormat="1" applyFont="1" applyBorder="1" applyAlignment="1">
      <alignment horizontal="center" vertical="center" wrapText="1"/>
    </xf>
    <xf numFmtId="168" fontId="103" fillId="0" borderId="100" xfId="0" applyNumberFormat="1" applyFont="1" applyBorder="1"/>
    <xf numFmtId="0" fontId="101" fillId="48" borderId="100" xfId="0" applyFont="1" applyFill="1" applyBorder="1" applyAlignment="1">
      <alignment horizontal="center" vertical="center"/>
    </xf>
    <xf numFmtId="0" fontId="111" fillId="48" borderId="115" xfId="0" applyFont="1" applyFill="1" applyBorder="1" applyAlignment="1">
      <alignment horizontal="center" vertical="center" wrapText="1"/>
    </xf>
    <xf numFmtId="0" fontId="111" fillId="48" borderId="115" xfId="0" applyFont="1" applyFill="1" applyBorder="1" applyAlignment="1">
      <alignment horizontal="center" vertical="center"/>
    </xf>
    <xf numFmtId="165" fontId="111" fillId="0" borderId="117" xfId="0" applyNumberFormat="1" applyFont="1" applyBorder="1" applyAlignment="1">
      <alignment horizontal="center" vertical="center" wrapText="1"/>
    </xf>
    <xf numFmtId="0" fontId="111" fillId="0" borderId="117" xfId="0" applyFont="1" applyBorder="1" applyAlignment="1">
      <alignment horizontal="center"/>
    </xf>
    <xf numFmtId="0" fontId="103" fillId="0" borderId="124" xfId="0" applyFont="1" applyBorder="1"/>
    <xf numFmtId="0" fontId="125" fillId="0" borderId="0" xfId="0" applyFont="1"/>
    <xf numFmtId="0" fontId="125" fillId="0" borderId="0" xfId="0" applyFont="1" applyAlignment="1">
      <alignment horizontal="center"/>
    </xf>
    <xf numFmtId="14" fontId="103" fillId="0" borderId="132" xfId="0" applyNumberFormat="1" applyFont="1" applyBorder="1" applyAlignment="1">
      <alignment vertical="top"/>
    </xf>
    <xf numFmtId="0" fontId="103" fillId="0" borderId="103" xfId="0" applyFont="1" applyBorder="1" applyAlignment="1">
      <alignment vertical="top"/>
    </xf>
    <xf numFmtId="0" fontId="103" fillId="0" borderId="121" xfId="0" applyFont="1" applyBorder="1" applyAlignment="1">
      <alignment vertical="top"/>
    </xf>
    <xf numFmtId="0" fontId="103" fillId="0" borderId="100" xfId="0" applyFont="1" applyBorder="1" applyAlignment="1">
      <alignment vertical="top" wrapText="1"/>
    </xf>
    <xf numFmtId="0" fontId="103" fillId="0" borderId="112" xfId="0" applyFont="1" applyBorder="1" applyAlignment="1">
      <alignment vertical="top" wrapText="1"/>
    </xf>
    <xf numFmtId="189" fontId="103" fillId="0" borderId="100" xfId="0" applyNumberFormat="1" applyFont="1" applyBorder="1" applyAlignment="1">
      <alignment vertical="top"/>
    </xf>
    <xf numFmtId="0" fontId="103" fillId="0" borderId="133" xfId="0" applyFont="1" applyBorder="1" applyAlignment="1">
      <alignment vertical="top" wrapText="1"/>
    </xf>
    <xf numFmtId="49" fontId="2" fillId="0" borderId="13" xfId="0" applyNumberFormat="1" applyFont="1" applyBorder="1" applyAlignment="1">
      <alignment vertical="center" wrapText="1"/>
    </xf>
    <xf numFmtId="0" fontId="121" fillId="46" borderId="107" xfId="0" applyFont="1" applyFill="1" applyBorder="1" applyAlignment="1">
      <alignment horizontal="center" vertical="center" wrapText="1"/>
    </xf>
    <xf numFmtId="0" fontId="103" fillId="0" borderId="135" xfId="0" applyFont="1" applyBorder="1"/>
    <xf numFmtId="0" fontId="125" fillId="0" borderId="104" xfId="0" applyFont="1" applyBorder="1" applyAlignment="1">
      <alignment horizontal="left" vertical="top" wrapText="1"/>
    </xf>
    <xf numFmtId="0" fontId="103" fillId="0" borderId="113" xfId="0" applyFont="1" applyBorder="1"/>
    <xf numFmtId="0" fontId="103" fillId="50" borderId="113" xfId="0" applyFont="1" applyFill="1" applyBorder="1"/>
    <xf numFmtId="0" fontId="103" fillId="0" borderId="101" xfId="0" applyFont="1" applyBorder="1"/>
    <xf numFmtId="0" fontId="103" fillId="0" borderId="133" xfId="0" applyFont="1" applyBorder="1"/>
    <xf numFmtId="0" fontId="125" fillId="0" borderId="104" xfId="0" applyFont="1" applyBorder="1" applyAlignment="1">
      <alignment vertical="top" wrapText="1"/>
    </xf>
    <xf numFmtId="0" fontId="103" fillId="0" borderId="122" xfId="0" applyFont="1" applyBorder="1"/>
    <xf numFmtId="0" fontId="103" fillId="0" borderId="137" xfId="0" applyFont="1" applyBorder="1"/>
    <xf numFmtId="0" fontId="103" fillId="0" borderId="117" xfId="0" applyFont="1" applyBorder="1"/>
    <xf numFmtId="0" fontId="103" fillId="0" borderId="133" xfId="0" applyFont="1" applyBorder="1" applyAlignment="1">
      <alignment horizontal="center"/>
    </xf>
    <xf numFmtId="0" fontId="103" fillId="0" borderId="101" xfId="0" applyFont="1" applyBorder="1" applyAlignment="1">
      <alignment horizontal="center" vertical="center"/>
    </xf>
    <xf numFmtId="0" fontId="128" fillId="0" borderId="133" xfId="0" applyFont="1" applyBorder="1" applyAlignment="1">
      <alignment horizontal="center" vertical="center" wrapText="1"/>
    </xf>
    <xf numFmtId="0" fontId="125" fillId="0" borderId="103" xfId="0" applyFont="1" applyBorder="1" applyAlignment="1">
      <alignment vertical="top" wrapText="1"/>
    </xf>
    <xf numFmtId="0" fontId="103" fillId="0" borderId="122" xfId="0" applyFont="1" applyBorder="1" applyAlignment="1">
      <alignment horizontal="center" vertical="center"/>
    </xf>
    <xf numFmtId="0" fontId="103" fillId="0" borderId="137" xfId="0" applyFont="1" applyBorder="1" applyAlignment="1">
      <alignment horizontal="center" vertical="center"/>
    </xf>
    <xf numFmtId="0" fontId="103" fillId="0" borderId="117" xfId="0" applyFont="1" applyBorder="1" applyAlignment="1">
      <alignment horizontal="center" vertical="center"/>
    </xf>
    <xf numFmtId="0" fontId="103" fillId="0" borderId="116" xfId="0" applyFont="1" applyBorder="1"/>
    <xf numFmtId="0" fontId="103" fillId="0" borderId="139" xfId="0" applyFont="1" applyBorder="1"/>
    <xf numFmtId="0" fontId="103" fillId="0" borderId="123" xfId="0" applyFont="1" applyBorder="1"/>
    <xf numFmtId="0" fontId="129" fillId="0" borderId="0" xfId="0" applyFont="1" applyAlignment="1">
      <alignment wrapText="1"/>
    </xf>
    <xf numFmtId="0" fontId="130" fillId="0" borderId="0" xfId="0" applyFont="1"/>
    <xf numFmtId="0" fontId="129" fillId="0" borderId="0" xfId="0" applyFont="1"/>
    <xf numFmtId="0" fontId="131" fillId="0" borderId="0" xfId="0" applyFont="1" applyAlignment="1">
      <alignment horizontal="center"/>
    </xf>
    <xf numFmtId="0" fontId="132" fillId="46" borderId="99" xfId="0" applyFont="1" applyFill="1" applyBorder="1" applyAlignment="1">
      <alignment horizontal="center"/>
    </xf>
    <xf numFmtId="0" fontId="132" fillId="46" borderId="117" xfId="0" applyFont="1" applyFill="1" applyBorder="1" applyAlignment="1">
      <alignment horizontal="center"/>
    </xf>
    <xf numFmtId="0" fontId="132" fillId="46" borderId="100" xfId="0" applyFont="1" applyFill="1" applyBorder="1" applyAlignment="1">
      <alignment horizontal="center"/>
    </xf>
    <xf numFmtId="0" fontId="129" fillId="0" borderId="100" xfId="0" applyFont="1" applyBorder="1" applyAlignment="1">
      <alignment horizontal="center" vertical="center"/>
    </xf>
    <xf numFmtId="169" fontId="129" fillId="0" borderId="100" xfId="0" applyNumberFormat="1" applyFont="1" applyBorder="1" applyAlignment="1">
      <alignment horizontal="center" vertical="center"/>
    </xf>
    <xf numFmtId="190" fontId="129" fillId="0" borderId="100" xfId="0" applyNumberFormat="1" applyFont="1" applyBorder="1" applyAlignment="1">
      <alignment horizontal="center" vertical="center"/>
    </xf>
    <xf numFmtId="14" fontId="129" fillId="0" borderId="103" xfId="0" applyNumberFormat="1" applyFont="1" applyBorder="1" applyAlignment="1">
      <alignment horizontal="center" vertical="center"/>
    </xf>
    <xf numFmtId="0" fontId="129" fillId="0" borderId="103" xfId="0" applyFont="1" applyBorder="1" applyAlignment="1">
      <alignment horizontal="center" vertical="center" wrapText="1"/>
    </xf>
    <xf numFmtId="0" fontId="129" fillId="0" borderId="103" xfId="0" applyFont="1" applyBorder="1" applyAlignment="1">
      <alignment horizontal="center" vertical="center"/>
    </xf>
    <xf numFmtId="165" fontId="129" fillId="0" borderId="100" xfId="0" applyNumberFormat="1" applyFont="1" applyBorder="1" applyAlignment="1">
      <alignment horizontal="center" vertical="center"/>
    </xf>
    <xf numFmtId="14" fontId="129" fillId="0" borderId="121" xfId="0" applyNumberFormat="1" applyFont="1" applyBorder="1" applyAlignment="1">
      <alignment horizontal="center" vertical="center"/>
    </xf>
    <xf numFmtId="0" fontId="129" fillId="0" borderId="121" xfId="0" applyFont="1" applyBorder="1" applyAlignment="1">
      <alignment horizontal="center" vertical="center"/>
    </xf>
    <xf numFmtId="0" fontId="129" fillId="0" borderId="100" xfId="0" applyFont="1" applyBorder="1" applyAlignment="1">
      <alignment horizontal="center" vertical="center" wrapText="1"/>
    </xf>
    <xf numFmtId="169" fontId="129" fillId="0" borderId="100" xfId="0" applyNumberFormat="1" applyFont="1" applyBorder="1" applyAlignment="1">
      <alignment horizontal="center" vertical="center" wrapText="1"/>
    </xf>
    <xf numFmtId="0" fontId="133" fillId="46" borderId="105" xfId="0" applyFont="1" applyFill="1" applyBorder="1" applyAlignment="1">
      <alignment horizontal="center"/>
    </xf>
    <xf numFmtId="0" fontId="133" fillId="46" borderId="143" xfId="0" applyFont="1" applyFill="1" applyBorder="1" applyAlignment="1">
      <alignment horizontal="center"/>
    </xf>
    <xf numFmtId="0" fontId="132" fillId="46" borderId="105" xfId="0" applyFont="1" applyFill="1" applyBorder="1" applyAlignment="1">
      <alignment horizontal="center"/>
    </xf>
    <xf numFmtId="0" fontId="132" fillId="46" borderId="108" xfId="0" applyFont="1" applyFill="1" applyBorder="1" applyAlignment="1">
      <alignment horizontal="center"/>
    </xf>
    <xf numFmtId="0" fontId="134" fillId="0" borderId="137" xfId="0" applyFont="1" applyBorder="1" applyAlignment="1">
      <alignment horizontal="center"/>
    </xf>
    <xf numFmtId="0" fontId="134" fillId="0" borderId="145" xfId="0" applyFont="1" applyBorder="1" applyAlignment="1">
      <alignment horizontal="center"/>
    </xf>
    <xf numFmtId="0" fontId="134" fillId="0" borderId="146" xfId="0" applyFont="1" applyBorder="1"/>
    <xf numFmtId="0" fontId="134" fillId="0" borderId="146" xfId="0" applyFont="1" applyBorder="1" applyAlignment="1">
      <alignment horizontal="center"/>
    </xf>
    <xf numFmtId="2" fontId="133" fillId="0" borderId="142" xfId="0" applyNumberFormat="1" applyFont="1" applyBorder="1"/>
    <xf numFmtId="0" fontId="134" fillId="0" borderId="0" xfId="0" applyFont="1"/>
    <xf numFmtId="0" fontId="126" fillId="48" borderId="117" xfId="0" applyFont="1" applyFill="1" applyBorder="1" applyAlignment="1">
      <alignment horizontal="center" vertical="center" wrapText="1"/>
    </xf>
    <xf numFmtId="0" fontId="126" fillId="0" borderId="117" xfId="0" applyFont="1" applyBorder="1" applyAlignment="1">
      <alignment horizontal="center" vertical="center" wrapText="1"/>
    </xf>
    <xf numFmtId="0" fontId="126" fillId="0" borderId="121" xfId="0" applyFont="1" applyBorder="1" applyAlignment="1">
      <alignment horizontal="center" vertical="center" wrapText="1"/>
    </xf>
    <xf numFmtId="0" fontId="126" fillId="0" borderId="100" xfId="0" applyFont="1" applyBorder="1" applyAlignment="1">
      <alignment horizontal="center" vertical="center" wrapText="1"/>
    </xf>
    <xf numFmtId="0" fontId="126" fillId="0" borderId="146" xfId="0" applyFont="1" applyBorder="1" applyAlignment="1">
      <alignment horizontal="center" vertical="center" wrapText="1"/>
    </xf>
    <xf numFmtId="0" fontId="134" fillId="0" borderId="149" xfId="0" applyFont="1" applyBorder="1" applyAlignment="1">
      <alignment vertical="center"/>
    </xf>
    <xf numFmtId="0" fontId="134" fillId="0" borderId="146" xfId="0" applyFont="1" applyBorder="1" applyAlignment="1">
      <alignment vertical="center"/>
    </xf>
    <xf numFmtId="0" fontId="134" fillId="0" borderId="146" xfId="0" applyFont="1" applyBorder="1" applyAlignment="1">
      <alignment horizontal="center" vertical="center"/>
    </xf>
    <xf numFmtId="0" fontId="134" fillId="0" borderId="114" xfId="0" applyFont="1" applyBorder="1" applyAlignment="1">
      <alignment vertical="center"/>
    </xf>
    <xf numFmtId="0" fontId="106" fillId="0" borderId="0" xfId="0" applyFont="1" applyAlignment="1">
      <alignment textRotation="180"/>
    </xf>
    <xf numFmtId="0" fontId="103" fillId="0" borderId="0" xfId="0" applyFont="1" applyAlignment="1">
      <alignment vertical="center" wrapText="1"/>
    </xf>
    <xf numFmtId="0" fontId="112" fillId="0" borderId="0" xfId="0" applyFont="1"/>
    <xf numFmtId="0" fontId="118" fillId="0" borderId="0" xfId="0" applyFont="1" applyAlignment="1">
      <alignment horizontal="center"/>
    </xf>
    <xf numFmtId="0" fontId="135" fillId="0" borderId="0" xfId="0" applyFont="1" applyAlignment="1">
      <alignment horizontal="center"/>
    </xf>
    <xf numFmtId="0" fontId="136" fillId="0" borderId="0" xfId="0" applyFont="1" applyAlignment="1">
      <alignment horizontal="center"/>
    </xf>
    <xf numFmtId="0" fontId="135" fillId="0" borderId="0" xfId="0" applyFont="1"/>
    <xf numFmtId="0" fontId="103" fillId="0" borderId="143" xfId="0" applyFont="1" applyBorder="1"/>
    <xf numFmtId="0" fontId="103" fillId="0" borderId="125" xfId="0" applyFont="1" applyBorder="1"/>
    <xf numFmtId="0" fontId="103" fillId="0" borderId="130" xfId="0" applyFont="1" applyBorder="1"/>
    <xf numFmtId="0" fontId="103" fillId="0" borderId="150" xfId="0" applyFont="1" applyBorder="1"/>
    <xf numFmtId="0" fontId="103" fillId="0" borderId="151" xfId="0" applyFont="1" applyBorder="1"/>
    <xf numFmtId="0" fontId="103" fillId="0" borderId="144" xfId="0" applyFont="1" applyBorder="1"/>
    <xf numFmtId="0" fontId="103" fillId="0" borderId="152" xfId="0" applyFont="1" applyBorder="1"/>
    <xf numFmtId="0" fontId="106" fillId="51" borderId="0" xfId="0" applyFont="1" applyFill="1"/>
    <xf numFmtId="0" fontId="103" fillId="51" borderId="0" xfId="0" applyFont="1" applyFill="1"/>
    <xf numFmtId="0" fontId="118" fillId="0" borderId="150" xfId="0" applyFont="1" applyBorder="1" applyAlignment="1">
      <alignment horizontal="center"/>
    </xf>
    <xf numFmtId="0" fontId="109" fillId="0" borderId="150" xfId="0" applyFont="1" applyBorder="1"/>
    <xf numFmtId="0" fontId="127" fillId="0" borderId="150" xfId="0" applyFont="1" applyBorder="1"/>
    <xf numFmtId="0" fontId="127" fillId="0" borderId="0" xfId="0" applyFont="1"/>
    <xf numFmtId="0" fontId="138" fillId="0" borderId="0" xfId="0" applyFont="1"/>
    <xf numFmtId="14" fontId="127" fillId="0" borderId="0" xfId="0" applyNumberFormat="1" applyFont="1" applyAlignment="1">
      <alignment horizontal="center"/>
    </xf>
    <xf numFmtId="0" fontId="103" fillId="0" borderId="150" xfId="0" applyFont="1" applyBorder="1" applyAlignment="1">
      <alignment vertical="center" wrapText="1"/>
    </xf>
    <xf numFmtId="0" fontId="103" fillId="0" borderId="151" xfId="0" applyFont="1" applyBorder="1" applyAlignment="1">
      <alignment vertical="center" wrapText="1"/>
    </xf>
    <xf numFmtId="0" fontId="2" fillId="0" borderId="144" xfId="0" applyFont="1" applyBorder="1"/>
    <xf numFmtId="0" fontId="2" fillId="0" borderId="124" xfId="0" applyFont="1" applyBorder="1"/>
    <xf numFmtId="0" fontId="2" fillId="0" borderId="152" xfId="0" applyFont="1" applyBorder="1"/>
    <xf numFmtId="0" fontId="2" fillId="0" borderId="151" xfId="0" applyFont="1" applyBorder="1"/>
    <xf numFmtId="0" fontId="2" fillId="0" borderId="150" xfId="0" applyFont="1" applyBorder="1"/>
    <xf numFmtId="0" fontId="2" fillId="0" borderId="143" xfId="0" applyFont="1" applyBorder="1"/>
    <xf numFmtId="0" fontId="2" fillId="0" borderId="125" xfId="0" applyFont="1" applyBorder="1"/>
    <xf numFmtId="0" fontId="2" fillId="0" borderId="130" xfId="0" applyFont="1" applyBorder="1"/>
    <xf numFmtId="0" fontId="107" fillId="0" borderId="10" xfId="59" applyNumberFormat="1" applyFont="1" applyBorder="1" applyAlignment="1"/>
    <xf numFmtId="0" fontId="0" fillId="0" borderId="0" xfId="0" applyAlignment="1">
      <alignment horizontal="center"/>
    </xf>
    <xf numFmtId="0" fontId="103" fillId="0" borderId="125" xfId="0" applyFont="1" applyBorder="1" applyAlignment="1">
      <alignment horizontal="center"/>
    </xf>
    <xf numFmtId="0" fontId="0" fillId="0" borderId="0" xfId="0"/>
    <xf numFmtId="0" fontId="106" fillId="0" borderId="0" xfId="0" applyFont="1" applyAlignment="1">
      <alignment horizontal="center" vertical="center"/>
    </xf>
    <xf numFmtId="0" fontId="2" fillId="0" borderId="0" xfId="0" applyFont="1"/>
    <xf numFmtId="0" fontId="106" fillId="0" borderId="0" xfId="0" applyFont="1" applyAlignment="1">
      <alignment horizontal="center"/>
    </xf>
    <xf numFmtId="0" fontId="1" fillId="0" borderId="0" xfId="46" applyNumberFormat="1" applyFont="1" applyAlignment="1">
      <alignment horizontal="center"/>
    </xf>
    <xf numFmtId="0" fontId="2" fillId="0" borderId="0" xfId="0" applyFont="1" applyBorder="1"/>
    <xf numFmtId="0" fontId="103" fillId="0" borderId="0" xfId="0" applyFont="1"/>
    <xf numFmtId="0" fontId="0" fillId="0" borderId="0" xfId="0" applyAlignment="1">
      <alignment horizontal="left"/>
    </xf>
    <xf numFmtId="0" fontId="0" fillId="0" borderId="0" xfId="0"/>
    <xf numFmtId="0" fontId="103" fillId="0" borderId="0" xfId="0" applyFont="1"/>
    <xf numFmtId="0" fontId="21" fillId="0" borderId="0" xfId="0" applyFont="1" applyBorder="1" applyAlignment="1">
      <alignment horizontal="center"/>
    </xf>
    <xf numFmtId="17" fontId="21" fillId="0" borderId="0" xfId="0" applyNumberFormat="1" applyFont="1"/>
    <xf numFmtId="2" fontId="34" fillId="39" borderId="0" xfId="69" applyNumberFormat="1" applyFont="1" applyFill="1" applyBorder="1" applyAlignment="1"/>
    <xf numFmtId="0" fontId="113" fillId="0" borderId="100" xfId="0" applyFont="1" applyBorder="1" applyAlignment="1">
      <alignment horizontal="center" vertical="center" wrapText="1"/>
    </xf>
    <xf numFmtId="187" fontId="106" fillId="52" borderId="100" xfId="0" applyNumberFormat="1" applyFont="1" applyFill="1" applyBorder="1"/>
    <xf numFmtId="187" fontId="106" fillId="52" borderId="0" xfId="0" applyNumberFormat="1" applyFont="1" applyFill="1" applyBorder="1"/>
    <xf numFmtId="0" fontId="2" fillId="35" borderId="0" xfId="0" applyFont="1" applyFill="1" applyBorder="1"/>
    <xf numFmtId="0" fontId="109" fillId="53" borderId="0" xfId="0" applyFont="1" applyFill="1" applyBorder="1" applyAlignment="1">
      <alignment horizontal="center" vertical="center"/>
    </xf>
    <xf numFmtId="0" fontId="109" fillId="53" borderId="116" xfId="0" applyFont="1" applyFill="1" applyBorder="1" applyAlignment="1">
      <alignment horizontal="center" vertical="center"/>
    </xf>
    <xf numFmtId="0" fontId="109" fillId="53" borderId="147" xfId="0" applyFont="1" applyFill="1" applyBorder="1" applyAlignment="1">
      <alignment horizontal="center" vertical="center"/>
    </xf>
    <xf numFmtId="0" fontId="109" fillId="53" borderId="0" xfId="0" applyFont="1" applyFill="1" applyBorder="1" applyAlignment="1">
      <alignment horizontal="center" vertical="center" wrapText="1"/>
    </xf>
    <xf numFmtId="0" fontId="103" fillId="35" borderId="0" xfId="0" applyFont="1" applyFill="1"/>
    <xf numFmtId="0" fontId="0" fillId="35" borderId="0" xfId="0" applyFill="1"/>
    <xf numFmtId="165" fontId="111" fillId="54" borderId="117" xfId="0" applyNumberFormat="1" applyFont="1" applyFill="1" applyBorder="1" applyAlignment="1">
      <alignment horizontal="center" vertical="center" wrapText="1"/>
    </xf>
    <xf numFmtId="0" fontId="111" fillId="54" borderId="117" xfId="0" applyFont="1" applyFill="1" applyBorder="1" applyAlignment="1">
      <alignment horizontal="center"/>
    </xf>
    <xf numFmtId="0" fontId="103" fillId="54" borderId="0" xfId="0" applyFont="1" applyFill="1" applyAlignment="1">
      <alignment horizontal="center"/>
    </xf>
    <xf numFmtId="0" fontId="114" fillId="54" borderId="0" xfId="0" applyFont="1" applyFill="1" applyAlignment="1">
      <alignment horizontal="center"/>
    </xf>
    <xf numFmtId="164" fontId="114" fillId="54" borderId="119" xfId="0" applyNumberFormat="1" applyFont="1" applyFill="1" applyBorder="1"/>
    <xf numFmtId="165" fontId="111" fillId="54" borderId="100" xfId="0" applyNumberFormat="1" applyFont="1" applyFill="1" applyBorder="1" applyAlignment="1">
      <alignment horizontal="center" vertical="center" wrapText="1"/>
    </xf>
    <xf numFmtId="0" fontId="111" fillId="54" borderId="100" xfId="0" applyFont="1" applyFill="1" applyBorder="1" applyAlignment="1">
      <alignment horizontal="center"/>
    </xf>
    <xf numFmtId="165" fontId="111" fillId="54" borderId="100" xfId="0" applyNumberFormat="1" applyFont="1" applyFill="1" applyBorder="1" applyAlignment="1">
      <alignment horizontal="left" vertical="center" wrapText="1"/>
    </xf>
    <xf numFmtId="0" fontId="105" fillId="54" borderId="100" xfId="0" applyFont="1" applyFill="1" applyBorder="1" applyAlignment="1">
      <alignment horizontal="center" vertical="center" wrapText="1"/>
    </xf>
    <xf numFmtId="180" fontId="105" fillId="54" borderId="100" xfId="0" applyNumberFormat="1" applyFont="1" applyFill="1" applyBorder="1" applyAlignment="1">
      <alignment horizontal="center" vertical="center" wrapText="1"/>
    </xf>
    <xf numFmtId="183" fontId="105" fillId="54" borderId="100" xfId="0" applyNumberFormat="1" applyFont="1" applyFill="1" applyBorder="1" applyAlignment="1">
      <alignment vertical="center" wrapText="1"/>
    </xf>
    <xf numFmtId="187" fontId="106" fillId="52" borderId="0" xfId="0" applyNumberFormat="1" applyFont="1" applyFill="1" applyBorder="1" applyAlignment="1">
      <alignment horizontal="center" vertical="center"/>
    </xf>
    <xf numFmtId="0" fontId="1" fillId="0" borderId="0" xfId="46" applyNumberFormat="1" applyFont="1" applyBorder="1" applyAlignment="1">
      <alignment horizontal="center"/>
    </xf>
    <xf numFmtId="184" fontId="1" fillId="35" borderId="0" xfId="46" applyNumberFormat="1" applyFont="1" applyFill="1" applyBorder="1"/>
    <xf numFmtId="0" fontId="2" fillId="0" borderId="10" xfId="59" applyFont="1" applyBorder="1" applyAlignment="1">
      <alignment horizontal="center" wrapText="1"/>
    </xf>
    <xf numFmtId="14" fontId="103" fillId="0" borderId="132" xfId="0" applyNumberFormat="1" applyFont="1" applyBorder="1" applyAlignment="1">
      <alignment horizontal="center" vertical="center"/>
    </xf>
    <xf numFmtId="0" fontId="103" fillId="0" borderId="121" xfId="0" applyFont="1" applyBorder="1" applyAlignment="1">
      <alignment horizontal="center" vertical="center"/>
    </xf>
    <xf numFmtId="0" fontId="103" fillId="0" borderId="112" xfId="0" applyFont="1" applyBorder="1" applyAlignment="1">
      <alignment horizontal="center" vertical="center" wrapText="1"/>
    </xf>
    <xf numFmtId="189" fontId="103" fillId="0" borderId="100" xfId="0" applyNumberFormat="1" applyFont="1" applyBorder="1" applyAlignment="1">
      <alignment horizontal="center" vertical="center"/>
    </xf>
    <xf numFmtId="0" fontId="103" fillId="0" borderId="133" xfId="0" applyFont="1" applyBorder="1" applyAlignment="1">
      <alignment horizontal="center" vertical="center" wrapText="1"/>
    </xf>
    <xf numFmtId="0" fontId="21" fillId="0" borderId="10" xfId="59" applyFont="1" applyBorder="1" applyAlignment="1">
      <alignment horizontal="center"/>
    </xf>
    <xf numFmtId="0" fontId="2" fillId="0" borderId="10" xfId="59" applyNumberFormat="1" applyFont="1" applyBorder="1" applyAlignment="1">
      <alignment horizontal="center"/>
    </xf>
    <xf numFmtId="0" fontId="2" fillId="0" borderId="44" xfId="59" applyBorder="1" applyAlignment="1">
      <alignment horizontal="center" vertical="center" wrapText="1"/>
    </xf>
    <xf numFmtId="0" fontId="1" fillId="0" borderId="10" xfId="0" applyFont="1" applyBorder="1"/>
    <xf numFmtId="0" fontId="1" fillId="0" borderId="10" xfId="0" applyFont="1" applyBorder="1" applyAlignment="1">
      <alignment horizontal="left" vertical="center"/>
    </xf>
    <xf numFmtId="3" fontId="0" fillId="35" borderId="13" xfId="0" applyNumberFormat="1" applyFill="1" applyBorder="1"/>
    <xf numFmtId="170" fontId="2" fillId="0" borderId="0" xfId="59" applyNumberFormat="1"/>
    <xf numFmtId="0" fontId="1" fillId="0" borderId="0" xfId="59" applyFont="1"/>
    <xf numFmtId="20" fontId="126" fillId="0" borderId="117" xfId="0" applyNumberFormat="1" applyFont="1" applyBorder="1" applyAlignment="1">
      <alignment horizontal="center" vertical="center"/>
    </xf>
    <xf numFmtId="49" fontId="126" fillId="0" borderId="117" xfId="0" applyNumberFormat="1" applyFont="1" applyBorder="1" applyAlignment="1">
      <alignment horizontal="center" vertical="center"/>
    </xf>
    <xf numFmtId="0" fontId="126" fillId="0" borderId="117" xfId="0" applyFont="1" applyBorder="1" applyAlignment="1">
      <alignment horizontal="center" vertical="center"/>
    </xf>
    <xf numFmtId="0" fontId="126" fillId="0" borderId="104" xfId="0" applyFont="1" applyBorder="1" applyAlignment="1">
      <alignment horizontal="center" vertical="center"/>
    </xf>
    <xf numFmtId="0" fontId="126" fillId="0" borderId="104" xfId="0" applyFont="1" applyBorder="1" applyAlignment="1">
      <alignment horizontal="center" vertical="center" wrapText="1"/>
    </xf>
    <xf numFmtId="20" fontId="126" fillId="0" borderId="13" xfId="0" applyNumberFormat="1" applyFont="1" applyBorder="1" applyAlignment="1">
      <alignment horizontal="center" vertical="center"/>
    </xf>
    <xf numFmtId="0" fontId="126" fillId="0" borderId="13" xfId="0" applyFont="1" applyBorder="1" applyAlignment="1">
      <alignment horizontal="center" vertical="center" wrapText="1"/>
    </xf>
    <xf numFmtId="49" fontId="126" fillId="0" borderId="13" xfId="0" applyNumberFormat="1" applyFont="1" applyBorder="1" applyAlignment="1">
      <alignment horizontal="center" vertical="center"/>
    </xf>
    <xf numFmtId="0" fontId="126" fillId="0" borderId="13" xfId="0" applyFont="1" applyBorder="1" applyAlignment="1">
      <alignment horizontal="center" vertical="center"/>
    </xf>
    <xf numFmtId="14" fontId="126" fillId="0" borderId="35" xfId="0" applyNumberFormat="1" applyFont="1" applyBorder="1" applyAlignment="1">
      <alignment horizontal="center" vertical="center" wrapText="1"/>
    </xf>
    <xf numFmtId="0" fontId="126" fillId="0" borderId="29" xfId="0" applyFont="1" applyBorder="1" applyAlignment="1">
      <alignment horizontal="center" vertical="center" wrapText="1"/>
    </xf>
    <xf numFmtId="14" fontId="126" fillId="0" borderId="154" xfId="0" applyNumberFormat="1" applyFont="1" applyBorder="1" applyAlignment="1">
      <alignment horizontal="center" vertical="center" wrapText="1"/>
    </xf>
    <xf numFmtId="0" fontId="126" fillId="0" borderId="155" xfId="0" applyFont="1" applyBorder="1" applyAlignment="1">
      <alignment horizontal="center" vertical="center" wrapText="1"/>
    </xf>
    <xf numFmtId="0" fontId="21" fillId="0" borderId="29" xfId="0" applyFont="1" applyBorder="1" applyAlignment="1">
      <alignment vertical="center" wrapText="1"/>
    </xf>
    <xf numFmtId="0" fontId="3" fillId="0" borderId="16" xfId="59" applyFont="1" applyBorder="1"/>
    <xf numFmtId="0" fontId="21" fillId="0" borderId="0" xfId="59" applyFont="1" applyBorder="1"/>
    <xf numFmtId="0" fontId="2" fillId="0" borderId="0" xfId="59" applyBorder="1"/>
    <xf numFmtId="0" fontId="128" fillId="0" borderId="156" xfId="0" applyFont="1" applyBorder="1" applyAlignment="1">
      <alignment horizontal="center" vertical="center" wrapText="1"/>
    </xf>
    <xf numFmtId="0" fontId="109" fillId="46" borderId="153" xfId="0" applyFont="1" applyFill="1" applyBorder="1" applyAlignment="1">
      <alignment vertical="center"/>
    </xf>
    <xf numFmtId="0" fontId="109" fillId="46" borderId="125" xfId="0" applyFont="1" applyFill="1" applyBorder="1" applyAlignment="1">
      <alignment horizontal="center" vertical="center"/>
    </xf>
    <xf numFmtId="0" fontId="103" fillId="0" borderId="157" xfId="0" applyFont="1" applyBorder="1"/>
    <xf numFmtId="0" fontId="103" fillId="0" borderId="159" xfId="0" applyFont="1" applyBorder="1" applyAlignment="1">
      <alignment horizontal="center"/>
    </xf>
    <xf numFmtId="0" fontId="103" fillId="0" borderId="160" xfId="0" applyFont="1" applyBorder="1" applyAlignment="1">
      <alignment horizontal="center"/>
    </xf>
    <xf numFmtId="0" fontId="103" fillId="0" borderId="158" xfId="0" applyFont="1" applyBorder="1" applyAlignment="1">
      <alignment horizontal="center"/>
    </xf>
    <xf numFmtId="0" fontId="103" fillId="0" borderId="161" xfId="0" applyFont="1" applyBorder="1" applyAlignment="1">
      <alignment horizontal="center"/>
    </xf>
    <xf numFmtId="0" fontId="103" fillId="0" borderId="162" xfId="0" applyFont="1" applyBorder="1" applyAlignment="1">
      <alignment horizontal="center"/>
    </xf>
    <xf numFmtId="0" fontId="103" fillId="0" borderId="163" xfId="0" applyFont="1" applyBorder="1" applyAlignment="1">
      <alignment horizontal="center"/>
    </xf>
    <xf numFmtId="0" fontId="125" fillId="0" borderId="164" xfId="0" applyFont="1" applyBorder="1" applyAlignment="1">
      <alignment horizontal="center" vertical="top"/>
    </xf>
    <xf numFmtId="0" fontId="103" fillId="0" borderId="165" xfId="0" applyFont="1" applyBorder="1"/>
    <xf numFmtId="0" fontId="125" fillId="0" borderId="154" xfId="0" applyFont="1" applyBorder="1" applyAlignment="1">
      <alignment horizontal="center" vertical="top"/>
    </xf>
    <xf numFmtId="0" fontId="103" fillId="0" borderId="155" xfId="0" applyFont="1" applyBorder="1"/>
    <xf numFmtId="0" fontId="103" fillId="0" borderId="165" xfId="0" applyFont="1" applyBorder="1" applyAlignment="1">
      <alignment horizontal="center" vertical="center"/>
    </xf>
    <xf numFmtId="0" fontId="103" fillId="0" borderId="155" xfId="0" applyFont="1" applyBorder="1" applyAlignment="1">
      <alignment horizontal="center" vertical="center"/>
    </xf>
    <xf numFmtId="0" fontId="103" fillId="0" borderId="166" xfId="0" applyFont="1" applyBorder="1"/>
    <xf numFmtId="0" fontId="125" fillId="0" borderId="167" xfId="0" applyFont="1" applyBorder="1" applyAlignment="1">
      <alignment horizontal="center" vertical="top"/>
    </xf>
    <xf numFmtId="0" fontId="125" fillId="0" borderId="27" xfId="0" applyFont="1" applyBorder="1" applyAlignment="1">
      <alignment vertical="top" wrapText="1"/>
    </xf>
    <xf numFmtId="0" fontId="103" fillId="0" borderId="168" xfId="0" applyFont="1" applyBorder="1"/>
    <xf numFmtId="0" fontId="103" fillId="0" borderId="169" xfId="0" applyFont="1" applyBorder="1"/>
    <xf numFmtId="0" fontId="103" fillId="50" borderId="169" xfId="0" applyFont="1" applyFill="1" applyBorder="1"/>
    <xf numFmtId="0" fontId="103" fillId="0" borderId="170" xfId="0" applyFont="1" applyBorder="1"/>
    <xf numFmtId="0" fontId="103" fillId="0" borderId="171" xfId="0" applyFont="1" applyBorder="1"/>
    <xf numFmtId="0" fontId="103" fillId="0" borderId="172" xfId="0" applyFont="1" applyBorder="1"/>
    <xf numFmtId="0" fontId="133" fillId="46" borderId="108" xfId="0" applyFont="1" applyFill="1" applyBorder="1" applyAlignment="1">
      <alignment horizontal="center"/>
    </xf>
    <xf numFmtId="0" fontId="133" fillId="46" borderId="108" xfId="0" applyFont="1" applyFill="1" applyBorder="1"/>
    <xf numFmtId="0" fontId="134" fillId="0" borderId="117" xfId="0" applyFont="1" applyBorder="1"/>
    <xf numFmtId="2" fontId="134" fillId="0" borderId="117" xfId="0" applyNumberFormat="1" applyFont="1" applyBorder="1"/>
    <xf numFmtId="4" fontId="134" fillId="0" borderId="117" xfId="0" applyNumberFormat="1" applyFont="1" applyBorder="1" applyAlignment="1">
      <alignment horizontal="right"/>
    </xf>
    <xf numFmtId="4" fontId="134" fillId="0" borderId="117" xfId="0" applyNumberFormat="1" applyFont="1" applyBorder="1" applyAlignment="1">
      <alignment horizontal="center"/>
    </xf>
    <xf numFmtId="0" fontId="134" fillId="0" borderId="117" xfId="0" applyFont="1" applyBorder="1" applyAlignment="1">
      <alignment horizontal="center"/>
    </xf>
    <xf numFmtId="0" fontId="134" fillId="0" borderId="136" xfId="0" applyFont="1" applyBorder="1" applyAlignment="1">
      <alignment horizontal="center"/>
    </xf>
    <xf numFmtId="0" fontId="2" fillId="0" borderId="0" xfId="0" applyFont="1" applyBorder="1" applyAlignment="1"/>
    <xf numFmtId="2" fontId="133" fillId="0" borderId="0" xfId="0" applyNumberFormat="1" applyFont="1" applyBorder="1"/>
    <xf numFmtId="0" fontId="133" fillId="0" borderId="125" xfId="0" applyFont="1" applyBorder="1"/>
    <xf numFmtId="0" fontId="134" fillId="0" borderId="98" xfId="0" applyFont="1" applyBorder="1" applyAlignment="1">
      <alignment horizontal="center"/>
    </xf>
    <xf numFmtId="0" fontId="134" fillId="0" borderId="99" xfId="0" applyFont="1" applyBorder="1"/>
    <xf numFmtId="0" fontId="134" fillId="0" borderId="99" xfId="0" applyFont="1" applyBorder="1" applyAlignment="1">
      <alignment horizontal="right"/>
    </xf>
    <xf numFmtId="4" fontId="134" fillId="0" borderId="99" xfId="0" applyNumberFormat="1" applyFont="1" applyBorder="1" applyAlignment="1">
      <alignment horizontal="right"/>
    </xf>
    <xf numFmtId="2" fontId="134" fillId="0" borderId="99" xfId="0" applyNumberFormat="1" applyFont="1" applyBorder="1" applyAlignment="1">
      <alignment horizontal="center"/>
    </xf>
    <xf numFmtId="0" fontId="133" fillId="0" borderId="173" xfId="0" applyFont="1" applyBorder="1"/>
    <xf numFmtId="0" fontId="133" fillId="0" borderId="174" xfId="0" applyFont="1" applyBorder="1"/>
    <xf numFmtId="2" fontId="133" fillId="0" borderId="174" xfId="0" applyNumberFormat="1" applyFont="1" applyBorder="1"/>
    <xf numFmtId="1" fontId="133" fillId="0" borderId="175" xfId="0" applyNumberFormat="1" applyFont="1" applyBorder="1"/>
    <xf numFmtId="0" fontId="132" fillId="46" borderId="176" xfId="0" applyFont="1" applyFill="1" applyBorder="1" applyAlignment="1">
      <alignment horizontal="center"/>
    </xf>
    <xf numFmtId="0" fontId="132" fillId="46" borderId="177" xfId="0" applyFont="1" applyFill="1" applyBorder="1" applyAlignment="1">
      <alignment horizontal="center"/>
    </xf>
    <xf numFmtId="0" fontId="132" fillId="46" borderId="180" xfId="0" applyFont="1" applyFill="1" applyBorder="1" applyAlignment="1">
      <alignment horizontal="center"/>
    </xf>
    <xf numFmtId="0" fontId="133" fillId="46" borderId="181" xfId="0" applyFont="1" applyFill="1" applyBorder="1" applyAlignment="1">
      <alignment horizontal="center"/>
    </xf>
    <xf numFmtId="0" fontId="132" fillId="46" borderId="182" xfId="0" applyFont="1" applyFill="1" applyBorder="1" applyAlignment="1">
      <alignment horizontal="center"/>
    </xf>
    <xf numFmtId="0" fontId="132" fillId="46" borderId="183" xfId="0" applyFont="1" applyFill="1" applyBorder="1" applyAlignment="1">
      <alignment horizontal="center"/>
    </xf>
    <xf numFmtId="0" fontId="132" fillId="46" borderId="184" xfId="0" applyFont="1" applyFill="1" applyBorder="1" applyAlignment="1">
      <alignment horizontal="center"/>
    </xf>
    <xf numFmtId="0" fontId="109" fillId="0" borderId="150" xfId="0" applyFont="1" applyBorder="1" applyAlignment="1"/>
    <xf numFmtId="0" fontId="0" fillId="0" borderId="0" xfId="0" applyAlignment="1"/>
    <xf numFmtId="14" fontId="127" fillId="0" borderId="0" xfId="0" applyNumberFormat="1" applyFont="1" applyAlignment="1">
      <alignment horizontal="left"/>
    </xf>
    <xf numFmtId="182" fontId="128" fillId="0" borderId="0" xfId="0" applyNumberFormat="1" applyFont="1" applyBorder="1" applyAlignment="1"/>
    <xf numFmtId="0" fontId="103" fillId="0" borderId="150" xfId="0" applyFont="1" applyBorder="1" applyAlignment="1">
      <alignment wrapText="1"/>
    </xf>
    <xf numFmtId="0" fontId="2" fillId="0" borderId="151" xfId="0" applyFont="1" applyBorder="1" applyAlignment="1"/>
    <xf numFmtId="0" fontId="1" fillId="0" borderId="0" xfId="0" applyFont="1" applyAlignment="1"/>
    <xf numFmtId="0" fontId="2" fillId="0" borderId="22" xfId="0" applyFont="1" applyBorder="1" applyAlignment="1">
      <alignment horizontal="center" vertical="center" wrapText="1"/>
    </xf>
    <xf numFmtId="0" fontId="0" fillId="0" borderId="0" xfId="0"/>
    <xf numFmtId="0" fontId="2" fillId="0" borderId="0" xfId="0" applyFont="1"/>
    <xf numFmtId="0" fontId="2" fillId="0" borderId="0" xfId="0" applyFont="1" applyAlignment="1">
      <alignment horizontal="center"/>
    </xf>
    <xf numFmtId="0" fontId="0" fillId="0" borderId="0" xfId="0"/>
    <xf numFmtId="0" fontId="0" fillId="0" borderId="0" xfId="0" applyBorder="1"/>
    <xf numFmtId="9" fontId="0" fillId="0" borderId="0" xfId="75" applyFont="1"/>
    <xf numFmtId="184" fontId="90" fillId="42" borderId="13" xfId="41" applyNumberFormat="1" applyFill="1" applyBorder="1" applyAlignment="1" applyProtection="1"/>
    <xf numFmtId="187" fontId="90" fillId="47" borderId="100" xfId="41" applyNumberFormat="1" applyFill="1" applyBorder="1" applyAlignment="1" applyProtection="1">
      <alignment horizontal="center" vertical="center"/>
    </xf>
    <xf numFmtId="187" fontId="90" fillId="47" borderId="100" xfId="41" applyNumberFormat="1" applyFill="1" applyBorder="1" applyAlignment="1" applyProtection="1">
      <alignment horizontal="center"/>
    </xf>
    <xf numFmtId="187" fontId="90" fillId="47" borderId="100" xfId="41" applyNumberFormat="1" applyFill="1" applyBorder="1" applyAlignment="1" applyProtection="1"/>
    <xf numFmtId="0" fontId="103" fillId="0" borderId="13" xfId="0" applyFont="1" applyBorder="1" applyAlignment="1">
      <alignment horizontal="center" vertical="center" wrapText="1"/>
    </xf>
    <xf numFmtId="0" fontId="21" fillId="35" borderId="29" xfId="59" applyFont="1" applyFill="1" applyBorder="1" applyAlignment="1">
      <alignment vertical="center" wrapText="1"/>
    </xf>
    <xf numFmtId="0" fontId="2" fillId="0" borderId="0" xfId="0" applyFont="1"/>
    <xf numFmtId="0" fontId="103" fillId="55" borderId="113" xfId="0" applyFont="1" applyFill="1" applyBorder="1"/>
    <xf numFmtId="0" fontId="126" fillId="0" borderId="133" xfId="0" applyFont="1" applyBorder="1" applyAlignment="1">
      <alignment horizontal="center" vertical="center"/>
    </xf>
    <xf numFmtId="0" fontId="103" fillId="0" borderId="133" xfId="0" applyFont="1" applyBorder="1" applyAlignment="1">
      <alignment horizontal="center" wrapText="1"/>
    </xf>
    <xf numFmtId="0" fontId="103" fillId="0" borderId="140" xfId="0" applyFont="1" applyBorder="1" applyAlignment="1">
      <alignment horizontal="center" vertical="center" wrapText="1"/>
    </xf>
    <xf numFmtId="0" fontId="103" fillId="0" borderId="133" xfId="0" applyFont="1" applyBorder="1" applyAlignment="1">
      <alignment horizontal="center" vertical="center"/>
    </xf>
    <xf numFmtId="0" fontId="103" fillId="0" borderId="161" xfId="0" applyFont="1" applyBorder="1"/>
    <xf numFmtId="0" fontId="125" fillId="0" borderId="112" xfId="0" applyFont="1" applyBorder="1" applyAlignment="1">
      <alignment vertical="top" wrapText="1"/>
    </xf>
    <xf numFmtId="0" fontId="103" fillId="0" borderId="185" xfId="0" applyFont="1" applyBorder="1" applyAlignment="1">
      <alignment horizontal="center"/>
    </xf>
    <xf numFmtId="0" fontId="103" fillId="0" borderId="157" xfId="0" applyFont="1" applyBorder="1" applyAlignment="1">
      <alignment horizontal="center"/>
    </xf>
    <xf numFmtId="0" fontId="103" fillId="50" borderId="164" xfId="0" applyFont="1" applyFill="1" applyBorder="1"/>
    <xf numFmtId="0" fontId="103" fillId="0" borderId="164" xfId="0" applyFont="1" applyBorder="1" applyAlignment="1">
      <alignment horizontal="center" vertical="center"/>
    </xf>
    <xf numFmtId="0" fontId="103" fillId="0" borderId="154" xfId="0" applyFont="1" applyBorder="1"/>
    <xf numFmtId="0" fontId="103" fillId="0" borderId="164" xfId="0" applyFont="1" applyBorder="1"/>
    <xf numFmtId="0" fontId="103" fillId="0" borderId="154" xfId="0" applyFont="1" applyBorder="1" applyAlignment="1">
      <alignment horizontal="center" vertical="center"/>
    </xf>
    <xf numFmtId="0" fontId="103" fillId="0" borderId="186" xfId="0" applyFont="1" applyBorder="1"/>
    <xf numFmtId="0" fontId="103" fillId="0" borderId="167" xfId="0" applyFont="1" applyBorder="1"/>
    <xf numFmtId="0" fontId="90" fillId="0" borderId="0" xfId="41" applyAlignment="1" applyProtection="1">
      <alignment horizontal="center"/>
    </xf>
    <xf numFmtId="0" fontId="2" fillId="0" borderId="22" xfId="0" applyFont="1" applyBorder="1" applyAlignment="1">
      <alignment horizontal="center" vertical="center" wrapText="1"/>
    </xf>
    <xf numFmtId="0" fontId="2" fillId="0" borderId="61" xfId="0" applyFont="1" applyBorder="1" applyAlignment="1">
      <alignment horizontal="center" vertical="center" wrapText="1"/>
    </xf>
    <xf numFmtId="0" fontId="2" fillId="0" borderId="0" xfId="0" applyFont="1"/>
    <xf numFmtId="0" fontId="2" fillId="0" borderId="0" xfId="0" applyFont="1" applyFill="1" applyBorder="1" applyAlignment="1">
      <alignment horizontal="center" vertical="center" wrapText="1"/>
    </xf>
    <xf numFmtId="0" fontId="103" fillId="0" borderId="99" xfId="0" applyFont="1" applyBorder="1" applyAlignment="1">
      <alignment horizontal="center"/>
    </xf>
    <xf numFmtId="0" fontId="114" fillId="0" borderId="99" xfId="0" applyFont="1" applyBorder="1" applyAlignment="1">
      <alignment horizontal="center"/>
    </xf>
    <xf numFmtId="164" fontId="90" fillId="0" borderId="113" xfId="41" applyNumberFormat="1" applyBorder="1" applyAlignment="1" applyProtection="1"/>
    <xf numFmtId="187" fontId="90" fillId="47" borderId="113" xfId="41" applyNumberFormat="1" applyFill="1" applyBorder="1" applyAlignment="1" applyProtection="1">
      <alignment horizontal="center" vertical="center"/>
    </xf>
    <xf numFmtId="0" fontId="2" fillId="34" borderId="0" xfId="0" applyFont="1" applyFill="1" applyAlignment="1">
      <alignment horizontal="center" vertical="center" wrapText="1"/>
    </xf>
    <xf numFmtId="0" fontId="0" fillId="0" borderId="62" xfId="0" applyBorder="1" applyAlignment="1">
      <alignment horizontal="center" vertical="center" wrapText="1"/>
    </xf>
    <xf numFmtId="0" fontId="0" fillId="0" borderId="44" xfId="0" applyBorder="1" applyAlignment="1">
      <alignment horizontal="center" vertical="center" wrapText="1"/>
    </xf>
    <xf numFmtId="0" fontId="0" fillId="0" borderId="49" xfId="0" applyBorder="1" applyAlignment="1">
      <alignment horizontal="center" vertical="center" wrapText="1"/>
    </xf>
    <xf numFmtId="0" fontId="0" fillId="0" borderId="0" xfId="0"/>
    <xf numFmtId="0" fontId="103" fillId="0" borderId="0" xfId="0" applyFont="1" applyAlignment="1">
      <alignment horizontal="center"/>
    </xf>
    <xf numFmtId="0" fontId="0" fillId="0" borderId="50" xfId="0" applyBorder="1" applyAlignment="1">
      <alignment horizontal="center" vertical="center" wrapText="1"/>
    </xf>
    <xf numFmtId="0" fontId="103" fillId="0" borderId="0" xfId="0" applyFont="1" applyAlignment="1">
      <alignment horizontal="left"/>
    </xf>
    <xf numFmtId="187" fontId="106" fillId="52" borderId="0" xfId="0" applyNumberFormat="1" applyFont="1" applyFill="1" applyAlignment="1">
      <alignment horizontal="center"/>
    </xf>
    <xf numFmtId="183" fontId="90" fillId="49" borderId="101" xfId="41" applyNumberFormat="1" applyFill="1" applyBorder="1" applyAlignment="1" applyProtection="1">
      <alignment vertical="center"/>
    </xf>
    <xf numFmtId="187" fontId="106" fillId="47" borderId="99" xfId="0" applyNumberFormat="1" applyFont="1" applyFill="1" applyBorder="1" applyAlignment="1">
      <alignment horizontal="center" vertical="center"/>
    </xf>
    <xf numFmtId="42" fontId="90" fillId="42" borderId="13" xfId="41" applyNumberFormat="1" applyFill="1" applyBorder="1" applyAlignment="1" applyProtection="1"/>
    <xf numFmtId="3" fontId="90" fillId="35" borderId="13" xfId="41" applyNumberFormat="1" applyFill="1" applyBorder="1" applyAlignment="1" applyProtection="1">
      <alignment horizontal="center" vertical="center" wrapText="1"/>
    </xf>
    <xf numFmtId="0" fontId="8" fillId="0" borderId="22" xfId="0" applyFont="1" applyBorder="1" applyAlignment="1">
      <alignment horizontal="center" vertical="center" wrapText="1"/>
    </xf>
    <xf numFmtId="0" fontId="0" fillId="0" borderId="103" xfId="0" applyBorder="1" applyAlignment="1">
      <alignment horizontal="center" vertical="center" wrapText="1"/>
    </xf>
    <xf numFmtId="0" fontId="8" fillId="0" borderId="61" xfId="0" applyFont="1" applyBorder="1" applyAlignment="1">
      <alignment horizontal="justify" vertical="center" wrapText="1"/>
    </xf>
    <xf numFmtId="0" fontId="2" fillId="0" borderId="133" xfId="0" applyFont="1" applyBorder="1" applyAlignment="1">
      <alignment horizontal="center" vertical="center" wrapText="1"/>
    </xf>
    <xf numFmtId="0" fontId="0" fillId="0" borderId="133" xfId="0" applyBorder="1" applyAlignment="1">
      <alignment horizontal="left" vertical="center" wrapText="1"/>
    </xf>
    <xf numFmtId="42" fontId="90" fillId="0" borderId="13" xfId="41" applyNumberFormat="1" applyBorder="1" applyAlignment="1" applyProtection="1">
      <alignment horizontal="center" vertical="center"/>
    </xf>
    <xf numFmtId="187" fontId="90" fillId="0" borderId="100" xfId="41" applyNumberFormat="1" applyBorder="1" applyAlignment="1" applyProtection="1">
      <alignment horizontal="center"/>
    </xf>
    <xf numFmtId="0" fontId="2" fillId="0" borderId="0" xfId="0" applyFont="1" applyFill="1" applyBorder="1"/>
    <xf numFmtId="189" fontId="103" fillId="0" borderId="13" xfId="0" applyNumberFormat="1" applyFont="1" applyBorder="1"/>
    <xf numFmtId="42" fontId="90" fillId="0" borderId="13" xfId="41" applyNumberFormat="1" applyBorder="1" applyAlignment="1" applyProtection="1"/>
    <xf numFmtId="0" fontId="90" fillId="0" borderId="0" xfId="41" quotePrefix="1" applyAlignment="1" applyProtection="1">
      <alignment horizontal="left"/>
    </xf>
    <xf numFmtId="0" fontId="90" fillId="0" borderId="0" xfId="41" applyAlignment="1" applyProtection="1">
      <alignment horizontal="left"/>
    </xf>
    <xf numFmtId="0" fontId="9" fillId="24" borderId="23" xfId="0" applyFont="1" applyFill="1" applyBorder="1" applyAlignment="1">
      <alignment horizontal="center" vertical="center"/>
    </xf>
    <xf numFmtId="42" fontId="103" fillId="0" borderId="0" xfId="0" applyNumberFormat="1" applyFont="1" applyAlignment="1">
      <alignment horizontal="center"/>
    </xf>
    <xf numFmtId="191" fontId="90" fillId="47" borderId="100" xfId="41" applyNumberFormat="1" applyFill="1" applyBorder="1" applyAlignment="1" applyProtection="1">
      <alignment horizontal="center"/>
    </xf>
    <xf numFmtId="4" fontId="2" fillId="0" borderId="13" xfId="0" applyNumberFormat="1" applyFont="1" applyBorder="1" applyAlignment="1">
      <alignment horizontal="center" vertical="center"/>
    </xf>
    <xf numFmtId="184" fontId="2" fillId="0" borderId="13" xfId="0" applyNumberFormat="1" applyFont="1" applyBorder="1" applyAlignment="1">
      <alignment horizontal="center" vertical="center"/>
    </xf>
    <xf numFmtId="184" fontId="2" fillId="0" borderId="29" xfId="50" applyNumberFormat="1" applyFont="1" applyBorder="1" applyAlignment="1">
      <alignment horizontal="center" vertical="center"/>
    </xf>
    <xf numFmtId="42" fontId="0" fillId="0" borderId="0" xfId="0" applyNumberFormat="1"/>
    <xf numFmtId="0" fontId="139" fillId="56" borderId="0" xfId="87"/>
    <xf numFmtId="189" fontId="0" fillId="0" borderId="0" xfId="0" applyNumberFormat="1"/>
    <xf numFmtId="42" fontId="90" fillId="0" borderId="13" xfId="41" quotePrefix="1" applyNumberFormat="1" applyBorder="1" applyAlignment="1" applyProtection="1">
      <alignment horizontal="center" vertical="center" wrapText="1"/>
    </xf>
    <xf numFmtId="0" fontId="90" fillId="0" borderId="0" xfId="41" quotePrefix="1" applyAlignment="1" applyProtection="1"/>
    <xf numFmtId="42" fontId="90" fillId="0" borderId="44" xfId="41" quotePrefix="1" applyNumberFormat="1" applyBorder="1" applyAlignment="1" applyProtection="1">
      <alignment horizontal="center" vertical="center" wrapText="1"/>
    </xf>
    <xf numFmtId="168" fontId="90" fillId="0" borderId="13" xfId="51" quotePrefix="1" applyFont="1" applyBorder="1" applyAlignment="1" applyProtection="1">
      <alignment horizontal="center" wrapText="1"/>
    </xf>
    <xf numFmtId="0" fontId="0" fillId="0" borderId="0" xfId="0"/>
    <xf numFmtId="164" fontId="103" fillId="0" borderId="100" xfId="0" applyNumberFormat="1" applyFont="1" applyBorder="1" applyAlignment="1">
      <alignment horizontal="center" vertical="center"/>
    </xf>
    <xf numFmtId="164" fontId="103" fillId="0" borderId="100" xfId="0" applyNumberFormat="1" applyFont="1" applyBorder="1" applyAlignment="1">
      <alignment vertical="center"/>
    </xf>
    <xf numFmtId="0" fontId="0" fillId="0" borderId="0" xfId="0"/>
    <xf numFmtId="14" fontId="103" fillId="0" borderId="132" xfId="0" applyNumberFormat="1" applyFont="1" applyBorder="1" applyAlignment="1">
      <alignment horizontal="center" vertical="center" wrapText="1"/>
    </xf>
    <xf numFmtId="0" fontId="103" fillId="0" borderId="103" xfId="0" applyFont="1" applyBorder="1" applyAlignment="1">
      <alignment horizontal="center" vertical="center" wrapText="1"/>
    </xf>
    <xf numFmtId="0" fontId="103" fillId="0" borderId="121" xfId="0" applyFont="1" applyBorder="1" applyAlignment="1">
      <alignment horizontal="center" vertical="center" wrapText="1"/>
    </xf>
    <xf numFmtId="189" fontId="103" fillId="0" borderId="100" xfId="0" applyNumberFormat="1" applyFont="1" applyBorder="1" applyAlignment="1">
      <alignment horizontal="center" vertical="center" wrapText="1"/>
    </xf>
    <xf numFmtId="20" fontId="2" fillId="0" borderId="13" xfId="0" applyNumberFormat="1" applyFont="1" applyBorder="1" applyAlignment="1">
      <alignment horizontal="center" vertical="center"/>
    </xf>
    <xf numFmtId="0" fontId="103" fillId="50" borderId="188" xfId="0" applyFont="1" applyFill="1" applyBorder="1"/>
    <xf numFmtId="0" fontId="106" fillId="0" borderId="13" xfId="0" applyFont="1" applyBorder="1" applyAlignment="1">
      <alignment horizontal="center"/>
    </xf>
    <xf numFmtId="0" fontId="32" fillId="0" borderId="13" xfId="72" applyFont="1" applyBorder="1" applyAlignment="1">
      <alignment horizontal="center" vertical="center" wrapText="1"/>
    </xf>
    <xf numFmtId="0" fontId="2" fillId="0" borderId="13" xfId="0" applyFont="1" applyBorder="1"/>
    <xf numFmtId="0" fontId="126" fillId="0" borderId="147" xfId="0" applyFont="1" applyBorder="1" applyAlignment="1">
      <alignment horizontal="center" vertical="center" wrapText="1"/>
    </xf>
    <xf numFmtId="0" fontId="126" fillId="0" borderId="0" xfId="0" applyFont="1" applyBorder="1" applyAlignment="1">
      <alignment horizontal="center" vertical="center" wrapText="1"/>
    </xf>
    <xf numFmtId="0" fontId="0" fillId="0" borderId="0" xfId="0"/>
    <xf numFmtId="0" fontId="2" fillId="0" borderId="0" xfId="0" applyFont="1" applyBorder="1" applyAlignment="1">
      <alignment horizontal="center" vertical="center" wrapText="1"/>
    </xf>
    <xf numFmtId="0" fontId="9" fillId="24" borderId="75" xfId="0" applyFont="1" applyFill="1" applyBorder="1" applyAlignment="1">
      <alignment horizontal="center" vertical="center"/>
    </xf>
    <xf numFmtId="0" fontId="9" fillId="24" borderId="69" xfId="0" applyFont="1" applyFill="1" applyBorder="1" applyAlignment="1">
      <alignment horizontal="center" vertical="center"/>
    </xf>
    <xf numFmtId="0" fontId="9" fillId="24" borderId="83" xfId="0" applyFont="1" applyFill="1" applyBorder="1" applyAlignment="1">
      <alignment horizontal="center" vertical="center"/>
    </xf>
    <xf numFmtId="0" fontId="103" fillId="0" borderId="13" xfId="0" applyFont="1" applyBorder="1" applyAlignment="1">
      <alignment horizontal="center" vertical="center"/>
    </xf>
    <xf numFmtId="0" fontId="8" fillId="35" borderId="13" xfId="0" applyFont="1" applyFill="1" applyBorder="1" applyAlignment="1">
      <alignment horizontal="center" vertical="center" wrapText="1"/>
    </xf>
    <xf numFmtId="0" fontId="103" fillId="35" borderId="13" xfId="0" applyFont="1" applyFill="1" applyBorder="1" applyAlignment="1">
      <alignment horizontal="center" vertical="center" wrapText="1"/>
    </xf>
    <xf numFmtId="0" fontId="0" fillId="0" borderId="113" xfId="0" applyBorder="1" applyAlignment="1">
      <alignment horizontal="center" vertical="center"/>
    </xf>
    <xf numFmtId="14" fontId="126" fillId="0" borderId="186" xfId="0" applyNumberFormat="1" applyFont="1" applyBorder="1" applyAlignment="1">
      <alignment horizontal="center" vertical="center" wrapText="1"/>
    </xf>
    <xf numFmtId="20" fontId="126" fillId="0" borderId="123" xfId="0" applyNumberFormat="1" applyFont="1" applyBorder="1" applyAlignment="1">
      <alignment horizontal="center" vertical="center"/>
    </xf>
    <xf numFmtId="49" fontId="126" fillId="0" borderId="123" xfId="0" applyNumberFormat="1" applyFont="1" applyBorder="1" applyAlignment="1">
      <alignment horizontal="center" vertical="center"/>
    </xf>
    <xf numFmtId="0" fontId="126" fillId="0" borderId="123" xfId="0" applyFont="1" applyBorder="1" applyAlignment="1">
      <alignment horizontal="center" vertical="center"/>
    </xf>
    <xf numFmtId="0" fontId="126" fillId="0" borderId="0" xfId="0" applyFont="1" applyBorder="1" applyAlignment="1">
      <alignment horizontal="center" vertical="center"/>
    </xf>
    <xf numFmtId="0" fontId="126" fillId="0" borderId="123" xfId="0" applyFont="1" applyBorder="1" applyAlignment="1">
      <alignment horizontal="center" vertical="center" wrapText="1"/>
    </xf>
    <xf numFmtId="0" fontId="126" fillId="0" borderId="166" xfId="0" applyFont="1" applyBorder="1" applyAlignment="1">
      <alignment horizontal="center" vertical="center" wrapText="1"/>
    </xf>
    <xf numFmtId="0" fontId="106" fillId="0" borderId="13" xfId="0" applyFont="1" applyBorder="1" applyAlignment="1">
      <alignment horizontal="center" vertical="center" wrapText="1"/>
    </xf>
    <xf numFmtId="15" fontId="103" fillId="0" borderId="13" xfId="0" applyNumberFormat="1" applyFont="1" applyBorder="1" applyAlignment="1">
      <alignment horizontal="center" vertical="center" wrapText="1"/>
    </xf>
    <xf numFmtId="181" fontId="103" fillId="0" borderId="13" xfId="0" applyNumberFormat="1" applyFont="1" applyBorder="1" applyAlignment="1">
      <alignment vertical="center"/>
    </xf>
    <xf numFmtId="14" fontId="103" fillId="0" borderId="13" xfId="0" applyNumberFormat="1" applyFont="1" applyBorder="1" applyAlignment="1">
      <alignment horizontal="center" vertical="center"/>
    </xf>
    <xf numFmtId="168" fontId="103" fillId="0" borderId="13" xfId="0" applyNumberFormat="1" applyFont="1" applyBorder="1" applyAlignment="1">
      <alignment horizontal="center" vertical="center"/>
    </xf>
    <xf numFmtId="14" fontId="103" fillId="35" borderId="13" xfId="0" applyNumberFormat="1" applyFont="1" applyFill="1" applyBorder="1" applyAlignment="1">
      <alignment horizontal="center" vertical="center"/>
    </xf>
    <xf numFmtId="0" fontId="103" fillId="0" borderId="13" xfId="0" applyFont="1" applyBorder="1" applyAlignment="1">
      <alignment horizontal="center" wrapText="1"/>
    </xf>
    <xf numFmtId="0" fontId="106" fillId="0" borderId="13" xfId="0" applyFont="1" applyBorder="1"/>
    <xf numFmtId="0" fontId="103" fillId="0" borderId="13" xfId="0" applyFont="1" applyBorder="1"/>
    <xf numFmtId="0" fontId="103" fillId="0" borderId="13" xfId="0" applyFont="1" applyBorder="1" applyAlignment="1">
      <alignment horizontal="center"/>
    </xf>
    <xf numFmtId="0" fontId="7" fillId="0" borderId="0" xfId="0" applyFont="1" applyAlignment="1">
      <alignment horizontal="center" vertical="center"/>
    </xf>
    <xf numFmtId="0" fontId="56" fillId="0" borderId="0" xfId="0" applyFont="1" applyAlignment="1">
      <alignment horizontal="center"/>
    </xf>
    <xf numFmtId="0" fontId="46" fillId="0" borderId="0" xfId="0" applyFont="1" applyAlignment="1">
      <alignment horizontal="center" vertical="center"/>
    </xf>
    <xf numFmtId="0" fontId="20" fillId="0" borderId="0" xfId="0" applyFont="1" applyAlignment="1">
      <alignment horizontal="center"/>
    </xf>
    <xf numFmtId="0" fontId="54" fillId="0" borderId="0" xfId="0" applyFont="1" applyAlignment="1">
      <alignment horizontal="center"/>
    </xf>
    <xf numFmtId="0" fontId="45" fillId="0" borderId="0" xfId="0" applyFont="1" applyAlignment="1">
      <alignment horizontal="center" vertical="center"/>
    </xf>
    <xf numFmtId="0" fontId="7" fillId="0" borderId="0" xfId="0" applyFont="1" applyAlignment="1">
      <alignment horizontal="center"/>
    </xf>
    <xf numFmtId="0" fontId="45" fillId="0" borderId="0" xfId="0" applyFont="1" applyAlignment="1">
      <alignment horizontal="center"/>
    </xf>
    <xf numFmtId="0" fontId="22" fillId="0" borderId="0" xfId="0" applyFont="1" applyAlignment="1">
      <alignment horizontal="center"/>
    </xf>
    <xf numFmtId="0" fontId="46" fillId="0" borderId="0" xfId="0" applyFont="1" applyAlignment="1">
      <alignment horizontal="center"/>
    </xf>
    <xf numFmtId="0" fontId="5" fillId="0" borderId="0" xfId="0" applyFont="1" applyAlignment="1">
      <alignment horizontal="center"/>
    </xf>
    <xf numFmtId="0" fontId="38" fillId="0" borderId="0" xfId="0" applyFont="1" applyAlignment="1">
      <alignment horizontal="center"/>
    </xf>
    <xf numFmtId="0" fontId="16" fillId="0" borderId="0" xfId="0" applyFont="1" applyAlignment="1">
      <alignment horizontal="center"/>
    </xf>
    <xf numFmtId="0" fontId="5" fillId="0" borderId="0" xfId="0" applyFont="1" applyAlignment="1">
      <alignment horizontal="left" vertical="center" wrapText="1"/>
    </xf>
    <xf numFmtId="0" fontId="5" fillId="0" borderId="26" xfId="0" applyFont="1" applyBorder="1" applyAlignment="1">
      <alignment horizontal="left" vertical="center" wrapText="1"/>
    </xf>
    <xf numFmtId="0" fontId="42" fillId="0" borderId="0" xfId="0" applyFont="1" applyAlignment="1">
      <alignment horizontal="center"/>
    </xf>
    <xf numFmtId="0" fontId="43" fillId="0" borderId="0" xfId="0" applyFont="1" applyAlignment="1">
      <alignment horizontal="center"/>
    </xf>
    <xf numFmtId="0" fontId="90" fillId="0" borderId="0" xfId="41" applyAlignment="1" applyProtection="1">
      <alignment horizontal="center"/>
    </xf>
    <xf numFmtId="17" fontId="21" fillId="0" borderId="0" xfId="0" applyNumberFormat="1" applyFont="1" applyAlignment="1">
      <alignment horizontal="center" vertical="top" wrapText="1"/>
    </xf>
    <xf numFmtId="17" fontId="21" fillId="0" borderId="27" xfId="0" applyNumberFormat="1" applyFont="1" applyBorder="1" applyAlignment="1">
      <alignment horizontal="center" vertical="top" wrapText="1"/>
    </xf>
    <xf numFmtId="0" fontId="0" fillId="0" borderId="10" xfId="0" applyBorder="1" applyAlignment="1">
      <alignment horizontal="center"/>
    </xf>
    <xf numFmtId="0" fontId="34" fillId="0" borderId="22" xfId="0" applyFont="1" applyBorder="1" applyAlignment="1">
      <alignment horizontal="center"/>
    </xf>
    <xf numFmtId="0" fontId="34" fillId="0" borderId="12" xfId="0" applyFont="1" applyBorder="1" applyAlignment="1">
      <alignment horizontal="center"/>
    </xf>
    <xf numFmtId="0" fontId="38" fillId="0" borderId="0" xfId="0" applyFont="1" applyAlignment="1">
      <alignment horizontal="center" wrapText="1"/>
    </xf>
    <xf numFmtId="0" fontId="16" fillId="0" borderId="0" xfId="0" applyFont="1" applyAlignment="1">
      <alignment horizontal="center" wrapText="1"/>
    </xf>
    <xf numFmtId="0" fontId="22" fillId="0" borderId="0" xfId="0" applyFont="1" applyAlignment="1">
      <alignment horizontal="center" wrapText="1"/>
    </xf>
    <xf numFmtId="0" fontId="0" fillId="0" borderId="69" xfId="0" applyBorder="1" applyAlignment="1">
      <alignment horizontal="center" vertical="center"/>
    </xf>
    <xf numFmtId="0" fontId="0" fillId="0" borderId="49" xfId="0" applyBorder="1" applyAlignment="1">
      <alignment horizontal="center" vertical="center"/>
    </xf>
    <xf numFmtId="0" fontId="0" fillId="0" borderId="54" xfId="0" applyBorder="1" applyAlignment="1">
      <alignment horizontal="center" vertical="center"/>
    </xf>
    <xf numFmtId="0" fontId="2" fillId="0" borderId="69" xfId="0" applyFont="1" applyBorder="1" applyAlignment="1">
      <alignment horizontal="center" vertical="center" wrapText="1"/>
    </xf>
    <xf numFmtId="0" fontId="0" fillId="0" borderId="49" xfId="0" applyBorder="1" applyAlignment="1">
      <alignment horizontal="center" vertical="center" wrapText="1"/>
    </xf>
    <xf numFmtId="0" fontId="0" fillId="0" borderId="54" xfId="0" applyBorder="1" applyAlignment="1">
      <alignment horizontal="center" vertical="center" wrapText="1"/>
    </xf>
    <xf numFmtId="0" fontId="0" fillId="0" borderId="69" xfId="0" applyBorder="1" applyAlignment="1">
      <alignment horizontal="center" vertical="center" wrapText="1"/>
    </xf>
    <xf numFmtId="0" fontId="2" fillId="0" borderId="49" xfId="0" applyFont="1" applyBorder="1" applyAlignment="1">
      <alignment horizontal="center" vertical="center" wrapText="1"/>
    </xf>
    <xf numFmtId="0" fontId="31" fillId="24" borderId="51" xfId="0" applyFont="1" applyFill="1" applyBorder="1" applyAlignment="1">
      <alignment horizontal="center" vertical="center"/>
    </xf>
    <xf numFmtId="0" fontId="31" fillId="24" borderId="50" xfId="0" applyFont="1" applyFill="1" applyBorder="1" applyAlignment="1">
      <alignment horizontal="center" vertical="center"/>
    </xf>
    <xf numFmtId="0" fontId="31" fillId="24" borderId="49" xfId="0" applyFont="1" applyFill="1" applyBorder="1" applyAlignment="1">
      <alignment horizontal="center" vertical="center"/>
    </xf>
    <xf numFmtId="2" fontId="0" fillId="0" borderId="23" xfId="0" applyNumberFormat="1" applyBorder="1" applyAlignment="1">
      <alignment horizontal="center" vertical="center" wrapText="1"/>
    </xf>
    <xf numFmtId="2" fontId="0" fillId="0" borderId="18" xfId="0" applyNumberFormat="1" applyBorder="1" applyAlignment="1">
      <alignment horizontal="center" vertical="center" wrapText="1"/>
    </xf>
    <xf numFmtId="0" fontId="0" fillId="0" borderId="62" xfId="0" applyBorder="1" applyAlignment="1">
      <alignment horizontal="center" vertical="center" wrapText="1"/>
    </xf>
    <xf numFmtId="0" fontId="0" fillId="0" borderId="44" xfId="0" applyBorder="1" applyAlignment="1">
      <alignment horizontal="center" vertical="center" wrapText="1"/>
    </xf>
    <xf numFmtId="0" fontId="2" fillId="0" borderId="54" xfId="0" applyFont="1" applyBorder="1" applyAlignment="1">
      <alignment horizontal="center" vertical="center" wrapText="1"/>
    </xf>
    <xf numFmtId="0" fontId="2" fillId="0" borderId="69" xfId="0" applyFont="1" applyBorder="1" applyAlignment="1">
      <alignment horizontal="center" vertical="center"/>
    </xf>
    <xf numFmtId="0" fontId="2" fillId="0" borderId="49" xfId="0" applyFont="1" applyBorder="1" applyAlignment="1">
      <alignment horizontal="center" vertical="center"/>
    </xf>
    <xf numFmtId="9" fontId="21" fillId="0" borderId="21" xfId="69" applyNumberFormat="1" applyFont="1" applyBorder="1" applyAlignment="1">
      <alignment horizontal="center" vertical="center" wrapText="1"/>
    </xf>
    <xf numFmtId="9" fontId="21" fillId="0" borderId="12" xfId="69" applyNumberFormat="1" applyFont="1" applyBorder="1" applyAlignment="1">
      <alignment horizontal="center" vertical="center" wrapText="1"/>
    </xf>
    <xf numFmtId="49" fontId="30" fillId="0" borderId="70" xfId="69" applyNumberFormat="1" applyFont="1" applyBorder="1" applyAlignment="1">
      <alignment horizontal="center"/>
    </xf>
    <xf numFmtId="49" fontId="30" fillId="0" borderId="24" xfId="69" applyNumberFormat="1" applyFont="1" applyBorder="1" applyAlignment="1">
      <alignment horizontal="center"/>
    </xf>
    <xf numFmtId="49" fontId="30" fillId="0" borderId="76" xfId="69" applyNumberFormat="1" applyFont="1" applyBorder="1" applyAlignment="1">
      <alignment horizontal="center"/>
    </xf>
    <xf numFmtId="49" fontId="30" fillId="0" borderId="15" xfId="69" applyNumberFormat="1" applyFont="1" applyBorder="1" applyAlignment="1">
      <alignment horizontal="center"/>
    </xf>
    <xf numFmtId="49" fontId="30" fillId="0" borderId="10" xfId="69" applyNumberFormat="1" applyFont="1" applyBorder="1" applyAlignment="1">
      <alignment horizontal="center"/>
    </xf>
    <xf numFmtId="49" fontId="30" fillId="0" borderId="11" xfId="69" applyNumberFormat="1" applyFont="1" applyBorder="1" applyAlignment="1">
      <alignment horizontal="center"/>
    </xf>
    <xf numFmtId="49" fontId="30" fillId="0" borderId="25" xfId="69" applyNumberFormat="1" applyFont="1" applyBorder="1" applyAlignment="1">
      <alignment horizontal="center"/>
    </xf>
    <xf numFmtId="49" fontId="30" fillId="0" borderId="72" xfId="69" applyNumberFormat="1" applyFont="1" applyBorder="1" applyAlignment="1">
      <alignment horizontal="center"/>
    </xf>
    <xf numFmtId="1" fontId="3" fillId="0" borderId="17" xfId="71" applyNumberFormat="1" applyFont="1" applyBorder="1" applyAlignment="1">
      <alignment horizontal="right"/>
    </xf>
    <xf numFmtId="1" fontId="3" fillId="0" borderId="0" xfId="71" applyNumberFormat="1" applyFont="1" applyAlignment="1">
      <alignment horizontal="right"/>
    </xf>
    <xf numFmtId="1" fontId="3" fillId="0" borderId="26" xfId="71" applyNumberFormat="1" applyFont="1" applyBorder="1" applyAlignment="1">
      <alignment horizontal="right"/>
    </xf>
    <xf numFmtId="9" fontId="26" fillId="0" borderId="31" xfId="69" applyNumberFormat="1" applyFont="1" applyBorder="1" applyAlignment="1">
      <alignment horizontal="center" vertical="center" wrapText="1"/>
    </xf>
    <xf numFmtId="9" fontId="26" fillId="0" borderId="21" xfId="69" applyNumberFormat="1" applyFont="1" applyBorder="1" applyAlignment="1">
      <alignment horizontal="center" vertical="center" wrapText="1"/>
    </xf>
    <xf numFmtId="9" fontId="26" fillId="0" borderId="12" xfId="69" applyNumberFormat="1" applyFont="1" applyBorder="1" applyAlignment="1">
      <alignment horizontal="center" vertical="center" wrapText="1"/>
    </xf>
    <xf numFmtId="0" fontId="26" fillId="0" borderId="22" xfId="69" applyFont="1" applyBorder="1" applyAlignment="1">
      <alignment horizontal="center" vertical="center" wrapText="1"/>
    </xf>
    <xf numFmtId="0" fontId="26" fillId="0" borderId="21" xfId="69" applyFont="1" applyBorder="1" applyAlignment="1">
      <alignment horizontal="center" vertical="center" wrapText="1"/>
    </xf>
    <xf numFmtId="0" fontId="26" fillId="0" borderId="12" xfId="69" applyFont="1" applyBorder="1" applyAlignment="1">
      <alignment horizontal="center" vertical="center" wrapText="1"/>
    </xf>
    <xf numFmtId="0" fontId="26" fillId="0" borderId="61" xfId="69" applyFont="1" applyBorder="1" applyAlignment="1">
      <alignment horizontal="center" vertical="center" wrapText="1"/>
    </xf>
    <xf numFmtId="4" fontId="30" fillId="0" borderId="23" xfId="69" applyNumberFormat="1" applyFont="1" applyBorder="1" applyAlignment="1">
      <alignment horizontal="center"/>
    </xf>
    <xf numFmtId="4" fontId="30" fillId="0" borderId="24" xfId="69" applyNumberFormat="1" applyFont="1" applyBorder="1" applyAlignment="1">
      <alignment horizontal="center"/>
    </xf>
    <xf numFmtId="4" fontId="30" fillId="0" borderId="71" xfId="69" applyNumberFormat="1" applyFont="1" applyBorder="1" applyAlignment="1">
      <alignment horizontal="center"/>
    </xf>
    <xf numFmtId="4" fontId="30" fillId="0" borderId="10" xfId="69" applyNumberFormat="1" applyFont="1" applyBorder="1" applyAlignment="1">
      <alignment horizontal="center"/>
    </xf>
    <xf numFmtId="9" fontId="34" fillId="27" borderId="22" xfId="69" applyNumberFormat="1" applyFont="1" applyFill="1" applyBorder="1" applyAlignment="1">
      <alignment horizontal="center"/>
    </xf>
    <xf numFmtId="0" fontId="34" fillId="27" borderId="61" xfId="69" applyFont="1" applyFill="1" applyBorder="1" applyAlignment="1">
      <alignment horizontal="center"/>
    </xf>
    <xf numFmtId="2" fontId="34" fillId="26" borderId="22" xfId="69" applyNumberFormat="1" applyFont="1" applyFill="1" applyBorder="1" applyAlignment="1">
      <alignment horizontal="center"/>
    </xf>
    <xf numFmtId="2" fontId="34" fillId="26" borderId="12" xfId="69" applyNumberFormat="1" applyFont="1" applyFill="1" applyBorder="1" applyAlignment="1">
      <alignment horizontal="center"/>
    </xf>
    <xf numFmtId="9" fontId="34" fillId="26" borderId="22" xfId="69" applyNumberFormat="1" applyFont="1" applyFill="1" applyBorder="1" applyAlignment="1">
      <alignment horizontal="center"/>
    </xf>
    <xf numFmtId="0" fontId="34" fillId="26" borderId="12" xfId="69" applyFont="1" applyFill="1" applyBorder="1" applyAlignment="1">
      <alignment horizontal="center"/>
    </xf>
    <xf numFmtId="2" fontId="34" fillId="27" borderId="21" xfId="69" applyNumberFormat="1" applyFont="1" applyFill="1" applyBorder="1" applyAlignment="1">
      <alignment horizontal="center"/>
    </xf>
    <xf numFmtId="2" fontId="34" fillId="27" borderId="12" xfId="69" applyNumberFormat="1" applyFont="1" applyFill="1" applyBorder="1" applyAlignment="1">
      <alignment horizontal="center"/>
    </xf>
    <xf numFmtId="0" fontId="26" fillId="0" borderId="84" xfId="68" applyFont="1" applyBorder="1" applyAlignment="1">
      <alignment horizontal="left" vertical="center"/>
    </xf>
    <xf numFmtId="0" fontId="26" fillId="0" borderId="67" xfId="68" applyFont="1" applyBorder="1" applyAlignment="1">
      <alignment horizontal="left" vertical="center"/>
    </xf>
    <xf numFmtId="0" fontId="26" fillId="0" borderId="48" xfId="68" applyFont="1" applyBorder="1" applyAlignment="1">
      <alignment horizontal="left" vertical="center"/>
    </xf>
    <xf numFmtId="2" fontId="34" fillId="33" borderId="31" xfId="69" applyNumberFormat="1" applyFont="1" applyFill="1" applyBorder="1" applyAlignment="1">
      <alignment horizontal="center"/>
    </xf>
    <xf numFmtId="2" fontId="34" fillId="33" borderId="12" xfId="69" applyNumberFormat="1" applyFont="1" applyFill="1" applyBorder="1" applyAlignment="1">
      <alignment horizontal="center"/>
    </xf>
    <xf numFmtId="9" fontId="34" fillId="33" borderId="22" xfId="69" applyNumberFormat="1" applyFont="1" applyFill="1" applyBorder="1" applyAlignment="1">
      <alignment horizontal="center"/>
    </xf>
    <xf numFmtId="0" fontId="34" fillId="33" borderId="21" xfId="69" applyFont="1" applyFill="1" applyBorder="1" applyAlignment="1">
      <alignment horizontal="center"/>
    </xf>
    <xf numFmtId="4" fontId="30" fillId="0" borderId="16" xfId="69" applyNumberFormat="1" applyFont="1" applyBorder="1" applyAlignment="1">
      <alignment horizontal="center"/>
    </xf>
    <xf numFmtId="4" fontId="30" fillId="0" borderId="0" xfId="69" applyNumberFormat="1" applyFont="1" applyAlignment="1">
      <alignment horizontal="center"/>
    </xf>
    <xf numFmtId="49" fontId="30" fillId="0" borderId="17" xfId="69" applyNumberFormat="1" applyFont="1" applyBorder="1" applyAlignment="1">
      <alignment horizontal="center"/>
    </xf>
    <xf numFmtId="49" fontId="30" fillId="0" borderId="0" xfId="69" applyNumberFormat="1" applyFont="1" applyAlignment="1">
      <alignment horizontal="center"/>
    </xf>
    <xf numFmtId="49" fontId="30" fillId="0" borderId="14" xfId="69" applyNumberFormat="1" applyFont="1" applyBorder="1" applyAlignment="1">
      <alignment horizontal="center"/>
    </xf>
    <xf numFmtId="172" fontId="30" fillId="0" borderId="0" xfId="69" applyNumberFormat="1" applyFont="1" applyAlignment="1">
      <alignment horizontal="center"/>
    </xf>
    <xf numFmtId="172" fontId="30" fillId="0" borderId="26" xfId="69" applyNumberFormat="1" applyFont="1" applyBorder="1" applyAlignment="1">
      <alignment horizontal="center"/>
    </xf>
    <xf numFmtId="172" fontId="30" fillId="0" borderId="10" xfId="69" applyNumberFormat="1" applyFont="1" applyBorder="1" applyAlignment="1">
      <alignment horizontal="center"/>
    </xf>
    <xf numFmtId="172" fontId="30" fillId="0" borderId="72" xfId="69" applyNumberFormat="1" applyFont="1" applyBorder="1" applyAlignment="1">
      <alignment horizontal="center"/>
    </xf>
    <xf numFmtId="0" fontId="34" fillId="33" borderId="31" xfId="69" applyFont="1" applyFill="1" applyBorder="1" applyAlignment="1">
      <alignment horizontal="center"/>
    </xf>
    <xf numFmtId="0" fontId="34" fillId="33" borderId="12" xfId="69" applyFont="1" applyFill="1" applyBorder="1" applyAlignment="1">
      <alignment horizontal="center"/>
    </xf>
    <xf numFmtId="0" fontId="26" fillId="0" borderId="53" xfId="68" applyFont="1" applyBorder="1" applyAlignment="1">
      <alignment horizontal="left" vertical="center"/>
    </xf>
    <xf numFmtId="0" fontId="5" fillId="0" borderId="23" xfId="69" applyFont="1" applyBorder="1" applyAlignment="1">
      <alignment horizontal="center" vertical="center" wrapText="1"/>
    </xf>
    <xf numFmtId="0" fontId="5" fillId="0" borderId="24" xfId="69" applyFont="1" applyBorder="1" applyAlignment="1">
      <alignment horizontal="center" vertical="center" wrapText="1"/>
    </xf>
    <xf numFmtId="0" fontId="5" fillId="0" borderId="25" xfId="69" applyFont="1" applyBorder="1" applyAlignment="1">
      <alignment horizontal="center" vertical="center" wrapText="1"/>
    </xf>
    <xf numFmtId="0" fontId="5" fillId="0" borderId="0" xfId="69" applyFont="1" applyAlignment="1">
      <alignment horizontal="center" vertical="center" wrapText="1"/>
    </xf>
    <xf numFmtId="0" fontId="5" fillId="0" borderId="26" xfId="69" applyFont="1" applyBorder="1" applyAlignment="1">
      <alignment horizontal="center" vertical="center" wrapText="1"/>
    </xf>
    <xf numFmtId="0" fontId="5" fillId="0" borderId="71" xfId="69" applyFont="1" applyBorder="1" applyAlignment="1">
      <alignment horizontal="center" vertical="center" wrapText="1"/>
    </xf>
    <xf numFmtId="0" fontId="5" fillId="0" borderId="10" xfId="69" applyFont="1" applyBorder="1" applyAlignment="1">
      <alignment horizontal="center" vertical="center" wrapText="1"/>
    </xf>
    <xf numFmtId="0" fontId="5" fillId="0" borderId="72" xfId="69" applyFont="1" applyBorder="1" applyAlignment="1">
      <alignment horizontal="center" vertical="center" wrapText="1"/>
    </xf>
    <xf numFmtId="9" fontId="21" fillId="0" borderId="31" xfId="69" applyNumberFormat="1" applyFont="1" applyBorder="1" applyAlignment="1">
      <alignment horizontal="center" vertical="center" wrapText="1"/>
    </xf>
    <xf numFmtId="9" fontId="21" fillId="0" borderId="22" xfId="69" applyNumberFormat="1" applyFont="1" applyBorder="1" applyAlignment="1">
      <alignment horizontal="center" vertical="center" wrapText="1"/>
    </xf>
    <xf numFmtId="0" fontId="5" fillId="0" borderId="75" xfId="68" applyFont="1" applyBorder="1" applyAlignment="1">
      <alignment horizontal="center" vertical="center"/>
    </xf>
    <xf numFmtId="0" fontId="5" fillId="0" borderId="53" xfId="68" applyFont="1" applyBorder="1" applyAlignment="1">
      <alignment horizontal="center" vertical="center"/>
    </xf>
    <xf numFmtId="0" fontId="26" fillId="0" borderId="75" xfId="68" applyFont="1" applyBorder="1" applyAlignment="1">
      <alignment horizontal="left" vertical="center"/>
    </xf>
    <xf numFmtId="0" fontId="26" fillId="0" borderId="84" xfId="68" applyFont="1" applyBorder="1" applyAlignment="1">
      <alignment vertical="center"/>
    </xf>
    <xf numFmtId="0" fontId="0" fillId="0" borderId="67" xfId="0" applyBorder="1" applyAlignment="1">
      <alignment vertical="center"/>
    </xf>
    <xf numFmtId="0" fontId="0" fillId="0" borderId="48" xfId="0" applyBorder="1" applyAlignment="1">
      <alignment vertical="center"/>
    </xf>
    <xf numFmtId="49" fontId="3" fillId="0" borderId="17" xfId="71" applyNumberFormat="1" applyFont="1" applyBorder="1" applyAlignment="1">
      <alignment horizontal="right"/>
    </xf>
    <xf numFmtId="49" fontId="3" fillId="0" borderId="0" xfId="71" applyNumberFormat="1" applyFont="1" applyAlignment="1">
      <alignment horizontal="right"/>
    </xf>
    <xf numFmtId="49" fontId="3" fillId="0" borderId="14" xfId="71" applyNumberFormat="1" applyFont="1" applyBorder="1" applyAlignment="1">
      <alignment horizontal="right"/>
    </xf>
    <xf numFmtId="1" fontId="3" fillId="0" borderId="14" xfId="71" applyNumberFormat="1" applyFont="1" applyBorder="1" applyAlignment="1">
      <alignment horizontal="right"/>
    </xf>
    <xf numFmtId="49" fontId="30" fillId="0" borderId="19" xfId="69" applyNumberFormat="1" applyFont="1" applyBorder="1" applyAlignment="1">
      <alignment horizontal="center"/>
    </xf>
    <xf numFmtId="49" fontId="30" fillId="0" borderId="30" xfId="69" applyNumberFormat="1" applyFont="1" applyBorder="1" applyAlignment="1">
      <alignment horizontal="center"/>
    </xf>
    <xf numFmtId="49" fontId="30" fillId="0" borderId="20" xfId="69" applyNumberFormat="1" applyFont="1" applyBorder="1" applyAlignment="1">
      <alignment horizontal="center"/>
    </xf>
    <xf numFmtId="49" fontId="30" fillId="0" borderId="26" xfId="69" applyNumberFormat="1" applyFont="1" applyBorder="1" applyAlignment="1">
      <alignment horizontal="center"/>
    </xf>
    <xf numFmtId="0" fontId="0" fillId="0" borderId="0" xfId="0" applyAlignment="1">
      <alignment horizontal="left" vertical="center"/>
    </xf>
    <xf numFmtId="49" fontId="26" fillId="0" borderId="22" xfId="0" applyNumberFormat="1" applyFont="1" applyBorder="1" applyAlignment="1">
      <alignment horizontal="center" vertical="center"/>
    </xf>
    <xf numFmtId="49" fontId="26" fillId="0" borderId="21" xfId="0" applyNumberFormat="1" applyFont="1" applyBorder="1" applyAlignment="1">
      <alignment horizontal="center" vertical="center"/>
    </xf>
    <xf numFmtId="49" fontId="26" fillId="0" borderId="12" xfId="0" applyNumberFormat="1" applyFont="1" applyBorder="1" applyAlignment="1">
      <alignment horizontal="center" vertical="center"/>
    </xf>
    <xf numFmtId="0" fontId="5" fillId="0" borderId="70" xfId="71" applyFont="1" applyBorder="1" applyAlignment="1">
      <alignment horizontal="center"/>
    </xf>
    <xf numFmtId="0" fontId="5" fillId="0" borderId="24" xfId="71" applyFont="1" applyBorder="1" applyAlignment="1">
      <alignment horizontal="center"/>
    </xf>
    <xf numFmtId="0" fontId="5" fillId="0" borderId="25" xfId="71" applyFont="1" applyBorder="1" applyAlignment="1">
      <alignment horizontal="center"/>
    </xf>
    <xf numFmtId="49" fontId="3" fillId="0" borderId="54" xfId="71" applyNumberFormat="1" applyFont="1" applyBorder="1" applyAlignment="1">
      <alignment horizontal="left"/>
    </xf>
    <xf numFmtId="49" fontId="5" fillId="0" borderId="54" xfId="71" applyNumberFormat="1" applyFont="1" applyBorder="1" applyAlignment="1">
      <alignment horizontal="center"/>
    </xf>
    <xf numFmtId="0" fontId="5" fillId="0" borderId="13" xfId="71" applyFont="1" applyBorder="1" applyAlignment="1">
      <alignment horizontal="center"/>
    </xf>
    <xf numFmtId="49" fontId="34" fillId="0" borderId="54" xfId="71" applyNumberFormat="1" applyFont="1" applyBorder="1" applyAlignment="1">
      <alignment horizontal="center"/>
    </xf>
    <xf numFmtId="49" fontId="34" fillId="0" borderId="79" xfId="71" applyNumberFormat="1" applyFont="1" applyBorder="1" applyAlignment="1">
      <alignment horizontal="center"/>
    </xf>
    <xf numFmtId="17" fontId="34" fillId="0" borderId="0" xfId="0" applyNumberFormat="1" applyFont="1" applyAlignment="1">
      <alignment horizontal="center"/>
    </xf>
    <xf numFmtId="9" fontId="34" fillId="33" borderId="65" xfId="69" applyNumberFormat="1" applyFont="1" applyFill="1" applyBorder="1" applyAlignment="1">
      <alignment horizontal="center"/>
    </xf>
    <xf numFmtId="0" fontId="34" fillId="33" borderId="40" xfId="69" applyFont="1" applyFill="1" applyBorder="1" applyAlignment="1">
      <alignment horizontal="center"/>
    </xf>
    <xf numFmtId="2" fontId="34" fillId="26" borderId="65" xfId="69" applyNumberFormat="1" applyFont="1" applyFill="1" applyBorder="1" applyAlignment="1">
      <alignment horizontal="center"/>
    </xf>
    <xf numFmtId="2" fontId="34" fillId="26" borderId="66" xfId="69" applyNumberFormat="1" applyFont="1" applyFill="1" applyBorder="1" applyAlignment="1">
      <alignment horizontal="center"/>
    </xf>
    <xf numFmtId="9" fontId="34" fillId="26" borderId="65" xfId="69" applyNumberFormat="1" applyFont="1" applyFill="1" applyBorder="1" applyAlignment="1">
      <alignment horizontal="center"/>
    </xf>
    <xf numFmtId="0" fontId="34" fillId="26" borderId="66" xfId="69" applyFont="1" applyFill="1" applyBorder="1" applyAlignment="1">
      <alignment horizontal="center"/>
    </xf>
    <xf numFmtId="2" fontId="34" fillId="27" borderId="40" xfId="69" applyNumberFormat="1" applyFont="1" applyFill="1" applyBorder="1" applyAlignment="1">
      <alignment horizontal="center"/>
    </xf>
    <xf numFmtId="2" fontId="34" fillId="27" borderId="66" xfId="69" applyNumberFormat="1" applyFont="1" applyFill="1" applyBorder="1" applyAlignment="1">
      <alignment horizontal="center"/>
    </xf>
    <xf numFmtId="17" fontId="3" fillId="0" borderId="0" xfId="0" applyNumberFormat="1" applyFont="1" applyAlignment="1">
      <alignment horizontal="center"/>
    </xf>
    <xf numFmtId="0" fontId="5" fillId="0" borderId="22" xfId="70" applyFont="1" applyBorder="1" applyAlignment="1">
      <alignment horizontal="center"/>
    </xf>
    <xf numFmtId="0" fontId="5" fillId="0" borderId="21" xfId="70" applyFont="1" applyBorder="1" applyAlignment="1">
      <alignment horizontal="center"/>
    </xf>
    <xf numFmtId="0" fontId="5" fillId="0" borderId="12" xfId="70" applyFont="1" applyBorder="1" applyAlignment="1">
      <alignment horizontal="center"/>
    </xf>
    <xf numFmtId="0" fontId="5" fillId="0" borderId="61" xfId="70" applyFont="1" applyBorder="1" applyAlignment="1">
      <alignment horizontal="center"/>
    </xf>
    <xf numFmtId="0" fontId="5" fillId="0" borderId="16" xfId="69" applyFont="1" applyBorder="1" applyAlignment="1">
      <alignment horizontal="center" vertical="center" wrapText="1"/>
    </xf>
    <xf numFmtId="0" fontId="3" fillId="0" borderId="17" xfId="70" applyFont="1" applyBorder="1" applyAlignment="1">
      <alignment horizontal="right"/>
    </xf>
    <xf numFmtId="0" fontId="3" fillId="0" borderId="0" xfId="70" applyFont="1" applyAlignment="1">
      <alignment horizontal="right"/>
    </xf>
    <xf numFmtId="0" fontId="3" fillId="0" borderId="14" xfId="70" applyFont="1" applyBorder="1" applyAlignment="1">
      <alignment horizontal="right"/>
    </xf>
    <xf numFmtId="0" fontId="3" fillId="0" borderId="49" xfId="70" applyFont="1" applyBorder="1" applyAlignment="1">
      <alignment horizontal="center"/>
    </xf>
    <xf numFmtId="0" fontId="3" fillId="0" borderId="17" xfId="70" applyFont="1" applyBorder="1" applyAlignment="1">
      <alignment horizontal="center"/>
    </xf>
    <xf numFmtId="0" fontId="5" fillId="0" borderId="70" xfId="70" applyFont="1" applyBorder="1" applyAlignment="1">
      <alignment horizontal="center"/>
    </xf>
    <xf numFmtId="0" fontId="5" fillId="0" borderId="24" xfId="70" applyFont="1" applyBorder="1" applyAlignment="1">
      <alignment horizontal="center"/>
    </xf>
    <xf numFmtId="49" fontId="3" fillId="0" borderId="67" xfId="70" applyNumberFormat="1" applyFont="1" applyBorder="1" applyAlignment="1">
      <alignment horizontal="left"/>
    </xf>
    <xf numFmtId="49" fontId="3" fillId="0" borderId="49" xfId="70" applyNumberFormat="1" applyFont="1" applyBorder="1" applyAlignment="1">
      <alignment horizontal="left"/>
    </xf>
    <xf numFmtId="49" fontId="34" fillId="0" borderId="49" xfId="70" applyNumberFormat="1" applyFont="1" applyBorder="1" applyAlignment="1">
      <alignment horizontal="center"/>
    </xf>
    <xf numFmtId="49" fontId="31" fillId="0" borderId="49" xfId="70" applyNumberFormat="1" applyFont="1" applyBorder="1" applyAlignment="1">
      <alignment horizontal="center"/>
    </xf>
    <xf numFmtId="49" fontId="31" fillId="0" borderId="78" xfId="70" applyNumberFormat="1" applyFont="1" applyBorder="1" applyAlignment="1">
      <alignment horizontal="center"/>
    </xf>
    <xf numFmtId="0" fontId="3" fillId="0" borderId="16" xfId="70" applyFont="1" applyBorder="1" applyAlignment="1">
      <alignment horizontal="right"/>
    </xf>
    <xf numFmtId="0" fontId="0" fillId="0" borderId="0" xfId="0" applyAlignment="1">
      <alignment horizontal="left"/>
    </xf>
    <xf numFmtId="4" fontId="30" fillId="0" borderId="68" xfId="69" applyNumberFormat="1" applyFont="1" applyBorder="1" applyAlignment="1">
      <alignment horizontal="center"/>
    </xf>
    <xf numFmtId="4" fontId="30" fillId="0" borderId="30" xfId="69" applyNumberFormat="1" applyFont="1" applyBorder="1" applyAlignment="1">
      <alignment horizontal="center"/>
    </xf>
    <xf numFmtId="4" fontId="30" fillId="0" borderId="20" xfId="69" applyNumberFormat="1" applyFont="1" applyBorder="1" applyAlignment="1">
      <alignment horizontal="center"/>
    </xf>
    <xf numFmtId="4" fontId="30" fillId="0" borderId="11" xfId="69" applyNumberFormat="1" applyFont="1" applyBorder="1" applyAlignment="1">
      <alignment horizontal="center"/>
    </xf>
    <xf numFmtId="0" fontId="0" fillId="0" borderId="0" xfId="0" applyAlignment="1">
      <alignment horizontal="center"/>
    </xf>
    <xf numFmtId="0" fontId="5" fillId="0" borderId="41" xfId="70" applyFont="1" applyBorder="1" applyAlignment="1">
      <alignment horizontal="center"/>
    </xf>
    <xf numFmtId="0" fontId="5" fillId="0" borderId="38" xfId="70" applyFont="1" applyBorder="1" applyAlignment="1">
      <alignment horizontal="center"/>
    </xf>
    <xf numFmtId="0" fontId="5" fillId="0" borderId="43" xfId="70" applyFont="1" applyBorder="1" applyAlignment="1">
      <alignment horizontal="center"/>
    </xf>
    <xf numFmtId="49" fontId="31" fillId="0" borderId="69" xfId="70" applyNumberFormat="1" applyFont="1" applyBorder="1" applyAlignment="1">
      <alignment horizontal="center"/>
    </xf>
    <xf numFmtId="49" fontId="31" fillId="0" borderId="83" xfId="70" applyNumberFormat="1" applyFont="1" applyBorder="1" applyAlignment="1">
      <alignment horizontal="center"/>
    </xf>
    <xf numFmtId="0" fontId="3" fillId="0" borderId="16" xfId="70" applyFont="1" applyBorder="1" applyAlignment="1">
      <alignment horizontal="left"/>
    </xf>
    <xf numFmtId="0" fontId="3" fillId="0" borderId="0" xfId="70" applyFont="1" applyAlignment="1">
      <alignment horizontal="left"/>
    </xf>
    <xf numFmtId="0" fontId="3" fillId="0" borderId="14" xfId="70" applyFont="1" applyBorder="1" applyAlignment="1">
      <alignment horizontal="left"/>
    </xf>
    <xf numFmtId="0" fontId="3" fillId="0" borderId="17" xfId="70" applyFont="1" applyBorder="1" applyAlignment="1">
      <alignment horizontal="left"/>
    </xf>
    <xf numFmtId="49" fontId="3" fillId="0" borderId="75" xfId="70" applyNumberFormat="1" applyFont="1" applyBorder="1" applyAlignment="1">
      <alignment horizontal="left"/>
    </xf>
    <xf numFmtId="49" fontId="3" fillId="0" borderId="69" xfId="70" applyNumberFormat="1" applyFont="1" applyBorder="1" applyAlignment="1">
      <alignment horizontal="left"/>
    </xf>
    <xf numFmtId="49" fontId="34" fillId="0" borderId="69" xfId="70" applyNumberFormat="1" applyFont="1" applyBorder="1" applyAlignment="1">
      <alignment horizontal="center"/>
    </xf>
    <xf numFmtId="49" fontId="5" fillId="0" borderId="70" xfId="68" applyNumberFormat="1" applyFont="1" applyBorder="1" applyAlignment="1">
      <alignment horizontal="center"/>
    </xf>
    <xf numFmtId="49" fontId="5" fillId="0" borderId="24" xfId="68" applyNumberFormat="1" applyFont="1" applyBorder="1" applyAlignment="1">
      <alignment horizontal="center"/>
    </xf>
    <xf numFmtId="49" fontId="5" fillId="0" borderId="76" xfId="68" applyNumberFormat="1" applyFont="1" applyBorder="1" applyAlignment="1">
      <alignment horizontal="center"/>
    </xf>
    <xf numFmtId="0" fontId="5" fillId="0" borderId="41" xfId="68" applyFont="1" applyBorder="1" applyAlignment="1">
      <alignment horizontal="center"/>
    </xf>
    <xf numFmtId="0" fontId="5" fillId="0" borderId="38" xfId="68" applyFont="1" applyBorder="1" applyAlignment="1">
      <alignment horizontal="center"/>
    </xf>
    <xf numFmtId="0" fontId="5" fillId="0" borderId="43" xfId="68" applyFont="1" applyBorder="1" applyAlignment="1">
      <alignment horizontal="center"/>
    </xf>
    <xf numFmtId="49" fontId="34" fillId="0" borderId="23" xfId="68" applyNumberFormat="1" applyFont="1" applyBorder="1" applyAlignment="1">
      <alignment horizontal="left"/>
    </xf>
    <xf numFmtId="49" fontId="34" fillId="0" borderId="24" xfId="68" applyNumberFormat="1" applyFont="1" applyBorder="1" applyAlignment="1">
      <alignment horizontal="left"/>
    </xf>
    <xf numFmtId="49" fontId="34" fillId="0" borderId="76" xfId="68" applyNumberFormat="1" applyFont="1" applyBorder="1" applyAlignment="1">
      <alignment horizontal="left"/>
    </xf>
    <xf numFmtId="1" fontId="3" fillId="0" borderId="17" xfId="68" applyNumberFormat="1" applyFont="1" applyBorder="1" applyAlignment="1">
      <alignment horizontal="left"/>
    </xf>
    <xf numFmtId="1" fontId="3" fillId="0" borderId="0" xfId="68" applyNumberFormat="1" applyFont="1" applyAlignment="1">
      <alignment horizontal="left"/>
    </xf>
    <xf numFmtId="1" fontId="3" fillId="0" borderId="14" xfId="68" applyNumberFormat="1" applyFont="1" applyBorder="1" applyAlignment="1">
      <alignment horizontal="left"/>
    </xf>
    <xf numFmtId="17" fontId="26" fillId="0" borderId="0" xfId="0" applyNumberFormat="1" applyFont="1" applyAlignment="1">
      <alignment horizontal="center"/>
    </xf>
    <xf numFmtId="0" fontId="26" fillId="0" borderId="0" xfId="0" applyFont="1" applyAlignment="1">
      <alignment horizontal="center"/>
    </xf>
    <xf numFmtId="1" fontId="3" fillId="0" borderId="16" xfId="68" applyNumberFormat="1" applyFont="1" applyBorder="1" applyAlignment="1">
      <alignment horizontal="left"/>
    </xf>
    <xf numFmtId="0" fontId="71" fillId="0" borderId="0" xfId="68" applyFont="1" applyAlignment="1">
      <alignment horizontal="center"/>
    </xf>
    <xf numFmtId="0" fontId="71" fillId="0" borderId="14" xfId="68" applyFont="1" applyBorder="1" applyAlignment="1">
      <alignment horizontal="center"/>
    </xf>
    <xf numFmtId="49" fontId="34" fillId="0" borderId="17" xfId="68" applyNumberFormat="1" applyFont="1" applyBorder="1" applyAlignment="1">
      <alignment horizontal="right"/>
    </xf>
    <xf numFmtId="49" fontId="34" fillId="0" borderId="0" xfId="68" applyNumberFormat="1" applyFont="1" applyAlignment="1">
      <alignment horizontal="right"/>
    </xf>
    <xf numFmtId="49" fontId="34" fillId="0" borderId="26" xfId="68" applyNumberFormat="1" applyFont="1" applyBorder="1" applyAlignment="1">
      <alignment horizontal="right"/>
    </xf>
    <xf numFmtId="1" fontId="3" fillId="0" borderId="17" xfId="68" applyNumberFormat="1" applyFont="1" applyBorder="1" applyAlignment="1">
      <alignment horizontal="right"/>
    </xf>
    <xf numFmtId="1" fontId="3" fillId="0" borderId="0" xfId="68" applyNumberFormat="1" applyFont="1" applyAlignment="1">
      <alignment horizontal="right"/>
    </xf>
    <xf numFmtId="1" fontId="3" fillId="0" borderId="14" xfId="68" applyNumberFormat="1" applyFont="1" applyBorder="1" applyAlignment="1">
      <alignment horizontal="right"/>
    </xf>
    <xf numFmtId="49" fontId="34" fillId="0" borderId="70" xfId="68" applyNumberFormat="1" applyFont="1" applyBorder="1" applyAlignment="1">
      <alignment horizontal="right"/>
    </xf>
    <xf numFmtId="49" fontId="34" fillId="0" borderId="24" xfId="68" applyNumberFormat="1" applyFont="1" applyBorder="1" applyAlignment="1">
      <alignment horizontal="right"/>
    </xf>
    <xf numFmtId="49" fontId="3" fillId="0" borderId="17" xfId="68" applyNumberFormat="1" applyFont="1" applyBorder="1" applyAlignment="1">
      <alignment horizontal="right"/>
    </xf>
    <xf numFmtId="49" fontId="3" fillId="0" borderId="0" xfId="68" applyNumberFormat="1" applyFont="1" applyAlignment="1">
      <alignment horizontal="right"/>
    </xf>
    <xf numFmtId="49" fontId="3" fillId="0" borderId="14" xfId="68" applyNumberFormat="1" applyFont="1" applyBorder="1" applyAlignment="1">
      <alignment horizontal="right"/>
    </xf>
    <xf numFmtId="49" fontId="3" fillId="0" borderId="17" xfId="68" applyNumberFormat="1" applyFont="1" applyBorder="1" applyAlignment="1">
      <alignment horizontal="left"/>
    </xf>
    <xf numFmtId="49" fontId="3" fillId="0" borderId="0" xfId="68" applyNumberFormat="1" applyFont="1" applyAlignment="1">
      <alignment horizontal="left"/>
    </xf>
    <xf numFmtId="49" fontId="3" fillId="0" borderId="14" xfId="68" applyNumberFormat="1" applyFont="1" applyBorder="1" applyAlignment="1">
      <alignment horizontal="left"/>
    </xf>
    <xf numFmtId="0" fontId="5" fillId="0" borderId="70" xfId="68" applyFont="1" applyBorder="1" applyAlignment="1">
      <alignment horizontal="center" vertical="center"/>
    </xf>
    <xf numFmtId="0" fontId="5" fillId="0" borderId="24" xfId="68" applyFont="1" applyBorder="1" applyAlignment="1">
      <alignment horizontal="center" vertical="center"/>
    </xf>
    <xf numFmtId="0" fontId="5" fillId="0" borderId="25" xfId="68" applyFont="1" applyBorder="1" applyAlignment="1">
      <alignment horizontal="center" vertical="center"/>
    </xf>
    <xf numFmtId="49" fontId="3" fillId="0" borderId="51" xfId="68" applyNumberFormat="1" applyFont="1" applyBorder="1" applyAlignment="1">
      <alignment horizontal="left"/>
    </xf>
    <xf numFmtId="49" fontId="34" fillId="0" borderId="51" xfId="68" applyNumberFormat="1" applyFont="1" applyBorder="1" applyAlignment="1">
      <alignment horizontal="center"/>
    </xf>
    <xf numFmtId="0" fontId="34" fillId="0" borderId="51" xfId="68" applyFont="1" applyBorder="1" applyAlignment="1">
      <alignment horizontal="right"/>
    </xf>
    <xf numFmtId="0" fontId="34" fillId="0" borderId="19" xfId="68" applyFont="1" applyBorder="1" applyAlignment="1">
      <alignment horizontal="right"/>
    </xf>
    <xf numFmtId="0" fontId="5" fillId="0" borderId="22" xfId="68" applyFont="1" applyBorder="1" applyAlignment="1">
      <alignment horizontal="center"/>
    </xf>
    <xf numFmtId="0" fontId="5" fillId="0" borderId="21" xfId="68" applyFont="1" applyBorder="1" applyAlignment="1">
      <alignment horizontal="center"/>
    </xf>
    <xf numFmtId="0" fontId="5" fillId="0" borderId="61" xfId="68" applyFont="1" applyBorder="1" applyAlignment="1">
      <alignment horizontal="center"/>
    </xf>
    <xf numFmtId="0" fontId="63" fillId="0" borderId="0" xfId="42" applyFont="1" applyAlignment="1" applyProtection="1">
      <alignment horizontal="center"/>
    </xf>
    <xf numFmtId="4" fontId="30" fillId="0" borderId="35" xfId="69" applyNumberFormat="1" applyFont="1" applyBorder="1" applyAlignment="1">
      <alignment horizontal="center"/>
    </xf>
    <xf numFmtId="4" fontId="30" fillId="0" borderId="13" xfId="69" applyNumberFormat="1" applyFont="1" applyBorder="1" applyAlignment="1">
      <alignment horizontal="center"/>
    </xf>
    <xf numFmtId="49" fontId="30" fillId="0" borderId="13" xfId="69" applyNumberFormat="1" applyFont="1" applyBorder="1" applyAlignment="1">
      <alignment horizontal="center"/>
    </xf>
    <xf numFmtId="172" fontId="30" fillId="0" borderId="13" xfId="69" applyNumberFormat="1" applyFont="1" applyBorder="1" applyAlignment="1">
      <alignment horizontal="center"/>
    </xf>
    <xf numFmtId="172" fontId="30" fillId="0" borderId="29" xfId="69" applyNumberFormat="1" applyFont="1" applyBorder="1" applyAlignment="1">
      <alignment horizontal="center"/>
    </xf>
    <xf numFmtId="0" fontId="34" fillId="33" borderId="35" xfId="69" applyFont="1" applyFill="1" applyBorder="1" applyAlignment="1">
      <alignment horizontal="center"/>
    </xf>
    <xf numFmtId="0" fontId="34" fillId="33" borderId="13" xfId="69" applyFont="1" applyFill="1" applyBorder="1" applyAlignment="1">
      <alignment horizontal="center"/>
    </xf>
    <xf numFmtId="9" fontId="34" fillId="33" borderId="13" xfId="69" applyNumberFormat="1" applyFont="1" applyFill="1" applyBorder="1" applyAlignment="1">
      <alignment horizontal="center"/>
    </xf>
    <xf numFmtId="2" fontId="34" fillId="26" borderId="13" xfId="69" applyNumberFormat="1" applyFont="1" applyFill="1" applyBorder="1" applyAlignment="1">
      <alignment horizontal="center"/>
    </xf>
    <xf numFmtId="9" fontId="34" fillId="26" borderId="13" xfId="69" applyNumberFormat="1" applyFont="1" applyFill="1" applyBorder="1" applyAlignment="1">
      <alignment horizontal="center"/>
    </xf>
    <xf numFmtId="0" fontId="34" fillId="26" borderId="13" xfId="69" applyFont="1" applyFill="1" applyBorder="1" applyAlignment="1">
      <alignment horizontal="center"/>
    </xf>
    <xf numFmtId="2" fontId="34" fillId="27" borderId="13" xfId="69" applyNumberFormat="1" applyFont="1" applyFill="1" applyBorder="1" applyAlignment="1">
      <alignment horizontal="center"/>
    </xf>
    <xf numFmtId="9" fontId="34" fillId="27" borderId="13" xfId="69" applyNumberFormat="1" applyFont="1" applyFill="1" applyBorder="1" applyAlignment="1">
      <alignment horizontal="center"/>
    </xf>
    <xf numFmtId="0" fontId="34" fillId="27" borderId="29" xfId="69" applyFont="1" applyFill="1" applyBorder="1" applyAlignment="1">
      <alignment horizontal="center"/>
    </xf>
    <xf numFmtId="0" fontId="3" fillId="0" borderId="49" xfId="68" applyFont="1" applyBorder="1" applyAlignment="1">
      <alignment horizontal="right"/>
    </xf>
    <xf numFmtId="49" fontId="3" fillId="0" borderId="17" xfId="68" applyNumberFormat="1" applyFont="1" applyBorder="1" applyAlignment="1">
      <alignment horizontal="center"/>
    </xf>
    <xf numFmtId="49" fontId="3" fillId="0" borderId="0" xfId="68" applyNumberFormat="1" applyFont="1" applyAlignment="1">
      <alignment horizontal="center"/>
    </xf>
    <xf numFmtId="49" fontId="3" fillId="0" borderId="26" xfId="68" applyNumberFormat="1" applyFont="1" applyBorder="1" applyAlignment="1">
      <alignment horizontal="center"/>
    </xf>
    <xf numFmtId="0" fontId="31" fillId="0" borderId="24" xfId="69" applyFont="1" applyBorder="1" applyAlignment="1">
      <alignment horizontal="right" vertical="top"/>
    </xf>
    <xf numFmtId="0" fontId="31" fillId="0" borderId="25" xfId="69" applyFont="1" applyBorder="1" applyAlignment="1">
      <alignment horizontal="right" vertical="top"/>
    </xf>
    <xf numFmtId="49" fontId="30" fillId="0" borderId="77" xfId="69" applyNumberFormat="1" applyFont="1" applyBorder="1" applyAlignment="1">
      <alignment horizontal="center"/>
    </xf>
    <xf numFmtId="2" fontId="34" fillId="33" borderId="35" xfId="69" applyNumberFormat="1" applyFont="1" applyFill="1" applyBorder="1" applyAlignment="1">
      <alignment horizontal="center"/>
    </xf>
    <xf numFmtId="2" fontId="34" fillId="33" borderId="13" xfId="69" applyNumberFormat="1" applyFont="1" applyFill="1" applyBorder="1" applyAlignment="1">
      <alignment horizontal="center"/>
    </xf>
    <xf numFmtId="9" fontId="34" fillId="33" borderId="44" xfId="69" applyNumberFormat="1" applyFont="1" applyFill="1" applyBorder="1" applyAlignment="1">
      <alignment horizontal="center"/>
    </xf>
    <xf numFmtId="0" fontId="34" fillId="33" borderId="44" xfId="69" applyFont="1" applyFill="1" applyBorder="1" applyAlignment="1">
      <alignment horizontal="center"/>
    </xf>
    <xf numFmtId="2" fontId="34" fillId="26" borderId="44" xfId="69" applyNumberFormat="1" applyFont="1" applyFill="1" applyBorder="1" applyAlignment="1">
      <alignment horizontal="center"/>
    </xf>
    <xf numFmtId="9" fontId="34" fillId="26" borderId="44" xfId="69" applyNumberFormat="1" applyFont="1" applyFill="1" applyBorder="1" applyAlignment="1">
      <alignment horizontal="center"/>
    </xf>
    <xf numFmtId="0" fontId="34" fillId="26" borderId="44" xfId="69" applyFont="1" applyFill="1" applyBorder="1" applyAlignment="1">
      <alignment horizontal="center"/>
    </xf>
    <xf numFmtId="2" fontId="34" fillId="27" borderId="44" xfId="69" applyNumberFormat="1" applyFont="1" applyFill="1" applyBorder="1" applyAlignment="1">
      <alignment horizontal="center"/>
    </xf>
    <xf numFmtId="9" fontId="34" fillId="27" borderId="44" xfId="69" applyNumberFormat="1" applyFont="1" applyFill="1" applyBorder="1" applyAlignment="1">
      <alignment horizontal="center"/>
    </xf>
    <xf numFmtId="0" fontId="34" fillId="27" borderId="36" xfId="69" applyFont="1" applyFill="1" applyBorder="1" applyAlignment="1">
      <alignment horizontal="center"/>
    </xf>
    <xf numFmtId="0" fontId="5" fillId="0" borderId="32" xfId="0" applyFont="1" applyBorder="1" applyAlignment="1">
      <alignment horizontal="center" vertical="center" wrapText="1"/>
    </xf>
    <xf numFmtId="0" fontId="5" fillId="0" borderId="33" xfId="0" applyFont="1" applyBorder="1" applyAlignment="1">
      <alignment horizontal="center" vertical="center" wrapText="1"/>
    </xf>
    <xf numFmtId="0" fontId="5" fillId="0" borderId="34" xfId="0" applyFont="1" applyBorder="1" applyAlignment="1">
      <alignment horizontal="center" vertical="center" wrapText="1"/>
    </xf>
    <xf numFmtId="0" fontId="16" fillId="0" borderId="0" xfId="0" applyFont="1" applyAlignment="1">
      <alignment horizontal="center" vertical="center" wrapText="1"/>
    </xf>
    <xf numFmtId="0" fontId="37" fillId="24" borderId="32" xfId="0" applyFont="1" applyFill="1" applyBorder="1" applyAlignment="1">
      <alignment horizontal="center" vertical="center" wrapText="1"/>
    </xf>
    <xf numFmtId="0" fontId="37" fillId="24" borderId="33" xfId="0" applyFont="1" applyFill="1" applyBorder="1" applyAlignment="1">
      <alignment horizontal="center" vertical="center" wrapText="1"/>
    </xf>
    <xf numFmtId="0" fontId="37" fillId="24" borderId="34" xfId="0" applyFont="1" applyFill="1" applyBorder="1" applyAlignment="1">
      <alignment horizontal="center" vertical="center" wrapText="1"/>
    </xf>
    <xf numFmtId="0" fontId="2" fillId="0" borderId="69" xfId="59" applyBorder="1" applyAlignment="1">
      <alignment horizontal="center" vertical="center" wrapText="1"/>
    </xf>
    <xf numFmtId="0" fontId="2" fillId="0" borderId="49" xfId="59" applyBorder="1" applyAlignment="1">
      <alignment horizontal="center" vertical="center" wrapText="1"/>
    </xf>
    <xf numFmtId="0" fontId="2" fillId="0" borderId="54" xfId="59" applyBorder="1" applyAlignment="1">
      <alignment horizontal="center" vertical="center" wrapText="1"/>
    </xf>
    <xf numFmtId="0" fontId="2" fillId="0" borderId="49" xfId="59" applyBorder="1" applyAlignment="1">
      <alignment horizontal="center" vertical="center"/>
    </xf>
    <xf numFmtId="0" fontId="34" fillId="0" borderId="22" xfId="59" applyFont="1" applyBorder="1" applyAlignment="1">
      <alignment horizontal="center"/>
    </xf>
    <xf numFmtId="0" fontId="34" fillId="0" borderId="12" xfId="59" applyFont="1" applyBorder="1" applyAlignment="1">
      <alignment horizontal="center"/>
    </xf>
    <xf numFmtId="0" fontId="90" fillId="0" borderId="17" xfId="43" applyBorder="1" applyAlignment="1" applyProtection="1">
      <alignment horizontal="center"/>
    </xf>
    <xf numFmtId="0" fontId="90" fillId="0" borderId="0" xfId="43" applyAlignment="1" applyProtection="1">
      <alignment horizontal="center"/>
    </xf>
    <xf numFmtId="0" fontId="2" fillId="0" borderId="67" xfId="59" applyBorder="1" applyAlignment="1">
      <alignment horizontal="center" vertical="center" wrapText="1"/>
    </xf>
    <xf numFmtId="0" fontId="2" fillId="0" borderId="69" xfId="59" applyBorder="1" applyAlignment="1">
      <alignment horizontal="center" vertical="center"/>
    </xf>
    <xf numFmtId="0" fontId="2" fillId="0" borderId="75" xfId="59" applyBorder="1" applyAlignment="1">
      <alignment horizontal="center" vertical="center" wrapText="1"/>
    </xf>
    <xf numFmtId="0" fontId="2" fillId="0" borderId="53" xfId="59" applyBorder="1" applyAlignment="1">
      <alignment horizontal="center" vertical="center" wrapText="1"/>
    </xf>
    <xf numFmtId="0" fontId="2" fillId="0" borderId="54" xfId="59" applyBorder="1" applyAlignment="1">
      <alignment horizontal="center" vertical="center"/>
    </xf>
    <xf numFmtId="0" fontId="31" fillId="24" borderId="83" xfId="59" applyFont="1" applyFill="1" applyBorder="1" applyAlignment="1">
      <alignment horizontal="center" vertical="center"/>
    </xf>
    <xf numFmtId="0" fontId="31" fillId="24" borderId="79" xfId="59" applyFont="1" applyFill="1" applyBorder="1" applyAlignment="1">
      <alignment horizontal="center" vertical="center"/>
    </xf>
    <xf numFmtId="2" fontId="2" fillId="0" borderId="75" xfId="59" applyNumberFormat="1" applyBorder="1" applyAlignment="1">
      <alignment horizontal="center" vertical="center" wrapText="1"/>
    </xf>
    <xf numFmtId="2" fontId="2" fillId="0" borderId="67" xfId="59" applyNumberFormat="1" applyBorder="1" applyAlignment="1">
      <alignment horizontal="center" vertical="center" wrapText="1"/>
    </xf>
    <xf numFmtId="0" fontId="31" fillId="24" borderId="69" xfId="59" applyFont="1" applyFill="1" applyBorder="1" applyAlignment="1">
      <alignment horizontal="center" vertical="center"/>
    </xf>
    <xf numFmtId="0" fontId="31" fillId="24" borderId="54" xfId="59" applyFont="1" applyFill="1" applyBorder="1" applyAlignment="1">
      <alignment horizontal="center" vertical="center"/>
    </xf>
    <xf numFmtId="0" fontId="31" fillId="24" borderId="69" xfId="59" applyFont="1" applyFill="1" applyBorder="1" applyAlignment="1">
      <alignment horizontal="center" vertical="center" wrapText="1"/>
    </xf>
    <xf numFmtId="0" fontId="31" fillId="24" borderId="54" xfId="59" applyFont="1" applyFill="1" applyBorder="1" applyAlignment="1">
      <alignment horizontal="center" vertical="center" wrapText="1"/>
    </xf>
    <xf numFmtId="0" fontId="31" fillId="24" borderId="75" xfId="59" applyFont="1" applyFill="1" applyBorder="1" applyAlignment="1">
      <alignment horizontal="center" vertical="center"/>
    </xf>
    <xf numFmtId="0" fontId="31" fillId="24" borderId="53" xfId="59" applyFont="1" applyFill="1" applyBorder="1" applyAlignment="1">
      <alignment horizontal="center" vertical="center"/>
    </xf>
    <xf numFmtId="0" fontId="21" fillId="0" borderId="0" xfId="59" applyFont="1" applyAlignment="1">
      <alignment horizontal="center" wrapText="1"/>
    </xf>
    <xf numFmtId="0" fontId="38" fillId="0" borderId="0" xfId="59" applyFont="1" applyAlignment="1">
      <alignment horizontal="center" wrapText="1"/>
    </xf>
    <xf numFmtId="0" fontId="16" fillId="0" borderId="0" xfId="59" applyFont="1" applyAlignment="1">
      <alignment horizontal="center" wrapText="1"/>
    </xf>
    <xf numFmtId="0" fontId="22" fillId="0" borderId="0" xfId="59" applyFont="1" applyAlignment="1">
      <alignment horizontal="center" wrapText="1"/>
    </xf>
    <xf numFmtId="0" fontId="31" fillId="0" borderId="22" xfId="68" applyFont="1" applyBorder="1" applyAlignment="1">
      <alignment horizontal="center" vertical="center"/>
    </xf>
    <xf numFmtId="0" fontId="31" fillId="0" borderId="21" xfId="68" applyFont="1" applyBorder="1" applyAlignment="1">
      <alignment horizontal="center" vertical="center"/>
    </xf>
    <xf numFmtId="0" fontId="5" fillId="0" borderId="18" xfId="69" applyFont="1" applyBorder="1" applyAlignment="1">
      <alignment horizontal="center" vertical="center" wrapText="1"/>
    </xf>
    <xf numFmtId="0" fontId="5" fillId="0" borderId="27" xfId="69" applyFont="1" applyBorder="1" applyAlignment="1">
      <alignment horizontal="center" vertical="center" wrapText="1"/>
    </xf>
    <xf numFmtId="0" fontId="5" fillId="0" borderId="28" xfId="69" applyFont="1" applyBorder="1" applyAlignment="1">
      <alignment horizontal="center" vertical="center" wrapText="1"/>
    </xf>
    <xf numFmtId="49" fontId="3" fillId="0" borderId="42" xfId="71" applyNumberFormat="1" applyFont="1" applyBorder="1" applyAlignment="1">
      <alignment horizontal="left"/>
    </xf>
    <xf numFmtId="49" fontId="34" fillId="0" borderId="42" xfId="71" applyNumberFormat="1" applyFont="1" applyBorder="1" applyAlignment="1">
      <alignment horizontal="center"/>
    </xf>
    <xf numFmtId="0" fontId="31" fillId="0" borderId="0" xfId="69" applyFont="1" applyAlignment="1">
      <alignment horizontal="center" vertical="top"/>
    </xf>
    <xf numFmtId="9" fontId="21" fillId="0" borderId="75" xfId="69" applyNumberFormat="1" applyFont="1" applyBorder="1" applyAlignment="1">
      <alignment horizontal="center" vertical="center" wrapText="1"/>
    </xf>
    <xf numFmtId="9" fontId="21" fillId="0" borderId="69" xfId="69" applyNumberFormat="1" applyFont="1" applyBorder="1" applyAlignment="1">
      <alignment horizontal="center" vertical="center" wrapText="1"/>
    </xf>
    <xf numFmtId="9" fontId="21" fillId="0" borderId="48" xfId="69" applyNumberFormat="1" applyFont="1" applyBorder="1" applyAlignment="1">
      <alignment horizontal="center" vertical="center" wrapText="1"/>
    </xf>
    <xf numFmtId="9" fontId="21" fillId="0" borderId="50" xfId="69" applyNumberFormat="1" applyFont="1" applyBorder="1" applyAlignment="1">
      <alignment horizontal="center" vertical="center" wrapText="1"/>
    </xf>
    <xf numFmtId="0" fontId="26" fillId="0" borderId="37" xfId="69" applyFont="1" applyBorder="1" applyAlignment="1">
      <alignment horizontal="center" vertical="center" wrapText="1"/>
    </xf>
    <xf numFmtId="0" fontId="26" fillId="0" borderId="42" xfId="69" applyFont="1" applyBorder="1" applyAlignment="1">
      <alignment horizontal="center" vertical="center" wrapText="1"/>
    </xf>
    <xf numFmtId="9" fontId="21" fillId="0" borderId="83" xfId="69" applyNumberFormat="1" applyFont="1" applyBorder="1" applyAlignment="1">
      <alignment horizontal="center" vertical="center" wrapText="1"/>
    </xf>
    <xf numFmtId="9" fontId="21" fillId="0" borderId="81" xfId="69" applyNumberFormat="1" applyFont="1" applyBorder="1" applyAlignment="1">
      <alignment horizontal="center" vertical="center" wrapText="1"/>
    </xf>
    <xf numFmtId="2" fontId="34" fillId="39" borderId="0" xfId="69" applyNumberFormat="1" applyFont="1" applyFill="1" applyBorder="1" applyAlignment="1">
      <alignment horizontal="center"/>
    </xf>
    <xf numFmtId="2" fontId="34" fillId="27" borderId="31" xfId="69" applyNumberFormat="1" applyFont="1" applyFill="1" applyBorder="1" applyAlignment="1">
      <alignment horizontal="center"/>
    </xf>
    <xf numFmtId="2" fontId="34" fillId="39" borderId="31" xfId="69" applyNumberFormat="1" applyFont="1" applyFill="1" applyBorder="1" applyAlignment="1">
      <alignment horizontal="center"/>
    </xf>
    <xf numFmtId="2" fontId="34" fillId="39" borderId="12" xfId="69" applyNumberFormat="1" applyFont="1" applyFill="1" applyBorder="1" applyAlignment="1">
      <alignment horizontal="center"/>
    </xf>
    <xf numFmtId="9" fontId="34" fillId="39" borderId="22" xfId="69" applyNumberFormat="1" applyFont="1" applyFill="1" applyBorder="1" applyAlignment="1">
      <alignment horizontal="center"/>
    </xf>
    <xf numFmtId="0" fontId="34" fillId="39" borderId="61" xfId="69" applyFont="1" applyFill="1" applyBorder="1" applyAlignment="1">
      <alignment horizontal="center"/>
    </xf>
    <xf numFmtId="0" fontId="34" fillId="33" borderId="61" xfId="69" applyFont="1" applyFill="1" applyBorder="1" applyAlignment="1">
      <alignment horizontal="center"/>
    </xf>
    <xf numFmtId="2" fontId="34" fillId="26" borderId="31" xfId="69" applyNumberFormat="1" applyFont="1" applyFill="1" applyBorder="1" applyAlignment="1">
      <alignment horizontal="center"/>
    </xf>
    <xf numFmtId="9" fontId="34" fillId="34" borderId="22" xfId="69" applyNumberFormat="1" applyFont="1" applyFill="1" applyBorder="1" applyAlignment="1">
      <alignment horizontal="center"/>
    </xf>
    <xf numFmtId="9" fontId="34" fillId="34" borderId="61" xfId="69" applyNumberFormat="1" applyFont="1" applyFill="1" applyBorder="1" applyAlignment="1">
      <alignment horizontal="center"/>
    </xf>
    <xf numFmtId="49" fontId="30" fillId="0" borderId="16" xfId="69" applyNumberFormat="1" applyFont="1" applyBorder="1" applyAlignment="1">
      <alignment horizontal="center"/>
    </xf>
    <xf numFmtId="49" fontId="30" fillId="0" borderId="71" xfId="69" applyNumberFormat="1" applyFont="1" applyBorder="1" applyAlignment="1">
      <alignment horizontal="center"/>
    </xf>
    <xf numFmtId="9" fontId="34" fillId="43" borderId="22" xfId="69" applyNumberFormat="1" applyFont="1" applyFill="1" applyBorder="1" applyAlignment="1">
      <alignment horizontal="center"/>
    </xf>
    <xf numFmtId="0" fontId="34" fillId="43" borderId="21" xfId="69" applyFont="1" applyFill="1" applyBorder="1" applyAlignment="1">
      <alignment horizontal="center"/>
    </xf>
    <xf numFmtId="2" fontId="34" fillId="39" borderId="97" xfId="69" applyNumberFormat="1" applyFont="1" applyFill="1" applyBorder="1" applyAlignment="1">
      <alignment horizontal="center"/>
    </xf>
    <xf numFmtId="2" fontId="34" fillId="39" borderId="66" xfId="69" applyNumberFormat="1" applyFont="1" applyFill="1" applyBorder="1" applyAlignment="1">
      <alignment horizontal="center"/>
    </xf>
    <xf numFmtId="9" fontId="34" fillId="39" borderId="65" xfId="69" applyNumberFormat="1" applyFont="1" applyFill="1" applyBorder="1" applyAlignment="1">
      <alignment horizontal="center"/>
    </xf>
    <xf numFmtId="0" fontId="34" fillId="39" borderId="96" xfId="69" applyFont="1" applyFill="1" applyBorder="1" applyAlignment="1">
      <alignment horizontal="center"/>
    </xf>
    <xf numFmtId="2" fontId="34" fillId="27" borderId="97" xfId="69" applyNumberFormat="1" applyFont="1" applyFill="1" applyBorder="1" applyAlignment="1">
      <alignment horizontal="center"/>
    </xf>
    <xf numFmtId="9" fontId="34" fillId="27" borderId="65" xfId="69" applyNumberFormat="1" applyFont="1" applyFill="1" applyBorder="1" applyAlignment="1">
      <alignment horizontal="center"/>
    </xf>
    <xf numFmtId="0" fontId="34" fillId="27" borderId="96" xfId="69" applyFont="1" applyFill="1" applyBorder="1" applyAlignment="1">
      <alignment horizontal="center"/>
    </xf>
    <xf numFmtId="49" fontId="30" fillId="0" borderId="35" xfId="69" applyNumberFormat="1" applyFont="1" applyBorder="1" applyAlignment="1">
      <alignment horizontal="center"/>
    </xf>
    <xf numFmtId="49" fontId="30" fillId="0" borderId="29" xfId="69" applyNumberFormat="1" applyFont="1" applyBorder="1" applyAlignment="1">
      <alignment horizontal="center"/>
    </xf>
    <xf numFmtId="4" fontId="30" fillId="0" borderId="26" xfId="69" applyNumberFormat="1" applyFont="1" applyBorder="1" applyAlignment="1">
      <alignment horizontal="center"/>
    </xf>
    <xf numFmtId="4" fontId="30" fillId="0" borderId="72" xfId="69" applyNumberFormat="1" applyFont="1" applyBorder="1" applyAlignment="1">
      <alignment horizontal="center"/>
    </xf>
    <xf numFmtId="2" fontId="34" fillId="43" borderId="31" xfId="69" applyNumberFormat="1" applyFont="1" applyFill="1" applyBorder="1" applyAlignment="1">
      <alignment horizontal="center"/>
    </xf>
    <xf numFmtId="2" fontId="34" fillId="43" borderId="12" xfId="69" applyNumberFormat="1" applyFont="1" applyFill="1" applyBorder="1" applyAlignment="1">
      <alignment horizontal="center"/>
    </xf>
    <xf numFmtId="2" fontId="34" fillId="43" borderId="97" xfId="69" applyNumberFormat="1" applyFont="1" applyFill="1" applyBorder="1" applyAlignment="1">
      <alignment horizontal="center"/>
    </xf>
    <xf numFmtId="2" fontId="34" fillId="43" borderId="66" xfId="69" applyNumberFormat="1" applyFont="1" applyFill="1" applyBorder="1" applyAlignment="1">
      <alignment horizontal="center"/>
    </xf>
    <xf numFmtId="9" fontId="34" fillId="43" borderId="65" xfId="69" applyNumberFormat="1" applyFont="1" applyFill="1" applyBorder="1" applyAlignment="1">
      <alignment horizontal="center"/>
    </xf>
    <xf numFmtId="0" fontId="34" fillId="43" borderId="40" xfId="69" applyFont="1" applyFill="1" applyBorder="1" applyAlignment="1">
      <alignment horizontal="center"/>
    </xf>
    <xf numFmtId="2" fontId="34" fillId="33" borderId="97" xfId="69" applyNumberFormat="1" applyFont="1" applyFill="1" applyBorder="1" applyAlignment="1">
      <alignment horizontal="center"/>
    </xf>
    <xf numFmtId="2" fontId="34" fillId="33" borderId="66" xfId="69" applyNumberFormat="1" applyFont="1" applyFill="1" applyBorder="1" applyAlignment="1">
      <alignment horizontal="center"/>
    </xf>
    <xf numFmtId="0" fontId="34" fillId="33" borderId="96" xfId="69" applyFont="1" applyFill="1" applyBorder="1" applyAlignment="1">
      <alignment horizontal="center"/>
    </xf>
    <xf numFmtId="171" fontId="34" fillId="33" borderId="31" xfId="69" applyNumberFormat="1" applyFont="1" applyFill="1" applyBorder="1" applyAlignment="1">
      <alignment horizontal="center"/>
    </xf>
    <xf numFmtId="0" fontId="41" fillId="0" borderId="0" xfId="71" applyFont="1" applyAlignment="1">
      <alignment horizontal="center"/>
    </xf>
    <xf numFmtId="49" fontId="5" fillId="0" borderId="42" xfId="71" applyNumberFormat="1" applyFont="1" applyBorder="1" applyAlignment="1">
      <alignment horizontal="center"/>
    </xf>
    <xf numFmtId="0" fontId="26" fillId="0" borderId="45" xfId="69" applyFont="1" applyBorder="1" applyAlignment="1">
      <alignment horizontal="center" vertical="center" wrapText="1"/>
    </xf>
    <xf numFmtId="0" fontId="31" fillId="0" borderId="0" xfId="70" applyFont="1" applyAlignment="1">
      <alignment horizontal="left"/>
    </xf>
    <xf numFmtId="0" fontId="42" fillId="0" borderId="0" xfId="70" applyFont="1" applyAlignment="1">
      <alignment horizontal="center"/>
    </xf>
    <xf numFmtId="49" fontId="34" fillId="0" borderId="45" xfId="71" applyNumberFormat="1" applyFont="1" applyBorder="1" applyAlignment="1">
      <alignment horizontal="center"/>
    </xf>
    <xf numFmtId="0" fontId="5" fillId="0" borderId="41" xfId="71" applyFont="1" applyBorder="1" applyAlignment="1">
      <alignment horizontal="center"/>
    </xf>
    <xf numFmtId="0" fontId="5" fillId="0" borderId="38" xfId="71" applyFont="1" applyBorder="1" applyAlignment="1">
      <alignment horizontal="center"/>
    </xf>
    <xf numFmtId="0" fontId="5" fillId="0" borderId="43" xfId="71" applyFont="1" applyBorder="1" applyAlignment="1">
      <alignment horizontal="center"/>
    </xf>
    <xf numFmtId="0" fontId="22" fillId="0" borderId="0" xfId="69" applyFont="1" applyAlignment="1">
      <alignment horizontal="center" wrapText="1"/>
    </xf>
    <xf numFmtId="0" fontId="22" fillId="0" borderId="0" xfId="68" applyFont="1" applyAlignment="1">
      <alignment horizontal="center"/>
    </xf>
    <xf numFmtId="0" fontId="3" fillId="0" borderId="73" xfId="70" applyFont="1" applyBorder="1" applyAlignment="1">
      <alignment horizontal="right"/>
    </xf>
    <xf numFmtId="0" fontId="3" fillId="0" borderId="27" xfId="70" applyFont="1" applyBorder="1" applyAlignment="1">
      <alignment horizontal="right"/>
    </xf>
    <xf numFmtId="0" fontId="3" fillId="0" borderId="74" xfId="70" applyFont="1" applyBorder="1" applyAlignment="1">
      <alignment horizontal="right"/>
    </xf>
    <xf numFmtId="0" fontId="3" fillId="0" borderId="54" xfId="70" applyFont="1" applyBorder="1" applyAlignment="1">
      <alignment horizontal="center"/>
    </xf>
    <xf numFmtId="0" fontId="3" fillId="0" borderId="73" xfId="70" applyFont="1" applyBorder="1" applyAlignment="1">
      <alignment horizontal="center"/>
    </xf>
    <xf numFmtId="0" fontId="41" fillId="0" borderId="0" xfId="70" applyFont="1" applyAlignment="1">
      <alignment horizontal="center"/>
    </xf>
    <xf numFmtId="0" fontId="3" fillId="0" borderId="18" xfId="70" applyFont="1" applyBorder="1" applyAlignment="1">
      <alignment horizontal="right"/>
    </xf>
    <xf numFmtId="0" fontId="26" fillId="0" borderId="0" xfId="69" applyFont="1" applyAlignment="1">
      <alignment horizontal="center" vertical="top" wrapText="1"/>
    </xf>
    <xf numFmtId="0" fontId="26" fillId="0" borderId="27" xfId="69" applyFont="1" applyBorder="1" applyAlignment="1">
      <alignment horizontal="center" vertical="top" wrapText="1"/>
    </xf>
    <xf numFmtId="2" fontId="34" fillId="39" borderId="13" xfId="69" applyNumberFormat="1" applyFont="1" applyFill="1" applyBorder="1" applyAlignment="1">
      <alignment horizontal="center"/>
    </xf>
    <xf numFmtId="9" fontId="34" fillId="39" borderId="13" xfId="69" applyNumberFormat="1" applyFont="1" applyFill="1" applyBorder="1" applyAlignment="1">
      <alignment horizontal="center"/>
    </xf>
    <xf numFmtId="0" fontId="34" fillId="39" borderId="13" xfId="69" applyFont="1" applyFill="1" applyBorder="1" applyAlignment="1">
      <alignment horizontal="center"/>
    </xf>
    <xf numFmtId="4" fontId="30" fillId="0" borderId="49" xfId="69" applyNumberFormat="1" applyFont="1" applyBorder="1" applyAlignment="1">
      <alignment horizontal="center"/>
    </xf>
    <xf numFmtId="4" fontId="30" fillId="0" borderId="50" xfId="69" applyNumberFormat="1" applyFont="1" applyBorder="1" applyAlignment="1">
      <alignment horizontal="center"/>
    </xf>
    <xf numFmtId="49" fontId="30" fillId="0" borderId="49" xfId="69" applyNumberFormat="1" applyFont="1" applyBorder="1" applyAlignment="1">
      <alignment horizontal="center"/>
    </xf>
    <xf numFmtId="49" fontId="30" fillId="0" borderId="50" xfId="69" applyNumberFormat="1" applyFont="1" applyBorder="1" applyAlignment="1">
      <alignment horizontal="center"/>
    </xf>
    <xf numFmtId="49" fontId="30" fillId="0" borderId="78" xfId="69" applyNumberFormat="1" applyFont="1" applyBorder="1" applyAlignment="1">
      <alignment horizontal="center"/>
    </xf>
    <xf numFmtId="49" fontId="30" fillId="0" borderId="81" xfId="69" applyNumberFormat="1" applyFont="1" applyBorder="1" applyAlignment="1">
      <alignment horizontal="center"/>
    </xf>
    <xf numFmtId="2" fontId="34" fillId="43" borderId="35" xfId="69" applyNumberFormat="1" applyFont="1" applyFill="1" applyBorder="1" applyAlignment="1">
      <alignment horizontal="center"/>
    </xf>
    <xf numFmtId="2" fontId="34" fillId="43" borderId="13" xfId="69" applyNumberFormat="1" applyFont="1" applyFill="1" applyBorder="1" applyAlignment="1">
      <alignment horizontal="center"/>
    </xf>
    <xf numFmtId="9" fontId="34" fillId="43" borderId="13" xfId="69" applyNumberFormat="1" applyFont="1" applyFill="1" applyBorder="1" applyAlignment="1">
      <alignment horizontal="center"/>
    </xf>
    <xf numFmtId="0" fontId="34" fillId="43" borderId="13" xfId="69" applyFont="1" applyFill="1" applyBorder="1" applyAlignment="1">
      <alignment horizontal="center"/>
    </xf>
    <xf numFmtId="9" fontId="34" fillId="34" borderId="13" xfId="69" applyNumberFormat="1" applyFont="1" applyFill="1" applyBorder="1" applyAlignment="1">
      <alignment horizontal="center"/>
    </xf>
    <xf numFmtId="2" fontId="34" fillId="39" borderId="44" xfId="69" applyNumberFormat="1" applyFont="1" applyFill="1" applyBorder="1" applyAlignment="1">
      <alignment horizontal="center"/>
    </xf>
    <xf numFmtId="9" fontId="34" fillId="39" borderId="44" xfId="69" applyNumberFormat="1" applyFont="1" applyFill="1" applyBorder="1" applyAlignment="1">
      <alignment horizontal="center"/>
    </xf>
    <xf numFmtId="0" fontId="34" fillId="39" borderId="44" xfId="69" applyFont="1" applyFill="1" applyBorder="1" applyAlignment="1">
      <alignment horizontal="center"/>
    </xf>
    <xf numFmtId="2" fontId="34" fillId="33" borderId="44" xfId="69" applyNumberFormat="1" applyFont="1" applyFill="1" applyBorder="1" applyAlignment="1">
      <alignment horizontal="center"/>
    </xf>
    <xf numFmtId="2" fontId="34" fillId="43" borderId="46" xfId="69" applyNumberFormat="1" applyFont="1" applyFill="1" applyBorder="1" applyAlignment="1">
      <alignment horizontal="center"/>
    </xf>
    <xf numFmtId="2" fontId="34" fillId="43" borderId="44" xfId="69" applyNumberFormat="1" applyFont="1" applyFill="1" applyBorder="1" applyAlignment="1">
      <alignment horizontal="center"/>
    </xf>
    <xf numFmtId="2" fontId="34" fillId="39" borderId="22" xfId="69" applyNumberFormat="1" applyFont="1" applyFill="1" applyBorder="1" applyAlignment="1">
      <alignment horizontal="center"/>
    </xf>
    <xf numFmtId="2" fontId="34" fillId="27" borderId="22" xfId="69" applyNumberFormat="1" applyFont="1" applyFill="1" applyBorder="1" applyAlignment="1">
      <alignment horizontal="center"/>
    </xf>
    <xf numFmtId="0" fontId="3" fillId="0" borderId="73" xfId="70" applyFont="1" applyBorder="1" applyAlignment="1">
      <alignment horizontal="left"/>
    </xf>
    <xf numFmtId="0" fontId="3" fillId="0" borderId="27" xfId="70" applyFont="1" applyBorder="1" applyAlignment="1">
      <alignment horizontal="left"/>
    </xf>
    <xf numFmtId="0" fontId="3" fillId="0" borderId="74" xfId="70" applyFont="1" applyBorder="1" applyAlignment="1">
      <alignment horizontal="left"/>
    </xf>
    <xf numFmtId="0" fontId="3" fillId="0" borderId="54" xfId="70" applyFont="1" applyBorder="1" applyAlignment="1">
      <alignment horizontal="right"/>
    </xf>
    <xf numFmtId="0" fontId="3" fillId="0" borderId="18" xfId="70" applyFont="1" applyBorder="1" applyAlignment="1">
      <alignment horizontal="left"/>
    </xf>
    <xf numFmtId="0" fontId="5" fillId="0" borderId="75" xfId="69" applyFont="1" applyBorder="1" applyAlignment="1">
      <alignment horizontal="center" vertical="center" wrapText="1"/>
    </xf>
    <xf numFmtId="0" fontId="5" fillId="0" borderId="69" xfId="69" applyFont="1" applyBorder="1" applyAlignment="1">
      <alignment horizontal="center" vertical="center" wrapText="1"/>
    </xf>
    <xf numFmtId="0" fontId="5" fillId="0" borderId="83" xfId="69" applyFont="1" applyBorder="1" applyAlignment="1">
      <alignment horizontal="center" vertical="center" wrapText="1"/>
    </xf>
    <xf numFmtId="0" fontId="5" fillId="0" borderId="53" xfId="69" applyFont="1" applyBorder="1" applyAlignment="1">
      <alignment horizontal="center" vertical="center" wrapText="1"/>
    </xf>
    <xf numFmtId="0" fontId="5" fillId="0" borderId="54" xfId="69" applyFont="1" applyBorder="1" applyAlignment="1">
      <alignment horizontal="center" vertical="center" wrapText="1"/>
    </xf>
    <xf numFmtId="0" fontId="5" fillId="0" borderId="79" xfId="69" applyFont="1" applyBorder="1" applyAlignment="1">
      <alignment horizontal="center" vertical="center" wrapText="1"/>
    </xf>
    <xf numFmtId="0" fontId="5" fillId="0" borderId="0" xfId="69" applyFont="1" applyAlignment="1">
      <alignment horizontal="center" vertical="top" wrapText="1"/>
    </xf>
    <xf numFmtId="0" fontId="5" fillId="0" borderId="27" xfId="69" applyFont="1" applyBorder="1" applyAlignment="1">
      <alignment horizontal="center" vertical="top" wrapText="1"/>
    </xf>
    <xf numFmtId="9" fontId="34" fillId="43" borderId="44" xfId="69" applyNumberFormat="1" applyFont="1" applyFill="1" applyBorder="1" applyAlignment="1">
      <alignment horizontal="center"/>
    </xf>
    <xf numFmtId="0" fontId="34" fillId="43" borderId="44" xfId="69" applyFont="1" applyFill="1" applyBorder="1" applyAlignment="1">
      <alignment horizontal="center"/>
    </xf>
    <xf numFmtId="0" fontId="26" fillId="0" borderId="58" xfId="69" applyFont="1" applyBorder="1" applyAlignment="1">
      <alignment horizontal="center" vertical="center" wrapText="1"/>
    </xf>
    <xf numFmtId="0" fontId="26" fillId="0" borderId="38" xfId="69" applyFont="1" applyBorder="1" applyAlignment="1">
      <alignment horizontal="center" vertical="center" wrapText="1"/>
    </xf>
    <xf numFmtId="0" fontId="26" fillId="0" borderId="43" xfId="69" applyFont="1" applyBorder="1" applyAlignment="1">
      <alignment horizontal="center" vertical="center" wrapText="1"/>
    </xf>
    <xf numFmtId="0" fontId="71" fillId="0" borderId="24" xfId="68" applyFont="1" applyBorder="1" applyAlignment="1">
      <alignment horizontal="center"/>
    </xf>
    <xf numFmtId="0" fontId="71" fillId="0" borderId="76" xfId="68" applyFont="1" applyBorder="1" applyAlignment="1">
      <alignment horizontal="center"/>
    </xf>
    <xf numFmtId="1" fontId="3" fillId="0" borderId="18" xfId="68" applyNumberFormat="1" applyFont="1" applyBorder="1" applyAlignment="1">
      <alignment horizontal="left"/>
    </xf>
    <xf numFmtId="1" fontId="3" fillId="0" borderId="27" xfId="68" applyNumberFormat="1" applyFont="1" applyBorder="1" applyAlignment="1">
      <alignment horizontal="left"/>
    </xf>
    <xf numFmtId="1" fontId="3" fillId="0" borderId="74" xfId="68" applyNumberFormat="1" applyFont="1" applyBorder="1" applyAlignment="1">
      <alignment horizontal="left"/>
    </xf>
    <xf numFmtId="1" fontId="3" fillId="0" borderId="73" xfId="68" applyNumberFormat="1" applyFont="1" applyBorder="1" applyAlignment="1">
      <alignment horizontal="right"/>
    </xf>
    <xf numFmtId="1" fontId="3" fillId="0" borderId="27" xfId="68" applyNumberFormat="1" applyFont="1" applyBorder="1" applyAlignment="1">
      <alignment horizontal="right"/>
    </xf>
    <xf numFmtId="1" fontId="3" fillId="0" borderId="74" xfId="68" applyNumberFormat="1" applyFont="1" applyBorder="1" applyAlignment="1">
      <alignment horizontal="right"/>
    </xf>
    <xf numFmtId="1" fontId="3" fillId="0" borderId="73" xfId="68" applyNumberFormat="1" applyFont="1" applyBorder="1" applyAlignment="1">
      <alignment horizontal="left"/>
    </xf>
    <xf numFmtId="49" fontId="3" fillId="0" borderId="73" xfId="68" applyNumberFormat="1" applyFont="1" applyBorder="1" applyAlignment="1">
      <alignment horizontal="right"/>
    </xf>
    <xf numFmtId="49" fontId="3" fillId="0" borderId="27" xfId="68" applyNumberFormat="1" applyFont="1" applyBorder="1" applyAlignment="1">
      <alignment horizontal="right"/>
    </xf>
    <xf numFmtId="49" fontId="3" fillId="0" borderId="74" xfId="68" applyNumberFormat="1" applyFont="1" applyBorder="1" applyAlignment="1">
      <alignment horizontal="right"/>
    </xf>
    <xf numFmtId="49" fontId="34" fillId="0" borderId="73" xfId="68" applyNumberFormat="1" applyFont="1" applyBorder="1" applyAlignment="1">
      <alignment horizontal="right"/>
    </xf>
    <xf numFmtId="49" fontId="34" fillId="0" borderId="27" xfId="68" applyNumberFormat="1" applyFont="1" applyBorder="1" applyAlignment="1">
      <alignment horizontal="right"/>
    </xf>
    <xf numFmtId="49" fontId="34" fillId="0" borderId="28" xfId="68" applyNumberFormat="1" applyFont="1" applyBorder="1" applyAlignment="1">
      <alignment horizontal="right"/>
    </xf>
    <xf numFmtId="0" fontId="2" fillId="0" borderId="0" xfId="68" applyFont="1" applyAlignment="1">
      <alignment horizontal="left" vertical="center"/>
    </xf>
    <xf numFmtId="0" fontId="41" fillId="0" borderId="0" xfId="68" applyFont="1" applyAlignment="1">
      <alignment horizontal="center"/>
    </xf>
    <xf numFmtId="0" fontId="42" fillId="0" borderId="0" xfId="68" applyFont="1" applyAlignment="1">
      <alignment horizontal="center"/>
    </xf>
    <xf numFmtId="0" fontId="85" fillId="0" borderId="0" xfId="68" applyFont="1" applyAlignment="1">
      <alignment horizontal="center"/>
    </xf>
    <xf numFmtId="0" fontId="31" fillId="0" borderId="0" xfId="68" applyFont="1" applyAlignment="1">
      <alignment horizontal="left"/>
    </xf>
    <xf numFmtId="49" fontId="3" fillId="0" borderId="73" xfId="68" applyNumberFormat="1" applyFont="1" applyBorder="1" applyAlignment="1">
      <alignment horizontal="left"/>
    </xf>
    <xf numFmtId="49" fontId="3" fillId="0" borderId="27" xfId="68" applyNumberFormat="1" applyFont="1" applyBorder="1" applyAlignment="1">
      <alignment horizontal="left"/>
    </xf>
    <xf numFmtId="49" fontId="3" fillId="0" borderId="74" xfId="68" applyNumberFormat="1" applyFont="1" applyBorder="1" applyAlignment="1">
      <alignment horizontal="left"/>
    </xf>
    <xf numFmtId="0" fontId="26" fillId="0" borderId="47" xfId="69" applyFont="1" applyBorder="1" applyAlignment="1">
      <alignment horizontal="center" vertical="center" wrapText="1"/>
    </xf>
    <xf numFmtId="0" fontId="26" fillId="0" borderId="41" xfId="69" applyFont="1" applyBorder="1" applyAlignment="1">
      <alignment horizontal="center" vertical="center" wrapText="1"/>
    </xf>
    <xf numFmtId="0" fontId="3" fillId="0" borderId="54" xfId="68" applyFont="1" applyBorder="1" applyAlignment="1">
      <alignment horizontal="right"/>
    </xf>
    <xf numFmtId="49" fontId="3" fillId="0" borderId="73" xfId="68" applyNumberFormat="1" applyFont="1" applyBorder="1" applyAlignment="1">
      <alignment horizontal="center"/>
    </xf>
    <xf numFmtId="49" fontId="3" fillId="0" borderId="27" xfId="68" applyNumberFormat="1" applyFont="1" applyBorder="1" applyAlignment="1">
      <alignment horizontal="center"/>
    </xf>
    <xf numFmtId="49" fontId="3" fillId="0" borderId="28" xfId="68" applyNumberFormat="1" applyFont="1" applyBorder="1" applyAlignment="1">
      <alignment horizontal="center"/>
    </xf>
    <xf numFmtId="0" fontId="5" fillId="0" borderId="70" xfId="68" applyFont="1" applyBorder="1" applyAlignment="1">
      <alignment horizontal="center"/>
    </xf>
    <xf numFmtId="0" fontId="5" fillId="0" borderId="24" xfId="68" applyFont="1" applyBorder="1" applyAlignment="1">
      <alignment horizontal="center"/>
    </xf>
    <xf numFmtId="0" fontId="31" fillId="0" borderId="23" xfId="59" applyFont="1" applyBorder="1" applyAlignment="1">
      <alignment horizontal="center" vertical="center" wrapText="1"/>
    </xf>
    <xf numFmtId="0" fontId="31" fillId="0" borderId="16" xfId="59" applyFont="1" applyBorder="1" applyAlignment="1">
      <alignment horizontal="center" vertical="center" wrapText="1"/>
    </xf>
    <xf numFmtId="0" fontId="31" fillId="0" borderId="18" xfId="59" applyFont="1" applyBorder="1" applyAlignment="1">
      <alignment horizontal="center" vertical="center" wrapText="1"/>
    </xf>
    <xf numFmtId="49" fontId="29" fillId="0" borderId="16" xfId="59" applyNumberFormat="1" applyFont="1" applyBorder="1" applyAlignment="1">
      <alignment horizontal="center"/>
    </xf>
    <xf numFmtId="49" fontId="29" fillId="0" borderId="0" xfId="59" applyNumberFormat="1" applyFont="1" applyAlignment="1">
      <alignment horizontal="center"/>
    </xf>
    <xf numFmtId="0" fontId="31" fillId="0" borderId="13" xfId="59" applyFont="1" applyBorder="1" applyAlignment="1">
      <alignment horizontal="center"/>
    </xf>
    <xf numFmtId="0" fontId="31" fillId="0" borderId="68" xfId="59" applyFont="1" applyBorder="1" applyAlignment="1">
      <alignment horizontal="center" vertical="center" wrapText="1"/>
    </xf>
    <xf numFmtId="0" fontId="31" fillId="0" borderId="71" xfId="59" applyFont="1" applyBorder="1" applyAlignment="1">
      <alignment horizontal="center" vertical="center" wrapText="1"/>
    </xf>
    <xf numFmtId="0" fontId="1" fillId="0" borderId="13" xfId="59" applyFont="1" applyBorder="1" applyAlignment="1">
      <alignment horizontal="center"/>
    </xf>
    <xf numFmtId="0" fontId="31" fillId="0" borderId="19" xfId="59" applyFont="1" applyBorder="1" applyAlignment="1">
      <alignment horizontal="center" vertical="center" wrapText="1"/>
    </xf>
    <xf numFmtId="0" fontId="31" fillId="0" borderId="17" xfId="59" applyFont="1" applyBorder="1" applyAlignment="1">
      <alignment horizontal="center" vertical="center" wrapText="1"/>
    </xf>
    <xf numFmtId="0" fontId="31" fillId="0" borderId="15" xfId="59" applyFont="1" applyBorder="1" applyAlignment="1">
      <alignment horizontal="center" vertical="center" wrapText="1"/>
    </xf>
    <xf numFmtId="0" fontId="31" fillId="0" borderId="22" xfId="59" applyFont="1" applyBorder="1" applyAlignment="1">
      <alignment horizontal="center"/>
    </xf>
    <xf numFmtId="0" fontId="31" fillId="0" borderId="21" xfId="59" applyFont="1" applyBorder="1" applyAlignment="1">
      <alignment horizontal="center"/>
    </xf>
    <xf numFmtId="0" fontId="31" fillId="0" borderId="12" xfId="59" applyFont="1" applyBorder="1" applyAlignment="1">
      <alignment horizontal="center"/>
    </xf>
    <xf numFmtId="0" fontId="38" fillId="0" borderId="0" xfId="59" applyFont="1" applyAlignment="1">
      <alignment horizontal="center"/>
    </xf>
    <xf numFmtId="0" fontId="16" fillId="0" borderId="0" xfId="59" applyFont="1" applyAlignment="1">
      <alignment horizontal="center"/>
    </xf>
    <xf numFmtId="0" fontId="48" fillId="0" borderId="0" xfId="59" applyFont="1" applyAlignment="1">
      <alignment horizontal="center"/>
    </xf>
    <xf numFmtId="0" fontId="37" fillId="24" borderId="32" xfId="0" applyFont="1" applyFill="1" applyBorder="1" applyAlignment="1">
      <alignment horizontal="center" vertical="center"/>
    </xf>
    <xf numFmtId="0" fontId="37" fillId="24" borderId="33" xfId="0" applyFont="1" applyFill="1" applyBorder="1" applyAlignment="1">
      <alignment horizontal="center" vertical="center"/>
    </xf>
    <xf numFmtId="0" fontId="37" fillId="24" borderId="34" xfId="0" applyFont="1" applyFill="1" applyBorder="1" applyAlignment="1">
      <alignment horizontal="center" vertical="center"/>
    </xf>
    <xf numFmtId="0" fontId="2" fillId="0" borderId="22" xfId="0" applyFont="1" applyBorder="1" applyAlignment="1">
      <alignment horizontal="center" vertical="center" wrapText="1"/>
    </xf>
    <xf numFmtId="0" fontId="2" fillId="0" borderId="21" xfId="0" applyFont="1" applyBorder="1" applyAlignment="1">
      <alignment horizontal="center" vertical="center" wrapText="1"/>
    </xf>
    <xf numFmtId="0" fontId="2" fillId="0" borderId="61" xfId="0" applyFont="1" applyBorder="1" applyAlignment="1">
      <alignment horizontal="center" vertical="center" wrapText="1"/>
    </xf>
    <xf numFmtId="0" fontId="31" fillId="0" borderId="41" xfId="0" applyFont="1" applyBorder="1" applyAlignment="1">
      <alignment horizontal="center"/>
    </xf>
    <xf numFmtId="0" fontId="31" fillId="0" borderId="38" xfId="0" applyFont="1" applyBorder="1" applyAlignment="1">
      <alignment horizontal="center"/>
    </xf>
    <xf numFmtId="0" fontId="31" fillId="0" borderId="43" xfId="0" applyFont="1" applyBorder="1" applyAlignment="1">
      <alignment horizontal="center"/>
    </xf>
    <xf numFmtId="0" fontId="2" fillId="0" borderId="65" xfId="0" applyFont="1" applyBorder="1" applyAlignment="1">
      <alignment horizontal="center" vertical="center" wrapText="1"/>
    </xf>
    <xf numFmtId="0" fontId="2" fillId="0" borderId="40" xfId="0" applyFont="1" applyBorder="1" applyAlignment="1">
      <alignment horizontal="center" vertical="center" wrapText="1"/>
    </xf>
    <xf numFmtId="0" fontId="2" fillId="0" borderId="96" xfId="0" applyFont="1" applyBorder="1" applyAlignment="1">
      <alignment horizontal="center" vertical="center" wrapText="1"/>
    </xf>
    <xf numFmtId="0" fontId="27" fillId="0" borderId="27" xfId="0" applyFont="1" applyBorder="1" applyAlignment="1">
      <alignment horizontal="center"/>
    </xf>
    <xf numFmtId="0" fontId="27" fillId="0" borderId="0" xfId="0" applyFont="1" applyAlignment="1">
      <alignment horizontal="center"/>
    </xf>
    <xf numFmtId="0" fontId="27" fillId="0" borderId="19" xfId="0" applyFont="1" applyBorder="1" applyAlignment="1">
      <alignment horizontal="center"/>
    </xf>
    <xf numFmtId="0" fontId="27" fillId="0" borderId="20" xfId="0" applyFont="1" applyBorder="1" applyAlignment="1">
      <alignment horizontal="center"/>
    </xf>
    <xf numFmtId="0" fontId="2" fillId="0" borderId="17" xfId="0" applyFont="1" applyBorder="1" applyAlignment="1">
      <alignment horizontal="center"/>
    </xf>
    <xf numFmtId="0" fontId="25" fillId="0" borderId="0" xfId="0" applyFont="1" applyAlignment="1">
      <alignment horizontal="center"/>
    </xf>
    <xf numFmtId="0" fontId="25" fillId="0" borderId="14" xfId="0" applyFont="1" applyBorder="1" applyAlignment="1">
      <alignment horizontal="center"/>
    </xf>
    <xf numFmtId="0" fontId="25" fillId="0" borderId="17" xfId="0" applyFont="1" applyBorder="1" applyAlignment="1">
      <alignment horizontal="center"/>
    </xf>
    <xf numFmtId="0" fontId="1" fillId="0" borderId="22" xfId="0" applyFont="1" applyBorder="1" applyAlignment="1">
      <alignment horizontal="center"/>
    </xf>
    <xf numFmtId="0" fontId="1" fillId="0" borderId="21" xfId="0" applyFont="1" applyBorder="1" applyAlignment="1">
      <alignment horizontal="center"/>
    </xf>
    <xf numFmtId="0" fontId="1" fillId="0" borderId="12" xfId="0" applyFont="1" applyBorder="1" applyAlignment="1">
      <alignment horizontal="center"/>
    </xf>
    <xf numFmtId="0" fontId="1" fillId="0" borderId="22" xfId="0" applyFont="1" applyBorder="1" applyAlignment="1">
      <alignment horizontal="center" wrapText="1"/>
    </xf>
    <xf numFmtId="0" fontId="1" fillId="0" borderId="21" xfId="0" applyFont="1" applyBorder="1" applyAlignment="1">
      <alignment horizontal="center" wrapText="1"/>
    </xf>
    <xf numFmtId="0" fontId="1" fillId="0" borderId="12" xfId="0" applyFont="1" applyBorder="1" applyAlignment="1">
      <alignment horizontal="center" wrapText="1"/>
    </xf>
    <xf numFmtId="0" fontId="2" fillId="0" borderId="22" xfId="0" applyFont="1" applyBorder="1" applyAlignment="1">
      <alignment horizontal="center"/>
    </xf>
    <xf numFmtId="0" fontId="0" fillId="0" borderId="21" xfId="0" applyBorder="1" applyAlignment="1">
      <alignment horizontal="center"/>
    </xf>
    <xf numFmtId="0" fontId="0" fillId="0" borderId="12" xfId="0" applyBorder="1" applyAlignment="1">
      <alignment horizontal="center"/>
    </xf>
    <xf numFmtId="0" fontId="39" fillId="0" borderId="0" xfId="0" applyFont="1" applyAlignment="1">
      <alignment horizontal="center"/>
    </xf>
    <xf numFmtId="0" fontId="100" fillId="0" borderId="0" xfId="0" applyFont="1" applyAlignment="1">
      <alignment horizontal="left" vertical="justify" wrapText="1"/>
    </xf>
    <xf numFmtId="0" fontId="9" fillId="0" borderId="0" xfId="0" applyFont="1" applyAlignment="1">
      <alignment horizontal="center" wrapText="1"/>
    </xf>
    <xf numFmtId="0" fontId="9" fillId="0" borderId="10" xfId="0" applyFont="1" applyBorder="1" applyAlignment="1">
      <alignment horizontal="center" wrapText="1"/>
    </xf>
    <xf numFmtId="0" fontId="2" fillId="0" borderId="10" xfId="0" applyFont="1" applyBorder="1" applyAlignment="1">
      <alignment horizontal="center"/>
    </xf>
    <xf numFmtId="0" fontId="90" fillId="0" borderId="0" xfId="41" quotePrefix="1" applyAlignment="1" applyProtection="1">
      <alignment horizontal="center"/>
    </xf>
    <xf numFmtId="0" fontId="9" fillId="0" borderId="0" xfId="0" applyFont="1" applyAlignment="1">
      <alignment horizontal="right"/>
    </xf>
    <xf numFmtId="0" fontId="106" fillId="48" borderId="0" xfId="0" applyFont="1" applyFill="1" applyAlignment="1">
      <alignment horizontal="center"/>
    </xf>
    <xf numFmtId="0" fontId="2" fillId="0" borderId="116" xfId="0" applyFont="1" applyBorder="1"/>
    <xf numFmtId="0" fontId="106" fillId="0" borderId="0" xfId="0" applyFont="1" applyAlignment="1">
      <alignment horizontal="center"/>
    </xf>
    <xf numFmtId="0" fontId="114" fillId="47" borderId="103" xfId="0" applyFont="1" applyFill="1" applyBorder="1" applyAlignment="1">
      <alignment horizontal="left" wrapText="1"/>
    </xf>
    <xf numFmtId="0" fontId="2" fillId="0" borderId="112" xfId="0" applyFont="1" applyBorder="1"/>
    <xf numFmtId="0" fontId="2" fillId="0" borderId="113" xfId="0" applyFont="1" applyBorder="1"/>
    <xf numFmtId="0" fontId="106" fillId="0" borderId="115" xfId="0" applyFont="1" applyBorder="1" applyAlignment="1">
      <alignment horizontal="center"/>
    </xf>
    <xf numFmtId="0" fontId="2" fillId="0" borderId="102" xfId="0" applyFont="1" applyBorder="1"/>
    <xf numFmtId="0" fontId="2" fillId="0" borderId="115" xfId="0" applyFont="1" applyBorder="1"/>
    <xf numFmtId="0" fontId="106" fillId="48" borderId="115" xfId="0" applyFont="1" applyFill="1" applyBorder="1" applyAlignment="1">
      <alignment horizontal="center"/>
    </xf>
    <xf numFmtId="0" fontId="106" fillId="0" borderId="13" xfId="0" applyFont="1" applyBorder="1" applyAlignment="1">
      <alignment horizontal="center"/>
    </xf>
    <xf numFmtId="0" fontId="109" fillId="0" borderId="0" xfId="0" applyFont="1" applyAlignment="1">
      <alignment horizontal="center"/>
    </xf>
    <xf numFmtId="0" fontId="0" fillId="0" borderId="0" xfId="0"/>
    <xf numFmtId="0" fontId="109" fillId="45" borderId="0" xfId="0" applyFont="1" applyFill="1" applyAlignment="1">
      <alignment horizontal="center"/>
    </xf>
    <xf numFmtId="0" fontId="2" fillId="0" borderId="0" xfId="0" applyFont="1"/>
    <xf numFmtId="0" fontId="106" fillId="0" borderId="0" xfId="0" applyFont="1" applyAlignment="1">
      <alignment horizontal="center" vertical="center"/>
    </xf>
    <xf numFmtId="0" fontId="109" fillId="46" borderId="105" xfId="0" applyFont="1" applyFill="1" applyBorder="1" applyAlignment="1">
      <alignment horizontal="center" vertical="center" wrapText="1"/>
    </xf>
    <xf numFmtId="0" fontId="2" fillId="0" borderId="108" xfId="0" applyFont="1" applyBorder="1"/>
    <xf numFmtId="0" fontId="109" fillId="46" borderId="106" xfId="0" applyFont="1" applyFill="1" applyBorder="1" applyAlignment="1">
      <alignment horizontal="center" vertical="center"/>
    </xf>
    <xf numFmtId="0" fontId="2" fillId="0" borderId="107" xfId="0" applyFont="1" applyBorder="1"/>
    <xf numFmtId="0" fontId="103" fillId="0" borderId="0" xfId="0" applyFont="1" applyAlignment="1">
      <alignment horizontal="center"/>
    </xf>
    <xf numFmtId="0" fontId="0" fillId="0" borderId="104" xfId="0" applyBorder="1" applyAlignment="1">
      <alignment horizontal="center"/>
    </xf>
    <xf numFmtId="0" fontId="2" fillId="0" borderId="104" xfId="0" applyFont="1" applyBorder="1"/>
    <xf numFmtId="0" fontId="2" fillId="0" borderId="104" xfId="0" applyFont="1" applyBorder="1" applyAlignment="1">
      <alignment horizontal="center" wrapText="1"/>
    </xf>
    <xf numFmtId="0" fontId="2" fillId="0" borderId="104" xfId="0" applyFont="1" applyBorder="1" applyAlignment="1">
      <alignment horizontal="center"/>
    </xf>
    <xf numFmtId="0" fontId="106" fillId="0" borderId="103" xfId="0" applyFont="1" applyBorder="1" applyAlignment="1">
      <alignment horizontal="left" vertical="center" wrapText="1"/>
    </xf>
    <xf numFmtId="0" fontId="2" fillId="0" borderId="112" xfId="0" applyFont="1" applyBorder="1" applyAlignment="1">
      <alignment vertical="center"/>
    </xf>
    <xf numFmtId="0" fontId="2" fillId="0" borderId="113" xfId="0" applyFont="1" applyBorder="1" applyAlignment="1">
      <alignment vertical="center"/>
    </xf>
    <xf numFmtId="0" fontId="106" fillId="0" borderId="103" xfId="0" applyFont="1" applyBorder="1" applyAlignment="1">
      <alignment horizontal="left" wrapText="1"/>
    </xf>
    <xf numFmtId="0" fontId="106" fillId="0" borderId="115" xfId="0" applyFont="1" applyBorder="1" applyAlignment="1">
      <alignment horizontal="center" vertical="center"/>
    </xf>
    <xf numFmtId="0" fontId="113" fillId="0" borderId="103" xfId="0" applyFont="1" applyBorder="1" applyAlignment="1">
      <alignment horizontal="left" vertical="center" wrapText="1"/>
    </xf>
    <xf numFmtId="1" fontId="105" fillId="49" borderId="103" xfId="0" applyNumberFormat="1" applyFont="1" applyFill="1" applyBorder="1" applyAlignment="1">
      <alignment horizontal="right" vertical="center"/>
    </xf>
    <xf numFmtId="183" fontId="105" fillId="49" borderId="115" xfId="0" applyNumberFormat="1" applyFont="1" applyFill="1" applyBorder="1" applyAlignment="1">
      <alignment horizontal="right" vertical="center" wrapText="1"/>
    </xf>
    <xf numFmtId="183" fontId="105" fillId="49" borderId="0" xfId="0" applyNumberFormat="1" applyFont="1" applyFill="1" applyAlignment="1">
      <alignment horizontal="right" vertical="center" wrapText="1"/>
    </xf>
    <xf numFmtId="0" fontId="106" fillId="49" borderId="0" xfId="0" applyFont="1" applyFill="1" applyAlignment="1">
      <alignment horizontal="right"/>
    </xf>
    <xf numFmtId="0" fontId="109" fillId="46" borderId="99" xfId="0" applyFont="1" applyFill="1" applyBorder="1" applyAlignment="1">
      <alignment horizontal="center" vertical="center" wrapText="1"/>
    </xf>
    <xf numFmtId="0" fontId="2" fillId="0" borderId="117" xfId="0" applyFont="1" applyBorder="1"/>
    <xf numFmtId="0" fontId="109" fillId="46" borderId="103" xfId="0" applyFont="1" applyFill="1" applyBorder="1" applyAlignment="1">
      <alignment horizontal="center" vertical="center"/>
    </xf>
    <xf numFmtId="0" fontId="2" fillId="0" borderId="0" xfId="0" applyFont="1" applyBorder="1"/>
    <xf numFmtId="0" fontId="106" fillId="0" borderId="120" xfId="0" applyFont="1" applyBorder="1" applyAlignment="1">
      <alignment horizontal="left" vertical="center" wrapText="1"/>
    </xf>
    <xf numFmtId="0" fontId="2" fillId="0" borderId="121" xfId="0" applyFont="1" applyBorder="1"/>
    <xf numFmtId="0" fontId="2" fillId="0" borderId="122" xfId="0" applyFont="1" applyBorder="1"/>
    <xf numFmtId="0" fontId="116" fillId="0" borderId="99" xfId="0" applyFont="1" applyBorder="1" applyAlignment="1">
      <alignment horizontal="center" vertical="center" wrapText="1"/>
    </xf>
    <xf numFmtId="0" fontId="2" fillId="0" borderId="123" xfId="0" applyFont="1" applyBorder="1"/>
    <xf numFmtId="0" fontId="116" fillId="0" borderId="103" xfId="0" applyFont="1" applyBorder="1" applyAlignment="1">
      <alignment horizontal="center" vertical="center" wrapText="1"/>
    </xf>
    <xf numFmtId="0" fontId="116" fillId="0" borderId="99" xfId="0" applyFont="1" applyBorder="1" applyAlignment="1">
      <alignment horizontal="center" vertical="center"/>
    </xf>
    <xf numFmtId="165" fontId="116" fillId="0" borderId="99" xfId="0" applyNumberFormat="1" applyFont="1" applyBorder="1" applyAlignment="1">
      <alignment horizontal="center" vertical="center" wrapText="1"/>
    </xf>
    <xf numFmtId="165" fontId="116" fillId="0" borderId="99" xfId="0" applyNumberFormat="1" applyFont="1" applyBorder="1" applyAlignment="1">
      <alignment horizontal="center" vertical="center"/>
    </xf>
    <xf numFmtId="0" fontId="117" fillId="0" borderId="99" xfId="0" applyFont="1" applyBorder="1" applyAlignment="1">
      <alignment horizontal="center" vertical="center" wrapText="1"/>
    </xf>
    <xf numFmtId="0" fontId="103" fillId="0" borderId="103" xfId="0" applyFont="1" applyBorder="1" applyAlignment="1">
      <alignment horizontal="right"/>
    </xf>
    <xf numFmtId="0" fontId="106" fillId="0" borderId="103" xfId="0" applyFont="1" applyBorder="1" applyAlignment="1">
      <alignment horizontal="right"/>
    </xf>
    <xf numFmtId="0" fontId="103" fillId="0" borderId="125" xfId="0" applyFont="1" applyBorder="1" applyAlignment="1">
      <alignment horizontal="center"/>
    </xf>
    <xf numFmtId="0" fontId="2" fillId="0" borderId="125" xfId="0" applyFont="1" applyBorder="1"/>
    <xf numFmtId="0" fontId="103" fillId="0" borderId="0" xfId="0" applyFont="1" applyAlignment="1">
      <alignment horizontal="center" vertical="center" wrapText="1"/>
    </xf>
    <xf numFmtId="0" fontId="90" fillId="0" borderId="0" xfId="0" applyFont="1" applyAlignment="1">
      <alignment horizontal="center"/>
    </xf>
    <xf numFmtId="0" fontId="1" fillId="0" borderId="0" xfId="0" applyFont="1" applyAlignment="1">
      <alignment horizontal="center" wrapText="1"/>
    </xf>
    <xf numFmtId="0" fontId="1" fillId="0" borderId="0" xfId="0" applyFont="1"/>
    <xf numFmtId="0" fontId="2" fillId="0" borderId="126" xfId="0" applyFont="1" applyBorder="1"/>
    <xf numFmtId="0" fontId="103" fillId="0" borderId="99" xfId="0" applyFont="1" applyBorder="1" applyAlignment="1">
      <alignment horizontal="left" wrapText="1"/>
    </xf>
    <xf numFmtId="0" fontId="118" fillId="0" borderId="0" xfId="0" applyFont="1" applyAlignment="1">
      <alignment horizontal="center"/>
    </xf>
    <xf numFmtId="0" fontId="119" fillId="0" borderId="0" xfId="0" applyFont="1" applyAlignment="1">
      <alignment horizontal="center"/>
    </xf>
    <xf numFmtId="0" fontId="120" fillId="0" borderId="0" xfId="0" applyFont="1" applyAlignment="1">
      <alignment horizontal="center"/>
    </xf>
    <xf numFmtId="0" fontId="120" fillId="45" borderId="0" xfId="0" applyFont="1" applyFill="1" applyAlignment="1">
      <alignment horizontal="center"/>
    </xf>
    <xf numFmtId="1" fontId="105" fillId="54" borderId="103" xfId="0" applyNumberFormat="1" applyFont="1" applyFill="1" applyBorder="1" applyAlignment="1">
      <alignment horizontal="right" vertical="center"/>
    </xf>
    <xf numFmtId="0" fontId="2" fillId="35" borderId="112" xfId="0" applyFont="1" applyFill="1" applyBorder="1"/>
    <xf numFmtId="0" fontId="2" fillId="35" borderId="113" xfId="0" applyFont="1" applyFill="1" applyBorder="1"/>
    <xf numFmtId="183" fontId="105" fillId="54" borderId="115" xfId="0" applyNumberFormat="1" applyFont="1" applyFill="1" applyBorder="1" applyAlignment="1">
      <alignment horizontal="right" vertical="center" wrapText="1"/>
    </xf>
    <xf numFmtId="0" fontId="2" fillId="35" borderId="115" xfId="0" applyFont="1" applyFill="1" applyBorder="1"/>
    <xf numFmtId="183" fontId="105" fillId="54" borderId="0" xfId="0" applyNumberFormat="1" applyFont="1" applyFill="1" applyAlignment="1">
      <alignment horizontal="right" vertical="center" wrapText="1"/>
    </xf>
    <xf numFmtId="0" fontId="2" fillId="35" borderId="0" xfId="0" applyFont="1" applyFill="1"/>
    <xf numFmtId="0" fontId="106" fillId="54" borderId="0" xfId="0" applyFont="1" applyFill="1" applyAlignment="1">
      <alignment horizontal="right"/>
    </xf>
    <xf numFmtId="0" fontId="103" fillId="0" borderId="115" xfId="0" applyFont="1" applyBorder="1" applyAlignment="1">
      <alignment horizontal="center"/>
    </xf>
    <xf numFmtId="0" fontId="125" fillId="0" borderId="125" xfId="0" applyFont="1" applyBorder="1" applyAlignment="1">
      <alignment horizontal="center"/>
    </xf>
    <xf numFmtId="0" fontId="126" fillId="0" borderId="0" xfId="0" applyFont="1" applyAlignment="1">
      <alignment horizontal="left" vertical="center" wrapText="1"/>
    </xf>
    <xf numFmtId="0" fontId="1" fillId="0" borderId="0" xfId="46" applyNumberFormat="1" applyFont="1" applyAlignment="1">
      <alignment horizontal="center"/>
    </xf>
    <xf numFmtId="0" fontId="1" fillId="0" borderId="14" xfId="46" applyNumberFormat="1" applyFont="1" applyBorder="1" applyAlignment="1">
      <alignment horizontal="center"/>
    </xf>
    <xf numFmtId="0" fontId="48" fillId="0" borderId="0" xfId="0" applyFont="1" applyAlignment="1">
      <alignment horizontal="center"/>
    </xf>
    <xf numFmtId="0" fontId="9" fillId="24" borderId="58" xfId="0" applyFont="1" applyFill="1" applyBorder="1" applyAlignment="1">
      <alignment horizontal="center" vertical="center"/>
    </xf>
    <xf numFmtId="0" fontId="9" fillId="24" borderId="43" xfId="0" applyFont="1" applyFill="1" applyBorder="1" applyAlignment="1">
      <alignment horizontal="center" vertical="center"/>
    </xf>
    <xf numFmtId="0" fontId="9" fillId="24" borderId="32" xfId="0" applyFont="1" applyFill="1" applyBorder="1" applyAlignment="1">
      <alignment horizontal="center" vertical="center" wrapText="1"/>
    </xf>
    <xf numFmtId="0" fontId="9" fillId="24" borderId="34" xfId="0" applyFont="1" applyFill="1" applyBorder="1" applyAlignment="1">
      <alignment horizontal="center" vertical="center" wrapText="1"/>
    </xf>
    <xf numFmtId="0" fontId="41" fillId="0" borderId="24" xfId="0" applyFont="1" applyBorder="1" applyAlignment="1">
      <alignment horizontal="center"/>
    </xf>
    <xf numFmtId="0" fontId="21" fillId="0" borderId="0" xfId="0" applyFont="1" applyAlignment="1">
      <alignment horizontal="justify" vertical="center" wrapText="1"/>
    </xf>
    <xf numFmtId="0" fontId="1" fillId="0" borderId="30" xfId="46" applyNumberFormat="1" applyFont="1" applyBorder="1" applyAlignment="1">
      <alignment horizontal="center"/>
    </xf>
    <xf numFmtId="0" fontId="1" fillId="0" borderId="20" xfId="46" applyNumberFormat="1" applyFont="1" applyBorder="1" applyAlignment="1">
      <alignment horizontal="center"/>
    </xf>
    <xf numFmtId="0" fontId="48" fillId="25" borderId="0" xfId="0" applyFont="1" applyFill="1" applyAlignment="1">
      <alignment horizontal="center"/>
    </xf>
    <xf numFmtId="0" fontId="2" fillId="0" borderId="0" xfId="0" applyFont="1" applyAlignment="1">
      <alignment horizontal="center" wrapText="1"/>
    </xf>
    <xf numFmtId="0" fontId="2" fillId="0" borderId="0" xfId="46" applyNumberFormat="1" applyAlignment="1">
      <alignment horizontal="center"/>
    </xf>
    <xf numFmtId="0" fontId="2" fillId="0" borderId="14" xfId="46" applyNumberFormat="1" applyBorder="1" applyAlignment="1">
      <alignment horizontal="center"/>
    </xf>
    <xf numFmtId="0" fontId="2" fillId="0" borderId="0" xfId="46" applyNumberFormat="1" applyAlignment="1">
      <alignment horizontal="left"/>
    </xf>
    <xf numFmtId="0" fontId="2" fillId="0" borderId="14" xfId="46" applyNumberFormat="1" applyBorder="1" applyAlignment="1">
      <alignment horizontal="left"/>
    </xf>
    <xf numFmtId="0" fontId="25" fillId="0" borderId="0" xfId="46" applyNumberFormat="1" applyFont="1" applyAlignment="1">
      <alignment horizontal="left"/>
    </xf>
    <xf numFmtId="0" fontId="25" fillId="0" borderId="14" xfId="46" applyNumberFormat="1" applyFont="1" applyBorder="1" applyAlignment="1">
      <alignment horizontal="left"/>
    </xf>
    <xf numFmtId="0" fontId="31" fillId="0" borderId="0" xfId="46" applyNumberFormat="1" applyFont="1" applyAlignment="1">
      <alignment horizontal="center"/>
    </xf>
    <xf numFmtId="0" fontId="31" fillId="0" borderId="14" xfId="46" applyNumberFormat="1" applyFont="1" applyBorder="1" applyAlignment="1">
      <alignment horizontal="center"/>
    </xf>
    <xf numFmtId="0" fontId="8" fillId="0" borderId="10" xfId="0" applyFont="1" applyBorder="1" applyAlignment="1">
      <alignment horizontal="center"/>
    </xf>
    <xf numFmtId="0" fontId="31" fillId="0" borderId="0" xfId="0" applyFont="1" applyAlignment="1">
      <alignment horizontal="center"/>
    </xf>
    <xf numFmtId="0" fontId="41" fillId="0" borderId="24" xfId="59" applyFont="1" applyBorder="1" applyAlignment="1">
      <alignment horizontal="center"/>
    </xf>
    <xf numFmtId="0" fontId="21" fillId="0" borderId="0" xfId="59" applyFont="1" applyAlignment="1">
      <alignment horizontal="justify" vertical="center" wrapText="1"/>
    </xf>
    <xf numFmtId="0" fontId="31" fillId="0" borderId="30" xfId="46" applyNumberFormat="1" applyFont="1" applyBorder="1" applyAlignment="1">
      <alignment horizontal="center"/>
    </xf>
    <xf numFmtId="0" fontId="31" fillId="0" borderId="20" xfId="46" applyNumberFormat="1" applyFont="1" applyBorder="1" applyAlignment="1">
      <alignment horizontal="center"/>
    </xf>
    <xf numFmtId="0" fontId="48" fillId="25" borderId="0" xfId="59" applyFont="1" applyFill="1" applyAlignment="1">
      <alignment horizontal="center"/>
    </xf>
    <xf numFmtId="0" fontId="9" fillId="24" borderId="32" xfId="59" applyFont="1" applyFill="1" applyBorder="1" applyAlignment="1">
      <alignment horizontal="center" vertical="center" wrapText="1"/>
    </xf>
    <xf numFmtId="0" fontId="9" fillId="24" borderId="34" xfId="59" applyFont="1" applyFill="1" applyBorder="1" applyAlignment="1">
      <alignment horizontal="center" vertical="center" wrapText="1"/>
    </xf>
    <xf numFmtId="0" fontId="9" fillId="24" borderId="58" xfId="59" applyFont="1" applyFill="1" applyBorder="1" applyAlignment="1">
      <alignment horizontal="center" vertical="center"/>
    </xf>
    <xf numFmtId="0" fontId="9" fillId="24" borderId="43" xfId="59" applyFont="1" applyFill="1" applyBorder="1" applyAlignment="1">
      <alignment horizontal="center" vertical="center"/>
    </xf>
    <xf numFmtId="0" fontId="8" fillId="0" borderId="0" xfId="0" applyFont="1" applyAlignment="1">
      <alignment horizontal="left"/>
    </xf>
    <xf numFmtId="0" fontId="9" fillId="0" borderId="51" xfId="0" applyFont="1" applyBorder="1" applyAlignment="1">
      <alignment horizontal="center" vertical="center"/>
    </xf>
    <xf numFmtId="0" fontId="0" fillId="0" borderId="50" xfId="0" applyBorder="1" applyAlignment="1">
      <alignment horizontal="center" vertical="center"/>
    </xf>
    <xf numFmtId="0" fontId="9" fillId="0" borderId="51" xfId="0" applyFont="1" applyBorder="1" applyAlignment="1">
      <alignment horizontal="center" vertical="center" wrapText="1"/>
    </xf>
    <xf numFmtId="0" fontId="0" fillId="0" borderId="50" xfId="0" applyBorder="1" applyAlignment="1">
      <alignment horizontal="center" vertical="center" wrapText="1"/>
    </xf>
    <xf numFmtId="0" fontId="0" fillId="0" borderId="0" xfId="0" applyAlignment="1">
      <alignment horizontal="center" vertical="center"/>
    </xf>
    <xf numFmtId="0" fontId="8" fillId="0" borderId="0" xfId="0" applyFont="1" applyAlignment="1">
      <alignment horizontal="center" vertical="center"/>
    </xf>
    <xf numFmtId="0" fontId="3" fillId="0" borderId="49" xfId="0" applyFont="1" applyBorder="1" applyAlignment="1">
      <alignment horizontal="center" vertical="center"/>
    </xf>
    <xf numFmtId="0" fontId="3" fillId="0" borderId="54" xfId="0" applyFont="1" applyBorder="1" applyAlignment="1">
      <alignment horizontal="center" vertical="center"/>
    </xf>
    <xf numFmtId="0" fontId="3" fillId="0" borderId="69" xfId="0" applyFont="1" applyBorder="1" applyAlignment="1">
      <alignment horizontal="center" vertical="center"/>
    </xf>
    <xf numFmtId="0" fontId="9" fillId="0" borderId="22" xfId="0" applyFont="1" applyBorder="1" applyAlignment="1">
      <alignment horizontal="center" vertical="center"/>
    </xf>
    <xf numFmtId="0" fontId="9" fillId="0" borderId="12" xfId="0" applyFont="1" applyBorder="1" applyAlignment="1">
      <alignment horizontal="center" vertical="center"/>
    </xf>
    <xf numFmtId="0" fontId="9" fillId="24" borderId="22" xfId="0" applyFont="1" applyFill="1" applyBorder="1" applyAlignment="1">
      <alignment horizontal="center" vertical="center"/>
    </xf>
    <xf numFmtId="0" fontId="9" fillId="24" borderId="21" xfId="0" applyFont="1" applyFill="1" applyBorder="1" applyAlignment="1">
      <alignment horizontal="center" vertical="center"/>
    </xf>
    <xf numFmtId="0" fontId="9" fillId="24" borderId="12" xfId="0" applyFont="1" applyFill="1" applyBorder="1" applyAlignment="1">
      <alignment horizontal="center" vertical="center"/>
    </xf>
    <xf numFmtId="0" fontId="9" fillId="0" borderId="50" xfId="0" applyFont="1" applyBorder="1" applyAlignment="1">
      <alignment horizontal="center" vertical="center"/>
    </xf>
    <xf numFmtId="0" fontId="10" fillId="0" borderId="0" xfId="0" applyFont="1" applyAlignment="1">
      <alignment horizontal="center"/>
    </xf>
    <xf numFmtId="0" fontId="88" fillId="0" borderId="10" xfId="0" applyFont="1" applyBorder="1" applyAlignment="1">
      <alignment horizontal="center"/>
    </xf>
    <xf numFmtId="0" fontId="31" fillId="30" borderId="75" xfId="72" applyFont="1" applyFill="1" applyBorder="1" applyAlignment="1">
      <alignment horizontal="center" vertical="center"/>
    </xf>
    <xf numFmtId="0" fontId="31" fillId="30" borderId="67" xfId="72" applyFont="1" applyFill="1" applyBorder="1" applyAlignment="1">
      <alignment horizontal="center" vertical="center"/>
    </xf>
    <xf numFmtId="0" fontId="31" fillId="30" borderId="48" xfId="72" applyFont="1" applyFill="1" applyBorder="1" applyAlignment="1">
      <alignment horizontal="center" vertical="center"/>
    </xf>
    <xf numFmtId="0" fontId="31" fillId="30" borderId="69" xfId="72" applyFont="1" applyFill="1" applyBorder="1" applyAlignment="1">
      <alignment horizontal="center" vertical="center"/>
    </xf>
    <xf numFmtId="0" fontId="31" fillId="30" borderId="49" xfId="72" applyFont="1" applyFill="1" applyBorder="1" applyAlignment="1">
      <alignment horizontal="center" vertical="center"/>
    </xf>
    <xf numFmtId="0" fontId="31" fillId="30" borderId="50" xfId="72" applyFont="1" applyFill="1" applyBorder="1" applyAlignment="1">
      <alignment horizontal="center" vertical="center"/>
    </xf>
    <xf numFmtId="0" fontId="31" fillId="30" borderId="69" xfId="72" applyFont="1" applyFill="1" applyBorder="1" applyAlignment="1">
      <alignment horizontal="center" vertical="center" wrapText="1"/>
    </xf>
    <xf numFmtId="0" fontId="31" fillId="30" borderId="49" xfId="72" applyFont="1" applyFill="1" applyBorder="1" applyAlignment="1">
      <alignment horizontal="center" vertical="center" wrapText="1"/>
    </xf>
    <xf numFmtId="0" fontId="31" fillId="30" borderId="50" xfId="72" applyFont="1" applyFill="1" applyBorder="1" applyAlignment="1">
      <alignment horizontal="center" vertical="center" wrapText="1"/>
    </xf>
    <xf numFmtId="0" fontId="31" fillId="0" borderId="0" xfId="72" applyFont="1" applyAlignment="1">
      <alignment horizontal="left"/>
    </xf>
    <xf numFmtId="0" fontId="31" fillId="0" borderId="0" xfId="72" applyFont="1" applyAlignment="1">
      <alignment horizontal="right"/>
    </xf>
    <xf numFmtId="0" fontId="31" fillId="30" borderId="15" xfId="72" applyFont="1" applyFill="1" applyBorder="1" applyAlignment="1">
      <alignment horizontal="center" vertical="center" wrapText="1"/>
    </xf>
    <xf numFmtId="0" fontId="31" fillId="30" borderId="11" xfId="72" applyFont="1" applyFill="1" applyBorder="1" applyAlignment="1">
      <alignment horizontal="center" vertical="center" wrapText="1"/>
    </xf>
    <xf numFmtId="0" fontId="31" fillId="30" borderId="70" xfId="72" applyFont="1" applyFill="1" applyBorder="1" applyAlignment="1">
      <alignment horizontal="center" vertical="center" wrapText="1"/>
    </xf>
    <xf numFmtId="0" fontId="31" fillId="30" borderId="76" xfId="72" applyFont="1" applyFill="1" applyBorder="1" applyAlignment="1">
      <alignment horizontal="center" vertical="center" wrapText="1"/>
    </xf>
    <xf numFmtId="0" fontId="2" fillId="0" borderId="0" xfId="0" applyFont="1" applyAlignment="1">
      <alignment horizontal="center"/>
    </xf>
    <xf numFmtId="0" fontId="2" fillId="0" borderId="13" xfId="59" applyBorder="1" applyAlignment="1">
      <alignment horizontal="center" vertical="center" wrapText="1"/>
    </xf>
    <xf numFmtId="0" fontId="9" fillId="0" borderId="13" xfId="59" applyFont="1" applyBorder="1" applyAlignment="1">
      <alignment horizontal="center" vertical="center"/>
    </xf>
    <xf numFmtId="0" fontId="2" fillId="0" borderId="10" xfId="59" applyFont="1" applyBorder="1" applyAlignment="1">
      <alignment horizontal="center"/>
    </xf>
    <xf numFmtId="0" fontId="9" fillId="0" borderId="13" xfId="59" applyFont="1" applyBorder="1" applyAlignment="1">
      <alignment horizontal="center"/>
    </xf>
    <xf numFmtId="0" fontId="2" fillId="0" borderId="13" xfId="59" applyBorder="1" applyAlignment="1">
      <alignment horizontal="center" vertical="center"/>
    </xf>
    <xf numFmtId="0" fontId="90" fillId="0" borderId="62" xfId="41" quotePrefix="1" applyBorder="1" applyAlignment="1" applyProtection="1">
      <alignment horizontal="center" vertical="center"/>
    </xf>
    <xf numFmtId="0" fontId="90" fillId="0" borderId="13" xfId="41" applyBorder="1" applyAlignment="1" applyProtection="1">
      <alignment horizontal="center" vertical="center"/>
    </xf>
    <xf numFmtId="2" fontId="100" fillId="0" borderId="0" xfId="0" applyNumberFormat="1" applyFont="1" applyAlignment="1">
      <alignment horizontal="left" vertical="justify" wrapText="1"/>
    </xf>
    <xf numFmtId="0" fontId="0" fillId="0" borderId="187" xfId="0" applyBorder="1" applyAlignment="1">
      <alignment horizontal="center" vertical="center" wrapText="1"/>
    </xf>
    <xf numFmtId="0" fontId="0" fillId="0" borderId="31" xfId="0" applyBorder="1" applyAlignment="1">
      <alignment horizontal="center" vertical="center" wrapText="1"/>
    </xf>
    <xf numFmtId="0" fontId="0" fillId="0" borderId="16" xfId="0" applyBorder="1" applyAlignment="1">
      <alignment horizontal="center" vertical="center" wrapText="1"/>
    </xf>
    <xf numFmtId="0" fontId="0" fillId="0" borderId="18" xfId="0" applyBorder="1" applyAlignment="1">
      <alignment horizontal="center" vertical="center" wrapText="1"/>
    </xf>
    <xf numFmtId="0" fontId="26" fillId="0" borderId="0" xfId="0" applyFont="1" applyAlignment="1">
      <alignment horizontal="left"/>
    </xf>
    <xf numFmtId="0" fontId="27" fillId="0" borderId="0" xfId="0" applyFont="1" applyAlignment="1">
      <alignment horizontal="left"/>
    </xf>
    <xf numFmtId="1" fontId="2" fillId="0" borderId="75" xfId="0" quotePrefix="1" applyNumberFormat="1" applyFont="1" applyBorder="1" applyAlignment="1">
      <alignment horizontal="center" vertical="center" wrapText="1"/>
    </xf>
    <xf numFmtId="1" fontId="2" fillId="0" borderId="67" xfId="0" quotePrefix="1" applyNumberFormat="1" applyFont="1" applyBorder="1" applyAlignment="1">
      <alignment horizontal="center" vertical="center" wrapText="1"/>
    </xf>
    <xf numFmtId="1" fontId="2" fillId="0" borderId="48" xfId="0" quotePrefix="1" applyNumberFormat="1" applyFont="1" applyBorder="1" applyAlignment="1">
      <alignment horizontal="center" vertical="center" wrapText="1"/>
    </xf>
    <xf numFmtId="0" fontId="2" fillId="0" borderId="84" xfId="0" quotePrefix="1" applyFont="1" applyBorder="1" applyAlignment="1">
      <alignment horizontal="center" vertical="center" wrapText="1"/>
    </xf>
    <xf numFmtId="0" fontId="2" fillId="0" borderId="67" xfId="0" quotePrefix="1" applyFont="1" applyBorder="1" applyAlignment="1">
      <alignment horizontal="center" vertical="center" wrapText="1"/>
    </xf>
    <xf numFmtId="0" fontId="2" fillId="0" borderId="53" xfId="0" quotePrefix="1" applyFont="1" applyBorder="1" applyAlignment="1">
      <alignment horizontal="center" vertical="center" wrapText="1"/>
    </xf>
    <xf numFmtId="0" fontId="2" fillId="0" borderId="10" xfId="0" applyFont="1" applyBorder="1" applyAlignment="1">
      <alignment horizontal="left" vertical="center"/>
    </xf>
    <xf numFmtId="0" fontId="25" fillId="0" borderId="0" xfId="0" applyFont="1" applyAlignment="1">
      <alignment horizontal="center" vertical="center"/>
    </xf>
    <xf numFmtId="0" fontId="31" fillId="0" borderId="69" xfId="0" applyFont="1" applyBorder="1" applyAlignment="1">
      <alignment horizontal="center" vertical="center" wrapText="1"/>
    </xf>
    <xf numFmtId="0" fontId="31" fillId="0" borderId="54" xfId="0" applyFont="1" applyBorder="1" applyAlignment="1">
      <alignment horizontal="center" vertical="center" wrapText="1"/>
    </xf>
    <xf numFmtId="0" fontId="31" fillId="0" borderId="75" xfId="0" applyFont="1" applyBorder="1" applyAlignment="1">
      <alignment horizontal="center" vertical="center" wrapText="1"/>
    </xf>
    <xf numFmtId="0" fontId="31" fillId="0" borderId="53" xfId="0" applyFont="1" applyBorder="1" applyAlignment="1">
      <alignment horizontal="center" vertical="center" wrapText="1"/>
    </xf>
    <xf numFmtId="0" fontId="31" fillId="0" borderId="39" xfId="0" applyFont="1" applyBorder="1" applyAlignment="1">
      <alignment horizontal="center" vertical="center" wrapText="1"/>
    </xf>
    <xf numFmtId="0" fontId="31" fillId="0" borderId="35" xfId="0" applyFont="1" applyBorder="1" applyAlignment="1">
      <alignment horizontal="center" vertical="center" wrapText="1"/>
    </xf>
    <xf numFmtId="0" fontId="31" fillId="0" borderId="46" xfId="0" applyFont="1" applyBorder="1" applyAlignment="1">
      <alignment horizontal="center" vertical="center" wrapText="1"/>
    </xf>
    <xf numFmtId="0" fontId="31" fillId="0" borderId="62" xfId="0" applyFont="1" applyBorder="1" applyAlignment="1">
      <alignment horizontal="center" vertical="center" wrapText="1"/>
    </xf>
    <xf numFmtId="0" fontId="31" fillId="0" borderId="13" xfId="0" applyFont="1" applyBorder="1" applyAlignment="1">
      <alignment horizontal="center" vertical="center" wrapText="1"/>
    </xf>
    <xf numFmtId="0" fontId="31" fillId="0" borderId="44" xfId="0" applyFont="1" applyBorder="1" applyAlignment="1">
      <alignment horizontal="center" vertical="center" wrapText="1"/>
    </xf>
    <xf numFmtId="0" fontId="31" fillId="0" borderId="64" xfId="0" applyFont="1" applyBorder="1" applyAlignment="1">
      <alignment horizontal="center" vertical="center" wrapText="1"/>
    </xf>
    <xf numFmtId="0" fontId="31" fillId="0" borderId="22" xfId="0" applyFont="1" applyBorder="1" applyAlignment="1">
      <alignment horizontal="center" vertical="center" wrapText="1"/>
    </xf>
    <xf numFmtId="0" fontId="31" fillId="0" borderId="65" xfId="0" applyFont="1" applyBorder="1" applyAlignment="1">
      <alignment horizontal="center" vertical="center" wrapText="1"/>
    </xf>
    <xf numFmtId="0" fontId="31" fillId="0" borderId="37" xfId="0" applyFont="1" applyBorder="1" applyAlignment="1">
      <alignment horizontal="center" vertical="center" wrapText="1"/>
    </xf>
    <xf numFmtId="0" fontId="31" fillId="0" borderId="42" xfId="0" applyFont="1" applyBorder="1" applyAlignment="1">
      <alignment horizontal="center" vertical="center" wrapText="1"/>
    </xf>
    <xf numFmtId="0" fontId="31" fillId="0" borderId="45" xfId="0" applyFont="1" applyBorder="1" applyAlignment="1">
      <alignment horizontal="center" vertical="center" wrapText="1"/>
    </xf>
    <xf numFmtId="0" fontId="31" fillId="0" borderId="56" xfId="0" applyFont="1" applyBorder="1" applyAlignment="1">
      <alignment horizontal="center" vertical="center" wrapText="1"/>
    </xf>
    <xf numFmtId="0" fontId="31" fillId="0" borderId="57" xfId="0" applyFont="1" applyBorder="1" applyAlignment="1">
      <alignment horizontal="center" vertical="center" wrapText="1"/>
    </xf>
    <xf numFmtId="0" fontId="31" fillId="0" borderId="82" xfId="0" applyFont="1" applyBorder="1" applyAlignment="1">
      <alignment horizontal="center" vertical="center" wrapText="1"/>
    </xf>
    <xf numFmtId="0" fontId="31" fillId="0" borderId="58" xfId="0" applyFont="1" applyBorder="1" applyAlignment="1">
      <alignment horizontal="center" vertical="center" wrapText="1"/>
    </xf>
    <xf numFmtId="0" fontId="31" fillId="0" borderId="38" xfId="0" applyFont="1" applyBorder="1" applyAlignment="1">
      <alignment horizontal="center" vertical="center" wrapText="1"/>
    </xf>
    <xf numFmtId="0" fontId="31" fillId="0" borderId="43" xfId="0" applyFont="1" applyBorder="1" applyAlignment="1">
      <alignment horizontal="center" vertical="center" wrapText="1"/>
    </xf>
    <xf numFmtId="0" fontId="31" fillId="0" borderId="60" xfId="0" applyFont="1" applyBorder="1" applyAlignment="1">
      <alignment horizontal="center" vertical="center" wrapText="1"/>
    </xf>
    <xf numFmtId="0" fontId="31" fillId="0" borderId="61" xfId="0" applyFont="1" applyBorder="1" applyAlignment="1">
      <alignment horizontal="center" vertical="center" wrapText="1"/>
    </xf>
    <xf numFmtId="0" fontId="31" fillId="0" borderId="96" xfId="0" applyFont="1" applyBorder="1" applyAlignment="1">
      <alignment horizontal="center" vertical="center" wrapText="1"/>
    </xf>
    <xf numFmtId="0" fontId="31" fillId="0" borderId="48" xfId="0" applyFont="1" applyBorder="1" applyAlignment="1">
      <alignment horizontal="center" vertical="center" wrapText="1"/>
    </xf>
    <xf numFmtId="0" fontId="31" fillId="0" borderId="50" xfId="0" applyFont="1" applyBorder="1" applyAlignment="1">
      <alignment horizontal="center" vertical="center" wrapText="1"/>
    </xf>
    <xf numFmtId="0" fontId="31" fillId="0" borderId="81" xfId="0" applyFont="1" applyBorder="1" applyAlignment="1">
      <alignment horizontal="center" vertical="center" wrapText="1"/>
    </xf>
    <xf numFmtId="0" fontId="31" fillId="0" borderId="36" xfId="0" applyFont="1" applyBorder="1" applyAlignment="1">
      <alignment horizontal="center" vertical="center" wrapText="1"/>
    </xf>
    <xf numFmtId="0" fontId="27" fillId="0" borderId="62" xfId="0" applyFont="1" applyBorder="1" applyAlignment="1">
      <alignment horizontal="center" vertical="center" wrapText="1"/>
    </xf>
    <xf numFmtId="0" fontId="27" fillId="0" borderId="44" xfId="0" applyFont="1" applyBorder="1" applyAlignment="1">
      <alignment horizontal="center" vertical="center" wrapText="1"/>
    </xf>
    <xf numFmtId="0" fontId="27" fillId="0" borderId="83" xfId="0" applyFont="1" applyBorder="1" applyAlignment="1">
      <alignment horizontal="center" vertical="center" wrapText="1"/>
    </xf>
    <xf numFmtId="0" fontId="27" fillId="0" borderId="79" xfId="0" applyFont="1" applyBorder="1" applyAlignment="1">
      <alignment horizontal="center" vertical="center" wrapText="1"/>
    </xf>
    <xf numFmtId="0" fontId="8" fillId="0" borderId="17" xfId="0" applyFont="1" applyBorder="1" applyAlignment="1">
      <alignment horizontal="center" vertical="center" wrapText="1"/>
    </xf>
    <xf numFmtId="0" fontId="32" fillId="0" borderId="13" xfId="72" applyFont="1" applyBorder="1" applyAlignment="1">
      <alignment horizontal="center" vertical="center" wrapText="1"/>
    </xf>
    <xf numFmtId="0" fontId="90" fillId="0" borderId="0" xfId="41" applyAlignment="1" applyProtection="1">
      <alignment horizontal="center" vertical="center"/>
    </xf>
    <xf numFmtId="0" fontId="100" fillId="0" borderId="30" xfId="0" applyFont="1" applyBorder="1" applyAlignment="1">
      <alignment horizontal="left" vertical="justify" wrapText="1"/>
    </xf>
    <xf numFmtId="0" fontId="32" fillId="0" borderId="13" xfId="0" applyFont="1" applyBorder="1" applyAlignment="1">
      <alignment horizontal="center" vertical="center" wrapText="1"/>
    </xf>
    <xf numFmtId="0" fontId="1" fillId="0" borderId="46" xfId="0" applyFont="1" applyFill="1" applyBorder="1" applyAlignment="1">
      <alignment horizontal="center"/>
    </xf>
    <xf numFmtId="0" fontId="1" fillId="0" borderId="44" xfId="0" applyFont="1" applyFill="1" applyBorder="1" applyAlignment="1">
      <alignment horizontal="center"/>
    </xf>
    <xf numFmtId="0" fontId="1" fillId="0" borderId="36" xfId="0" applyFont="1" applyFill="1" applyBorder="1" applyAlignment="1">
      <alignment horizontal="center"/>
    </xf>
    <xf numFmtId="0" fontId="31" fillId="0" borderId="75" xfId="0" applyFont="1" applyBorder="1" applyAlignment="1">
      <alignment horizontal="center" vertical="center"/>
    </xf>
    <xf numFmtId="0" fontId="31" fillId="0" borderId="48" xfId="0" applyFont="1" applyBorder="1" applyAlignment="1">
      <alignment horizontal="center" vertical="center"/>
    </xf>
    <xf numFmtId="0" fontId="31" fillId="0" borderId="69" xfId="0" applyFont="1" applyBorder="1" applyAlignment="1">
      <alignment horizontal="center" vertical="center"/>
    </xf>
    <xf numFmtId="0" fontId="31" fillId="0" borderId="50" xfId="0" applyFont="1" applyBorder="1" applyAlignment="1">
      <alignment horizontal="center" vertical="center"/>
    </xf>
    <xf numFmtId="0" fontId="31" fillId="0" borderId="83" xfId="0" applyFont="1" applyBorder="1" applyAlignment="1">
      <alignment horizontal="center" vertical="center"/>
    </xf>
    <xf numFmtId="0" fontId="31" fillId="0" borderId="81" xfId="0" applyFont="1" applyBorder="1" applyAlignment="1">
      <alignment horizontal="center" vertical="center"/>
    </xf>
    <xf numFmtId="0" fontId="7" fillId="0" borderId="10" xfId="0" applyFont="1" applyBorder="1" applyAlignment="1">
      <alignment horizontal="center"/>
    </xf>
    <xf numFmtId="0" fontId="31" fillId="0" borderId="23" xfId="0" applyFont="1" applyBorder="1" applyAlignment="1">
      <alignment horizontal="center" vertical="center"/>
    </xf>
    <xf numFmtId="0" fontId="0" fillId="0" borderId="24" xfId="0" applyBorder="1" applyAlignment="1">
      <alignment horizontal="center" vertical="center"/>
    </xf>
    <xf numFmtId="0" fontId="0" fillId="0" borderId="25" xfId="0" applyBorder="1" applyAlignment="1">
      <alignment horizontal="center" vertical="center"/>
    </xf>
    <xf numFmtId="0" fontId="0" fillId="0" borderId="18" xfId="0" applyBorder="1" applyAlignment="1">
      <alignment horizontal="center" vertical="center"/>
    </xf>
    <xf numFmtId="0" fontId="0" fillId="0" borderId="27" xfId="0" applyBorder="1" applyAlignment="1">
      <alignment horizontal="center" vertical="center"/>
    </xf>
    <xf numFmtId="0" fontId="0" fillId="0" borderId="28" xfId="0" applyBorder="1" applyAlignment="1">
      <alignment horizontal="center" vertical="center"/>
    </xf>
    <xf numFmtId="0" fontId="51" fillId="0" borderId="23" xfId="0" applyFont="1" applyBorder="1" applyAlignment="1">
      <alignment horizontal="center" vertical="center"/>
    </xf>
    <xf numFmtId="0" fontId="51" fillId="0" borderId="24" xfId="0" applyFont="1" applyBorder="1" applyAlignment="1">
      <alignment horizontal="center" vertical="center"/>
    </xf>
    <xf numFmtId="0" fontId="51" fillId="0" borderId="25" xfId="0" applyFont="1" applyBorder="1" applyAlignment="1">
      <alignment horizontal="center" vertical="center"/>
    </xf>
    <xf numFmtId="0" fontId="51" fillId="0" borderId="23" xfId="0" applyFont="1" applyBorder="1" applyAlignment="1">
      <alignment horizontal="justify" vertical="center"/>
    </xf>
    <xf numFmtId="0" fontId="51" fillId="0" borderId="24" xfId="0" applyFont="1" applyBorder="1" applyAlignment="1">
      <alignment horizontal="justify" vertical="center"/>
    </xf>
    <xf numFmtId="0" fontId="51" fillId="0" borderId="25" xfId="0" applyFont="1" applyBorder="1" applyAlignment="1">
      <alignment horizontal="justify" vertical="center"/>
    </xf>
    <xf numFmtId="0" fontId="32" fillId="0" borderId="23" xfId="0" applyFont="1" applyBorder="1" applyAlignment="1">
      <alignment horizontal="center" vertical="center" wrapText="1"/>
    </xf>
    <xf numFmtId="0" fontId="32" fillId="0" borderId="24" xfId="0" applyFont="1" applyBorder="1" applyAlignment="1">
      <alignment horizontal="center" vertical="center" wrapText="1"/>
    </xf>
    <xf numFmtId="0" fontId="32" fillId="0" borderId="25" xfId="0" applyFont="1" applyBorder="1" applyAlignment="1">
      <alignment horizontal="center" vertical="center" wrapText="1"/>
    </xf>
    <xf numFmtId="0" fontId="32" fillId="0" borderId="18" xfId="0" applyFont="1" applyBorder="1" applyAlignment="1">
      <alignment horizontal="center" vertical="center" wrapText="1"/>
    </xf>
    <xf numFmtId="0" fontId="32" fillId="0" borderId="27" xfId="0" applyFont="1" applyBorder="1" applyAlignment="1">
      <alignment horizontal="center" vertical="center" wrapText="1"/>
    </xf>
    <xf numFmtId="0" fontId="32" fillId="0" borderId="28" xfId="0" applyFont="1" applyBorder="1" applyAlignment="1">
      <alignment horizontal="center" vertical="center" wrapText="1"/>
    </xf>
    <xf numFmtId="0" fontId="0" fillId="0" borderId="28" xfId="0" applyBorder="1" applyAlignment="1">
      <alignment horizontal="center" vertical="center" wrapText="1"/>
    </xf>
    <xf numFmtId="0" fontId="31" fillId="0" borderId="32" xfId="0" applyFont="1" applyBorder="1" applyAlignment="1">
      <alignment horizontal="center" vertical="center"/>
    </xf>
    <xf numFmtId="0" fontId="31" fillId="0" borderId="34" xfId="0" applyFont="1" applyBorder="1" applyAlignment="1">
      <alignment horizontal="center" vertical="center"/>
    </xf>
    <xf numFmtId="0" fontId="31" fillId="0" borderId="18" xfId="0" applyFont="1" applyBorder="1" applyAlignment="1">
      <alignment horizontal="center"/>
    </xf>
    <xf numFmtId="0" fontId="31" fillId="0" borderId="27" xfId="0" applyFont="1" applyBorder="1" applyAlignment="1">
      <alignment horizontal="center"/>
    </xf>
    <xf numFmtId="0" fontId="31" fillId="0" borderId="28" xfId="0" applyFont="1" applyBorder="1" applyAlignment="1">
      <alignment horizontal="center"/>
    </xf>
    <xf numFmtId="15" fontId="32" fillId="0" borderId="0" xfId="59" applyNumberFormat="1" applyFont="1" applyAlignment="1">
      <alignment horizontal="justify" vertical="center" wrapText="1"/>
    </xf>
    <xf numFmtId="15" fontId="32" fillId="0" borderId="30" xfId="59" applyNumberFormat="1" applyFont="1" applyBorder="1" applyAlignment="1">
      <alignment horizontal="justify" vertical="center" wrapText="1"/>
    </xf>
    <xf numFmtId="0" fontId="42" fillId="0" borderId="0" xfId="59" applyFont="1" applyAlignment="1">
      <alignment horizontal="center"/>
    </xf>
    <xf numFmtId="0" fontId="22" fillId="0" borderId="0" xfId="59" applyFont="1" applyAlignment="1">
      <alignment horizontal="center"/>
    </xf>
    <xf numFmtId="0" fontId="86" fillId="0" borderId="0" xfId="59" applyFont="1" applyAlignment="1">
      <alignment horizontal="center"/>
    </xf>
    <xf numFmtId="15" fontId="32" fillId="0" borderId="18" xfId="59" applyNumberFormat="1" applyFont="1" applyBorder="1" applyAlignment="1">
      <alignment horizontal="justify" vertical="center" wrapText="1"/>
    </xf>
    <xf numFmtId="15" fontId="32" fillId="0" borderId="27" xfId="59" applyNumberFormat="1" applyFont="1" applyBorder="1" applyAlignment="1">
      <alignment horizontal="justify" vertical="center" wrapText="1"/>
    </xf>
    <xf numFmtId="15" fontId="32" fillId="0" borderId="28" xfId="59" applyNumberFormat="1" applyFont="1" applyBorder="1" applyAlignment="1">
      <alignment horizontal="justify" vertical="center" wrapText="1"/>
    </xf>
    <xf numFmtId="15" fontId="32" fillId="0" borderId="16" xfId="59" applyNumberFormat="1" applyFont="1" applyBorder="1" applyAlignment="1">
      <alignment horizontal="justify" vertical="center" wrapText="1"/>
    </xf>
    <xf numFmtId="15" fontId="32" fillId="0" borderId="0" xfId="59" applyNumberFormat="1" applyFont="1" applyBorder="1" applyAlignment="1">
      <alignment horizontal="justify" vertical="center" wrapText="1"/>
    </xf>
    <xf numFmtId="15" fontId="32" fillId="0" borderId="26" xfId="59" applyNumberFormat="1" applyFont="1" applyBorder="1" applyAlignment="1">
      <alignment horizontal="justify" vertical="center" wrapText="1"/>
    </xf>
    <xf numFmtId="0" fontId="22" fillId="25" borderId="0" xfId="0" applyFont="1" applyFill="1" applyAlignment="1">
      <alignment horizontal="center"/>
    </xf>
    <xf numFmtId="0" fontId="31" fillId="0" borderId="0" xfId="0" applyFont="1" applyAlignment="1">
      <alignment horizontal="right"/>
    </xf>
    <xf numFmtId="0" fontId="0" fillId="25" borderId="10" xfId="0" applyFill="1" applyBorder="1" applyAlignment="1">
      <alignment horizontal="center" wrapText="1"/>
    </xf>
    <xf numFmtId="0" fontId="0" fillId="25" borderId="10" xfId="0" applyFill="1" applyBorder="1" applyAlignment="1">
      <alignment horizontal="left"/>
    </xf>
    <xf numFmtId="0" fontId="127" fillId="0" borderId="0" xfId="0" applyFont="1" applyAlignment="1">
      <alignment horizontal="center"/>
    </xf>
    <xf numFmtId="0" fontId="0" fillId="46" borderId="23" xfId="0" applyFill="1" applyBorder="1" applyAlignment="1">
      <alignment horizontal="center" vertical="center"/>
    </xf>
    <xf numFmtId="0" fontId="2" fillId="0" borderId="24" xfId="0" applyFont="1" applyBorder="1"/>
    <xf numFmtId="0" fontId="2" fillId="0" borderId="25" xfId="0" applyFont="1" applyBorder="1"/>
    <xf numFmtId="0" fontId="0" fillId="46" borderId="125" xfId="0" applyFill="1" applyBorder="1" applyAlignment="1">
      <alignment horizontal="center" vertical="center"/>
    </xf>
    <xf numFmtId="0" fontId="2" fillId="0" borderId="130" xfId="0" applyFont="1" applyBorder="1"/>
    <xf numFmtId="0" fontId="0" fillId="46" borderId="143" xfId="0" applyFill="1" applyBorder="1" applyAlignment="1">
      <alignment horizontal="center" vertical="center"/>
    </xf>
    <xf numFmtId="0" fontId="131" fillId="0" borderId="0" xfId="0" applyFont="1" applyAlignment="1">
      <alignment horizontal="center"/>
    </xf>
    <xf numFmtId="0" fontId="132" fillId="46" borderId="99" xfId="0" applyFont="1" applyFill="1" applyBorder="1" applyAlignment="1">
      <alignment horizontal="center" vertical="center"/>
    </xf>
    <xf numFmtId="0" fontId="132" fillId="46" borderId="103" xfId="0" applyFont="1" applyFill="1" applyBorder="1" applyAlignment="1">
      <alignment horizontal="center"/>
    </xf>
    <xf numFmtId="0" fontId="31" fillId="24" borderId="13" xfId="0" applyFont="1" applyFill="1" applyBorder="1" applyAlignment="1">
      <alignment horizontal="center"/>
    </xf>
    <xf numFmtId="0" fontId="31" fillId="24" borderId="51" xfId="0" applyFont="1" applyFill="1" applyBorder="1" applyAlignment="1">
      <alignment horizontal="center" vertical="center" wrapText="1"/>
    </xf>
    <xf numFmtId="0" fontId="31" fillId="24" borderId="50" xfId="0" applyFont="1" applyFill="1" applyBorder="1" applyAlignment="1">
      <alignment horizontal="center" vertical="center" wrapText="1"/>
    </xf>
    <xf numFmtId="0" fontId="31" fillId="24" borderId="51" xfId="0" applyFont="1" applyFill="1" applyBorder="1" applyAlignment="1">
      <alignment horizontal="center"/>
    </xf>
    <xf numFmtId="0" fontId="31" fillId="24" borderId="50" xfId="0" applyFont="1" applyFill="1" applyBorder="1" applyAlignment="1">
      <alignment horizontal="center"/>
    </xf>
    <xf numFmtId="0" fontId="129" fillId="0" borderId="103" xfId="0" applyFont="1" applyBorder="1" applyAlignment="1">
      <alignment horizontal="center" vertical="center"/>
    </xf>
    <xf numFmtId="0" fontId="3" fillId="25" borderId="10" xfId="0" applyFont="1" applyFill="1" applyBorder="1" applyAlignment="1">
      <alignment horizontal="center"/>
    </xf>
    <xf numFmtId="49" fontId="129" fillId="0" borderId="123" xfId="0" applyNumberFormat="1" applyFont="1" applyBorder="1" applyAlignment="1">
      <alignment horizontal="center" vertical="center" wrapText="1"/>
    </xf>
    <xf numFmtId="49" fontId="90" fillId="0" borderId="123" xfId="0" applyNumberFormat="1" applyFont="1" applyBorder="1" applyAlignment="1">
      <alignment horizontal="center" vertical="center" wrapText="1"/>
    </xf>
    <xf numFmtId="168" fontId="126" fillId="0" borderId="13" xfId="0" applyNumberFormat="1" applyFont="1" applyBorder="1" applyAlignment="1">
      <alignment horizontal="center" vertical="center" wrapText="1"/>
    </xf>
    <xf numFmtId="0" fontId="2" fillId="0" borderId="44" xfId="0" applyFont="1" applyBorder="1"/>
    <xf numFmtId="3" fontId="126" fillId="0" borderId="13" xfId="0" applyNumberFormat="1" applyFont="1" applyBorder="1" applyAlignment="1">
      <alignment horizontal="center" vertical="center" wrapText="1"/>
    </xf>
    <xf numFmtId="0" fontId="126" fillId="0" borderId="13" xfId="0" applyFont="1" applyBorder="1" applyAlignment="1">
      <alignment horizontal="center" vertical="center" wrapText="1"/>
    </xf>
    <xf numFmtId="0" fontId="133" fillId="46" borderId="106" xfId="0" applyFont="1" applyFill="1" applyBorder="1" applyAlignment="1">
      <alignment horizontal="center"/>
    </xf>
    <xf numFmtId="0" fontId="2" fillId="0" borderId="134" xfId="0" applyFont="1" applyBorder="1"/>
    <xf numFmtId="49" fontId="126" fillId="0" borderId="23" xfId="0" applyNumberFormat="1" applyFont="1" applyBorder="1" applyAlignment="1">
      <alignment horizontal="center" vertical="center" wrapText="1"/>
    </xf>
    <xf numFmtId="0" fontId="2" fillId="0" borderId="16" xfId="0" applyFont="1" applyBorder="1"/>
    <xf numFmtId="0" fontId="2" fillId="0" borderId="18" xfId="0" applyFont="1" applyBorder="1"/>
    <xf numFmtId="0" fontId="126" fillId="0" borderId="62" xfId="0" applyFont="1" applyBorder="1" applyAlignment="1">
      <alignment horizontal="center" vertical="center" wrapText="1"/>
    </xf>
    <xf numFmtId="0" fontId="2" fillId="0" borderId="13" xfId="0" applyFont="1" applyBorder="1"/>
    <xf numFmtId="2" fontId="126" fillId="0" borderId="62" xfId="0" applyNumberFormat="1" applyFont="1" applyBorder="1" applyAlignment="1">
      <alignment horizontal="center" vertical="center" wrapText="1"/>
    </xf>
    <xf numFmtId="14" fontId="129" fillId="0" borderId="62" xfId="0" applyNumberFormat="1" applyFont="1" applyBorder="1" applyAlignment="1">
      <alignment horizontal="center" vertical="center" wrapText="1"/>
    </xf>
    <xf numFmtId="14" fontId="129" fillId="0" borderId="63" xfId="0" applyNumberFormat="1" applyFont="1" applyBorder="1" applyAlignment="1">
      <alignment horizontal="center" vertical="center" wrapText="1"/>
    </xf>
    <xf numFmtId="0" fontId="2" fillId="0" borderId="29" xfId="0" applyFont="1" applyBorder="1"/>
    <xf numFmtId="14" fontId="129" fillId="0" borderId="13" xfId="0" applyNumberFormat="1" applyFont="1" applyBorder="1" applyAlignment="1">
      <alignment horizontal="center" vertical="center" wrapText="1"/>
    </xf>
    <xf numFmtId="14" fontId="129" fillId="0" borderId="29" xfId="0" applyNumberFormat="1" applyFont="1" applyBorder="1" applyAlignment="1">
      <alignment horizontal="center" vertical="center" wrapText="1"/>
    </xf>
    <xf numFmtId="0" fontId="2" fillId="0" borderId="36" xfId="0" applyFont="1" applyBorder="1"/>
    <xf numFmtId="2" fontId="126" fillId="0" borderId="13" xfId="0" applyNumberFormat="1" applyFont="1" applyBorder="1" applyAlignment="1">
      <alignment horizontal="center" vertical="center" wrapText="1"/>
    </xf>
    <xf numFmtId="168" fontId="126" fillId="48" borderId="62" xfId="0" applyNumberFormat="1" applyFont="1" applyFill="1" applyBorder="1" applyAlignment="1">
      <alignment vertical="center" wrapText="1"/>
    </xf>
    <xf numFmtId="168" fontId="126" fillId="0" borderId="62" xfId="0" applyNumberFormat="1" applyFont="1" applyBorder="1" applyAlignment="1">
      <alignment horizontal="center" vertical="center" wrapText="1"/>
    </xf>
    <xf numFmtId="3" fontId="126" fillId="0" borderId="62" xfId="0" applyNumberFormat="1" applyFont="1" applyBorder="1" applyAlignment="1">
      <alignment horizontal="center" vertical="center" wrapText="1"/>
    </xf>
    <xf numFmtId="0" fontId="132" fillId="46" borderId="178" xfId="0" applyFont="1" applyFill="1" applyBorder="1" applyAlignment="1">
      <alignment horizontal="center"/>
    </xf>
    <xf numFmtId="0" fontId="2" fillId="0" borderId="179" xfId="0" applyFont="1" applyBorder="1"/>
    <xf numFmtId="49" fontId="129" fillId="0" borderId="138" xfId="0" applyNumberFormat="1" applyFont="1" applyBorder="1" applyAlignment="1">
      <alignment horizontal="center" vertical="center" wrapText="1"/>
    </xf>
    <xf numFmtId="0" fontId="2" fillId="0" borderId="138" xfId="0" applyFont="1" applyBorder="1"/>
    <xf numFmtId="0" fontId="2" fillId="0" borderId="141" xfId="0" applyFont="1" applyBorder="1"/>
    <xf numFmtId="0" fontId="126" fillId="0" borderId="139" xfId="0" applyFont="1" applyBorder="1" applyAlignment="1">
      <alignment horizontal="center" vertical="center" textRotation="180"/>
    </xf>
    <xf numFmtId="0" fontId="2" fillId="0" borderId="139" xfId="0" applyFont="1" applyBorder="1"/>
    <xf numFmtId="0" fontId="2" fillId="0" borderId="137" xfId="0" applyFont="1" applyBorder="1"/>
    <xf numFmtId="0" fontId="126" fillId="0" borderId="147" xfId="0" applyFont="1" applyBorder="1" applyAlignment="1">
      <alignment horizontal="center" vertical="center" wrapText="1"/>
    </xf>
    <xf numFmtId="0" fontId="2" fillId="0" borderId="147" xfId="0" applyFont="1" applyBorder="1"/>
    <xf numFmtId="0" fontId="2" fillId="0" borderId="148" xfId="0" applyFont="1" applyBorder="1"/>
    <xf numFmtId="0" fontId="126" fillId="0" borderId="99" xfId="0" applyFont="1" applyBorder="1" applyAlignment="1">
      <alignment horizontal="center" vertical="center" wrapText="1"/>
    </xf>
    <xf numFmtId="0" fontId="106" fillId="0" borderId="13" xfId="0" applyFont="1" applyBorder="1" applyAlignment="1">
      <alignment horizontal="center" vertical="center" wrapText="1"/>
    </xf>
    <xf numFmtId="0" fontId="129" fillId="0" borderId="150" xfId="0" applyFont="1" applyBorder="1" applyAlignment="1">
      <alignment horizontal="center" vertical="center" wrapText="1"/>
    </xf>
    <xf numFmtId="0" fontId="129" fillId="0" borderId="0" xfId="0" applyFont="1" applyBorder="1" applyAlignment="1">
      <alignment horizontal="center" vertical="center" wrapText="1"/>
    </xf>
    <xf numFmtId="0" fontId="129" fillId="0" borderId="14" xfId="0" applyFont="1" applyBorder="1" applyAlignment="1">
      <alignment horizontal="center" vertical="center" wrapText="1"/>
    </xf>
    <xf numFmtId="0" fontId="129" fillId="0" borderId="0" xfId="0" applyFont="1" applyAlignment="1">
      <alignment horizontal="center" vertical="center" wrapText="1"/>
    </xf>
    <xf numFmtId="0" fontId="129" fillId="0" borderId="151" xfId="0" applyFont="1" applyBorder="1" applyAlignment="1">
      <alignment horizontal="center" vertical="center" wrapText="1"/>
    </xf>
    <xf numFmtId="0" fontId="109" fillId="0" borderId="0" xfId="0" applyFont="1" applyAlignment="1">
      <alignment horizontal="right"/>
    </xf>
    <xf numFmtId="0" fontId="137" fillId="0" borderId="0" xfId="0" applyFont="1" applyAlignment="1">
      <alignment horizontal="center"/>
    </xf>
    <xf numFmtId="0" fontId="126" fillId="0" borderId="150" xfId="0" applyFont="1" applyBorder="1" applyAlignment="1">
      <alignment horizontal="center" vertical="center" wrapText="1"/>
    </xf>
    <xf numFmtId="0" fontId="126" fillId="0" borderId="0" xfId="0" applyFont="1" applyBorder="1" applyAlignment="1">
      <alignment horizontal="center" vertical="center" wrapText="1"/>
    </xf>
    <xf numFmtId="0" fontId="126" fillId="0" borderId="0" xfId="0" applyFont="1" applyAlignment="1">
      <alignment horizontal="center" vertical="center" wrapText="1"/>
    </xf>
    <xf numFmtId="0" fontId="126" fillId="0" borderId="151" xfId="0" applyFont="1" applyBorder="1" applyAlignment="1">
      <alignment horizontal="center" vertical="center" wrapText="1"/>
    </xf>
    <xf numFmtId="0" fontId="126" fillId="0" borderId="14" xfId="0" applyFont="1" applyBorder="1" applyAlignment="1">
      <alignment horizontal="center" vertical="center" wrapText="1"/>
    </xf>
    <xf numFmtId="0" fontId="129" fillId="0" borderId="150" xfId="0" applyFont="1" applyBorder="1" applyAlignment="1">
      <alignment horizontal="center" wrapText="1"/>
    </xf>
    <xf numFmtId="0" fontId="129" fillId="0" borderId="0" xfId="0" applyFont="1" applyBorder="1" applyAlignment="1">
      <alignment horizontal="center" wrapText="1"/>
    </xf>
    <xf numFmtId="0" fontId="134" fillId="0" borderId="150" xfId="0" applyFont="1" applyBorder="1" applyAlignment="1">
      <alignment horizontal="center" vertical="center" wrapText="1"/>
    </xf>
    <xf numFmtId="0" fontId="134" fillId="0" borderId="0" xfId="0" applyFont="1" applyBorder="1" applyAlignment="1">
      <alignment horizontal="center" vertical="center" wrapText="1"/>
    </xf>
    <xf numFmtId="0" fontId="134" fillId="0" borderId="0" xfId="0" applyFont="1" applyAlignment="1">
      <alignment horizontal="center" vertical="center" wrapText="1"/>
    </xf>
    <xf numFmtId="0" fontId="134" fillId="0" borderId="151" xfId="0" applyFont="1" applyBorder="1" applyAlignment="1">
      <alignment horizontal="center" vertical="center" wrapText="1"/>
    </xf>
    <xf numFmtId="0" fontId="129" fillId="0" borderId="0" xfId="0" applyFont="1" applyAlignment="1">
      <alignment horizontal="center" wrapText="1"/>
    </xf>
    <xf numFmtId="0" fontId="129" fillId="0" borderId="151" xfId="0" applyFont="1" applyBorder="1" applyAlignment="1">
      <alignment horizontal="center" wrapText="1"/>
    </xf>
    <xf numFmtId="49" fontId="0" fillId="0" borderId="10" xfId="0" applyNumberFormat="1" applyBorder="1" applyAlignment="1">
      <alignment horizontal="center"/>
    </xf>
    <xf numFmtId="0" fontId="2" fillId="0" borderId="0" xfId="0" applyFont="1" applyBorder="1" applyAlignment="1">
      <alignment horizontal="left" vertical="center" wrapText="1"/>
    </xf>
    <xf numFmtId="0" fontId="2" fillId="0" borderId="26" xfId="0" applyFont="1" applyBorder="1" applyAlignment="1">
      <alignment horizontal="left" vertical="center" wrapText="1"/>
    </xf>
    <xf numFmtId="0" fontId="0" fillId="0" borderId="10" xfId="0" applyBorder="1" applyAlignment="1">
      <alignment horizontal="left"/>
    </xf>
    <xf numFmtId="0" fontId="90" fillId="0" borderId="27" xfId="41" applyBorder="1" applyAlignment="1" applyProtection="1">
      <alignment horizontal="center"/>
    </xf>
    <xf numFmtId="0" fontId="90" fillId="0" borderId="28" xfId="41" applyBorder="1" applyAlignment="1" applyProtection="1">
      <alignment horizontal="center"/>
    </xf>
    <xf numFmtId="0" fontId="2" fillId="0" borderId="0" xfId="0" applyFont="1" applyBorder="1" applyAlignment="1">
      <alignment horizontal="justify" vertical="center" wrapText="1"/>
    </xf>
    <xf numFmtId="0" fontId="2" fillId="0" borderId="26" xfId="0" applyFont="1" applyBorder="1" applyAlignment="1">
      <alignment horizontal="justify" vertical="center" wrapText="1"/>
    </xf>
    <xf numFmtId="0" fontId="2" fillId="35" borderId="0" xfId="0" applyFont="1" applyFill="1" applyBorder="1" applyAlignment="1">
      <alignment horizontal="left" vertical="center" wrapText="1"/>
    </xf>
    <xf numFmtId="0" fontId="2" fillId="35" borderId="26" xfId="0" applyFont="1" applyFill="1" applyBorder="1" applyAlignment="1">
      <alignment horizontal="left" vertical="center" wrapText="1"/>
    </xf>
    <xf numFmtId="0" fontId="0" fillId="0" borderId="0" xfId="0" applyBorder="1" applyAlignment="1">
      <alignment horizontal="left" vertical="top" wrapText="1"/>
    </xf>
    <xf numFmtId="0" fontId="0" fillId="0" borderId="26" xfId="0" applyBorder="1" applyAlignment="1">
      <alignment horizontal="left" vertical="top" wrapText="1"/>
    </xf>
    <xf numFmtId="0" fontId="2" fillId="0" borderId="0" xfId="0" applyFont="1" applyBorder="1" applyAlignment="1">
      <alignment horizontal="left" vertical="top" wrapText="1"/>
    </xf>
    <xf numFmtId="0" fontId="2" fillId="0" borderId="26" xfId="0" applyFont="1" applyBorder="1" applyAlignment="1">
      <alignment horizontal="left" vertical="top" wrapText="1"/>
    </xf>
    <xf numFmtId="0" fontId="103" fillId="0" borderId="0" xfId="0" applyFont="1" applyAlignment="1">
      <alignment horizontal="left"/>
    </xf>
    <xf numFmtId="0" fontId="103" fillId="0" borderId="0" xfId="0" applyFont="1" applyAlignment="1">
      <alignment horizontal="left" vertical="center" wrapText="1"/>
    </xf>
    <xf numFmtId="0" fontId="103" fillId="0" borderId="151" xfId="0" applyFont="1" applyBorder="1" applyAlignment="1">
      <alignment horizontal="left" vertical="center" wrapText="1"/>
    </xf>
    <xf numFmtId="0" fontId="103" fillId="0" borderId="151" xfId="0" applyFont="1" applyBorder="1" applyAlignment="1">
      <alignment horizontal="left"/>
    </xf>
    <xf numFmtId="0" fontId="103" fillId="0" borderId="0" xfId="0" applyFont="1" applyAlignment="1">
      <alignment horizontal="justify"/>
    </xf>
    <xf numFmtId="0" fontId="103" fillId="0" borderId="151" xfId="0" applyFont="1" applyBorder="1" applyAlignment="1">
      <alignment horizontal="justify"/>
    </xf>
    <xf numFmtId="0" fontId="0" fillId="0" borderId="0" xfId="0" applyAlignment="1">
      <alignment horizontal="right"/>
    </xf>
    <xf numFmtId="0" fontId="118" fillId="0" borderId="143" xfId="0" applyFont="1" applyBorder="1" applyAlignment="1">
      <alignment horizontal="center"/>
    </xf>
    <xf numFmtId="0" fontId="127" fillId="0" borderId="150" xfId="0" applyFont="1" applyBorder="1" applyAlignment="1">
      <alignment horizontal="center"/>
    </xf>
    <xf numFmtId="0" fontId="86" fillId="0" borderId="0" xfId="0" applyFont="1"/>
    <xf numFmtId="0" fontId="86" fillId="0" borderId="151" xfId="0" applyFont="1" applyBorder="1"/>
    <xf numFmtId="0" fontId="119" fillId="0" borderId="150" xfId="0" applyFont="1" applyBorder="1" applyAlignment="1">
      <alignment horizontal="center"/>
    </xf>
    <xf numFmtId="0" fontId="137" fillId="0" borderId="150" xfId="0" applyFont="1" applyBorder="1" applyAlignment="1">
      <alignment horizontal="center"/>
    </xf>
    <xf numFmtId="0" fontId="2" fillId="0" borderId="151" xfId="0" applyFont="1" applyBorder="1"/>
    <xf numFmtId="0" fontId="119" fillId="0" borderId="0" xfId="0" applyFont="1" applyBorder="1" applyAlignment="1">
      <alignment horizontal="center"/>
    </xf>
    <xf numFmtId="0" fontId="119" fillId="0" borderId="151" xfId="0" applyFont="1" applyBorder="1" applyAlignment="1">
      <alignment horizontal="center"/>
    </xf>
    <xf numFmtId="0" fontId="106" fillId="0" borderId="150" xfId="0" applyFont="1" applyBorder="1" applyAlignment="1">
      <alignment horizontal="center" vertical="center" wrapText="1"/>
    </xf>
    <xf numFmtId="0" fontId="2" fillId="0" borderId="151" xfId="0" applyFont="1" applyBorder="1" applyAlignment="1">
      <alignment horizontal="center" vertical="center"/>
    </xf>
    <xf numFmtId="0" fontId="2" fillId="0" borderId="144" xfId="0" applyFont="1" applyBorder="1" applyAlignment="1">
      <alignment horizontal="center" vertical="center"/>
    </xf>
    <xf numFmtId="0" fontId="2" fillId="0" borderId="124" xfId="0" applyFont="1" applyBorder="1" applyAlignment="1">
      <alignment horizontal="center" vertical="center"/>
    </xf>
    <xf numFmtId="0" fontId="2" fillId="0" borderId="152" xfId="0" applyFont="1" applyBorder="1" applyAlignment="1">
      <alignment horizontal="center" vertical="center"/>
    </xf>
    <xf numFmtId="0" fontId="106" fillId="0" borderId="150" xfId="0" applyFont="1" applyBorder="1" applyAlignment="1">
      <alignment horizontal="center" wrapText="1"/>
    </xf>
    <xf numFmtId="0" fontId="2" fillId="0" borderId="151" xfId="0" applyFont="1" applyBorder="1" applyAlignment="1">
      <alignment horizontal="center"/>
    </xf>
    <xf numFmtId="0" fontId="2" fillId="0" borderId="144" xfId="0" applyFont="1" applyBorder="1" applyAlignment="1">
      <alignment horizontal="center"/>
    </xf>
    <xf numFmtId="0" fontId="2" fillId="0" borderId="124" xfId="0" applyFont="1" applyBorder="1" applyAlignment="1">
      <alignment horizontal="center"/>
    </xf>
    <xf numFmtId="0" fontId="2" fillId="0" borderId="152" xfId="0" applyFont="1" applyBorder="1" applyAlignment="1">
      <alignment horizontal="center"/>
    </xf>
    <xf numFmtId="0" fontId="103" fillId="0" borderId="150" xfId="0" applyFont="1" applyBorder="1" applyAlignment="1">
      <alignment horizontal="center" wrapText="1"/>
    </xf>
    <xf numFmtId="49" fontId="1" fillId="0" borderId="13" xfId="0" applyNumberFormat="1" applyFont="1" applyBorder="1" applyAlignment="1">
      <alignment horizontal="center"/>
    </xf>
  </cellXfs>
  <cellStyles count="88">
    <cellStyle name="20% - Énfasis1 7" xfId="1"/>
    <cellStyle name="20% - Énfasis2 7" xfId="2"/>
    <cellStyle name="20% - Énfasis3 7" xfId="3"/>
    <cellStyle name="20% - Énfasis4 7" xfId="4"/>
    <cellStyle name="20% - Énfasis5 7" xfId="5"/>
    <cellStyle name="20% - Énfasis6 7" xfId="6"/>
    <cellStyle name="40% - Énfasis1 7" xfId="7"/>
    <cellStyle name="40% - Énfasis2 7" xfId="8"/>
    <cellStyle name="40% - Énfasis3 7" xfId="9"/>
    <cellStyle name="40% - Énfasis4 7" xfId="10"/>
    <cellStyle name="40% - Énfasis5 7" xfId="11"/>
    <cellStyle name="40% - Énfasis6 7" xfId="12"/>
    <cellStyle name="60% - Énfasis1 2" xfId="13"/>
    <cellStyle name="60% - Énfasis2 2" xfId="14"/>
    <cellStyle name="60% - Énfasis3 2" xfId="15"/>
    <cellStyle name="60% - Énfasis4 2" xfId="16"/>
    <cellStyle name="60% - Énfasis5 2" xfId="17"/>
    <cellStyle name="60% - Énfasis6 2" xfId="18"/>
    <cellStyle name="Buena 2" xfId="19"/>
    <cellStyle name="Cálculo 2" xfId="20"/>
    <cellStyle name="Celda de comprobación 2" xfId="21"/>
    <cellStyle name="Celda vinculada 2" xfId="22"/>
    <cellStyle name="Comma 2" xfId="23"/>
    <cellStyle name="Encabezado 4 2" xfId="24"/>
    <cellStyle name="Énfasis1 2" xfId="25"/>
    <cellStyle name="Énfasis2 2" xfId="26"/>
    <cellStyle name="Énfasis3 2" xfId="27"/>
    <cellStyle name="Énfasis4 2" xfId="28"/>
    <cellStyle name="Énfasis5 2" xfId="29"/>
    <cellStyle name="Énfasis6 2" xfId="30"/>
    <cellStyle name="Entrada 2" xfId="31"/>
    <cellStyle name="Euro" xfId="32"/>
    <cellStyle name="Euro 2" xfId="33"/>
    <cellStyle name="F2" xfId="34"/>
    <cellStyle name="F3" xfId="35"/>
    <cellStyle name="F4" xfId="36"/>
    <cellStyle name="F5" xfId="37"/>
    <cellStyle name="F6" xfId="38"/>
    <cellStyle name="F7" xfId="39"/>
    <cellStyle name="F8" xfId="40"/>
    <cellStyle name="Hipervínculo" xfId="41" builtinId="8"/>
    <cellStyle name="Hipervínculo 2" xfId="42"/>
    <cellStyle name="Hipervínculo 2 2" xfId="43"/>
    <cellStyle name="Hipervínculo 3" xfId="44"/>
    <cellStyle name="Incorrecto 2" xfId="45"/>
    <cellStyle name="Millares" xfId="46" builtinId="3"/>
    <cellStyle name="Millares 109" xfId="47"/>
    <cellStyle name="Millares 2" xfId="48"/>
    <cellStyle name="Millares 3" xfId="49"/>
    <cellStyle name="Millares_formatos NECOCLI - SAN JUAN" xfId="50"/>
    <cellStyle name="Moneda [0]" xfId="51" builtinId="7"/>
    <cellStyle name="Moneda 2" xfId="52"/>
    <cellStyle name="Moneda 3" xfId="53"/>
    <cellStyle name="Moneda 4" xfId="54"/>
    <cellStyle name="Neutral" xfId="87" builtinId="28"/>
    <cellStyle name="Neutral 2" xfId="55"/>
    <cellStyle name="Normal" xfId="0" builtinId="0"/>
    <cellStyle name="Normal 11" xfId="56"/>
    <cellStyle name="Normal 2" xfId="57"/>
    <cellStyle name="Normal 2 10" xfId="58"/>
    <cellStyle name="Normal 2 2" xfId="59"/>
    <cellStyle name="Normal 2 3" xfId="60"/>
    <cellStyle name="Normal 2 4" xfId="61"/>
    <cellStyle name="Normal 2 5" xfId="62"/>
    <cellStyle name="Normal 2 6" xfId="63"/>
    <cellStyle name="Normal 3" xfId="64"/>
    <cellStyle name="Normal 3 2" xfId="65"/>
    <cellStyle name="Normal 3 3" xfId="66"/>
    <cellStyle name="Normal 4" xfId="67"/>
    <cellStyle name="Normal_GRAF.IBE-ESP" xfId="68"/>
    <cellStyle name="Normal_GRAF.L-IBE" xfId="69"/>
    <cellStyle name="Normal_GRAF.ORT-GUAM" xfId="70"/>
    <cellStyle name="Normal_GRAFI.CHAP-ORT" xfId="71"/>
    <cellStyle name="Normal_Lista de Puentes  tercera priorización y final" xfId="72"/>
    <cellStyle name="Normal_Priorizacion puentes que requieren atencion 2001 trabajo" xfId="73"/>
    <cellStyle name="Notas 7" xfId="74"/>
    <cellStyle name="Porcentaje" xfId="75" builtinId="5"/>
    <cellStyle name="Porcentaje 2" xfId="76"/>
    <cellStyle name="Porcentaje 3" xfId="77"/>
    <cellStyle name="Porcentual 2" xfId="78"/>
    <cellStyle name="Salida 2" xfId="79"/>
    <cellStyle name="Texto de advertencia 2" xfId="80"/>
    <cellStyle name="Texto explicativo 2" xfId="81"/>
    <cellStyle name="Título 1 2" xfId="82"/>
    <cellStyle name="Título 2 2" xfId="83"/>
    <cellStyle name="Título 3 2" xfId="84"/>
    <cellStyle name="Título 4" xfId="85"/>
    <cellStyle name="Total 2" xfId="86"/>
  </cellStyles>
  <dxfs count="234">
    <dxf>
      <fill>
        <patternFill>
          <bgColor indexed="43"/>
        </patternFill>
      </fill>
    </dxf>
    <dxf>
      <fill>
        <patternFill>
          <bgColor indexed="43"/>
        </patternFill>
      </fill>
    </dxf>
    <dxf>
      <fill>
        <patternFill>
          <bgColor indexed="43"/>
        </patternFill>
      </fill>
    </dxf>
    <dxf>
      <fill>
        <patternFill>
          <bgColor indexed="43"/>
        </patternFill>
      </fill>
    </dxf>
    <dxf>
      <fill>
        <patternFill>
          <bgColor indexed="43"/>
        </patternFill>
      </fill>
    </dxf>
    <dxf>
      <fill>
        <patternFill>
          <bgColor indexed="43"/>
        </patternFill>
      </fill>
    </dxf>
    <dxf>
      <fill>
        <patternFill>
          <bgColor indexed="43"/>
        </patternFill>
      </fill>
    </dxf>
    <dxf>
      <fill>
        <patternFill>
          <bgColor indexed="43"/>
        </patternFill>
      </fill>
    </dxf>
    <dxf>
      <fill>
        <patternFill>
          <bgColor indexed="43"/>
        </patternFill>
      </fill>
    </dxf>
    <dxf>
      <fill>
        <patternFill>
          <bgColor indexed="43"/>
        </patternFill>
      </fill>
    </dxf>
    <dxf>
      <fill>
        <patternFill>
          <bgColor indexed="43"/>
        </patternFill>
      </fill>
    </dxf>
    <dxf>
      <fill>
        <patternFill>
          <bgColor indexed="43"/>
        </patternFill>
      </fill>
    </dxf>
    <dxf>
      <fill>
        <patternFill>
          <bgColor indexed="43"/>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FFFF99"/>
        </patternFill>
      </fill>
    </dxf>
    <dxf>
      <fill>
        <patternFill>
          <bgColor rgb="FFCCFFCC"/>
        </patternFill>
      </fill>
    </dxf>
    <dxf>
      <fill>
        <patternFill>
          <bgColor rgb="FF99CC00"/>
        </patternFill>
      </fill>
    </dxf>
    <dxf>
      <fill>
        <patternFill>
          <bgColor rgb="FFFF9900"/>
        </patternFill>
      </fill>
    </dxf>
    <dxf>
      <fill>
        <patternFill>
          <bgColor rgb="FFFF66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99CCFF"/>
        </patternFill>
      </fill>
    </dxf>
    <dxf>
      <fill>
        <patternFill>
          <bgColor rgb="FF00FF00"/>
        </patternFill>
      </fill>
    </dxf>
    <dxf>
      <fill>
        <patternFill>
          <bgColor rgb="FFFFFF00"/>
        </patternFill>
      </fill>
    </dxf>
    <dxf>
      <fill>
        <patternFill>
          <bgColor rgb="FFCC9CCC"/>
        </patternFill>
      </fill>
    </dxf>
    <dxf>
      <fill>
        <patternFill>
          <bgColor rgb="FFFF0000"/>
        </patternFill>
      </fill>
    </dxf>
    <dxf>
      <fill>
        <patternFill>
          <bgColor rgb="FF00FF00"/>
        </patternFill>
      </fill>
    </dxf>
    <dxf>
      <fill>
        <patternFill>
          <bgColor rgb="FFFFFF00"/>
        </patternFill>
      </fill>
    </dxf>
    <dxf>
      <fill>
        <patternFill>
          <bgColor rgb="FFFF0000"/>
        </patternFill>
      </fill>
    </dxf>
    <dxf>
      <fill>
        <patternFill>
          <bgColor rgb="FF00FF00"/>
        </patternFill>
      </fill>
    </dxf>
    <dxf>
      <fill>
        <patternFill>
          <bgColor rgb="FFFFFF00"/>
        </patternFill>
      </fill>
    </dxf>
    <dxf>
      <fill>
        <patternFill>
          <bgColor rgb="FFFF0000"/>
        </patternFill>
      </fill>
    </dxf>
    <dxf>
      <fill>
        <patternFill>
          <bgColor rgb="FFFFFF00"/>
        </patternFill>
      </fill>
    </dxf>
    <dxf>
      <fill>
        <patternFill>
          <bgColor rgb="FFFF0000"/>
        </patternFill>
      </fill>
    </dxf>
    <dxf>
      <fill>
        <patternFill>
          <bgColor rgb="FF00FF00"/>
        </patternFill>
      </fill>
    </dxf>
    <dxf>
      <fill>
        <patternFill>
          <bgColor theme="0" tint="-0.14996795556505021"/>
        </patternFill>
      </fill>
    </dxf>
    <dxf>
      <fill>
        <patternFill>
          <bgColor rgb="FFFFFF00"/>
        </patternFill>
      </fill>
    </dxf>
    <dxf>
      <fill>
        <patternFill>
          <bgColor rgb="FFFF0000"/>
        </patternFill>
      </fill>
    </dxf>
    <dxf>
      <fill>
        <patternFill>
          <bgColor rgb="FF00FF00"/>
        </patternFill>
      </fill>
    </dxf>
    <dxf>
      <fill>
        <patternFill>
          <bgColor theme="0" tint="-0.14996795556505021"/>
        </patternFill>
      </fill>
    </dxf>
    <dxf>
      <fill>
        <patternFill>
          <bgColor rgb="FFFFFF00"/>
        </patternFill>
      </fill>
    </dxf>
    <dxf>
      <fill>
        <patternFill>
          <bgColor rgb="FFFF0000"/>
        </patternFill>
      </fill>
    </dxf>
    <dxf>
      <fill>
        <patternFill>
          <bgColor rgb="FF00FF00"/>
        </patternFill>
      </fill>
    </dxf>
    <dxf>
      <fill>
        <patternFill>
          <bgColor theme="0" tint="-0.14996795556505021"/>
        </patternFill>
      </fill>
    </dxf>
    <dxf>
      <fill>
        <patternFill>
          <bgColor rgb="FFFFFF00"/>
        </patternFill>
      </fill>
    </dxf>
    <dxf>
      <fill>
        <patternFill>
          <bgColor rgb="FFFF0000"/>
        </patternFill>
      </fill>
    </dxf>
    <dxf>
      <fill>
        <patternFill>
          <bgColor rgb="FF00FF00"/>
        </patternFill>
      </fill>
    </dxf>
    <dxf>
      <fill>
        <patternFill>
          <bgColor theme="0" tint="-0.14996795556505021"/>
        </patternFill>
      </fill>
    </dxf>
    <dxf>
      <fill>
        <patternFill>
          <bgColor rgb="FFFFFF00"/>
        </patternFill>
      </fill>
    </dxf>
    <dxf>
      <fill>
        <patternFill>
          <bgColor rgb="FFFF0000"/>
        </patternFill>
      </fill>
    </dxf>
    <dxf>
      <fill>
        <patternFill>
          <bgColor rgb="FF00FF00"/>
        </patternFill>
      </fill>
    </dxf>
    <dxf>
      <fill>
        <patternFill>
          <bgColor theme="0" tint="-0.14996795556505021"/>
        </patternFill>
      </fill>
    </dxf>
    <dxf>
      <fill>
        <patternFill>
          <bgColor rgb="FFFFFF00"/>
        </patternFill>
      </fill>
    </dxf>
    <dxf>
      <fill>
        <patternFill>
          <bgColor rgb="FFFF0000"/>
        </patternFill>
      </fill>
    </dxf>
    <dxf>
      <fill>
        <patternFill>
          <bgColor rgb="FF00FF00"/>
        </patternFill>
      </fill>
    </dxf>
    <dxf>
      <fill>
        <patternFill>
          <bgColor theme="0" tint="-0.14996795556505021"/>
        </patternFill>
      </fill>
    </dxf>
    <dxf>
      <fill>
        <patternFill>
          <bgColor rgb="FFFFFF00"/>
        </patternFill>
      </fill>
    </dxf>
    <dxf>
      <fill>
        <patternFill>
          <bgColor rgb="FFFF0000"/>
        </patternFill>
      </fill>
    </dxf>
    <dxf>
      <fill>
        <patternFill>
          <bgColor rgb="FF00FF00"/>
        </patternFill>
      </fill>
    </dxf>
    <dxf>
      <fill>
        <patternFill>
          <bgColor theme="0" tint="-0.14996795556505021"/>
        </patternFill>
      </fill>
    </dxf>
    <dxf>
      <fill>
        <patternFill>
          <bgColor rgb="FFFFFF00"/>
        </patternFill>
      </fill>
    </dxf>
    <dxf>
      <fill>
        <patternFill>
          <bgColor rgb="FFFF0000"/>
        </patternFill>
      </fill>
    </dxf>
    <dxf>
      <fill>
        <patternFill>
          <bgColor rgb="FF00FF00"/>
        </patternFill>
      </fill>
    </dxf>
    <dxf>
      <fill>
        <patternFill>
          <bgColor theme="0" tint="-0.14996795556505021"/>
        </patternFill>
      </fill>
    </dxf>
    <dxf>
      <fill>
        <patternFill>
          <bgColor rgb="FFFFFF00"/>
        </patternFill>
      </fill>
    </dxf>
    <dxf>
      <fill>
        <patternFill>
          <bgColor rgb="FFFF0000"/>
        </patternFill>
      </fill>
    </dxf>
    <dxf>
      <fill>
        <patternFill>
          <bgColor rgb="FF00FF00"/>
        </patternFill>
      </fill>
    </dxf>
    <dxf>
      <fill>
        <patternFill>
          <bgColor theme="0" tint="-0.14996795556505021"/>
        </patternFill>
      </fill>
    </dxf>
    <dxf>
      <fill>
        <patternFill>
          <bgColor rgb="FFFFFF00"/>
        </patternFill>
      </fill>
    </dxf>
    <dxf>
      <fill>
        <patternFill>
          <bgColor rgb="FFFF0000"/>
        </patternFill>
      </fill>
    </dxf>
    <dxf>
      <fill>
        <patternFill>
          <bgColor rgb="FF00FF00"/>
        </patternFill>
      </fill>
    </dxf>
    <dxf>
      <fill>
        <patternFill>
          <bgColor theme="0" tint="-0.14996795556505021"/>
        </patternFill>
      </fill>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8080FF"/>
      <rgbColor rgb="00802060"/>
      <rgbColor rgb="00FFFFC0"/>
      <rgbColor rgb="00A0E0E0"/>
      <rgbColor rgb="00600080"/>
      <rgbColor rgb="00FF8080"/>
      <rgbColor rgb="000080C0"/>
      <rgbColor rgb="00C0C0FF"/>
      <rgbColor rgb="00000080"/>
      <rgbColor rgb="00FF00FF"/>
      <rgbColor rgb="00FFFF00"/>
      <rgbColor rgb="0000FFFF"/>
      <rgbColor rgb="00800080"/>
      <rgbColor rgb="00800000"/>
      <rgbColor rgb="00008080"/>
      <rgbColor rgb="000000FF"/>
      <rgbColor rgb="0000CCFF"/>
      <rgbColor rgb="0069FFFF"/>
      <rgbColor rgb="00CCFFCC"/>
      <rgbColor rgb="00FFFF99"/>
      <rgbColor rgb="00A6CAF0"/>
      <rgbColor rgb="00CC9CCC"/>
      <rgbColor rgb="00CC99FF"/>
      <rgbColor rgb="00E3E3E3"/>
      <rgbColor rgb="003366FF"/>
      <rgbColor rgb="0033CCCC"/>
      <rgbColor rgb="00339933"/>
      <rgbColor rgb="00999933"/>
      <rgbColor rgb="00996633"/>
      <rgbColor rgb="00996666"/>
      <rgbColor rgb="00666699"/>
      <rgbColor rgb="00969696"/>
      <rgbColor rgb="003333CC"/>
      <rgbColor rgb="00336666"/>
      <rgbColor rgb="00003300"/>
      <rgbColor rgb="00333300"/>
      <rgbColor rgb="00663300"/>
      <rgbColor rgb="00993366"/>
      <rgbColor rgb="00333399"/>
      <rgbColor rgb="00424242"/>
    </indexedColors>
    <mruColors>
      <color rgb="FF66FF3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externalLink" Target="externalLinks/externalLink5.xml"/><Relationship Id="rId63" Type="http://schemas.openxmlformats.org/officeDocument/2006/relationships/theme" Target="theme/theme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3.xml"/><Relationship Id="rId58" Type="http://schemas.openxmlformats.org/officeDocument/2006/relationships/externalLink" Target="externalLinks/externalLink8.xml"/><Relationship Id="rId66" Type="http://schemas.openxmlformats.org/officeDocument/2006/relationships/calcChain" Target="calcChain.xml"/><Relationship Id="rId5" Type="http://schemas.openxmlformats.org/officeDocument/2006/relationships/worksheet" Target="worksheets/sheet5.xml"/><Relationship Id="rId61" Type="http://schemas.openxmlformats.org/officeDocument/2006/relationships/externalLink" Target="externalLinks/externalLink1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6.xml"/><Relationship Id="rId64"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externalLink" Target="externalLinks/externalLink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externalLink" Target="externalLinks/externalLink9.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externalLink" Target="externalLinks/externalLink4.xml"/><Relationship Id="rId62" Type="http://schemas.openxmlformats.org/officeDocument/2006/relationships/externalLink" Target="externalLinks/externalLink12.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externalLink" Target="externalLinks/externalLink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2.xml"/><Relationship Id="rId60" Type="http://schemas.openxmlformats.org/officeDocument/2006/relationships/externalLink" Target="externalLinks/externalLink10.xml"/><Relationship Id="rId65"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30"/>
      <c:rotY val="0"/>
      <c:rAngAx val="0"/>
      <c:perspective val="0"/>
    </c:view3D>
    <c:floor>
      <c:thickness val="0"/>
    </c:floor>
    <c:sideWall>
      <c:thickness val="0"/>
    </c:sideWall>
    <c:backWall>
      <c:thickness val="0"/>
    </c:backWall>
    <c:plotArea>
      <c:layout/>
      <c:pie3DChart>
        <c:varyColors val="1"/>
        <c:ser>
          <c:idx val="0"/>
          <c:order val="0"/>
          <c:dPt>
            <c:idx val="0"/>
            <c:bubble3D val="0"/>
            <c:spPr>
              <a:solidFill>
                <a:srgbClr val="00FF00"/>
              </a:solidFill>
            </c:spPr>
            <c:extLst>
              <c:ext xmlns:c16="http://schemas.microsoft.com/office/drawing/2014/chart" uri="{C3380CC4-5D6E-409C-BE32-E72D297353CC}">
                <c16:uniqueId val="{00000001-477C-491F-A0AD-B8B5AFA5F3C8}"/>
              </c:ext>
            </c:extLst>
          </c:dPt>
          <c:dPt>
            <c:idx val="1"/>
            <c:bubble3D val="0"/>
            <c:spPr>
              <a:solidFill>
                <a:srgbClr val="FFFF00"/>
              </a:solidFill>
            </c:spPr>
            <c:extLst>
              <c:ext xmlns:c16="http://schemas.microsoft.com/office/drawing/2014/chart" uri="{C3380CC4-5D6E-409C-BE32-E72D297353CC}">
                <c16:uniqueId val="{00000003-477C-491F-A0AD-B8B5AFA5F3C8}"/>
              </c:ext>
            </c:extLst>
          </c:dPt>
          <c:dPt>
            <c:idx val="2"/>
            <c:bubble3D val="0"/>
            <c:spPr>
              <a:solidFill>
                <a:srgbClr val="FF0000"/>
              </a:solidFill>
            </c:spPr>
            <c:extLst>
              <c:ext xmlns:c16="http://schemas.microsoft.com/office/drawing/2014/chart" uri="{C3380CC4-5D6E-409C-BE32-E72D297353CC}">
                <c16:uniqueId val="{00000005-477C-491F-A0AD-B8B5AFA5F3C8}"/>
              </c:ext>
            </c:extLst>
          </c:dPt>
          <c:dLbls>
            <c:numFmt formatCode="0%" sourceLinked="0"/>
            <c:spPr>
              <a:noFill/>
              <a:ln w="25400">
                <a:noFill/>
              </a:ln>
            </c:spPr>
            <c:txPr>
              <a:bodyPr wrap="square" lIns="38100" tIns="19050" rIns="38100" bIns="19050" anchor="ctr">
                <a:spAutoFit/>
              </a:bodyPr>
              <a:lstStyle/>
              <a:p>
                <a:pPr>
                  <a:defRPr sz="800" b="0" i="0" u="none" strike="noStrike" baseline="0">
                    <a:solidFill>
                      <a:srgbClr val="000000"/>
                    </a:solidFill>
                    <a:latin typeface="Calibri"/>
                    <a:ea typeface="Calibri"/>
                    <a:cs typeface="Calibri"/>
                  </a:defRPr>
                </a:pPr>
                <a:endParaRPr lang="es-CO"/>
              </a:p>
            </c:txPr>
            <c:dLblPos val="bestFit"/>
            <c:showLegendKey val="0"/>
            <c:showVal val="1"/>
            <c:showCatName val="0"/>
            <c:showSerName val="0"/>
            <c:showPercent val="0"/>
            <c:showBubbleSize val="0"/>
            <c:showLeaderLines val="1"/>
            <c:extLst>
              <c:ext xmlns:c15="http://schemas.microsoft.com/office/drawing/2012/chart" uri="{CE6537A1-D6FC-4f65-9D91-7224C49458BB}">
                <c15:layout/>
              </c:ext>
            </c:extLst>
          </c:dLbls>
          <c:val>
            <c:numRef>
              <c:f>'TORTA EST. VIAS VIS'!$E$27:$G$27</c:f>
              <c:numCache>
                <c:formatCode>0%</c:formatCode>
                <c:ptCount val="3"/>
                <c:pt idx="0">
                  <c:v>1</c:v>
                </c:pt>
                <c:pt idx="1">
                  <c:v>0</c:v>
                </c:pt>
                <c:pt idx="2">
                  <c:v>0</c:v>
                </c:pt>
              </c:numCache>
            </c:numRef>
          </c:val>
          <c:extLst>
            <c:ext xmlns:c16="http://schemas.microsoft.com/office/drawing/2014/chart" uri="{C3380CC4-5D6E-409C-BE32-E72D297353CC}">
              <c16:uniqueId val="{00000006-477C-491F-A0AD-B8B5AFA5F3C8}"/>
            </c:ext>
          </c:extLst>
        </c:ser>
        <c:dLbls>
          <c:showLegendKey val="0"/>
          <c:showVal val="0"/>
          <c:showCatName val="0"/>
          <c:showSerName val="0"/>
          <c:showPercent val="0"/>
          <c:showBubbleSize val="0"/>
          <c:showLeaderLines val="1"/>
        </c:dLbls>
      </c:pie3DChart>
      <c:spPr>
        <a:noFill/>
        <a:ln w="25400">
          <a:noFill/>
        </a:ln>
      </c:spPr>
    </c:plotArea>
    <c:plotVisOnly val="1"/>
    <c:dispBlanksAs val="gap"/>
    <c:showDLblsOverMax val="0"/>
  </c:chart>
  <c:spPr>
    <a:noFill/>
    <a:ln>
      <a:noFill/>
    </a:ln>
  </c:spPr>
  <c:txPr>
    <a:bodyPr/>
    <a:lstStyle/>
    <a:p>
      <a:pPr>
        <a:defRPr sz="1000" b="0" i="0" u="none" strike="noStrike" baseline="0">
          <a:solidFill>
            <a:srgbClr val="000000"/>
          </a:solidFill>
          <a:latin typeface="Calibri"/>
          <a:ea typeface="Calibri"/>
          <a:cs typeface="Calibri"/>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30"/>
      <c:rotY val="0"/>
      <c:rAngAx val="0"/>
      <c:perspective val="0"/>
    </c:view3D>
    <c:floor>
      <c:thickness val="0"/>
    </c:floor>
    <c:sideWall>
      <c:thickness val="0"/>
    </c:sideWall>
    <c:backWall>
      <c:thickness val="0"/>
    </c:backWall>
    <c:plotArea>
      <c:layout/>
      <c:pie3DChart>
        <c:varyColors val="1"/>
        <c:ser>
          <c:idx val="0"/>
          <c:order val="0"/>
          <c:dPt>
            <c:idx val="0"/>
            <c:bubble3D val="0"/>
            <c:spPr>
              <a:solidFill>
                <a:srgbClr val="00FF00"/>
              </a:solidFill>
            </c:spPr>
            <c:extLst>
              <c:ext xmlns:c16="http://schemas.microsoft.com/office/drawing/2014/chart" uri="{C3380CC4-5D6E-409C-BE32-E72D297353CC}">
                <c16:uniqueId val="{00000001-0DC9-460F-93AA-07E27D306F7D}"/>
              </c:ext>
            </c:extLst>
          </c:dPt>
          <c:dPt>
            <c:idx val="1"/>
            <c:bubble3D val="0"/>
            <c:spPr>
              <a:solidFill>
                <a:srgbClr val="FFFF00"/>
              </a:solidFill>
            </c:spPr>
            <c:extLst>
              <c:ext xmlns:c16="http://schemas.microsoft.com/office/drawing/2014/chart" uri="{C3380CC4-5D6E-409C-BE32-E72D297353CC}">
                <c16:uniqueId val="{00000003-0DC9-460F-93AA-07E27D306F7D}"/>
              </c:ext>
            </c:extLst>
          </c:dPt>
          <c:dPt>
            <c:idx val="2"/>
            <c:bubble3D val="0"/>
            <c:spPr>
              <a:solidFill>
                <a:srgbClr val="FF0000"/>
              </a:solidFill>
            </c:spPr>
            <c:extLst>
              <c:ext xmlns:c16="http://schemas.microsoft.com/office/drawing/2014/chart" uri="{C3380CC4-5D6E-409C-BE32-E72D297353CC}">
                <c16:uniqueId val="{00000005-0DC9-460F-93AA-07E27D306F7D}"/>
              </c:ext>
            </c:extLst>
          </c:dPt>
          <c:dLbls>
            <c:numFmt formatCode="0%" sourceLinked="0"/>
            <c:spPr>
              <a:noFill/>
              <a:ln w="25400">
                <a:noFill/>
              </a:ln>
            </c:spPr>
            <c:txPr>
              <a:bodyPr wrap="square" lIns="38100" tIns="19050" rIns="38100" bIns="19050" anchor="ctr">
                <a:spAutoFit/>
              </a:bodyPr>
              <a:lstStyle/>
              <a:p>
                <a:pPr>
                  <a:defRPr sz="800" b="0" i="0" u="none" strike="noStrike" baseline="0">
                    <a:solidFill>
                      <a:srgbClr val="000000"/>
                    </a:solidFill>
                    <a:latin typeface="Calibri"/>
                    <a:ea typeface="Calibri"/>
                    <a:cs typeface="Calibri"/>
                  </a:defRPr>
                </a:pPr>
                <a:endParaRPr lang="es-CO"/>
              </a:p>
            </c:txPr>
            <c:dLblPos val="bestFit"/>
            <c:showLegendKey val="0"/>
            <c:showVal val="1"/>
            <c:showCatName val="0"/>
            <c:showSerName val="0"/>
            <c:showPercent val="0"/>
            <c:showBubbleSize val="0"/>
            <c:showLeaderLines val="1"/>
            <c:extLst>
              <c:ext xmlns:c15="http://schemas.microsoft.com/office/drawing/2012/chart" uri="{CE6537A1-D6FC-4f65-9D91-7224C49458BB}">
                <c15:layout/>
              </c:ext>
            </c:extLst>
          </c:dLbls>
          <c:val>
            <c:numRef>
              <c:f>'TORTA EST. VIAS VIS'!$E$26:$G$26</c:f>
              <c:numCache>
                <c:formatCode>0%</c:formatCode>
                <c:ptCount val="3"/>
                <c:pt idx="0">
                  <c:v>1</c:v>
                </c:pt>
                <c:pt idx="1">
                  <c:v>0</c:v>
                </c:pt>
                <c:pt idx="2">
                  <c:v>0</c:v>
                </c:pt>
              </c:numCache>
            </c:numRef>
          </c:val>
          <c:extLst>
            <c:ext xmlns:c16="http://schemas.microsoft.com/office/drawing/2014/chart" uri="{C3380CC4-5D6E-409C-BE32-E72D297353CC}">
              <c16:uniqueId val="{00000006-0DC9-460F-93AA-07E27D306F7D}"/>
            </c:ext>
          </c:extLst>
        </c:ser>
        <c:dLbls>
          <c:showLegendKey val="0"/>
          <c:showVal val="0"/>
          <c:showCatName val="0"/>
          <c:showSerName val="0"/>
          <c:showPercent val="0"/>
          <c:showBubbleSize val="0"/>
          <c:showLeaderLines val="1"/>
        </c:dLbls>
      </c:pie3DChart>
      <c:spPr>
        <a:noFill/>
        <a:ln w="25400">
          <a:noFill/>
        </a:ln>
      </c:spPr>
    </c:plotArea>
    <c:plotVisOnly val="1"/>
    <c:dispBlanksAs val="gap"/>
    <c:showDLblsOverMax val="0"/>
  </c:chart>
  <c:spPr>
    <a:noFill/>
    <a:ln>
      <a:noFill/>
    </a:ln>
  </c:spPr>
  <c:txPr>
    <a:bodyPr/>
    <a:lstStyle/>
    <a:p>
      <a:pPr>
        <a:defRPr sz="1000" b="0" i="0" u="none" strike="noStrike" baseline="0">
          <a:solidFill>
            <a:srgbClr val="000000"/>
          </a:solidFill>
          <a:latin typeface="Calibri"/>
          <a:ea typeface="Calibri"/>
          <a:cs typeface="Calibri"/>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30"/>
      <c:rotY val="0"/>
      <c:rAngAx val="0"/>
      <c:perspective val="0"/>
    </c:view3D>
    <c:floor>
      <c:thickness val="0"/>
    </c:floor>
    <c:sideWall>
      <c:thickness val="0"/>
    </c:sideWall>
    <c:backWall>
      <c:thickness val="0"/>
    </c:backWall>
    <c:plotArea>
      <c:layout/>
      <c:pie3DChart>
        <c:varyColors val="1"/>
        <c:ser>
          <c:idx val="0"/>
          <c:order val="0"/>
          <c:dPt>
            <c:idx val="0"/>
            <c:bubble3D val="0"/>
            <c:spPr>
              <a:solidFill>
                <a:srgbClr val="00FF00"/>
              </a:solidFill>
            </c:spPr>
            <c:extLst>
              <c:ext xmlns:c16="http://schemas.microsoft.com/office/drawing/2014/chart" uri="{C3380CC4-5D6E-409C-BE32-E72D297353CC}">
                <c16:uniqueId val="{00000001-8855-4B93-AE30-4B52EE79F214}"/>
              </c:ext>
            </c:extLst>
          </c:dPt>
          <c:dPt>
            <c:idx val="1"/>
            <c:bubble3D val="0"/>
            <c:spPr>
              <a:solidFill>
                <a:srgbClr val="FFFF00"/>
              </a:solidFill>
            </c:spPr>
            <c:extLst>
              <c:ext xmlns:c16="http://schemas.microsoft.com/office/drawing/2014/chart" uri="{C3380CC4-5D6E-409C-BE32-E72D297353CC}">
                <c16:uniqueId val="{00000003-8855-4B93-AE30-4B52EE79F214}"/>
              </c:ext>
            </c:extLst>
          </c:dPt>
          <c:dPt>
            <c:idx val="2"/>
            <c:bubble3D val="0"/>
            <c:spPr>
              <a:solidFill>
                <a:srgbClr val="FF0000"/>
              </a:solidFill>
            </c:spPr>
            <c:extLst>
              <c:ext xmlns:c16="http://schemas.microsoft.com/office/drawing/2014/chart" uri="{C3380CC4-5D6E-409C-BE32-E72D297353CC}">
                <c16:uniqueId val="{00000005-8855-4B93-AE30-4B52EE79F214}"/>
              </c:ext>
            </c:extLst>
          </c:dPt>
          <c:dLbls>
            <c:numFmt formatCode="0%" sourceLinked="0"/>
            <c:spPr>
              <a:noFill/>
              <a:ln w="25400">
                <a:noFill/>
              </a:ln>
            </c:spPr>
            <c:txPr>
              <a:bodyPr wrap="square" lIns="38100" tIns="19050" rIns="38100" bIns="19050" anchor="ctr">
                <a:spAutoFit/>
              </a:bodyPr>
              <a:lstStyle/>
              <a:p>
                <a:pPr>
                  <a:defRPr sz="800" b="0" i="0" u="none" strike="noStrike" baseline="0">
                    <a:solidFill>
                      <a:srgbClr val="000000"/>
                    </a:solidFill>
                    <a:latin typeface="Calibri"/>
                    <a:ea typeface="Calibri"/>
                    <a:cs typeface="Calibri"/>
                  </a:defRPr>
                </a:pPr>
                <a:endParaRPr lang="es-CO"/>
              </a:p>
            </c:txPr>
            <c:dLblPos val="bestFit"/>
            <c:showLegendKey val="0"/>
            <c:showVal val="1"/>
            <c:showCatName val="0"/>
            <c:showSerName val="0"/>
            <c:showPercent val="0"/>
            <c:showBubbleSize val="0"/>
            <c:showLeaderLines val="1"/>
            <c:extLst>
              <c:ext xmlns:c15="http://schemas.microsoft.com/office/drawing/2012/chart" uri="{CE6537A1-D6FC-4f65-9D91-7224C49458BB}">
                <c15:layout/>
              </c:ext>
            </c:extLst>
          </c:dLbls>
          <c:val>
            <c:numRef>
              <c:f>'TORTA EST. VIAS VIS'!$E$17:$G$17</c:f>
              <c:numCache>
                <c:formatCode>0%</c:formatCode>
                <c:ptCount val="3"/>
                <c:pt idx="0">
                  <c:v>1</c:v>
                </c:pt>
                <c:pt idx="1">
                  <c:v>0</c:v>
                </c:pt>
              </c:numCache>
            </c:numRef>
          </c:val>
          <c:extLst>
            <c:ext xmlns:c16="http://schemas.microsoft.com/office/drawing/2014/chart" uri="{C3380CC4-5D6E-409C-BE32-E72D297353CC}">
              <c16:uniqueId val="{00000006-8855-4B93-AE30-4B52EE79F214}"/>
            </c:ext>
          </c:extLst>
        </c:ser>
        <c:dLbls>
          <c:showLegendKey val="0"/>
          <c:showVal val="0"/>
          <c:showCatName val="0"/>
          <c:showSerName val="0"/>
          <c:showPercent val="0"/>
          <c:showBubbleSize val="0"/>
          <c:showLeaderLines val="1"/>
        </c:dLbls>
      </c:pie3DChart>
      <c:spPr>
        <a:noFill/>
        <a:ln w="25400">
          <a:noFill/>
        </a:ln>
      </c:spPr>
    </c:plotArea>
    <c:plotVisOnly val="1"/>
    <c:dispBlanksAs val="gap"/>
    <c:showDLblsOverMax val="0"/>
  </c:chart>
  <c:spPr>
    <a:noFill/>
    <a:ln>
      <a:noFill/>
    </a:ln>
  </c:spPr>
  <c:txPr>
    <a:bodyPr/>
    <a:lstStyle/>
    <a:p>
      <a:pPr>
        <a:defRPr sz="1000" b="0" i="0" u="none" strike="noStrike" baseline="0">
          <a:solidFill>
            <a:srgbClr val="000000"/>
          </a:solidFill>
          <a:latin typeface="Calibri"/>
          <a:ea typeface="Calibri"/>
          <a:cs typeface="Calibri"/>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30"/>
      <c:rotY val="0"/>
      <c:rAngAx val="0"/>
      <c:perspective val="0"/>
    </c:view3D>
    <c:floor>
      <c:thickness val="0"/>
    </c:floor>
    <c:sideWall>
      <c:thickness val="0"/>
    </c:sideWall>
    <c:backWall>
      <c:thickness val="0"/>
    </c:backWall>
    <c:plotArea>
      <c:layout/>
      <c:pie3DChart>
        <c:varyColors val="1"/>
        <c:ser>
          <c:idx val="0"/>
          <c:order val="0"/>
          <c:dPt>
            <c:idx val="0"/>
            <c:bubble3D val="0"/>
            <c:spPr>
              <a:solidFill>
                <a:srgbClr val="00FF00"/>
              </a:solidFill>
            </c:spPr>
            <c:extLst>
              <c:ext xmlns:c16="http://schemas.microsoft.com/office/drawing/2014/chart" uri="{C3380CC4-5D6E-409C-BE32-E72D297353CC}">
                <c16:uniqueId val="{00000001-17C5-4F98-8C00-5C1B3AFF7D8E}"/>
              </c:ext>
            </c:extLst>
          </c:dPt>
          <c:dPt>
            <c:idx val="1"/>
            <c:bubble3D val="0"/>
            <c:spPr>
              <a:solidFill>
                <a:srgbClr val="FFFF00"/>
              </a:solidFill>
            </c:spPr>
            <c:extLst>
              <c:ext xmlns:c16="http://schemas.microsoft.com/office/drawing/2014/chart" uri="{C3380CC4-5D6E-409C-BE32-E72D297353CC}">
                <c16:uniqueId val="{00000003-17C5-4F98-8C00-5C1B3AFF7D8E}"/>
              </c:ext>
            </c:extLst>
          </c:dPt>
          <c:dPt>
            <c:idx val="2"/>
            <c:bubble3D val="0"/>
            <c:spPr>
              <a:solidFill>
                <a:srgbClr val="FF0000"/>
              </a:solidFill>
            </c:spPr>
            <c:extLst>
              <c:ext xmlns:c16="http://schemas.microsoft.com/office/drawing/2014/chart" uri="{C3380CC4-5D6E-409C-BE32-E72D297353CC}">
                <c16:uniqueId val="{00000005-17C5-4F98-8C00-5C1B3AFF7D8E}"/>
              </c:ext>
            </c:extLst>
          </c:dPt>
          <c:dLbls>
            <c:numFmt formatCode="0%" sourceLinked="0"/>
            <c:spPr>
              <a:noFill/>
              <a:ln w="25400">
                <a:noFill/>
              </a:ln>
            </c:spPr>
            <c:txPr>
              <a:bodyPr wrap="square" lIns="38100" tIns="19050" rIns="38100" bIns="19050" anchor="ctr">
                <a:spAutoFit/>
              </a:bodyPr>
              <a:lstStyle/>
              <a:p>
                <a:pPr>
                  <a:defRPr sz="800" b="0" i="0" u="none" strike="noStrike" baseline="0">
                    <a:solidFill>
                      <a:srgbClr val="000000"/>
                    </a:solidFill>
                    <a:latin typeface="Calibri"/>
                    <a:ea typeface="Calibri"/>
                    <a:cs typeface="Calibri"/>
                  </a:defRPr>
                </a:pPr>
                <a:endParaRPr lang="es-CO"/>
              </a:p>
            </c:txPr>
            <c:dLblPos val="bestFit"/>
            <c:showLegendKey val="0"/>
            <c:showVal val="1"/>
            <c:showCatName val="0"/>
            <c:showSerName val="0"/>
            <c:showPercent val="0"/>
            <c:showBubbleSize val="0"/>
            <c:showLeaderLines val="1"/>
            <c:extLst>
              <c:ext xmlns:c15="http://schemas.microsoft.com/office/drawing/2012/chart" uri="{CE6537A1-D6FC-4f65-9D91-7224C49458BB}">
                <c15:layout/>
              </c:ext>
            </c:extLst>
          </c:dLbls>
          <c:val>
            <c:numRef>
              <c:f>'TORTA EST. VIAS VIS'!$E$16:$G$16</c:f>
              <c:numCache>
                <c:formatCode>0%</c:formatCode>
                <c:ptCount val="3"/>
                <c:pt idx="0">
                  <c:v>1</c:v>
                </c:pt>
                <c:pt idx="1">
                  <c:v>0</c:v>
                </c:pt>
              </c:numCache>
            </c:numRef>
          </c:val>
          <c:extLst>
            <c:ext xmlns:c16="http://schemas.microsoft.com/office/drawing/2014/chart" uri="{C3380CC4-5D6E-409C-BE32-E72D297353CC}">
              <c16:uniqueId val="{00000006-17C5-4F98-8C00-5C1B3AFF7D8E}"/>
            </c:ext>
          </c:extLst>
        </c:ser>
        <c:dLbls>
          <c:showLegendKey val="0"/>
          <c:showVal val="0"/>
          <c:showCatName val="0"/>
          <c:showSerName val="0"/>
          <c:showPercent val="0"/>
          <c:showBubbleSize val="0"/>
          <c:showLeaderLines val="1"/>
        </c:dLbls>
      </c:pie3DChart>
      <c:spPr>
        <a:noFill/>
        <a:ln w="25400">
          <a:noFill/>
        </a:ln>
      </c:spPr>
    </c:plotArea>
    <c:plotVisOnly val="1"/>
    <c:dispBlanksAs val="gap"/>
    <c:showDLblsOverMax val="0"/>
  </c:chart>
  <c:spPr>
    <a:noFill/>
    <a:ln>
      <a:noFill/>
    </a:ln>
  </c:spPr>
  <c:txPr>
    <a:bodyPr/>
    <a:lstStyle/>
    <a:p>
      <a:pPr>
        <a:defRPr sz="1000" b="0" i="0" u="none" strike="noStrike" baseline="0">
          <a:solidFill>
            <a:srgbClr val="000000"/>
          </a:solidFill>
          <a:latin typeface="Calibri"/>
          <a:ea typeface="Calibri"/>
          <a:cs typeface="Calibri"/>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30"/>
      <c:rotY val="0"/>
      <c:rAngAx val="0"/>
      <c:perspective val="0"/>
    </c:view3D>
    <c:floor>
      <c:thickness val="0"/>
    </c:floor>
    <c:sideWall>
      <c:thickness val="0"/>
    </c:sideWall>
    <c:backWall>
      <c:thickness val="0"/>
    </c:backWall>
    <c:plotArea>
      <c:layout/>
      <c:pie3DChart>
        <c:varyColors val="1"/>
        <c:ser>
          <c:idx val="0"/>
          <c:order val="0"/>
          <c:dPt>
            <c:idx val="0"/>
            <c:bubble3D val="0"/>
            <c:spPr>
              <a:solidFill>
                <a:srgbClr val="00FF00"/>
              </a:solidFill>
            </c:spPr>
            <c:extLst>
              <c:ext xmlns:c16="http://schemas.microsoft.com/office/drawing/2014/chart" uri="{C3380CC4-5D6E-409C-BE32-E72D297353CC}">
                <c16:uniqueId val="{00000001-8AAF-475F-87E5-CDE2108AA10F}"/>
              </c:ext>
            </c:extLst>
          </c:dPt>
          <c:dPt>
            <c:idx val="1"/>
            <c:bubble3D val="0"/>
            <c:spPr>
              <a:solidFill>
                <a:srgbClr val="FFFF00"/>
              </a:solidFill>
            </c:spPr>
            <c:extLst>
              <c:ext xmlns:c16="http://schemas.microsoft.com/office/drawing/2014/chart" uri="{C3380CC4-5D6E-409C-BE32-E72D297353CC}">
                <c16:uniqueId val="{00000003-8AAF-475F-87E5-CDE2108AA10F}"/>
              </c:ext>
            </c:extLst>
          </c:dPt>
          <c:dPt>
            <c:idx val="2"/>
            <c:bubble3D val="0"/>
            <c:spPr>
              <a:solidFill>
                <a:srgbClr val="FF0000"/>
              </a:solidFill>
            </c:spPr>
            <c:extLst>
              <c:ext xmlns:c16="http://schemas.microsoft.com/office/drawing/2014/chart" uri="{C3380CC4-5D6E-409C-BE32-E72D297353CC}">
                <c16:uniqueId val="{00000005-8AAF-475F-87E5-CDE2108AA10F}"/>
              </c:ext>
            </c:extLst>
          </c:dPt>
          <c:dLbls>
            <c:numFmt formatCode="0%" sourceLinked="0"/>
            <c:spPr>
              <a:noFill/>
              <a:ln w="25400">
                <a:noFill/>
              </a:ln>
            </c:spPr>
            <c:txPr>
              <a:bodyPr wrap="square" lIns="38100" tIns="19050" rIns="38100" bIns="19050" anchor="ctr">
                <a:spAutoFit/>
              </a:bodyPr>
              <a:lstStyle/>
              <a:p>
                <a:pPr>
                  <a:defRPr sz="800" b="0" i="0" u="none" strike="noStrike" baseline="0">
                    <a:solidFill>
                      <a:srgbClr val="000000"/>
                    </a:solidFill>
                    <a:latin typeface="Calibri"/>
                    <a:ea typeface="Calibri"/>
                    <a:cs typeface="Calibri"/>
                  </a:defRPr>
                </a:pPr>
                <a:endParaRPr lang="es-CO"/>
              </a:p>
            </c:txPr>
            <c:dLblPos val="bestFit"/>
            <c:showLegendKey val="0"/>
            <c:showVal val="1"/>
            <c:showCatName val="0"/>
            <c:showSerName val="0"/>
            <c:showPercent val="0"/>
            <c:showBubbleSize val="0"/>
            <c:showLeaderLines val="1"/>
            <c:extLst>
              <c:ext xmlns:c15="http://schemas.microsoft.com/office/drawing/2012/chart" uri="{CE6537A1-D6FC-4f65-9D91-7224C49458BB}">
                <c15:layout/>
              </c:ext>
            </c:extLst>
          </c:dLbls>
          <c:val>
            <c:numRef>
              <c:f>'TORTA EST. VIAS VIS'!$E$36:$G$36</c:f>
              <c:numCache>
                <c:formatCode>0%</c:formatCode>
                <c:ptCount val="3"/>
                <c:pt idx="0">
                  <c:v>0.75517241379310351</c:v>
                </c:pt>
                <c:pt idx="1">
                  <c:v>0.24482758620689657</c:v>
                </c:pt>
                <c:pt idx="2">
                  <c:v>0</c:v>
                </c:pt>
              </c:numCache>
            </c:numRef>
          </c:val>
          <c:extLst>
            <c:ext xmlns:c16="http://schemas.microsoft.com/office/drawing/2014/chart" uri="{C3380CC4-5D6E-409C-BE32-E72D297353CC}">
              <c16:uniqueId val="{00000006-8AAF-475F-87E5-CDE2108AA10F}"/>
            </c:ext>
          </c:extLst>
        </c:ser>
        <c:dLbls>
          <c:showLegendKey val="0"/>
          <c:showVal val="0"/>
          <c:showCatName val="0"/>
          <c:showSerName val="0"/>
          <c:showPercent val="0"/>
          <c:showBubbleSize val="0"/>
          <c:showLeaderLines val="1"/>
        </c:dLbls>
      </c:pie3DChart>
      <c:spPr>
        <a:noFill/>
        <a:ln w="25400">
          <a:noFill/>
        </a:ln>
      </c:spPr>
    </c:plotArea>
    <c:plotVisOnly val="1"/>
    <c:dispBlanksAs val="gap"/>
    <c:showDLblsOverMax val="0"/>
  </c:chart>
  <c:spPr>
    <a:noFill/>
    <a:ln>
      <a:noFill/>
    </a:ln>
  </c:spPr>
  <c:txPr>
    <a:bodyPr/>
    <a:lstStyle/>
    <a:p>
      <a:pPr>
        <a:defRPr sz="1000" b="0" i="0" u="none" strike="noStrike" baseline="0">
          <a:solidFill>
            <a:srgbClr val="000000"/>
          </a:solidFill>
          <a:latin typeface="Calibri"/>
          <a:ea typeface="Calibri"/>
          <a:cs typeface="Calibri"/>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30"/>
      <c:rotY val="0"/>
      <c:rAngAx val="0"/>
      <c:perspective val="0"/>
    </c:view3D>
    <c:floor>
      <c:thickness val="0"/>
    </c:floor>
    <c:sideWall>
      <c:thickness val="0"/>
    </c:sideWall>
    <c:backWall>
      <c:thickness val="0"/>
    </c:backWall>
    <c:plotArea>
      <c:layout/>
      <c:pie3DChart>
        <c:varyColors val="1"/>
        <c:ser>
          <c:idx val="0"/>
          <c:order val="0"/>
          <c:dPt>
            <c:idx val="0"/>
            <c:bubble3D val="0"/>
            <c:spPr>
              <a:solidFill>
                <a:srgbClr val="00FF00"/>
              </a:solidFill>
            </c:spPr>
            <c:extLst>
              <c:ext xmlns:c16="http://schemas.microsoft.com/office/drawing/2014/chart" uri="{C3380CC4-5D6E-409C-BE32-E72D297353CC}">
                <c16:uniqueId val="{00000001-499D-43C8-95C2-FFE47533B934}"/>
              </c:ext>
            </c:extLst>
          </c:dPt>
          <c:dPt>
            <c:idx val="1"/>
            <c:bubble3D val="0"/>
            <c:spPr>
              <a:solidFill>
                <a:srgbClr val="FFFF00"/>
              </a:solidFill>
            </c:spPr>
            <c:extLst>
              <c:ext xmlns:c16="http://schemas.microsoft.com/office/drawing/2014/chart" uri="{C3380CC4-5D6E-409C-BE32-E72D297353CC}">
                <c16:uniqueId val="{00000003-499D-43C8-95C2-FFE47533B934}"/>
              </c:ext>
            </c:extLst>
          </c:dPt>
          <c:dPt>
            <c:idx val="2"/>
            <c:bubble3D val="0"/>
            <c:spPr>
              <a:solidFill>
                <a:srgbClr val="FF0000"/>
              </a:solidFill>
            </c:spPr>
            <c:extLst>
              <c:ext xmlns:c16="http://schemas.microsoft.com/office/drawing/2014/chart" uri="{C3380CC4-5D6E-409C-BE32-E72D297353CC}">
                <c16:uniqueId val="{00000005-499D-43C8-95C2-FFE47533B934}"/>
              </c:ext>
            </c:extLst>
          </c:dPt>
          <c:dLbls>
            <c:numFmt formatCode="0%" sourceLinked="0"/>
            <c:spPr>
              <a:noFill/>
              <a:ln w="25400">
                <a:noFill/>
              </a:ln>
            </c:spPr>
            <c:txPr>
              <a:bodyPr wrap="square" lIns="38100" tIns="19050" rIns="38100" bIns="19050" anchor="ctr">
                <a:spAutoFit/>
              </a:bodyPr>
              <a:lstStyle/>
              <a:p>
                <a:pPr>
                  <a:defRPr sz="800" b="0" i="0" u="none" strike="noStrike" baseline="0">
                    <a:solidFill>
                      <a:srgbClr val="000000"/>
                    </a:solidFill>
                    <a:latin typeface="Calibri"/>
                    <a:ea typeface="Calibri"/>
                    <a:cs typeface="Calibri"/>
                  </a:defRPr>
                </a:pPr>
                <a:endParaRPr lang="es-CO"/>
              </a:p>
            </c:txPr>
            <c:dLblPos val="bestFit"/>
            <c:showLegendKey val="0"/>
            <c:showVal val="1"/>
            <c:showCatName val="0"/>
            <c:showSerName val="0"/>
            <c:showPercent val="0"/>
            <c:showBubbleSize val="0"/>
            <c:showLeaderLines val="1"/>
            <c:extLst>
              <c:ext xmlns:c15="http://schemas.microsoft.com/office/drawing/2012/chart" uri="{CE6537A1-D6FC-4f65-9D91-7224C49458BB}">
                <c15:layout/>
              </c:ext>
            </c:extLst>
          </c:dLbls>
          <c:val>
            <c:numRef>
              <c:f>'TORTA EST. VIAS VIS'!$E$46:$G$46</c:f>
              <c:numCache>
                <c:formatCode>0%</c:formatCode>
                <c:ptCount val="3"/>
                <c:pt idx="0">
                  <c:v>0.91613083589600219</c:v>
                </c:pt>
                <c:pt idx="1">
                  <c:v>0</c:v>
                </c:pt>
                <c:pt idx="2">
                  <c:v>8.3869164103997751E-2</c:v>
                </c:pt>
              </c:numCache>
            </c:numRef>
          </c:val>
          <c:extLst>
            <c:ext xmlns:c16="http://schemas.microsoft.com/office/drawing/2014/chart" uri="{C3380CC4-5D6E-409C-BE32-E72D297353CC}">
              <c16:uniqueId val="{00000006-499D-43C8-95C2-FFE47533B934}"/>
            </c:ext>
          </c:extLst>
        </c:ser>
        <c:dLbls>
          <c:showLegendKey val="0"/>
          <c:showVal val="0"/>
          <c:showCatName val="0"/>
          <c:showSerName val="0"/>
          <c:showPercent val="0"/>
          <c:showBubbleSize val="0"/>
          <c:showLeaderLines val="1"/>
        </c:dLbls>
      </c:pie3DChart>
      <c:spPr>
        <a:noFill/>
        <a:ln w="25400">
          <a:noFill/>
        </a:ln>
      </c:spPr>
    </c:plotArea>
    <c:plotVisOnly val="1"/>
    <c:dispBlanksAs val="gap"/>
    <c:showDLblsOverMax val="0"/>
  </c:chart>
  <c:spPr>
    <a:noFill/>
    <a:ln>
      <a:noFill/>
    </a:ln>
  </c:spPr>
  <c:txPr>
    <a:bodyPr/>
    <a:lstStyle/>
    <a:p>
      <a:pPr>
        <a:defRPr sz="1000" b="0" i="0" u="none" strike="noStrike" baseline="0">
          <a:solidFill>
            <a:srgbClr val="000000"/>
          </a:solidFill>
          <a:latin typeface="Calibri"/>
          <a:ea typeface="Calibri"/>
          <a:cs typeface="Calibri"/>
        </a:defRPr>
      </a:pPr>
      <a:endParaRPr lang="es-CO"/>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30"/>
      <c:rotY val="0"/>
      <c:rAngAx val="0"/>
      <c:perspective val="0"/>
    </c:view3D>
    <c:floor>
      <c:thickness val="0"/>
    </c:floor>
    <c:sideWall>
      <c:thickness val="0"/>
    </c:sideWall>
    <c:backWall>
      <c:thickness val="0"/>
    </c:backWall>
    <c:plotArea>
      <c:layout/>
      <c:pie3DChart>
        <c:varyColors val="1"/>
        <c:ser>
          <c:idx val="0"/>
          <c:order val="0"/>
          <c:dPt>
            <c:idx val="0"/>
            <c:bubble3D val="0"/>
            <c:spPr>
              <a:solidFill>
                <a:srgbClr val="00FF00"/>
              </a:solidFill>
            </c:spPr>
            <c:extLst>
              <c:ext xmlns:c16="http://schemas.microsoft.com/office/drawing/2014/chart" uri="{C3380CC4-5D6E-409C-BE32-E72D297353CC}">
                <c16:uniqueId val="{00000001-B453-4BD4-B589-675C0390A224}"/>
              </c:ext>
            </c:extLst>
          </c:dPt>
          <c:dPt>
            <c:idx val="1"/>
            <c:bubble3D val="0"/>
            <c:spPr>
              <a:solidFill>
                <a:srgbClr val="FFFF00"/>
              </a:solidFill>
            </c:spPr>
            <c:extLst>
              <c:ext xmlns:c16="http://schemas.microsoft.com/office/drawing/2014/chart" uri="{C3380CC4-5D6E-409C-BE32-E72D297353CC}">
                <c16:uniqueId val="{00000003-B453-4BD4-B589-675C0390A224}"/>
              </c:ext>
            </c:extLst>
          </c:dPt>
          <c:dPt>
            <c:idx val="2"/>
            <c:bubble3D val="0"/>
            <c:spPr>
              <a:solidFill>
                <a:srgbClr val="FF0000"/>
              </a:solidFill>
            </c:spPr>
            <c:extLst>
              <c:ext xmlns:c16="http://schemas.microsoft.com/office/drawing/2014/chart" uri="{C3380CC4-5D6E-409C-BE32-E72D297353CC}">
                <c16:uniqueId val="{00000005-B453-4BD4-B589-675C0390A224}"/>
              </c:ext>
            </c:extLst>
          </c:dPt>
          <c:dLbls>
            <c:numFmt formatCode="0%" sourceLinked="0"/>
            <c:spPr>
              <a:noFill/>
              <a:ln w="25400">
                <a:noFill/>
              </a:ln>
            </c:spPr>
            <c:txPr>
              <a:bodyPr wrap="square" lIns="38100" tIns="19050" rIns="38100" bIns="19050" anchor="ctr">
                <a:spAutoFit/>
              </a:bodyPr>
              <a:lstStyle/>
              <a:p>
                <a:pPr>
                  <a:defRPr sz="800" b="0" i="0" u="none" strike="noStrike" baseline="0">
                    <a:solidFill>
                      <a:srgbClr val="000000"/>
                    </a:solidFill>
                    <a:latin typeface="Calibri"/>
                    <a:ea typeface="Calibri"/>
                    <a:cs typeface="Calibri"/>
                  </a:defRPr>
                </a:pPr>
                <a:endParaRPr lang="es-CO"/>
              </a:p>
            </c:txPr>
            <c:dLblPos val="bestFit"/>
            <c:showLegendKey val="0"/>
            <c:showVal val="1"/>
            <c:showCatName val="0"/>
            <c:showSerName val="0"/>
            <c:showPercent val="0"/>
            <c:showBubbleSize val="0"/>
            <c:showLeaderLines val="1"/>
            <c:extLst>
              <c:ext xmlns:c15="http://schemas.microsoft.com/office/drawing/2012/chart" uri="{CE6537A1-D6FC-4f65-9D91-7224C49458BB}">
                <c15:layout/>
              </c:ext>
            </c:extLst>
          </c:dLbls>
          <c:val>
            <c:numRef>
              <c:f>'TORTA EST. VIAS VIS'!$E$56:$G$56</c:f>
              <c:numCache>
                <c:formatCode>0%</c:formatCode>
                <c:ptCount val="3"/>
                <c:pt idx="0">
                  <c:v>0.74152334152334165</c:v>
                </c:pt>
                <c:pt idx="1">
                  <c:v>0.2166629439356712</c:v>
                </c:pt>
                <c:pt idx="2">
                  <c:v>6.4150100513736874E-2</c:v>
                </c:pt>
              </c:numCache>
            </c:numRef>
          </c:val>
          <c:extLst>
            <c:ext xmlns:c16="http://schemas.microsoft.com/office/drawing/2014/chart" uri="{C3380CC4-5D6E-409C-BE32-E72D297353CC}">
              <c16:uniqueId val="{00000006-B453-4BD4-B589-675C0390A224}"/>
            </c:ext>
          </c:extLst>
        </c:ser>
        <c:dLbls>
          <c:showLegendKey val="0"/>
          <c:showVal val="0"/>
          <c:showCatName val="0"/>
          <c:showSerName val="0"/>
          <c:showPercent val="0"/>
          <c:showBubbleSize val="0"/>
          <c:showLeaderLines val="1"/>
        </c:dLbls>
      </c:pie3DChart>
      <c:spPr>
        <a:noFill/>
        <a:ln w="25400">
          <a:noFill/>
        </a:ln>
      </c:spPr>
    </c:plotArea>
    <c:plotVisOnly val="1"/>
    <c:dispBlanksAs val="gap"/>
    <c:showDLblsOverMax val="0"/>
  </c:chart>
  <c:spPr>
    <a:noFill/>
    <a:ln>
      <a:noFill/>
    </a:ln>
  </c:spPr>
  <c:txPr>
    <a:bodyPr/>
    <a:lstStyle/>
    <a:p>
      <a:pPr>
        <a:defRPr sz="1000" b="0" i="0" u="none" strike="noStrike" baseline="0">
          <a:solidFill>
            <a:srgbClr val="000000"/>
          </a:solidFill>
          <a:latin typeface="Calibri"/>
          <a:ea typeface="Calibri"/>
          <a:cs typeface="Calibri"/>
        </a:defRPr>
      </a:pPr>
      <a:endParaRPr lang="es-CO"/>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30"/>
      <c:rotY val="0"/>
      <c:rAngAx val="0"/>
      <c:perspective val="0"/>
    </c:view3D>
    <c:floor>
      <c:thickness val="0"/>
    </c:floor>
    <c:sideWall>
      <c:thickness val="0"/>
    </c:sideWall>
    <c:backWall>
      <c:thickness val="0"/>
    </c:backWall>
    <c:plotArea>
      <c:layout/>
      <c:pie3DChart>
        <c:varyColors val="1"/>
        <c:ser>
          <c:idx val="0"/>
          <c:order val="0"/>
          <c:dPt>
            <c:idx val="0"/>
            <c:bubble3D val="0"/>
            <c:spPr>
              <a:solidFill>
                <a:srgbClr val="00FF00"/>
              </a:solidFill>
            </c:spPr>
            <c:extLst>
              <c:ext xmlns:c16="http://schemas.microsoft.com/office/drawing/2014/chart" uri="{C3380CC4-5D6E-409C-BE32-E72D297353CC}">
                <c16:uniqueId val="{00000001-F6C1-4020-8DD5-653304E9435F}"/>
              </c:ext>
            </c:extLst>
          </c:dPt>
          <c:dPt>
            <c:idx val="1"/>
            <c:bubble3D val="0"/>
            <c:spPr>
              <a:solidFill>
                <a:srgbClr val="FFFF00"/>
              </a:solidFill>
            </c:spPr>
            <c:extLst>
              <c:ext xmlns:c16="http://schemas.microsoft.com/office/drawing/2014/chart" uri="{C3380CC4-5D6E-409C-BE32-E72D297353CC}">
                <c16:uniqueId val="{00000003-F6C1-4020-8DD5-653304E9435F}"/>
              </c:ext>
            </c:extLst>
          </c:dPt>
          <c:dPt>
            <c:idx val="2"/>
            <c:bubble3D val="0"/>
            <c:spPr>
              <a:solidFill>
                <a:srgbClr val="FF0000"/>
              </a:solidFill>
            </c:spPr>
            <c:extLst>
              <c:ext xmlns:c16="http://schemas.microsoft.com/office/drawing/2014/chart" uri="{C3380CC4-5D6E-409C-BE32-E72D297353CC}">
                <c16:uniqueId val="{00000005-F6C1-4020-8DD5-653304E9435F}"/>
              </c:ext>
            </c:extLst>
          </c:dPt>
          <c:dLbls>
            <c:numFmt formatCode="0%" sourceLinked="0"/>
            <c:spPr>
              <a:noFill/>
              <a:ln w="25400">
                <a:noFill/>
              </a:ln>
            </c:spPr>
            <c:txPr>
              <a:bodyPr wrap="square" lIns="38100" tIns="19050" rIns="38100" bIns="19050" anchor="ctr">
                <a:spAutoFit/>
              </a:bodyPr>
              <a:lstStyle/>
              <a:p>
                <a:pPr>
                  <a:defRPr sz="800" b="0" i="0" u="none" strike="noStrike" baseline="0">
                    <a:solidFill>
                      <a:srgbClr val="000000"/>
                    </a:solidFill>
                    <a:latin typeface="Calibri"/>
                    <a:ea typeface="Calibri"/>
                    <a:cs typeface="Calibri"/>
                  </a:defRPr>
                </a:pPr>
                <a:endParaRPr lang="es-CO"/>
              </a:p>
            </c:txPr>
            <c:dLblPos val="bestFit"/>
            <c:showLegendKey val="0"/>
            <c:showVal val="1"/>
            <c:showCatName val="0"/>
            <c:showSerName val="0"/>
            <c:showPercent val="0"/>
            <c:showBubbleSize val="0"/>
            <c:showLeaderLines val="1"/>
            <c:extLst>
              <c:ext xmlns:c15="http://schemas.microsoft.com/office/drawing/2012/chart" uri="{CE6537A1-D6FC-4f65-9D91-7224C49458BB}">
                <c15:layout/>
              </c:ext>
            </c:extLst>
          </c:dLbls>
          <c:val>
            <c:numRef>
              <c:f>'TORTA EST. VIAS VIS'!$E$37:$G$37</c:f>
              <c:numCache>
                <c:formatCode>0%</c:formatCode>
                <c:ptCount val="3"/>
                <c:pt idx="0">
                  <c:v>0.75517241379310351</c:v>
                </c:pt>
                <c:pt idx="1">
                  <c:v>0.24</c:v>
                </c:pt>
                <c:pt idx="2">
                  <c:v>0</c:v>
                </c:pt>
              </c:numCache>
            </c:numRef>
          </c:val>
          <c:extLst>
            <c:ext xmlns:c16="http://schemas.microsoft.com/office/drawing/2014/chart" uri="{C3380CC4-5D6E-409C-BE32-E72D297353CC}">
              <c16:uniqueId val="{00000006-F6C1-4020-8DD5-653304E9435F}"/>
            </c:ext>
          </c:extLst>
        </c:ser>
        <c:dLbls>
          <c:showLegendKey val="0"/>
          <c:showVal val="0"/>
          <c:showCatName val="0"/>
          <c:showSerName val="0"/>
          <c:showPercent val="0"/>
          <c:showBubbleSize val="0"/>
          <c:showLeaderLines val="1"/>
        </c:dLbls>
      </c:pie3DChart>
      <c:spPr>
        <a:noFill/>
        <a:ln w="25400">
          <a:noFill/>
        </a:ln>
      </c:spPr>
    </c:plotArea>
    <c:plotVisOnly val="1"/>
    <c:dispBlanksAs val="gap"/>
    <c:showDLblsOverMax val="0"/>
  </c:chart>
  <c:spPr>
    <a:noFill/>
    <a:ln>
      <a:noFill/>
    </a:ln>
  </c:spPr>
  <c:txPr>
    <a:bodyPr/>
    <a:lstStyle/>
    <a:p>
      <a:pPr>
        <a:defRPr sz="1000" b="0" i="0" u="none" strike="noStrike" baseline="0">
          <a:solidFill>
            <a:srgbClr val="000000"/>
          </a:solidFill>
          <a:latin typeface="Calibri"/>
          <a:ea typeface="Calibri"/>
          <a:cs typeface="Calibri"/>
        </a:defRPr>
      </a:pPr>
      <a:endParaRPr lang="es-CO"/>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30"/>
      <c:rotY val="0"/>
      <c:rAngAx val="0"/>
      <c:perspective val="0"/>
    </c:view3D>
    <c:floor>
      <c:thickness val="0"/>
    </c:floor>
    <c:sideWall>
      <c:thickness val="0"/>
    </c:sideWall>
    <c:backWall>
      <c:thickness val="0"/>
    </c:backWall>
    <c:plotArea>
      <c:layout/>
      <c:pie3DChart>
        <c:varyColors val="1"/>
        <c:ser>
          <c:idx val="0"/>
          <c:order val="0"/>
          <c:dPt>
            <c:idx val="0"/>
            <c:bubble3D val="0"/>
            <c:spPr>
              <a:solidFill>
                <a:srgbClr val="00FF00"/>
              </a:solidFill>
            </c:spPr>
            <c:extLst>
              <c:ext xmlns:c16="http://schemas.microsoft.com/office/drawing/2014/chart" uri="{C3380CC4-5D6E-409C-BE32-E72D297353CC}">
                <c16:uniqueId val="{00000001-7DC3-45F6-B823-45923413A636}"/>
              </c:ext>
            </c:extLst>
          </c:dPt>
          <c:dPt>
            <c:idx val="1"/>
            <c:bubble3D val="0"/>
            <c:extLst>
              <c:ext xmlns:c16="http://schemas.microsoft.com/office/drawing/2014/chart" uri="{C3380CC4-5D6E-409C-BE32-E72D297353CC}">
                <c16:uniqueId val="{00000002-7DC3-45F6-B823-45923413A636}"/>
              </c:ext>
            </c:extLst>
          </c:dPt>
          <c:dPt>
            <c:idx val="2"/>
            <c:bubble3D val="0"/>
            <c:extLst>
              <c:ext xmlns:c16="http://schemas.microsoft.com/office/drawing/2014/chart" uri="{C3380CC4-5D6E-409C-BE32-E72D297353CC}">
                <c16:uniqueId val="{00000003-7DC3-45F6-B823-45923413A636}"/>
              </c:ext>
            </c:extLst>
          </c:dPt>
          <c:dLbls>
            <c:numFmt formatCode="0%" sourceLinked="0"/>
            <c:spPr>
              <a:noFill/>
              <a:ln w="25400">
                <a:noFill/>
              </a:ln>
            </c:spPr>
            <c:txPr>
              <a:bodyPr wrap="square" lIns="38100" tIns="19050" rIns="38100" bIns="19050" anchor="ctr">
                <a:spAutoFit/>
              </a:bodyPr>
              <a:lstStyle/>
              <a:p>
                <a:pPr>
                  <a:defRPr sz="800" b="0" i="0" u="none" strike="noStrike" baseline="0">
                    <a:solidFill>
                      <a:srgbClr val="000000"/>
                    </a:solidFill>
                    <a:latin typeface="Calibri"/>
                    <a:ea typeface="Calibri"/>
                    <a:cs typeface="Calibri"/>
                  </a:defRPr>
                </a:pPr>
                <a:endParaRPr lang="es-CO"/>
              </a:p>
            </c:txPr>
            <c:dLblPos val="bestFit"/>
            <c:showLegendKey val="0"/>
            <c:showVal val="1"/>
            <c:showCatName val="0"/>
            <c:showSerName val="0"/>
            <c:showPercent val="0"/>
            <c:showBubbleSize val="0"/>
            <c:showLeaderLines val="1"/>
            <c:extLst>
              <c:ext xmlns:c15="http://schemas.microsoft.com/office/drawing/2012/chart" uri="{CE6537A1-D6FC-4f65-9D91-7224C49458BB}">
                <c15:layout/>
              </c:ext>
            </c:extLst>
          </c:dLbls>
          <c:val>
            <c:numRef>
              <c:f>'TORTA EST. VIAS VIS'!$E$47:$G$47</c:f>
              <c:numCache>
                <c:formatCode>0%</c:formatCode>
                <c:ptCount val="3"/>
                <c:pt idx="0">
                  <c:v>0.92</c:v>
                </c:pt>
                <c:pt idx="1">
                  <c:v>0</c:v>
                </c:pt>
                <c:pt idx="2">
                  <c:v>0.08</c:v>
                </c:pt>
              </c:numCache>
            </c:numRef>
          </c:val>
          <c:extLst>
            <c:ext xmlns:c16="http://schemas.microsoft.com/office/drawing/2014/chart" uri="{C3380CC4-5D6E-409C-BE32-E72D297353CC}">
              <c16:uniqueId val="{00000004-7DC3-45F6-B823-45923413A636}"/>
            </c:ext>
          </c:extLst>
        </c:ser>
        <c:dLbls>
          <c:showLegendKey val="0"/>
          <c:showVal val="0"/>
          <c:showCatName val="0"/>
          <c:showSerName val="0"/>
          <c:showPercent val="0"/>
          <c:showBubbleSize val="0"/>
          <c:showLeaderLines val="1"/>
        </c:dLbls>
      </c:pie3DChart>
      <c:spPr>
        <a:noFill/>
        <a:ln w="25400">
          <a:noFill/>
        </a:ln>
      </c:spPr>
    </c:plotArea>
    <c:plotVisOnly val="1"/>
    <c:dispBlanksAs val="gap"/>
    <c:showDLblsOverMax val="0"/>
  </c:chart>
  <c:spPr>
    <a:noFill/>
    <a:ln>
      <a:noFill/>
    </a:ln>
  </c:spPr>
  <c:txPr>
    <a:bodyPr/>
    <a:lstStyle/>
    <a:p>
      <a:pPr>
        <a:defRPr sz="1000" b="0" i="0" u="none" strike="noStrike" baseline="0">
          <a:solidFill>
            <a:srgbClr val="000000"/>
          </a:solidFill>
          <a:latin typeface="Calibri"/>
          <a:ea typeface="Calibri"/>
          <a:cs typeface="Calibri"/>
        </a:defRPr>
      </a:pPr>
      <a:endParaRPr lang="es-CO"/>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30"/>
      <c:rotY val="0"/>
      <c:rAngAx val="0"/>
      <c:perspective val="0"/>
    </c:view3D>
    <c:floor>
      <c:thickness val="0"/>
    </c:floor>
    <c:sideWall>
      <c:thickness val="0"/>
    </c:sideWall>
    <c:backWall>
      <c:thickness val="0"/>
    </c:backWall>
    <c:plotArea>
      <c:layout/>
      <c:pie3DChart>
        <c:varyColors val="1"/>
        <c:ser>
          <c:idx val="0"/>
          <c:order val="0"/>
          <c:dPt>
            <c:idx val="0"/>
            <c:bubble3D val="0"/>
            <c:spPr>
              <a:solidFill>
                <a:srgbClr val="00FF00"/>
              </a:solidFill>
            </c:spPr>
            <c:extLst>
              <c:ext xmlns:c16="http://schemas.microsoft.com/office/drawing/2014/chart" uri="{C3380CC4-5D6E-409C-BE32-E72D297353CC}">
                <c16:uniqueId val="{00000001-4514-427B-A878-1534E3F1E8EC}"/>
              </c:ext>
            </c:extLst>
          </c:dPt>
          <c:dPt>
            <c:idx val="1"/>
            <c:bubble3D val="0"/>
            <c:spPr>
              <a:solidFill>
                <a:srgbClr val="FFFF00"/>
              </a:solidFill>
            </c:spPr>
            <c:extLst>
              <c:ext xmlns:c16="http://schemas.microsoft.com/office/drawing/2014/chart" uri="{C3380CC4-5D6E-409C-BE32-E72D297353CC}">
                <c16:uniqueId val="{00000003-4514-427B-A878-1534E3F1E8EC}"/>
              </c:ext>
            </c:extLst>
          </c:dPt>
          <c:dPt>
            <c:idx val="2"/>
            <c:bubble3D val="0"/>
            <c:spPr>
              <a:solidFill>
                <a:srgbClr val="FF0000"/>
              </a:solidFill>
            </c:spPr>
            <c:extLst>
              <c:ext xmlns:c16="http://schemas.microsoft.com/office/drawing/2014/chart" uri="{C3380CC4-5D6E-409C-BE32-E72D297353CC}">
                <c16:uniqueId val="{00000005-4514-427B-A878-1534E3F1E8EC}"/>
              </c:ext>
            </c:extLst>
          </c:dPt>
          <c:dLbls>
            <c:numFmt formatCode="0%" sourceLinked="0"/>
            <c:spPr>
              <a:noFill/>
              <a:ln w="25400">
                <a:noFill/>
              </a:ln>
            </c:spPr>
            <c:txPr>
              <a:bodyPr wrap="square" lIns="38100" tIns="19050" rIns="38100" bIns="19050" anchor="ctr">
                <a:spAutoFit/>
              </a:bodyPr>
              <a:lstStyle/>
              <a:p>
                <a:pPr>
                  <a:defRPr sz="800" b="0" i="0" u="none" strike="noStrike" baseline="0">
                    <a:solidFill>
                      <a:srgbClr val="000000"/>
                    </a:solidFill>
                    <a:latin typeface="Calibri"/>
                    <a:ea typeface="Calibri"/>
                    <a:cs typeface="Calibri"/>
                  </a:defRPr>
                </a:pPr>
                <a:endParaRPr lang="es-CO"/>
              </a:p>
            </c:txPr>
            <c:dLblPos val="bestFit"/>
            <c:showLegendKey val="0"/>
            <c:showVal val="1"/>
            <c:showCatName val="0"/>
            <c:showSerName val="0"/>
            <c:showPercent val="0"/>
            <c:showBubbleSize val="0"/>
            <c:showLeaderLines val="1"/>
            <c:extLst>
              <c:ext xmlns:c15="http://schemas.microsoft.com/office/drawing/2012/chart" uri="{CE6537A1-D6FC-4f65-9D91-7224C49458BB}">
                <c15:layout/>
              </c:ext>
            </c:extLst>
          </c:dLbls>
          <c:val>
            <c:numRef>
              <c:f>'TORTA EST. VIAS VIS'!$E$57:$G$57</c:f>
              <c:numCache>
                <c:formatCode>0%</c:formatCode>
                <c:ptCount val="3"/>
                <c:pt idx="0">
                  <c:v>0.74</c:v>
                </c:pt>
                <c:pt idx="1">
                  <c:v>0.22</c:v>
                </c:pt>
                <c:pt idx="2">
                  <c:v>0.06</c:v>
                </c:pt>
              </c:numCache>
            </c:numRef>
          </c:val>
          <c:extLst>
            <c:ext xmlns:c16="http://schemas.microsoft.com/office/drawing/2014/chart" uri="{C3380CC4-5D6E-409C-BE32-E72D297353CC}">
              <c16:uniqueId val="{00000006-4514-427B-A878-1534E3F1E8EC}"/>
            </c:ext>
          </c:extLst>
        </c:ser>
        <c:dLbls>
          <c:showLegendKey val="0"/>
          <c:showVal val="0"/>
          <c:showCatName val="0"/>
          <c:showSerName val="0"/>
          <c:showPercent val="0"/>
          <c:showBubbleSize val="0"/>
          <c:showLeaderLines val="1"/>
        </c:dLbls>
      </c:pie3DChart>
      <c:spPr>
        <a:noFill/>
        <a:ln w="25400">
          <a:noFill/>
        </a:ln>
      </c:spPr>
    </c:plotArea>
    <c:plotVisOnly val="1"/>
    <c:dispBlanksAs val="gap"/>
    <c:showDLblsOverMax val="0"/>
  </c:chart>
  <c:spPr>
    <a:noFill/>
    <a:ln>
      <a:noFill/>
    </a:ln>
  </c:spPr>
  <c:txPr>
    <a:bodyPr/>
    <a:lstStyle/>
    <a:p>
      <a:pPr>
        <a:defRPr sz="1000" b="0" i="0" u="none" strike="noStrike" baseline="0">
          <a:solidFill>
            <a:srgbClr val="000000"/>
          </a:solidFill>
          <a:latin typeface="Calibri"/>
          <a:ea typeface="Calibri"/>
          <a:cs typeface="Calibri"/>
        </a:defRPr>
      </a:pPr>
      <a:endParaRPr lang="es-CO"/>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0"/>
      <c:rAngAx val="0"/>
      <c:perspective val="0"/>
    </c:view3D>
    <c:floor>
      <c:thickness val="0"/>
    </c:floor>
    <c:sideWall>
      <c:thickness val="0"/>
    </c:sideWall>
    <c:backWall>
      <c:thickness val="0"/>
    </c:backWall>
    <c:plotArea>
      <c:layout>
        <c:manualLayout>
          <c:layoutTarget val="inner"/>
          <c:xMode val="edge"/>
          <c:yMode val="edge"/>
          <c:x val="0.44174757281553401"/>
          <c:y val="0"/>
          <c:w val="7.281553398058252E-2"/>
          <c:h val="0"/>
        </c:manualLayout>
      </c:layout>
      <c:pie3DChart>
        <c:varyColors val="1"/>
        <c:ser>
          <c:idx val="0"/>
          <c:order val="0"/>
          <c:spPr>
            <a:solidFill>
              <a:srgbClr val="8080FF"/>
            </a:solidFill>
            <a:ln w="12700">
              <a:solidFill>
                <a:srgbClr val="000000"/>
              </a:solidFill>
              <a:prstDash val="solid"/>
            </a:ln>
          </c:spPr>
          <c:dPt>
            <c:idx val="0"/>
            <c:bubble3D val="0"/>
            <c:extLst>
              <c:ext xmlns:c16="http://schemas.microsoft.com/office/drawing/2014/chart" uri="{C3380CC4-5D6E-409C-BE32-E72D297353CC}">
                <c16:uniqueId val="{00000000-DA57-4AE7-B5AE-AD5844983325}"/>
              </c:ext>
            </c:extLst>
          </c:dPt>
          <c:dLbls>
            <c:dLbl>
              <c:idx val="0"/>
              <c:spPr>
                <a:noFill/>
                <a:ln w="25400">
                  <a:noFill/>
                </a:ln>
              </c:spPr>
              <c:txPr>
                <a:bodyPr/>
                <a:lstStyle/>
                <a:p>
                  <a:pPr algn="ctr" rtl="1">
                    <a:defRPr sz="800" b="0" i="0" u="none" strike="noStrike" baseline="0">
                      <a:solidFill>
                        <a:srgbClr val="000000"/>
                      </a:solidFill>
                      <a:latin typeface="Arial"/>
                      <a:ea typeface="Arial"/>
                      <a:cs typeface="Arial"/>
                    </a:defRPr>
                  </a:pPr>
                  <a:endParaRPr lang="es-CO"/>
                </a:p>
              </c:txPr>
              <c:dLblPos val="bestFi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A57-4AE7-B5AE-AD5844983325}"/>
                </c:ext>
              </c:extLst>
            </c:dLbl>
            <c:dLbl>
              <c:idx val="1"/>
              <c:delete val="1"/>
              <c:extLst>
                <c:ext xmlns:c15="http://schemas.microsoft.com/office/drawing/2012/chart" uri="{CE6537A1-D6FC-4f65-9D91-7224C49458BB}"/>
                <c:ext xmlns:c16="http://schemas.microsoft.com/office/drawing/2014/chart" uri="{C3380CC4-5D6E-409C-BE32-E72D297353CC}">
                  <c16:uniqueId val="{00000001-DA57-4AE7-B5AE-AD5844983325}"/>
                </c:ext>
              </c:extLst>
            </c:dLbl>
            <c:spPr>
              <a:noFill/>
              <a:ln w="25400">
                <a:noFill/>
              </a:ln>
            </c:spPr>
            <c:txPr>
              <a:bodyPr wrap="square" lIns="38100" tIns="19050" rIns="38100" bIns="19050" anchor="ctr">
                <a:spAutoFit/>
              </a:bodyPr>
              <a:lstStyle/>
              <a:p>
                <a:pPr algn="ctr" rtl="1">
                  <a:defRPr sz="800" b="0" i="0" u="none" strike="noStrike" baseline="0">
                    <a:solidFill>
                      <a:srgbClr val="000000"/>
                    </a:solidFill>
                    <a:latin typeface="Arial"/>
                    <a:ea typeface="Arial"/>
                    <a:cs typeface="Arial"/>
                  </a:defRPr>
                </a:pPr>
                <a:endParaRPr lang="es-CO"/>
              </a:p>
            </c:txPr>
            <c:showLegendKey val="0"/>
            <c:showVal val="1"/>
            <c:showCatName val="0"/>
            <c:showSerName val="0"/>
            <c:showPercent val="0"/>
            <c:showBubbleSize val="0"/>
            <c:showLeaderLines val="1"/>
            <c:extLst>
              <c:ext xmlns:c15="http://schemas.microsoft.com/office/drawing/2012/chart" uri="{CE6537A1-D6FC-4f65-9D91-7224C49458BB}"/>
            </c:extLst>
          </c:dLbls>
          <c:val>
            <c:numLit>
              <c:formatCode>General</c:formatCode>
              <c:ptCount val="1"/>
              <c:pt idx="0">
                <c:v>0</c:v>
              </c:pt>
            </c:numLit>
          </c:val>
          <c:extLst>
            <c:ext xmlns:c16="http://schemas.microsoft.com/office/drawing/2014/chart" uri="{C3380CC4-5D6E-409C-BE32-E72D297353CC}">
              <c16:uniqueId val="{00000002-DA57-4AE7-B5AE-AD5844983325}"/>
            </c:ext>
          </c:extLst>
        </c:ser>
        <c:dLbls>
          <c:showLegendKey val="0"/>
          <c:showVal val="0"/>
          <c:showCatName val="0"/>
          <c:showSerName val="0"/>
          <c:showPercent val="0"/>
          <c:showBubbleSize val="0"/>
          <c:showLeaderLines val="1"/>
        </c:dLbls>
      </c:pie3DChart>
      <c:spPr>
        <a:noFill/>
        <a:ln w="25400">
          <a:noFill/>
        </a:ln>
      </c:spPr>
    </c:plotArea>
    <c:plotVisOnly val="1"/>
    <c:dispBlanksAs val="zero"/>
    <c:showDLblsOverMax val="0"/>
  </c:chart>
  <c:spPr>
    <a:solidFill>
      <a:srgbClr val="FFFFFF"/>
    </a:solidFill>
    <a:ln w="9525">
      <a:noFill/>
    </a:ln>
  </c:spPr>
  <c:txPr>
    <a:bodyPr/>
    <a:lstStyle/>
    <a:p>
      <a:pPr>
        <a:defRPr sz="375" b="0" i="0" u="none" strike="noStrike" baseline="0">
          <a:solidFill>
            <a:srgbClr val="000000"/>
          </a:solidFill>
          <a:latin typeface="Arial"/>
          <a:ea typeface="Arial"/>
          <a:cs typeface="Arial"/>
        </a:defRPr>
      </a:pPr>
      <a:endParaRPr lang="es-CO"/>
    </a:p>
  </c:txPr>
  <c:printSettings>
    <c:headerFooter alignWithMargins="0"/>
    <c:pageMargins b="1" l="0.75000000000000111" r="0.75000000000000111" t="1" header="0" footer="0"/>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0"/>
      <c:rAngAx val="0"/>
      <c:perspective val="0"/>
    </c:view3D>
    <c:floor>
      <c:thickness val="0"/>
    </c:floor>
    <c:sideWall>
      <c:thickness val="0"/>
    </c:sideWall>
    <c:backWall>
      <c:thickness val="0"/>
    </c:backWall>
    <c:plotArea>
      <c:layout>
        <c:manualLayout>
          <c:layoutTarget val="inner"/>
          <c:xMode val="edge"/>
          <c:yMode val="edge"/>
          <c:x val="0.44651162790697674"/>
          <c:y val="0"/>
          <c:w val="6.9767441860465115E-2"/>
          <c:h val="0"/>
        </c:manualLayout>
      </c:layout>
      <c:pie3DChart>
        <c:varyColors val="1"/>
        <c:ser>
          <c:idx val="0"/>
          <c:order val="0"/>
          <c:spPr>
            <a:solidFill>
              <a:srgbClr val="8080FF"/>
            </a:solidFill>
            <a:ln w="12700">
              <a:solidFill>
                <a:srgbClr val="000000"/>
              </a:solidFill>
              <a:prstDash val="solid"/>
            </a:ln>
          </c:spPr>
          <c:dPt>
            <c:idx val="0"/>
            <c:bubble3D val="0"/>
            <c:spPr>
              <a:solidFill>
                <a:srgbClr val="00FF00"/>
              </a:solidFill>
              <a:ln w="12700">
                <a:solidFill>
                  <a:srgbClr val="000000"/>
                </a:solidFill>
                <a:prstDash val="solid"/>
              </a:ln>
            </c:spPr>
            <c:extLst>
              <c:ext xmlns:c16="http://schemas.microsoft.com/office/drawing/2014/chart" uri="{C3380CC4-5D6E-409C-BE32-E72D297353CC}">
                <c16:uniqueId val="{00000001-63AA-48E2-A55F-053FC444A588}"/>
              </c:ext>
            </c:extLst>
          </c:dPt>
          <c:dPt>
            <c:idx val="1"/>
            <c:bubble3D val="0"/>
            <c:spPr>
              <a:solidFill>
                <a:srgbClr val="FFFF00"/>
              </a:solidFill>
              <a:ln w="12700">
                <a:solidFill>
                  <a:srgbClr val="000000"/>
                </a:solidFill>
                <a:prstDash val="solid"/>
              </a:ln>
            </c:spPr>
            <c:extLst>
              <c:ext xmlns:c16="http://schemas.microsoft.com/office/drawing/2014/chart" uri="{C3380CC4-5D6E-409C-BE32-E72D297353CC}">
                <c16:uniqueId val="{00000003-63AA-48E2-A55F-053FC444A588}"/>
              </c:ext>
            </c:extLst>
          </c:dPt>
          <c:dPt>
            <c:idx val="2"/>
            <c:bubble3D val="0"/>
            <c:spPr>
              <a:solidFill>
                <a:srgbClr val="FF0000"/>
              </a:solidFill>
              <a:ln w="12700">
                <a:solidFill>
                  <a:srgbClr val="000000"/>
                </a:solidFill>
                <a:prstDash val="solid"/>
              </a:ln>
            </c:spPr>
            <c:extLst>
              <c:ext xmlns:c16="http://schemas.microsoft.com/office/drawing/2014/chart" uri="{C3380CC4-5D6E-409C-BE32-E72D297353CC}">
                <c16:uniqueId val="{00000005-63AA-48E2-A55F-053FC444A588}"/>
              </c:ext>
            </c:extLst>
          </c:dPt>
          <c:dLbls>
            <c:dLbl>
              <c:idx val="0"/>
              <c:tx>
                <c:rich>
                  <a:bodyPr/>
                  <a:lstStyle/>
                  <a:p>
                    <a:pPr algn="r">
                      <a:defRPr sz="500" b="0" i="0" u="none" strike="noStrike" baseline="0">
                        <a:solidFill>
                          <a:srgbClr val="000000"/>
                        </a:solidFill>
                        <a:latin typeface="Arial"/>
                        <a:ea typeface="Arial"/>
                        <a:cs typeface="Arial"/>
                      </a:defRPr>
                    </a:pPr>
                    <a:r>
                      <a:rPr lang="es-CO"/>
                      <a:t>75,88%</a:t>
                    </a:r>
                  </a:p>
                </c:rich>
              </c:tx>
              <c:spPr>
                <a:noFill/>
                <a:ln w="25400">
                  <a:noFill/>
                </a:ln>
              </c:spPr>
              <c:dLblPos val="bestFit"/>
              <c:showLegendKey val="0"/>
              <c:showVal val="0"/>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63AA-48E2-A55F-053FC444A588}"/>
                </c:ext>
              </c:extLst>
            </c:dLbl>
            <c:dLbl>
              <c:idx val="1"/>
              <c:tx>
                <c:rich>
                  <a:bodyPr/>
                  <a:lstStyle/>
                  <a:p>
                    <a:pPr algn="r">
                      <a:defRPr sz="500" b="0" i="0" u="none" strike="noStrike" baseline="0">
                        <a:solidFill>
                          <a:srgbClr val="000000"/>
                        </a:solidFill>
                        <a:latin typeface="Arial"/>
                        <a:ea typeface="Arial"/>
                        <a:cs typeface="Arial"/>
                      </a:defRPr>
                    </a:pPr>
                    <a:r>
                      <a:rPr lang="es-CO"/>
                      <a:t>24,12%</a:t>
                    </a:r>
                  </a:p>
                </c:rich>
              </c:tx>
              <c:spPr>
                <a:noFill/>
                <a:ln w="25400">
                  <a:noFill/>
                </a:ln>
              </c:spPr>
              <c:dLblPos val="bestFit"/>
              <c:showLegendKey val="0"/>
              <c:showVal val="0"/>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63AA-48E2-A55F-053FC444A588}"/>
                </c:ext>
              </c:extLst>
            </c:dLbl>
            <c:dLbl>
              <c:idx val="2"/>
              <c:delete val="1"/>
              <c:extLst>
                <c:ext xmlns:c15="http://schemas.microsoft.com/office/drawing/2012/chart" uri="{CE6537A1-D6FC-4f65-9D91-7224C49458BB}"/>
                <c:ext xmlns:c16="http://schemas.microsoft.com/office/drawing/2014/chart" uri="{C3380CC4-5D6E-409C-BE32-E72D297353CC}">
                  <c16:uniqueId val="{00000005-63AA-48E2-A55F-053FC444A588}"/>
                </c:ext>
              </c:extLst>
            </c:dLbl>
            <c:spPr>
              <a:noFill/>
              <a:ln w="25400">
                <a:noFill/>
              </a:ln>
            </c:spPr>
            <c:txPr>
              <a:bodyPr wrap="square" lIns="38100" tIns="19050" rIns="38100" bIns="19050" anchor="ctr">
                <a:spAutoFit/>
              </a:bodyPr>
              <a:lstStyle/>
              <a:p>
                <a:pPr algn="r" rtl="1">
                  <a:defRPr sz="500" b="0" i="0" u="none" strike="noStrike" baseline="0">
                    <a:solidFill>
                      <a:srgbClr val="000000"/>
                    </a:solidFill>
                    <a:latin typeface="Arial"/>
                    <a:ea typeface="Arial"/>
                    <a:cs typeface="Arial"/>
                  </a:defRPr>
                </a:pPr>
                <a:endParaRPr lang="es-CO"/>
              </a:p>
            </c:txPr>
            <c:showLegendKey val="0"/>
            <c:showVal val="1"/>
            <c:showCatName val="0"/>
            <c:showSerName val="0"/>
            <c:showPercent val="0"/>
            <c:showBubbleSize val="0"/>
            <c:showLeaderLines val="1"/>
            <c:extLst>
              <c:ext xmlns:c15="http://schemas.microsoft.com/office/drawing/2012/chart" uri="{CE6537A1-D6FC-4f65-9D91-7224C49458BB}"/>
            </c:extLst>
          </c:dLbls>
          <c:val>
            <c:numRef>
              <c:f>'[9]G2. TORTA EST. VIAS '!$G$51:$I$51</c:f>
              <c:numCache>
                <c:formatCode>General</c:formatCode>
                <c:ptCount val="3"/>
                <c:pt idx="0">
                  <c:v>0.75880000000000003</c:v>
                </c:pt>
                <c:pt idx="1">
                  <c:v>0.2412</c:v>
                </c:pt>
                <c:pt idx="2">
                  <c:v>0</c:v>
                </c:pt>
              </c:numCache>
            </c:numRef>
          </c:val>
          <c:extLst>
            <c:ext xmlns:c16="http://schemas.microsoft.com/office/drawing/2014/chart" uri="{C3380CC4-5D6E-409C-BE32-E72D297353CC}">
              <c16:uniqueId val="{00000006-63AA-48E2-A55F-053FC444A588}"/>
            </c:ext>
          </c:extLst>
        </c:ser>
        <c:dLbls>
          <c:showLegendKey val="0"/>
          <c:showVal val="0"/>
          <c:showCatName val="0"/>
          <c:showSerName val="0"/>
          <c:showPercent val="0"/>
          <c:showBubbleSize val="0"/>
          <c:showLeaderLines val="1"/>
        </c:dLbls>
      </c:pie3DChart>
      <c:spPr>
        <a:noFill/>
        <a:ln w="25400">
          <a:noFill/>
        </a:ln>
      </c:spPr>
    </c:plotArea>
    <c:plotVisOnly val="1"/>
    <c:dispBlanksAs val="zero"/>
    <c:showDLblsOverMax val="0"/>
  </c:chart>
  <c:spPr>
    <a:solidFill>
      <a:srgbClr val="FFFFFF"/>
    </a:solidFill>
    <a:ln w="9525">
      <a:noFill/>
    </a:ln>
  </c:spPr>
  <c:txPr>
    <a:bodyPr/>
    <a:lstStyle/>
    <a:p>
      <a:pPr>
        <a:defRPr sz="350" b="0" i="0" u="none" strike="noStrike" baseline="0">
          <a:solidFill>
            <a:srgbClr val="000000"/>
          </a:solidFill>
          <a:latin typeface="Arial"/>
          <a:ea typeface="Arial"/>
          <a:cs typeface="Arial"/>
        </a:defRPr>
      </a:pPr>
      <a:endParaRPr lang="es-CO"/>
    </a:p>
  </c:txPr>
  <c:printSettings>
    <c:headerFooter alignWithMargins="0"/>
    <c:pageMargins b="1" l="0.75000000000000111" r="0.75000000000000111" t="1" header="0" footer="0"/>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0"/>
      <c:rAngAx val="0"/>
      <c:perspective val="0"/>
    </c:view3D>
    <c:floor>
      <c:thickness val="0"/>
    </c:floor>
    <c:sideWall>
      <c:thickness val="0"/>
    </c:sideWall>
    <c:backWall>
      <c:thickness val="0"/>
    </c:backWall>
    <c:plotArea>
      <c:layout>
        <c:manualLayout>
          <c:layoutTarget val="inner"/>
          <c:xMode val="edge"/>
          <c:yMode val="edge"/>
          <c:x val="0.44651162790697674"/>
          <c:y val="0"/>
          <c:w val="6.9767441860465115E-2"/>
          <c:h val="0"/>
        </c:manualLayout>
      </c:layout>
      <c:pie3DChart>
        <c:varyColors val="1"/>
        <c:ser>
          <c:idx val="0"/>
          <c:order val="0"/>
          <c:spPr>
            <a:solidFill>
              <a:srgbClr val="8080FF"/>
            </a:solidFill>
            <a:ln w="12700">
              <a:solidFill>
                <a:srgbClr val="000000"/>
              </a:solidFill>
              <a:prstDash val="solid"/>
            </a:ln>
          </c:spPr>
          <c:dPt>
            <c:idx val="0"/>
            <c:bubble3D val="0"/>
            <c:extLst>
              <c:ext xmlns:c16="http://schemas.microsoft.com/office/drawing/2014/chart" uri="{C3380CC4-5D6E-409C-BE32-E72D297353CC}">
                <c16:uniqueId val="{00000000-EAA4-43C6-A67C-B5DB409D872E}"/>
              </c:ext>
            </c:extLst>
          </c:dPt>
          <c:dLbls>
            <c:dLbl>
              <c:idx val="0"/>
              <c:spPr>
                <a:noFill/>
                <a:ln w="25400">
                  <a:noFill/>
                </a:ln>
              </c:spPr>
              <c:txPr>
                <a:bodyPr/>
                <a:lstStyle/>
                <a:p>
                  <a:pPr algn="ctr" rtl="1">
                    <a:defRPr sz="525" b="0" i="0" u="none" strike="noStrike" baseline="0">
                      <a:solidFill>
                        <a:srgbClr val="000000"/>
                      </a:solidFill>
                      <a:latin typeface="Arial"/>
                      <a:ea typeface="Arial"/>
                      <a:cs typeface="Arial"/>
                    </a:defRPr>
                  </a:pPr>
                  <a:endParaRPr lang="es-CO"/>
                </a:p>
              </c:txPr>
              <c:dLblPos val="bestFi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EAA4-43C6-A67C-B5DB409D872E}"/>
                </c:ext>
              </c:extLst>
            </c:dLbl>
            <c:dLbl>
              <c:idx val="1"/>
              <c:delete val="1"/>
              <c:extLst>
                <c:ext xmlns:c15="http://schemas.microsoft.com/office/drawing/2012/chart" uri="{CE6537A1-D6FC-4f65-9D91-7224C49458BB}"/>
                <c:ext xmlns:c16="http://schemas.microsoft.com/office/drawing/2014/chart" uri="{C3380CC4-5D6E-409C-BE32-E72D297353CC}">
                  <c16:uniqueId val="{00000001-EAA4-43C6-A67C-B5DB409D872E}"/>
                </c:ext>
              </c:extLst>
            </c:dLbl>
            <c:spPr>
              <a:noFill/>
              <a:ln w="25400">
                <a:noFill/>
              </a:ln>
            </c:spPr>
            <c:txPr>
              <a:bodyPr wrap="square" lIns="38100" tIns="19050" rIns="38100" bIns="19050" anchor="ctr">
                <a:spAutoFit/>
              </a:bodyPr>
              <a:lstStyle/>
              <a:p>
                <a:pPr algn="ctr" rtl="1">
                  <a:defRPr sz="525" b="0" i="0" u="none" strike="noStrike" baseline="0">
                    <a:solidFill>
                      <a:srgbClr val="000000"/>
                    </a:solidFill>
                    <a:latin typeface="Arial"/>
                    <a:ea typeface="Arial"/>
                    <a:cs typeface="Arial"/>
                  </a:defRPr>
                </a:pPr>
                <a:endParaRPr lang="es-CO"/>
              </a:p>
            </c:txPr>
            <c:showLegendKey val="0"/>
            <c:showVal val="1"/>
            <c:showCatName val="0"/>
            <c:showSerName val="0"/>
            <c:showPercent val="0"/>
            <c:showBubbleSize val="0"/>
            <c:showLeaderLines val="1"/>
            <c:extLst>
              <c:ext xmlns:c15="http://schemas.microsoft.com/office/drawing/2012/chart" uri="{CE6537A1-D6FC-4f65-9D91-7224C49458BB}"/>
            </c:extLst>
          </c:dLbls>
          <c:val>
            <c:numLit>
              <c:formatCode>General</c:formatCode>
              <c:ptCount val="1"/>
              <c:pt idx="0">
                <c:v>0</c:v>
              </c:pt>
            </c:numLit>
          </c:val>
          <c:extLst>
            <c:ext xmlns:c16="http://schemas.microsoft.com/office/drawing/2014/chart" uri="{C3380CC4-5D6E-409C-BE32-E72D297353CC}">
              <c16:uniqueId val="{00000002-EAA4-43C6-A67C-B5DB409D872E}"/>
            </c:ext>
          </c:extLst>
        </c:ser>
        <c:dLbls>
          <c:showLegendKey val="0"/>
          <c:showVal val="0"/>
          <c:showCatName val="0"/>
          <c:showSerName val="0"/>
          <c:showPercent val="0"/>
          <c:showBubbleSize val="0"/>
          <c:showLeaderLines val="1"/>
        </c:dLbls>
      </c:pie3DChart>
      <c:spPr>
        <a:noFill/>
        <a:ln w="25400">
          <a:noFill/>
        </a:ln>
      </c:spPr>
    </c:plotArea>
    <c:plotVisOnly val="1"/>
    <c:dispBlanksAs val="zero"/>
    <c:showDLblsOverMax val="0"/>
  </c:chart>
  <c:spPr>
    <a:solidFill>
      <a:srgbClr val="FFFFFF"/>
    </a:solidFill>
    <a:ln w="9525">
      <a:noFill/>
    </a:ln>
  </c:spPr>
  <c:txPr>
    <a:bodyPr/>
    <a:lstStyle/>
    <a:p>
      <a:pPr>
        <a:defRPr sz="375" b="0" i="0" u="none" strike="noStrike" baseline="0">
          <a:solidFill>
            <a:srgbClr val="000000"/>
          </a:solidFill>
          <a:latin typeface="Arial"/>
          <a:ea typeface="Arial"/>
          <a:cs typeface="Arial"/>
        </a:defRPr>
      </a:pPr>
      <a:endParaRPr lang="es-CO"/>
    </a:p>
  </c:txPr>
  <c:printSettings>
    <c:headerFooter alignWithMargins="0"/>
    <c:pageMargins b="1" l="0.75000000000000111" r="0.75000000000000111" t="1" header="0" footer="0"/>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0"/>
      <c:rAngAx val="0"/>
      <c:perspective val="0"/>
    </c:view3D>
    <c:floor>
      <c:thickness val="0"/>
    </c:floor>
    <c:sideWall>
      <c:thickness val="0"/>
    </c:sideWall>
    <c:backWall>
      <c:thickness val="0"/>
    </c:backWall>
    <c:plotArea>
      <c:layout>
        <c:manualLayout>
          <c:layoutTarget val="inner"/>
          <c:xMode val="edge"/>
          <c:yMode val="edge"/>
          <c:x val="0.44334975369458129"/>
          <c:y val="0"/>
          <c:w val="7.3891625615763554E-2"/>
          <c:h val="0"/>
        </c:manualLayout>
      </c:layout>
      <c:pie3DChart>
        <c:varyColors val="1"/>
        <c:ser>
          <c:idx val="0"/>
          <c:order val="0"/>
          <c:spPr>
            <a:solidFill>
              <a:srgbClr val="8080FF"/>
            </a:solidFill>
            <a:ln w="12700">
              <a:solidFill>
                <a:srgbClr val="000000"/>
              </a:solidFill>
              <a:prstDash val="solid"/>
            </a:ln>
          </c:spPr>
          <c:dPt>
            <c:idx val="0"/>
            <c:bubble3D val="0"/>
            <c:extLst>
              <c:ext xmlns:c16="http://schemas.microsoft.com/office/drawing/2014/chart" uri="{C3380CC4-5D6E-409C-BE32-E72D297353CC}">
                <c16:uniqueId val="{00000000-2F7A-4F91-A24A-CEB4B5661CFB}"/>
              </c:ext>
            </c:extLst>
          </c:dPt>
          <c:dLbls>
            <c:dLbl>
              <c:idx val="0"/>
              <c:tx>
                <c:rich>
                  <a:bodyPr/>
                  <a:lstStyle/>
                  <a:p>
                    <a:pPr algn="r">
                      <a:defRPr sz="500" b="0" i="0" u="none" strike="noStrike" baseline="0">
                        <a:solidFill>
                          <a:srgbClr val="000000"/>
                        </a:solidFill>
                        <a:latin typeface="Arial"/>
                        <a:ea typeface="Arial"/>
                        <a:cs typeface="Arial"/>
                      </a:defRPr>
                    </a:pPr>
                    <a:r>
                      <a:rPr lang="es-CO"/>
                      <a:t>79.91%</a:t>
                    </a:r>
                  </a:p>
                </c:rich>
              </c:tx>
              <c:spPr>
                <a:noFill/>
                <a:ln w="25400">
                  <a:noFill/>
                </a:ln>
              </c:spPr>
              <c:dLblPos val="bestFit"/>
              <c:showLegendKey val="0"/>
              <c:showVal val="0"/>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2F7A-4F91-A24A-CEB4B5661CFB}"/>
                </c:ext>
              </c:extLst>
            </c:dLbl>
            <c:dLbl>
              <c:idx val="1"/>
              <c:tx>
                <c:rich>
                  <a:bodyPr/>
                  <a:lstStyle/>
                  <a:p>
                    <a:pPr algn="r">
                      <a:defRPr sz="500" b="0" i="0" u="none" strike="noStrike" baseline="0">
                        <a:solidFill>
                          <a:srgbClr val="000000"/>
                        </a:solidFill>
                        <a:latin typeface="Arial"/>
                        <a:ea typeface="Arial"/>
                        <a:cs typeface="Arial"/>
                      </a:defRPr>
                    </a:pPr>
                    <a:r>
                      <a:rPr lang="es-CO"/>
                      <a:t>20.09%</a:t>
                    </a:r>
                  </a:p>
                </c:rich>
              </c:tx>
              <c:spPr>
                <a:noFill/>
                <a:ln w="25400">
                  <a:noFill/>
                </a:ln>
              </c:spPr>
              <c:dLblPos val="bestFit"/>
              <c:showLegendKey val="0"/>
              <c:showVal val="0"/>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F7A-4F91-A24A-CEB4B5661CFB}"/>
                </c:ext>
              </c:extLst>
            </c:dLbl>
            <c:dLbl>
              <c:idx val="2"/>
              <c:delete val="1"/>
              <c:extLst>
                <c:ext xmlns:c15="http://schemas.microsoft.com/office/drawing/2012/chart" uri="{CE6537A1-D6FC-4f65-9D91-7224C49458BB}"/>
                <c:ext xmlns:c16="http://schemas.microsoft.com/office/drawing/2014/chart" uri="{C3380CC4-5D6E-409C-BE32-E72D297353CC}">
                  <c16:uniqueId val="{00000002-2F7A-4F91-A24A-CEB4B5661CFB}"/>
                </c:ext>
              </c:extLst>
            </c:dLbl>
            <c:spPr>
              <a:noFill/>
              <a:ln w="25400">
                <a:noFill/>
              </a:ln>
            </c:spPr>
            <c:txPr>
              <a:bodyPr wrap="square" lIns="38100" tIns="19050" rIns="38100" bIns="19050" anchor="ctr">
                <a:spAutoFit/>
              </a:bodyPr>
              <a:lstStyle/>
              <a:p>
                <a:pPr algn="r" rtl="1">
                  <a:defRPr sz="500" b="0" i="0" u="none" strike="noStrike" baseline="0">
                    <a:solidFill>
                      <a:srgbClr val="000000"/>
                    </a:solidFill>
                    <a:latin typeface="Arial"/>
                    <a:ea typeface="Arial"/>
                    <a:cs typeface="Arial"/>
                  </a:defRPr>
                </a:pPr>
                <a:endParaRPr lang="es-CO"/>
              </a:p>
            </c:txPr>
            <c:showLegendKey val="0"/>
            <c:showVal val="1"/>
            <c:showCatName val="0"/>
            <c:showSerName val="0"/>
            <c:showPercent val="0"/>
            <c:showBubbleSize val="0"/>
            <c:showLeaderLines val="1"/>
            <c:extLst>
              <c:ext xmlns:c15="http://schemas.microsoft.com/office/drawing/2012/chart" uri="{CE6537A1-D6FC-4f65-9D91-7224C49458BB}"/>
            </c:extLst>
          </c:dLbls>
          <c:val>
            <c:numLit>
              <c:formatCode>General</c:formatCode>
              <c:ptCount val="1"/>
              <c:pt idx="0">
                <c:v>0</c:v>
              </c:pt>
            </c:numLit>
          </c:val>
          <c:extLst>
            <c:ext xmlns:c16="http://schemas.microsoft.com/office/drawing/2014/chart" uri="{C3380CC4-5D6E-409C-BE32-E72D297353CC}">
              <c16:uniqueId val="{00000003-2F7A-4F91-A24A-CEB4B5661CFB}"/>
            </c:ext>
          </c:extLst>
        </c:ser>
        <c:dLbls>
          <c:showLegendKey val="0"/>
          <c:showVal val="0"/>
          <c:showCatName val="0"/>
          <c:showSerName val="0"/>
          <c:showPercent val="0"/>
          <c:showBubbleSize val="0"/>
          <c:showLeaderLines val="1"/>
        </c:dLbls>
      </c:pie3DChart>
      <c:spPr>
        <a:noFill/>
        <a:ln w="25400">
          <a:noFill/>
        </a:ln>
      </c:spPr>
    </c:plotArea>
    <c:plotVisOnly val="1"/>
    <c:dispBlanksAs val="zero"/>
    <c:showDLblsOverMax val="0"/>
  </c:chart>
  <c:spPr>
    <a:solidFill>
      <a:srgbClr val="FFFFFF"/>
    </a:solidFill>
    <a:ln w="9525">
      <a:noFill/>
    </a:ln>
  </c:spPr>
  <c:txPr>
    <a:bodyPr/>
    <a:lstStyle/>
    <a:p>
      <a:pPr>
        <a:defRPr sz="350" b="0" i="0" u="none" strike="noStrike" baseline="0">
          <a:solidFill>
            <a:srgbClr val="000000"/>
          </a:solidFill>
          <a:latin typeface="Arial"/>
          <a:ea typeface="Arial"/>
          <a:cs typeface="Arial"/>
        </a:defRPr>
      </a:pPr>
      <a:endParaRPr lang="es-CO"/>
    </a:p>
  </c:txPr>
  <c:printSettings>
    <c:headerFooter alignWithMargins="0"/>
    <c:pageMargins b="1" l="0.75000000000000111" r="0.75000000000000111" t="1" header="0" footer="0"/>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0"/>
      <c:rAngAx val="0"/>
      <c:perspective val="0"/>
    </c:view3D>
    <c:floor>
      <c:thickness val="0"/>
    </c:floor>
    <c:sideWall>
      <c:thickness val="0"/>
    </c:sideWall>
    <c:backWall>
      <c:thickness val="0"/>
    </c:backWall>
    <c:plotArea>
      <c:layout>
        <c:manualLayout>
          <c:layoutTarget val="inner"/>
          <c:xMode val="edge"/>
          <c:yMode val="edge"/>
          <c:x val="0.44651162790697674"/>
          <c:y val="0"/>
          <c:w val="6.9767441860465115E-2"/>
          <c:h val="0"/>
        </c:manualLayout>
      </c:layout>
      <c:pie3DChart>
        <c:varyColors val="1"/>
        <c:ser>
          <c:idx val="0"/>
          <c:order val="0"/>
          <c:spPr>
            <a:solidFill>
              <a:srgbClr val="8080FF"/>
            </a:solidFill>
            <a:ln w="12700">
              <a:solidFill>
                <a:srgbClr val="000000"/>
              </a:solidFill>
              <a:prstDash val="solid"/>
            </a:ln>
          </c:spPr>
          <c:dPt>
            <c:idx val="0"/>
            <c:bubble3D val="0"/>
            <c:extLst>
              <c:ext xmlns:c16="http://schemas.microsoft.com/office/drawing/2014/chart" uri="{C3380CC4-5D6E-409C-BE32-E72D297353CC}">
                <c16:uniqueId val="{00000000-5804-4849-87C3-1B4F33905E38}"/>
              </c:ext>
            </c:extLst>
          </c:dPt>
          <c:dLbls>
            <c:dLbl>
              <c:idx val="0"/>
              <c:delete val="1"/>
              <c:extLst>
                <c:ext xmlns:c15="http://schemas.microsoft.com/office/drawing/2012/chart" uri="{CE6537A1-D6FC-4f65-9D91-7224C49458BB}"/>
                <c:ext xmlns:c16="http://schemas.microsoft.com/office/drawing/2014/chart" uri="{C3380CC4-5D6E-409C-BE32-E72D297353CC}">
                  <c16:uniqueId val="{00000000-5804-4849-87C3-1B4F33905E38}"/>
                </c:ext>
              </c:extLst>
            </c:dLbl>
            <c:dLbl>
              <c:idx val="1"/>
              <c:numFmt formatCode="0%" sourceLinked="0"/>
              <c:spPr>
                <a:noFill/>
                <a:ln w="25400">
                  <a:noFill/>
                </a:ln>
              </c:spPr>
              <c:txPr>
                <a:bodyPr/>
                <a:lstStyle/>
                <a:p>
                  <a:pPr algn="ctr" rtl="1">
                    <a:defRPr sz="525" b="0" i="0" u="none" strike="noStrike" baseline="0">
                      <a:solidFill>
                        <a:srgbClr val="000000"/>
                      </a:solidFill>
                      <a:latin typeface="Arial"/>
                      <a:ea typeface="Arial"/>
                      <a:cs typeface="Arial"/>
                    </a:defRPr>
                  </a:pPr>
                  <a:endParaRPr lang="es-CO"/>
                </a:p>
              </c:txPr>
              <c:dLblPos val="bestFi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1-5804-4849-87C3-1B4F33905E38}"/>
                </c:ext>
              </c:extLst>
            </c:dLbl>
            <c:dLbl>
              <c:idx val="4"/>
              <c:delete val="1"/>
              <c:extLst>
                <c:ext xmlns:c15="http://schemas.microsoft.com/office/drawing/2012/chart" uri="{CE6537A1-D6FC-4f65-9D91-7224C49458BB}"/>
                <c:ext xmlns:c16="http://schemas.microsoft.com/office/drawing/2014/chart" uri="{C3380CC4-5D6E-409C-BE32-E72D297353CC}">
                  <c16:uniqueId val="{00000002-5804-4849-87C3-1B4F33905E38}"/>
                </c:ext>
              </c:extLst>
            </c:dLbl>
            <c:numFmt formatCode="0%" sourceLinked="0"/>
            <c:spPr>
              <a:noFill/>
              <a:ln w="25400">
                <a:noFill/>
              </a:ln>
            </c:spPr>
            <c:txPr>
              <a:bodyPr wrap="square" lIns="38100" tIns="19050" rIns="38100" bIns="19050" anchor="ctr">
                <a:spAutoFit/>
              </a:bodyPr>
              <a:lstStyle/>
              <a:p>
                <a:pPr algn="ctr" rtl="1">
                  <a:defRPr sz="525" b="0" i="0" u="none" strike="noStrike" baseline="0">
                    <a:solidFill>
                      <a:srgbClr val="000000"/>
                    </a:solidFill>
                    <a:latin typeface="Arial"/>
                    <a:ea typeface="Arial"/>
                    <a:cs typeface="Arial"/>
                  </a:defRPr>
                </a:pPr>
                <a:endParaRPr lang="es-CO"/>
              </a:p>
            </c:txPr>
            <c:showLegendKey val="0"/>
            <c:showVal val="0"/>
            <c:showCatName val="0"/>
            <c:showSerName val="0"/>
            <c:showPercent val="1"/>
            <c:showBubbleSize val="0"/>
            <c:showLeaderLines val="1"/>
            <c:extLst>
              <c:ext xmlns:c15="http://schemas.microsoft.com/office/drawing/2012/chart" uri="{CE6537A1-D6FC-4f65-9D91-7224C49458BB}"/>
            </c:extLst>
          </c:dLbls>
          <c:val>
            <c:numLit>
              <c:formatCode>General</c:formatCode>
              <c:ptCount val="1"/>
              <c:pt idx="0">
                <c:v>0</c:v>
              </c:pt>
            </c:numLit>
          </c:val>
          <c:extLst>
            <c:ext xmlns:c16="http://schemas.microsoft.com/office/drawing/2014/chart" uri="{C3380CC4-5D6E-409C-BE32-E72D297353CC}">
              <c16:uniqueId val="{00000003-5804-4849-87C3-1B4F33905E38}"/>
            </c:ext>
          </c:extLst>
        </c:ser>
        <c:dLbls>
          <c:showLegendKey val="0"/>
          <c:showVal val="0"/>
          <c:showCatName val="0"/>
          <c:showSerName val="0"/>
          <c:showPercent val="0"/>
          <c:showBubbleSize val="0"/>
          <c:showLeaderLines val="1"/>
        </c:dLbls>
      </c:pie3DChart>
      <c:spPr>
        <a:noFill/>
        <a:ln w="25400">
          <a:noFill/>
        </a:ln>
      </c:spPr>
    </c:plotArea>
    <c:plotVisOnly val="1"/>
    <c:dispBlanksAs val="zero"/>
    <c:showDLblsOverMax val="0"/>
  </c:chart>
  <c:spPr>
    <a:solidFill>
      <a:srgbClr val="FFFFFF"/>
    </a:solidFill>
    <a:ln w="3175">
      <a:solidFill>
        <a:srgbClr val="000000"/>
      </a:solidFill>
      <a:prstDash val="solid"/>
    </a:ln>
  </c:spPr>
  <c:txPr>
    <a:bodyPr/>
    <a:lstStyle/>
    <a:p>
      <a:pPr>
        <a:defRPr sz="275" b="0" i="0" u="none" strike="noStrike" baseline="0">
          <a:solidFill>
            <a:srgbClr val="000000"/>
          </a:solidFill>
          <a:latin typeface="Arial"/>
          <a:ea typeface="Arial"/>
          <a:cs typeface="Arial"/>
        </a:defRPr>
      </a:pPr>
      <a:endParaRPr lang="es-CO"/>
    </a:p>
  </c:txPr>
  <c:printSettings>
    <c:headerFooter alignWithMargins="0"/>
    <c:pageMargins b="1" l="0.75000000000000111" r="0.75000000000000111" t="1" header="0" footer="0"/>
    <c:pageSetup paperSize="9" orientation="landscape" horizontalDpi="300" verticalDpi="0"/>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0"/>
      <c:rAngAx val="0"/>
      <c:perspective val="0"/>
    </c:view3D>
    <c:floor>
      <c:thickness val="0"/>
    </c:floor>
    <c:sideWall>
      <c:thickness val="0"/>
    </c:sideWall>
    <c:backWall>
      <c:thickness val="0"/>
    </c:backWall>
    <c:plotArea>
      <c:layout>
        <c:manualLayout>
          <c:layoutTarget val="inner"/>
          <c:xMode val="edge"/>
          <c:yMode val="edge"/>
          <c:x val="0.44444444444444442"/>
          <c:y val="0"/>
          <c:w val="6.9444444444444448E-2"/>
          <c:h val="0"/>
        </c:manualLayout>
      </c:layout>
      <c:pie3DChart>
        <c:varyColors val="1"/>
        <c:ser>
          <c:idx val="0"/>
          <c:order val="0"/>
          <c:spPr>
            <a:solidFill>
              <a:srgbClr val="8080FF"/>
            </a:solidFill>
            <a:ln w="12700">
              <a:solidFill>
                <a:srgbClr val="000000"/>
              </a:solidFill>
              <a:prstDash val="solid"/>
            </a:ln>
          </c:spPr>
          <c:dPt>
            <c:idx val="0"/>
            <c:bubble3D val="0"/>
            <c:extLst>
              <c:ext xmlns:c16="http://schemas.microsoft.com/office/drawing/2014/chart" uri="{C3380CC4-5D6E-409C-BE32-E72D297353CC}">
                <c16:uniqueId val="{00000000-5B81-40BB-8699-22CE54AFA94B}"/>
              </c:ext>
            </c:extLst>
          </c:dPt>
          <c:dLbls>
            <c:dLbl>
              <c:idx val="0"/>
              <c:tx>
                <c:rich>
                  <a:bodyPr/>
                  <a:lstStyle/>
                  <a:p>
                    <a:pPr>
                      <a:defRPr sz="450" b="0" i="0" u="none" strike="noStrike" baseline="0">
                        <a:solidFill>
                          <a:srgbClr val="000000"/>
                        </a:solidFill>
                        <a:latin typeface="Arial"/>
                        <a:ea typeface="Arial"/>
                        <a:cs typeface="Arial"/>
                      </a:defRPr>
                    </a:pPr>
                    <a:r>
                      <a:rPr lang="es-CO"/>
                      <a:t>8%</a:t>
                    </a:r>
                  </a:p>
                </c:rich>
              </c:tx>
              <c:spPr>
                <a:noFill/>
                <a:ln w="25400">
                  <a:noFill/>
                </a:ln>
              </c:spPr>
              <c:dLblPos val="bestFit"/>
              <c:showLegendKey val="0"/>
              <c:showVal val="0"/>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B81-40BB-8699-22CE54AFA94B}"/>
                </c:ext>
              </c:extLst>
            </c:dLbl>
            <c:dLbl>
              <c:idx val="1"/>
              <c:delete val="1"/>
              <c:extLst>
                <c:ext xmlns:c15="http://schemas.microsoft.com/office/drawing/2012/chart" uri="{CE6537A1-D6FC-4f65-9D91-7224C49458BB}"/>
                <c:ext xmlns:c16="http://schemas.microsoft.com/office/drawing/2014/chart" uri="{C3380CC4-5D6E-409C-BE32-E72D297353CC}">
                  <c16:uniqueId val="{00000001-5B81-40BB-8699-22CE54AFA94B}"/>
                </c:ext>
              </c:extLst>
            </c:dLbl>
            <c:dLbl>
              <c:idx val="4"/>
              <c:delete val="1"/>
              <c:extLst>
                <c:ext xmlns:c15="http://schemas.microsoft.com/office/drawing/2012/chart" uri="{CE6537A1-D6FC-4f65-9D91-7224C49458BB}"/>
                <c:ext xmlns:c16="http://schemas.microsoft.com/office/drawing/2014/chart" uri="{C3380CC4-5D6E-409C-BE32-E72D297353CC}">
                  <c16:uniqueId val="{00000002-5B81-40BB-8699-22CE54AFA94B}"/>
                </c:ext>
              </c:extLst>
            </c:dLbl>
            <c:numFmt formatCode="0%" sourceLinked="0"/>
            <c:spPr>
              <a:noFill/>
              <a:ln w="25400">
                <a:noFill/>
              </a:ln>
            </c:spPr>
            <c:txPr>
              <a:bodyPr wrap="square" lIns="38100" tIns="19050" rIns="38100" bIns="19050" anchor="ctr">
                <a:spAutoFit/>
              </a:bodyPr>
              <a:lstStyle/>
              <a:p>
                <a:pPr algn="ctr" rtl="1">
                  <a:defRPr sz="450" b="0" i="0" u="none" strike="noStrike" baseline="0">
                    <a:solidFill>
                      <a:srgbClr val="000000"/>
                    </a:solidFill>
                    <a:latin typeface="Arial"/>
                    <a:ea typeface="Arial"/>
                    <a:cs typeface="Arial"/>
                  </a:defRPr>
                </a:pPr>
                <a:endParaRPr lang="es-CO"/>
              </a:p>
            </c:txPr>
            <c:showLegendKey val="0"/>
            <c:showVal val="0"/>
            <c:showCatName val="0"/>
            <c:showSerName val="0"/>
            <c:showPercent val="1"/>
            <c:showBubbleSize val="0"/>
            <c:showLeaderLines val="1"/>
            <c:extLst>
              <c:ext xmlns:c15="http://schemas.microsoft.com/office/drawing/2012/chart" uri="{CE6537A1-D6FC-4f65-9D91-7224C49458BB}"/>
            </c:extLst>
          </c:dLbls>
          <c:val>
            <c:numLit>
              <c:formatCode>General</c:formatCode>
              <c:ptCount val="1"/>
              <c:pt idx="0">
                <c:v>0</c:v>
              </c:pt>
            </c:numLit>
          </c:val>
          <c:extLst>
            <c:ext xmlns:c16="http://schemas.microsoft.com/office/drawing/2014/chart" uri="{C3380CC4-5D6E-409C-BE32-E72D297353CC}">
              <c16:uniqueId val="{00000003-5B81-40BB-8699-22CE54AFA94B}"/>
            </c:ext>
          </c:extLst>
        </c:ser>
        <c:dLbls>
          <c:showLegendKey val="0"/>
          <c:showVal val="0"/>
          <c:showCatName val="0"/>
          <c:showSerName val="0"/>
          <c:showPercent val="0"/>
          <c:showBubbleSize val="0"/>
          <c:showLeaderLines val="1"/>
        </c:dLbls>
      </c:pie3DChart>
      <c:spPr>
        <a:noFill/>
        <a:ln w="25400">
          <a:noFill/>
        </a:ln>
      </c:spPr>
    </c:plotArea>
    <c:plotVisOnly val="1"/>
    <c:dispBlanksAs val="zero"/>
    <c:showDLblsOverMax val="0"/>
  </c:chart>
  <c:spPr>
    <a:solidFill>
      <a:srgbClr val="FFFFFF"/>
    </a:solidFill>
    <a:ln w="3175">
      <a:solidFill>
        <a:srgbClr val="000000"/>
      </a:solidFill>
      <a:prstDash val="solid"/>
    </a:ln>
  </c:spPr>
  <c:txPr>
    <a:bodyPr/>
    <a:lstStyle/>
    <a:p>
      <a:pPr>
        <a:defRPr sz="275" b="0" i="0" u="none" strike="noStrike" baseline="0">
          <a:solidFill>
            <a:srgbClr val="000000"/>
          </a:solidFill>
          <a:latin typeface="Arial"/>
          <a:ea typeface="Arial"/>
          <a:cs typeface="Arial"/>
        </a:defRPr>
      </a:pPr>
      <a:endParaRPr lang="es-CO"/>
    </a:p>
  </c:txPr>
  <c:printSettings>
    <c:headerFooter alignWithMargins="0"/>
    <c:pageMargins b="1" l="0.75000000000000111" r="0.75000000000000111" t="1" header="0" footer="0"/>
    <c:pageSetup paperSize="9" orientation="landscape" horizontalDpi="300" verticalDpi="0"/>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0"/>
      <c:rAngAx val="0"/>
      <c:perspective val="0"/>
    </c:view3D>
    <c:floor>
      <c:thickness val="0"/>
    </c:floor>
    <c:sideWall>
      <c:thickness val="0"/>
    </c:sideWall>
    <c:backWall>
      <c:thickness val="0"/>
    </c:backWall>
    <c:plotArea>
      <c:layout>
        <c:manualLayout>
          <c:layoutTarget val="inner"/>
          <c:xMode val="edge"/>
          <c:yMode val="edge"/>
          <c:x val="0.4417475728155339"/>
          <c:y val="0"/>
          <c:w val="7.2815533980582534E-2"/>
          <c:h val="0"/>
        </c:manualLayout>
      </c:layout>
      <c:pie3DChart>
        <c:varyColors val="1"/>
        <c:ser>
          <c:idx val="0"/>
          <c:order val="0"/>
          <c:spPr>
            <a:solidFill>
              <a:srgbClr val="8080FF"/>
            </a:solidFill>
            <a:ln w="12700">
              <a:solidFill>
                <a:srgbClr val="000000"/>
              </a:solidFill>
              <a:prstDash val="solid"/>
            </a:ln>
          </c:spPr>
          <c:dPt>
            <c:idx val="0"/>
            <c:bubble3D val="0"/>
            <c:extLst>
              <c:ext xmlns:c16="http://schemas.microsoft.com/office/drawing/2014/chart" uri="{C3380CC4-5D6E-409C-BE32-E72D297353CC}">
                <c16:uniqueId val="{00000000-5F24-481E-B80D-97B8978A5C49}"/>
              </c:ext>
            </c:extLst>
          </c:dPt>
          <c:dLbls>
            <c:dLbl>
              <c:idx val="0"/>
              <c:spPr>
                <a:noFill/>
                <a:ln w="25400">
                  <a:noFill/>
                </a:ln>
              </c:spPr>
              <c:txPr>
                <a:bodyPr/>
                <a:lstStyle/>
                <a:p>
                  <a:pPr algn="ctr" rtl="1">
                    <a:defRPr sz="800" b="0" i="0" u="none" strike="noStrike" baseline="0">
                      <a:solidFill>
                        <a:srgbClr val="000000"/>
                      </a:solidFill>
                      <a:latin typeface="Arial"/>
                      <a:ea typeface="Arial"/>
                      <a:cs typeface="Arial"/>
                    </a:defRPr>
                  </a:pPr>
                  <a:endParaRPr lang="es-CO"/>
                </a:p>
              </c:txPr>
              <c:dLblPos val="bestFi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F24-481E-B80D-97B8978A5C49}"/>
                </c:ext>
              </c:extLst>
            </c:dLbl>
            <c:dLbl>
              <c:idx val="1"/>
              <c:delete val="1"/>
              <c:extLst>
                <c:ext xmlns:c15="http://schemas.microsoft.com/office/drawing/2012/chart" uri="{CE6537A1-D6FC-4f65-9D91-7224C49458BB}"/>
                <c:ext xmlns:c16="http://schemas.microsoft.com/office/drawing/2014/chart" uri="{C3380CC4-5D6E-409C-BE32-E72D297353CC}">
                  <c16:uniqueId val="{00000001-5F24-481E-B80D-97B8978A5C49}"/>
                </c:ext>
              </c:extLst>
            </c:dLbl>
            <c:spPr>
              <a:noFill/>
              <a:ln w="25400">
                <a:noFill/>
              </a:ln>
            </c:spPr>
            <c:txPr>
              <a:bodyPr wrap="square" lIns="38100" tIns="19050" rIns="38100" bIns="19050" anchor="ctr">
                <a:spAutoFit/>
              </a:bodyPr>
              <a:lstStyle/>
              <a:p>
                <a:pPr algn="ctr" rtl="1">
                  <a:defRPr sz="800" b="0" i="0" u="none" strike="noStrike" baseline="0">
                    <a:solidFill>
                      <a:srgbClr val="000000"/>
                    </a:solidFill>
                    <a:latin typeface="Arial"/>
                    <a:ea typeface="Arial"/>
                    <a:cs typeface="Arial"/>
                  </a:defRPr>
                </a:pPr>
                <a:endParaRPr lang="es-CO"/>
              </a:p>
            </c:txPr>
            <c:showLegendKey val="0"/>
            <c:showVal val="1"/>
            <c:showCatName val="0"/>
            <c:showSerName val="0"/>
            <c:showPercent val="0"/>
            <c:showBubbleSize val="0"/>
            <c:showLeaderLines val="1"/>
            <c:extLst>
              <c:ext xmlns:c15="http://schemas.microsoft.com/office/drawing/2012/chart" uri="{CE6537A1-D6FC-4f65-9D91-7224C49458BB}"/>
            </c:extLst>
          </c:dLbls>
          <c:val>
            <c:numLit>
              <c:formatCode>General</c:formatCode>
              <c:ptCount val="1"/>
              <c:pt idx="0">
                <c:v>0</c:v>
              </c:pt>
            </c:numLit>
          </c:val>
          <c:extLst>
            <c:ext xmlns:c16="http://schemas.microsoft.com/office/drawing/2014/chart" uri="{C3380CC4-5D6E-409C-BE32-E72D297353CC}">
              <c16:uniqueId val="{00000002-5F24-481E-B80D-97B8978A5C49}"/>
            </c:ext>
          </c:extLst>
        </c:ser>
        <c:dLbls>
          <c:showLegendKey val="0"/>
          <c:showVal val="0"/>
          <c:showCatName val="0"/>
          <c:showSerName val="0"/>
          <c:showPercent val="0"/>
          <c:showBubbleSize val="0"/>
          <c:showLeaderLines val="1"/>
        </c:dLbls>
      </c:pie3DChart>
      <c:spPr>
        <a:noFill/>
        <a:ln w="25400">
          <a:noFill/>
        </a:ln>
      </c:spPr>
    </c:plotArea>
    <c:plotVisOnly val="1"/>
    <c:dispBlanksAs val="zero"/>
    <c:showDLblsOverMax val="0"/>
  </c:chart>
  <c:spPr>
    <a:solidFill>
      <a:srgbClr val="FFFFFF"/>
    </a:solidFill>
    <a:ln w="9525">
      <a:noFill/>
    </a:ln>
  </c:spPr>
  <c:txPr>
    <a:bodyPr/>
    <a:lstStyle/>
    <a:p>
      <a:pPr>
        <a:defRPr sz="375" b="0" i="0" u="none" strike="noStrike" baseline="0">
          <a:solidFill>
            <a:srgbClr val="000000"/>
          </a:solidFill>
          <a:latin typeface="Arial"/>
          <a:ea typeface="Arial"/>
          <a:cs typeface="Arial"/>
        </a:defRPr>
      </a:pPr>
      <a:endParaRPr lang="es-CO"/>
    </a:p>
  </c:txPr>
  <c:printSettings>
    <c:headerFooter alignWithMargins="0"/>
    <c:pageMargins b="1" l="0.75000000000000133" r="0.75000000000000133" t="1" header="0" footer="0"/>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0"/>
      <c:rAngAx val="0"/>
      <c:perspective val="0"/>
    </c:view3D>
    <c:floor>
      <c:thickness val="0"/>
    </c:floor>
    <c:sideWall>
      <c:thickness val="0"/>
    </c:sideWall>
    <c:backWall>
      <c:thickness val="0"/>
    </c:backWall>
    <c:plotArea>
      <c:layout>
        <c:manualLayout>
          <c:layoutTarget val="inner"/>
          <c:xMode val="edge"/>
          <c:yMode val="edge"/>
          <c:x val="0.44651162790697685"/>
          <c:y val="0"/>
          <c:w val="6.9767441860465143E-2"/>
          <c:h val="0"/>
        </c:manualLayout>
      </c:layout>
      <c:pie3DChart>
        <c:varyColors val="1"/>
        <c:ser>
          <c:idx val="0"/>
          <c:order val="0"/>
          <c:spPr>
            <a:solidFill>
              <a:srgbClr val="8080FF"/>
            </a:solidFill>
            <a:ln w="12700">
              <a:solidFill>
                <a:srgbClr val="000000"/>
              </a:solidFill>
              <a:prstDash val="solid"/>
            </a:ln>
          </c:spPr>
          <c:dPt>
            <c:idx val="0"/>
            <c:bubble3D val="0"/>
            <c:spPr>
              <a:solidFill>
                <a:srgbClr val="00FF00"/>
              </a:solidFill>
              <a:ln w="12700">
                <a:solidFill>
                  <a:srgbClr val="000000"/>
                </a:solidFill>
                <a:prstDash val="solid"/>
              </a:ln>
            </c:spPr>
            <c:extLst>
              <c:ext xmlns:c16="http://schemas.microsoft.com/office/drawing/2014/chart" uri="{C3380CC4-5D6E-409C-BE32-E72D297353CC}">
                <c16:uniqueId val="{00000001-DA46-4780-9E3A-5396539C434B}"/>
              </c:ext>
            </c:extLst>
          </c:dPt>
          <c:dPt>
            <c:idx val="1"/>
            <c:bubble3D val="0"/>
            <c:spPr>
              <a:solidFill>
                <a:srgbClr val="FFFF00"/>
              </a:solidFill>
              <a:ln w="12700">
                <a:solidFill>
                  <a:srgbClr val="000000"/>
                </a:solidFill>
                <a:prstDash val="solid"/>
              </a:ln>
            </c:spPr>
            <c:extLst>
              <c:ext xmlns:c16="http://schemas.microsoft.com/office/drawing/2014/chart" uri="{C3380CC4-5D6E-409C-BE32-E72D297353CC}">
                <c16:uniqueId val="{00000003-DA46-4780-9E3A-5396539C434B}"/>
              </c:ext>
            </c:extLst>
          </c:dPt>
          <c:dPt>
            <c:idx val="2"/>
            <c:bubble3D val="0"/>
            <c:spPr>
              <a:solidFill>
                <a:srgbClr val="FF0000"/>
              </a:solidFill>
              <a:ln w="12700">
                <a:solidFill>
                  <a:srgbClr val="000000"/>
                </a:solidFill>
                <a:prstDash val="solid"/>
              </a:ln>
            </c:spPr>
            <c:extLst>
              <c:ext xmlns:c16="http://schemas.microsoft.com/office/drawing/2014/chart" uri="{C3380CC4-5D6E-409C-BE32-E72D297353CC}">
                <c16:uniqueId val="{00000005-DA46-4780-9E3A-5396539C434B}"/>
              </c:ext>
            </c:extLst>
          </c:dPt>
          <c:dLbls>
            <c:dLbl>
              <c:idx val="0"/>
              <c:tx>
                <c:rich>
                  <a:bodyPr/>
                  <a:lstStyle/>
                  <a:p>
                    <a:pPr algn="r">
                      <a:defRPr sz="500" b="0" i="0" u="none" strike="noStrike" baseline="0">
                        <a:solidFill>
                          <a:srgbClr val="000000"/>
                        </a:solidFill>
                        <a:latin typeface="Arial"/>
                        <a:ea typeface="Arial"/>
                        <a:cs typeface="Arial"/>
                      </a:defRPr>
                    </a:pPr>
                    <a:r>
                      <a:rPr lang="es-CO"/>
                      <a:t>75,88%</a:t>
                    </a:r>
                  </a:p>
                </c:rich>
              </c:tx>
              <c:spPr>
                <a:noFill/>
                <a:ln w="25400">
                  <a:noFill/>
                </a:ln>
              </c:spPr>
              <c:dLblPos val="bestFit"/>
              <c:showLegendKey val="0"/>
              <c:showVal val="0"/>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DA46-4780-9E3A-5396539C434B}"/>
                </c:ext>
              </c:extLst>
            </c:dLbl>
            <c:dLbl>
              <c:idx val="1"/>
              <c:tx>
                <c:rich>
                  <a:bodyPr/>
                  <a:lstStyle/>
                  <a:p>
                    <a:pPr algn="r">
                      <a:defRPr sz="500" b="0" i="0" u="none" strike="noStrike" baseline="0">
                        <a:solidFill>
                          <a:srgbClr val="000000"/>
                        </a:solidFill>
                        <a:latin typeface="Arial"/>
                        <a:ea typeface="Arial"/>
                        <a:cs typeface="Arial"/>
                      </a:defRPr>
                    </a:pPr>
                    <a:r>
                      <a:rPr lang="es-CO"/>
                      <a:t>24,12%</a:t>
                    </a:r>
                  </a:p>
                </c:rich>
              </c:tx>
              <c:spPr>
                <a:noFill/>
                <a:ln w="25400">
                  <a:noFill/>
                </a:ln>
              </c:spPr>
              <c:dLblPos val="bestFit"/>
              <c:showLegendKey val="0"/>
              <c:showVal val="0"/>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A46-4780-9E3A-5396539C434B}"/>
                </c:ext>
              </c:extLst>
            </c:dLbl>
            <c:dLbl>
              <c:idx val="2"/>
              <c:delete val="1"/>
              <c:extLst>
                <c:ext xmlns:c15="http://schemas.microsoft.com/office/drawing/2012/chart" uri="{CE6537A1-D6FC-4f65-9D91-7224C49458BB}"/>
                <c:ext xmlns:c16="http://schemas.microsoft.com/office/drawing/2014/chart" uri="{C3380CC4-5D6E-409C-BE32-E72D297353CC}">
                  <c16:uniqueId val="{00000005-DA46-4780-9E3A-5396539C434B}"/>
                </c:ext>
              </c:extLst>
            </c:dLbl>
            <c:spPr>
              <a:noFill/>
              <a:ln w="25400">
                <a:noFill/>
              </a:ln>
            </c:spPr>
            <c:txPr>
              <a:bodyPr wrap="square" lIns="38100" tIns="19050" rIns="38100" bIns="19050" anchor="ctr">
                <a:spAutoFit/>
              </a:bodyPr>
              <a:lstStyle/>
              <a:p>
                <a:pPr algn="r" rtl="1">
                  <a:defRPr sz="500" b="0" i="0" u="none" strike="noStrike" baseline="0">
                    <a:solidFill>
                      <a:srgbClr val="000000"/>
                    </a:solidFill>
                    <a:latin typeface="Arial"/>
                    <a:ea typeface="Arial"/>
                    <a:cs typeface="Arial"/>
                  </a:defRPr>
                </a:pPr>
                <a:endParaRPr lang="es-CO"/>
              </a:p>
            </c:txPr>
            <c:showLegendKey val="0"/>
            <c:showVal val="1"/>
            <c:showCatName val="0"/>
            <c:showSerName val="0"/>
            <c:showPercent val="0"/>
            <c:showBubbleSize val="0"/>
            <c:showLeaderLines val="1"/>
            <c:extLst>
              <c:ext xmlns:c15="http://schemas.microsoft.com/office/drawing/2012/chart" uri="{CE6537A1-D6FC-4f65-9D91-7224C49458BB}"/>
            </c:extLst>
          </c:dLbls>
          <c:val>
            <c:numRef>
              <c:f>'[10]G2. TORTA EST. VIAS '!$G$51:$I$51</c:f>
              <c:numCache>
                <c:formatCode>General</c:formatCode>
                <c:ptCount val="3"/>
                <c:pt idx="0">
                  <c:v>0.75880000000000003</c:v>
                </c:pt>
                <c:pt idx="1">
                  <c:v>0.2412</c:v>
                </c:pt>
                <c:pt idx="2">
                  <c:v>0</c:v>
                </c:pt>
              </c:numCache>
            </c:numRef>
          </c:val>
          <c:extLst>
            <c:ext xmlns:c16="http://schemas.microsoft.com/office/drawing/2014/chart" uri="{C3380CC4-5D6E-409C-BE32-E72D297353CC}">
              <c16:uniqueId val="{00000006-DA46-4780-9E3A-5396539C434B}"/>
            </c:ext>
          </c:extLst>
        </c:ser>
        <c:dLbls>
          <c:showLegendKey val="0"/>
          <c:showVal val="0"/>
          <c:showCatName val="0"/>
          <c:showSerName val="0"/>
          <c:showPercent val="0"/>
          <c:showBubbleSize val="0"/>
          <c:showLeaderLines val="1"/>
        </c:dLbls>
      </c:pie3DChart>
      <c:spPr>
        <a:noFill/>
        <a:ln w="25400">
          <a:noFill/>
        </a:ln>
      </c:spPr>
    </c:plotArea>
    <c:plotVisOnly val="1"/>
    <c:dispBlanksAs val="zero"/>
    <c:showDLblsOverMax val="0"/>
  </c:chart>
  <c:spPr>
    <a:solidFill>
      <a:srgbClr val="FFFFFF"/>
    </a:solidFill>
    <a:ln w="9525">
      <a:noFill/>
    </a:ln>
  </c:spPr>
  <c:txPr>
    <a:bodyPr/>
    <a:lstStyle/>
    <a:p>
      <a:pPr>
        <a:defRPr sz="350" b="0" i="0" u="none" strike="noStrike" baseline="0">
          <a:solidFill>
            <a:srgbClr val="000000"/>
          </a:solidFill>
          <a:latin typeface="Arial"/>
          <a:ea typeface="Arial"/>
          <a:cs typeface="Arial"/>
        </a:defRPr>
      </a:pPr>
      <a:endParaRPr lang="es-CO"/>
    </a:p>
  </c:txPr>
  <c:printSettings>
    <c:headerFooter alignWithMargins="0"/>
    <c:pageMargins b="1" l="0.75000000000000133" r="0.75000000000000133" t="1" header="0" footer="0"/>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0"/>
      <c:rAngAx val="0"/>
      <c:perspective val="0"/>
    </c:view3D>
    <c:floor>
      <c:thickness val="0"/>
    </c:floor>
    <c:sideWall>
      <c:thickness val="0"/>
    </c:sideWall>
    <c:backWall>
      <c:thickness val="0"/>
    </c:backWall>
    <c:plotArea>
      <c:layout>
        <c:manualLayout>
          <c:layoutTarget val="inner"/>
          <c:xMode val="edge"/>
          <c:yMode val="edge"/>
          <c:x val="0.44651162790697685"/>
          <c:y val="0"/>
          <c:w val="6.9767441860465143E-2"/>
          <c:h val="0"/>
        </c:manualLayout>
      </c:layout>
      <c:pie3DChart>
        <c:varyColors val="1"/>
        <c:ser>
          <c:idx val="0"/>
          <c:order val="0"/>
          <c:spPr>
            <a:solidFill>
              <a:srgbClr val="8080FF"/>
            </a:solidFill>
            <a:ln w="12700">
              <a:solidFill>
                <a:srgbClr val="000000"/>
              </a:solidFill>
              <a:prstDash val="solid"/>
            </a:ln>
          </c:spPr>
          <c:dPt>
            <c:idx val="0"/>
            <c:bubble3D val="0"/>
            <c:extLst>
              <c:ext xmlns:c16="http://schemas.microsoft.com/office/drawing/2014/chart" uri="{C3380CC4-5D6E-409C-BE32-E72D297353CC}">
                <c16:uniqueId val="{00000000-AA3B-432F-AB70-104D1C2B560E}"/>
              </c:ext>
            </c:extLst>
          </c:dPt>
          <c:dLbls>
            <c:dLbl>
              <c:idx val="0"/>
              <c:spPr>
                <a:noFill/>
                <a:ln w="25400">
                  <a:noFill/>
                </a:ln>
              </c:spPr>
              <c:txPr>
                <a:bodyPr/>
                <a:lstStyle/>
                <a:p>
                  <a:pPr algn="ctr" rtl="1">
                    <a:defRPr sz="525" b="0" i="0" u="none" strike="noStrike" baseline="0">
                      <a:solidFill>
                        <a:srgbClr val="000000"/>
                      </a:solidFill>
                      <a:latin typeface="Arial"/>
                      <a:ea typeface="Arial"/>
                      <a:cs typeface="Arial"/>
                    </a:defRPr>
                  </a:pPr>
                  <a:endParaRPr lang="es-CO"/>
                </a:p>
              </c:txPr>
              <c:dLblPos val="bestFi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AA3B-432F-AB70-104D1C2B560E}"/>
                </c:ext>
              </c:extLst>
            </c:dLbl>
            <c:dLbl>
              <c:idx val="1"/>
              <c:delete val="1"/>
              <c:extLst>
                <c:ext xmlns:c15="http://schemas.microsoft.com/office/drawing/2012/chart" uri="{CE6537A1-D6FC-4f65-9D91-7224C49458BB}"/>
                <c:ext xmlns:c16="http://schemas.microsoft.com/office/drawing/2014/chart" uri="{C3380CC4-5D6E-409C-BE32-E72D297353CC}">
                  <c16:uniqueId val="{00000001-AA3B-432F-AB70-104D1C2B560E}"/>
                </c:ext>
              </c:extLst>
            </c:dLbl>
            <c:spPr>
              <a:noFill/>
              <a:ln w="25400">
                <a:noFill/>
              </a:ln>
            </c:spPr>
            <c:txPr>
              <a:bodyPr wrap="square" lIns="38100" tIns="19050" rIns="38100" bIns="19050" anchor="ctr">
                <a:spAutoFit/>
              </a:bodyPr>
              <a:lstStyle/>
              <a:p>
                <a:pPr algn="ctr" rtl="1">
                  <a:defRPr sz="525" b="0" i="0" u="none" strike="noStrike" baseline="0">
                    <a:solidFill>
                      <a:srgbClr val="000000"/>
                    </a:solidFill>
                    <a:latin typeface="Arial"/>
                    <a:ea typeface="Arial"/>
                    <a:cs typeface="Arial"/>
                  </a:defRPr>
                </a:pPr>
                <a:endParaRPr lang="es-CO"/>
              </a:p>
            </c:txPr>
            <c:showLegendKey val="0"/>
            <c:showVal val="1"/>
            <c:showCatName val="0"/>
            <c:showSerName val="0"/>
            <c:showPercent val="0"/>
            <c:showBubbleSize val="0"/>
            <c:showLeaderLines val="1"/>
            <c:extLst>
              <c:ext xmlns:c15="http://schemas.microsoft.com/office/drawing/2012/chart" uri="{CE6537A1-D6FC-4f65-9D91-7224C49458BB}"/>
            </c:extLst>
          </c:dLbls>
          <c:val>
            <c:numLit>
              <c:formatCode>General</c:formatCode>
              <c:ptCount val="1"/>
              <c:pt idx="0">
                <c:v>0</c:v>
              </c:pt>
            </c:numLit>
          </c:val>
          <c:extLst>
            <c:ext xmlns:c16="http://schemas.microsoft.com/office/drawing/2014/chart" uri="{C3380CC4-5D6E-409C-BE32-E72D297353CC}">
              <c16:uniqueId val="{00000002-AA3B-432F-AB70-104D1C2B560E}"/>
            </c:ext>
          </c:extLst>
        </c:ser>
        <c:dLbls>
          <c:showLegendKey val="0"/>
          <c:showVal val="0"/>
          <c:showCatName val="0"/>
          <c:showSerName val="0"/>
          <c:showPercent val="0"/>
          <c:showBubbleSize val="0"/>
          <c:showLeaderLines val="1"/>
        </c:dLbls>
      </c:pie3DChart>
      <c:spPr>
        <a:noFill/>
        <a:ln w="25400">
          <a:noFill/>
        </a:ln>
      </c:spPr>
    </c:plotArea>
    <c:plotVisOnly val="1"/>
    <c:dispBlanksAs val="zero"/>
    <c:showDLblsOverMax val="0"/>
  </c:chart>
  <c:spPr>
    <a:solidFill>
      <a:srgbClr val="FFFFFF"/>
    </a:solidFill>
    <a:ln w="9525">
      <a:noFill/>
    </a:ln>
  </c:spPr>
  <c:txPr>
    <a:bodyPr/>
    <a:lstStyle/>
    <a:p>
      <a:pPr>
        <a:defRPr sz="375" b="0" i="0" u="none" strike="noStrike" baseline="0">
          <a:solidFill>
            <a:srgbClr val="000000"/>
          </a:solidFill>
          <a:latin typeface="Arial"/>
          <a:ea typeface="Arial"/>
          <a:cs typeface="Arial"/>
        </a:defRPr>
      </a:pPr>
      <a:endParaRPr lang="es-CO"/>
    </a:p>
  </c:txPr>
  <c:printSettings>
    <c:headerFooter alignWithMargins="0"/>
    <c:pageMargins b="1" l="0.75000000000000133" r="0.75000000000000133" t="1" header="0" footer="0"/>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0"/>
      <c:rAngAx val="0"/>
      <c:perspective val="0"/>
    </c:view3D>
    <c:floor>
      <c:thickness val="0"/>
    </c:floor>
    <c:sideWall>
      <c:thickness val="0"/>
    </c:sideWall>
    <c:backWall>
      <c:thickness val="0"/>
    </c:backWall>
    <c:plotArea>
      <c:layout>
        <c:manualLayout>
          <c:layoutTarget val="inner"/>
          <c:xMode val="edge"/>
          <c:yMode val="edge"/>
          <c:x val="0.44334975369458135"/>
          <c:y val="0"/>
          <c:w val="7.3891625615763554E-2"/>
          <c:h val="0"/>
        </c:manualLayout>
      </c:layout>
      <c:pie3DChart>
        <c:varyColors val="1"/>
        <c:ser>
          <c:idx val="0"/>
          <c:order val="0"/>
          <c:spPr>
            <a:solidFill>
              <a:srgbClr val="8080FF"/>
            </a:solidFill>
            <a:ln w="12700">
              <a:solidFill>
                <a:srgbClr val="000000"/>
              </a:solidFill>
              <a:prstDash val="solid"/>
            </a:ln>
          </c:spPr>
          <c:dPt>
            <c:idx val="0"/>
            <c:bubble3D val="0"/>
            <c:extLst>
              <c:ext xmlns:c16="http://schemas.microsoft.com/office/drawing/2014/chart" uri="{C3380CC4-5D6E-409C-BE32-E72D297353CC}">
                <c16:uniqueId val="{00000000-B626-4116-B23A-10BB03E4CF44}"/>
              </c:ext>
            </c:extLst>
          </c:dPt>
          <c:dLbls>
            <c:dLbl>
              <c:idx val="0"/>
              <c:tx>
                <c:rich>
                  <a:bodyPr/>
                  <a:lstStyle/>
                  <a:p>
                    <a:pPr algn="r">
                      <a:defRPr sz="500" b="0" i="0" u="none" strike="noStrike" baseline="0">
                        <a:solidFill>
                          <a:srgbClr val="000000"/>
                        </a:solidFill>
                        <a:latin typeface="Arial"/>
                        <a:ea typeface="Arial"/>
                        <a:cs typeface="Arial"/>
                      </a:defRPr>
                    </a:pPr>
                    <a:r>
                      <a:rPr lang="es-CO"/>
                      <a:t>79.91%</a:t>
                    </a:r>
                  </a:p>
                </c:rich>
              </c:tx>
              <c:spPr>
                <a:noFill/>
                <a:ln w="25400">
                  <a:noFill/>
                </a:ln>
              </c:spPr>
              <c:dLblPos val="bestFit"/>
              <c:showLegendKey val="0"/>
              <c:showVal val="0"/>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626-4116-B23A-10BB03E4CF44}"/>
                </c:ext>
              </c:extLst>
            </c:dLbl>
            <c:dLbl>
              <c:idx val="1"/>
              <c:tx>
                <c:rich>
                  <a:bodyPr/>
                  <a:lstStyle/>
                  <a:p>
                    <a:pPr algn="r">
                      <a:defRPr sz="500" b="0" i="0" u="none" strike="noStrike" baseline="0">
                        <a:solidFill>
                          <a:srgbClr val="000000"/>
                        </a:solidFill>
                        <a:latin typeface="Arial"/>
                        <a:ea typeface="Arial"/>
                        <a:cs typeface="Arial"/>
                      </a:defRPr>
                    </a:pPr>
                    <a:r>
                      <a:rPr lang="es-CO"/>
                      <a:t>20.09%</a:t>
                    </a:r>
                  </a:p>
                </c:rich>
              </c:tx>
              <c:spPr>
                <a:noFill/>
                <a:ln w="25400">
                  <a:noFill/>
                </a:ln>
              </c:spPr>
              <c:dLblPos val="bestFit"/>
              <c:showLegendKey val="0"/>
              <c:showVal val="0"/>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B626-4116-B23A-10BB03E4CF44}"/>
                </c:ext>
              </c:extLst>
            </c:dLbl>
            <c:dLbl>
              <c:idx val="2"/>
              <c:delete val="1"/>
              <c:extLst>
                <c:ext xmlns:c15="http://schemas.microsoft.com/office/drawing/2012/chart" uri="{CE6537A1-D6FC-4f65-9D91-7224C49458BB}"/>
                <c:ext xmlns:c16="http://schemas.microsoft.com/office/drawing/2014/chart" uri="{C3380CC4-5D6E-409C-BE32-E72D297353CC}">
                  <c16:uniqueId val="{00000002-B626-4116-B23A-10BB03E4CF44}"/>
                </c:ext>
              </c:extLst>
            </c:dLbl>
            <c:spPr>
              <a:noFill/>
              <a:ln w="25400">
                <a:noFill/>
              </a:ln>
            </c:spPr>
            <c:txPr>
              <a:bodyPr wrap="square" lIns="38100" tIns="19050" rIns="38100" bIns="19050" anchor="ctr">
                <a:spAutoFit/>
              </a:bodyPr>
              <a:lstStyle/>
              <a:p>
                <a:pPr algn="r" rtl="1">
                  <a:defRPr sz="500" b="0" i="0" u="none" strike="noStrike" baseline="0">
                    <a:solidFill>
                      <a:srgbClr val="000000"/>
                    </a:solidFill>
                    <a:latin typeface="Arial"/>
                    <a:ea typeface="Arial"/>
                    <a:cs typeface="Arial"/>
                  </a:defRPr>
                </a:pPr>
                <a:endParaRPr lang="es-CO"/>
              </a:p>
            </c:txPr>
            <c:showLegendKey val="0"/>
            <c:showVal val="1"/>
            <c:showCatName val="0"/>
            <c:showSerName val="0"/>
            <c:showPercent val="0"/>
            <c:showBubbleSize val="0"/>
            <c:showLeaderLines val="1"/>
            <c:extLst>
              <c:ext xmlns:c15="http://schemas.microsoft.com/office/drawing/2012/chart" uri="{CE6537A1-D6FC-4f65-9D91-7224C49458BB}"/>
            </c:extLst>
          </c:dLbls>
          <c:val>
            <c:numLit>
              <c:formatCode>General</c:formatCode>
              <c:ptCount val="1"/>
              <c:pt idx="0">
                <c:v>0</c:v>
              </c:pt>
            </c:numLit>
          </c:val>
          <c:extLst>
            <c:ext xmlns:c16="http://schemas.microsoft.com/office/drawing/2014/chart" uri="{C3380CC4-5D6E-409C-BE32-E72D297353CC}">
              <c16:uniqueId val="{00000003-B626-4116-B23A-10BB03E4CF44}"/>
            </c:ext>
          </c:extLst>
        </c:ser>
        <c:dLbls>
          <c:showLegendKey val="0"/>
          <c:showVal val="0"/>
          <c:showCatName val="0"/>
          <c:showSerName val="0"/>
          <c:showPercent val="0"/>
          <c:showBubbleSize val="0"/>
          <c:showLeaderLines val="1"/>
        </c:dLbls>
      </c:pie3DChart>
      <c:spPr>
        <a:noFill/>
        <a:ln w="25400">
          <a:noFill/>
        </a:ln>
      </c:spPr>
    </c:plotArea>
    <c:plotVisOnly val="1"/>
    <c:dispBlanksAs val="zero"/>
    <c:showDLblsOverMax val="0"/>
  </c:chart>
  <c:spPr>
    <a:solidFill>
      <a:srgbClr val="FFFFFF"/>
    </a:solidFill>
    <a:ln w="9525">
      <a:noFill/>
    </a:ln>
  </c:spPr>
  <c:txPr>
    <a:bodyPr/>
    <a:lstStyle/>
    <a:p>
      <a:pPr>
        <a:defRPr sz="350" b="0" i="0" u="none" strike="noStrike" baseline="0">
          <a:solidFill>
            <a:srgbClr val="000000"/>
          </a:solidFill>
          <a:latin typeface="Arial"/>
          <a:ea typeface="Arial"/>
          <a:cs typeface="Arial"/>
        </a:defRPr>
      </a:pPr>
      <a:endParaRPr lang="es-CO"/>
    </a:p>
  </c:txPr>
  <c:printSettings>
    <c:headerFooter alignWithMargins="0"/>
    <c:pageMargins b="1" l="0.75000000000000133" r="0.75000000000000133" t="1" header="0" footer="0"/>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0"/>
      <c:rAngAx val="0"/>
      <c:perspective val="0"/>
    </c:view3D>
    <c:floor>
      <c:thickness val="0"/>
    </c:floor>
    <c:sideWall>
      <c:thickness val="0"/>
    </c:sideWall>
    <c:backWall>
      <c:thickness val="0"/>
    </c:backWall>
    <c:plotArea>
      <c:layout>
        <c:manualLayout>
          <c:layoutTarget val="inner"/>
          <c:xMode val="edge"/>
          <c:yMode val="edge"/>
          <c:x val="0.44651162790697685"/>
          <c:y val="0"/>
          <c:w val="6.9767441860465143E-2"/>
          <c:h val="0"/>
        </c:manualLayout>
      </c:layout>
      <c:pie3DChart>
        <c:varyColors val="1"/>
        <c:ser>
          <c:idx val="0"/>
          <c:order val="0"/>
          <c:spPr>
            <a:solidFill>
              <a:srgbClr val="8080FF"/>
            </a:solidFill>
            <a:ln w="12700">
              <a:solidFill>
                <a:srgbClr val="000000"/>
              </a:solidFill>
              <a:prstDash val="solid"/>
            </a:ln>
          </c:spPr>
          <c:dPt>
            <c:idx val="0"/>
            <c:bubble3D val="0"/>
            <c:extLst>
              <c:ext xmlns:c16="http://schemas.microsoft.com/office/drawing/2014/chart" uri="{C3380CC4-5D6E-409C-BE32-E72D297353CC}">
                <c16:uniqueId val="{00000000-815F-4E73-B4F2-B6FDA6067391}"/>
              </c:ext>
            </c:extLst>
          </c:dPt>
          <c:dLbls>
            <c:dLbl>
              <c:idx val="0"/>
              <c:delete val="1"/>
              <c:extLst>
                <c:ext xmlns:c15="http://schemas.microsoft.com/office/drawing/2012/chart" uri="{CE6537A1-D6FC-4f65-9D91-7224C49458BB}"/>
                <c:ext xmlns:c16="http://schemas.microsoft.com/office/drawing/2014/chart" uri="{C3380CC4-5D6E-409C-BE32-E72D297353CC}">
                  <c16:uniqueId val="{00000000-815F-4E73-B4F2-B6FDA6067391}"/>
                </c:ext>
              </c:extLst>
            </c:dLbl>
            <c:dLbl>
              <c:idx val="1"/>
              <c:numFmt formatCode="0%" sourceLinked="0"/>
              <c:spPr>
                <a:noFill/>
                <a:ln w="25400">
                  <a:noFill/>
                </a:ln>
              </c:spPr>
              <c:txPr>
                <a:bodyPr/>
                <a:lstStyle/>
                <a:p>
                  <a:pPr algn="ctr" rtl="1">
                    <a:defRPr sz="525" b="0" i="0" u="none" strike="noStrike" baseline="0">
                      <a:solidFill>
                        <a:srgbClr val="000000"/>
                      </a:solidFill>
                      <a:latin typeface="Arial"/>
                      <a:ea typeface="Arial"/>
                      <a:cs typeface="Arial"/>
                    </a:defRPr>
                  </a:pPr>
                  <a:endParaRPr lang="es-CO"/>
                </a:p>
              </c:txPr>
              <c:dLblPos val="bestFi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1-815F-4E73-B4F2-B6FDA6067391}"/>
                </c:ext>
              </c:extLst>
            </c:dLbl>
            <c:dLbl>
              <c:idx val="4"/>
              <c:delete val="1"/>
              <c:extLst>
                <c:ext xmlns:c15="http://schemas.microsoft.com/office/drawing/2012/chart" uri="{CE6537A1-D6FC-4f65-9D91-7224C49458BB}"/>
                <c:ext xmlns:c16="http://schemas.microsoft.com/office/drawing/2014/chart" uri="{C3380CC4-5D6E-409C-BE32-E72D297353CC}">
                  <c16:uniqueId val="{00000002-815F-4E73-B4F2-B6FDA6067391}"/>
                </c:ext>
              </c:extLst>
            </c:dLbl>
            <c:numFmt formatCode="0%" sourceLinked="0"/>
            <c:spPr>
              <a:noFill/>
              <a:ln w="25400">
                <a:noFill/>
              </a:ln>
            </c:spPr>
            <c:txPr>
              <a:bodyPr wrap="square" lIns="38100" tIns="19050" rIns="38100" bIns="19050" anchor="ctr">
                <a:spAutoFit/>
              </a:bodyPr>
              <a:lstStyle/>
              <a:p>
                <a:pPr algn="ctr" rtl="1">
                  <a:defRPr sz="525" b="0" i="0" u="none" strike="noStrike" baseline="0">
                    <a:solidFill>
                      <a:srgbClr val="000000"/>
                    </a:solidFill>
                    <a:latin typeface="Arial"/>
                    <a:ea typeface="Arial"/>
                    <a:cs typeface="Arial"/>
                  </a:defRPr>
                </a:pPr>
                <a:endParaRPr lang="es-CO"/>
              </a:p>
            </c:txPr>
            <c:showLegendKey val="0"/>
            <c:showVal val="0"/>
            <c:showCatName val="0"/>
            <c:showSerName val="0"/>
            <c:showPercent val="1"/>
            <c:showBubbleSize val="0"/>
            <c:showLeaderLines val="1"/>
            <c:extLst>
              <c:ext xmlns:c15="http://schemas.microsoft.com/office/drawing/2012/chart" uri="{CE6537A1-D6FC-4f65-9D91-7224C49458BB}"/>
            </c:extLst>
          </c:dLbls>
          <c:val>
            <c:numLit>
              <c:formatCode>General</c:formatCode>
              <c:ptCount val="1"/>
              <c:pt idx="0">
                <c:v>0</c:v>
              </c:pt>
            </c:numLit>
          </c:val>
          <c:extLst>
            <c:ext xmlns:c16="http://schemas.microsoft.com/office/drawing/2014/chart" uri="{C3380CC4-5D6E-409C-BE32-E72D297353CC}">
              <c16:uniqueId val="{00000003-815F-4E73-B4F2-B6FDA6067391}"/>
            </c:ext>
          </c:extLst>
        </c:ser>
        <c:dLbls>
          <c:showLegendKey val="0"/>
          <c:showVal val="0"/>
          <c:showCatName val="0"/>
          <c:showSerName val="0"/>
          <c:showPercent val="0"/>
          <c:showBubbleSize val="0"/>
          <c:showLeaderLines val="1"/>
        </c:dLbls>
      </c:pie3DChart>
      <c:spPr>
        <a:noFill/>
        <a:ln w="25400">
          <a:noFill/>
        </a:ln>
      </c:spPr>
    </c:plotArea>
    <c:plotVisOnly val="1"/>
    <c:dispBlanksAs val="zero"/>
    <c:showDLblsOverMax val="0"/>
  </c:chart>
  <c:spPr>
    <a:solidFill>
      <a:srgbClr val="FFFFFF"/>
    </a:solidFill>
    <a:ln w="3175">
      <a:solidFill>
        <a:srgbClr val="000000"/>
      </a:solidFill>
      <a:prstDash val="solid"/>
    </a:ln>
  </c:spPr>
  <c:txPr>
    <a:bodyPr/>
    <a:lstStyle/>
    <a:p>
      <a:pPr>
        <a:defRPr sz="275" b="0" i="0" u="none" strike="noStrike" baseline="0">
          <a:solidFill>
            <a:srgbClr val="000000"/>
          </a:solidFill>
          <a:latin typeface="Arial"/>
          <a:ea typeface="Arial"/>
          <a:cs typeface="Arial"/>
        </a:defRPr>
      </a:pPr>
      <a:endParaRPr lang="es-CO"/>
    </a:p>
  </c:txPr>
  <c:printSettings>
    <c:headerFooter alignWithMargins="0"/>
    <c:pageMargins b="1" l="0.75000000000000133" r="0.75000000000000133" t="1" header="0" footer="0"/>
    <c:pageSetup paperSize="9" orientation="landscape" horizontalDpi="300" verticalDpi="0"/>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0"/>
      <c:rAngAx val="0"/>
      <c:perspective val="0"/>
    </c:view3D>
    <c:floor>
      <c:thickness val="0"/>
    </c:floor>
    <c:sideWall>
      <c:thickness val="0"/>
    </c:sideWall>
    <c:backWall>
      <c:thickness val="0"/>
    </c:backWall>
    <c:plotArea>
      <c:layout>
        <c:manualLayout>
          <c:layoutTarget val="inner"/>
          <c:xMode val="edge"/>
          <c:yMode val="edge"/>
          <c:x val="0.44444444444444442"/>
          <c:y val="0"/>
          <c:w val="6.9444444444444475E-2"/>
          <c:h val="0"/>
        </c:manualLayout>
      </c:layout>
      <c:pie3DChart>
        <c:varyColors val="1"/>
        <c:ser>
          <c:idx val="0"/>
          <c:order val="0"/>
          <c:spPr>
            <a:solidFill>
              <a:srgbClr val="8080FF"/>
            </a:solidFill>
            <a:ln w="12700">
              <a:solidFill>
                <a:srgbClr val="000000"/>
              </a:solidFill>
              <a:prstDash val="solid"/>
            </a:ln>
          </c:spPr>
          <c:dPt>
            <c:idx val="0"/>
            <c:bubble3D val="0"/>
            <c:extLst>
              <c:ext xmlns:c16="http://schemas.microsoft.com/office/drawing/2014/chart" uri="{C3380CC4-5D6E-409C-BE32-E72D297353CC}">
                <c16:uniqueId val="{00000000-E24A-45D5-8FCC-A74581D8D530}"/>
              </c:ext>
            </c:extLst>
          </c:dPt>
          <c:dLbls>
            <c:dLbl>
              <c:idx val="0"/>
              <c:tx>
                <c:rich>
                  <a:bodyPr/>
                  <a:lstStyle/>
                  <a:p>
                    <a:pPr>
                      <a:defRPr sz="450" b="0" i="0" u="none" strike="noStrike" baseline="0">
                        <a:solidFill>
                          <a:srgbClr val="000000"/>
                        </a:solidFill>
                        <a:latin typeface="Arial"/>
                        <a:ea typeface="Arial"/>
                        <a:cs typeface="Arial"/>
                      </a:defRPr>
                    </a:pPr>
                    <a:r>
                      <a:rPr lang="es-CO"/>
                      <a:t>8%</a:t>
                    </a:r>
                  </a:p>
                </c:rich>
              </c:tx>
              <c:spPr>
                <a:noFill/>
                <a:ln w="25400">
                  <a:noFill/>
                </a:ln>
              </c:spPr>
              <c:dLblPos val="bestFit"/>
              <c:showLegendKey val="0"/>
              <c:showVal val="0"/>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E24A-45D5-8FCC-A74581D8D530}"/>
                </c:ext>
              </c:extLst>
            </c:dLbl>
            <c:dLbl>
              <c:idx val="1"/>
              <c:delete val="1"/>
              <c:extLst>
                <c:ext xmlns:c15="http://schemas.microsoft.com/office/drawing/2012/chart" uri="{CE6537A1-D6FC-4f65-9D91-7224C49458BB}"/>
                <c:ext xmlns:c16="http://schemas.microsoft.com/office/drawing/2014/chart" uri="{C3380CC4-5D6E-409C-BE32-E72D297353CC}">
                  <c16:uniqueId val="{00000001-E24A-45D5-8FCC-A74581D8D530}"/>
                </c:ext>
              </c:extLst>
            </c:dLbl>
            <c:dLbl>
              <c:idx val="4"/>
              <c:delete val="1"/>
              <c:extLst>
                <c:ext xmlns:c15="http://schemas.microsoft.com/office/drawing/2012/chart" uri="{CE6537A1-D6FC-4f65-9D91-7224C49458BB}"/>
                <c:ext xmlns:c16="http://schemas.microsoft.com/office/drawing/2014/chart" uri="{C3380CC4-5D6E-409C-BE32-E72D297353CC}">
                  <c16:uniqueId val="{00000002-E24A-45D5-8FCC-A74581D8D530}"/>
                </c:ext>
              </c:extLst>
            </c:dLbl>
            <c:numFmt formatCode="0%" sourceLinked="0"/>
            <c:spPr>
              <a:noFill/>
              <a:ln w="25400">
                <a:noFill/>
              </a:ln>
            </c:spPr>
            <c:txPr>
              <a:bodyPr wrap="square" lIns="38100" tIns="19050" rIns="38100" bIns="19050" anchor="ctr">
                <a:spAutoFit/>
              </a:bodyPr>
              <a:lstStyle/>
              <a:p>
                <a:pPr algn="ctr" rtl="1">
                  <a:defRPr sz="450" b="0" i="0" u="none" strike="noStrike" baseline="0">
                    <a:solidFill>
                      <a:srgbClr val="000000"/>
                    </a:solidFill>
                    <a:latin typeface="Arial"/>
                    <a:ea typeface="Arial"/>
                    <a:cs typeface="Arial"/>
                  </a:defRPr>
                </a:pPr>
                <a:endParaRPr lang="es-CO"/>
              </a:p>
            </c:txPr>
            <c:showLegendKey val="0"/>
            <c:showVal val="0"/>
            <c:showCatName val="0"/>
            <c:showSerName val="0"/>
            <c:showPercent val="1"/>
            <c:showBubbleSize val="0"/>
            <c:showLeaderLines val="1"/>
            <c:extLst>
              <c:ext xmlns:c15="http://schemas.microsoft.com/office/drawing/2012/chart" uri="{CE6537A1-D6FC-4f65-9D91-7224C49458BB}"/>
            </c:extLst>
          </c:dLbls>
          <c:val>
            <c:numLit>
              <c:formatCode>General</c:formatCode>
              <c:ptCount val="1"/>
              <c:pt idx="0">
                <c:v>0</c:v>
              </c:pt>
            </c:numLit>
          </c:val>
          <c:extLst>
            <c:ext xmlns:c16="http://schemas.microsoft.com/office/drawing/2014/chart" uri="{C3380CC4-5D6E-409C-BE32-E72D297353CC}">
              <c16:uniqueId val="{00000003-E24A-45D5-8FCC-A74581D8D530}"/>
            </c:ext>
          </c:extLst>
        </c:ser>
        <c:dLbls>
          <c:showLegendKey val="0"/>
          <c:showVal val="0"/>
          <c:showCatName val="0"/>
          <c:showSerName val="0"/>
          <c:showPercent val="0"/>
          <c:showBubbleSize val="0"/>
          <c:showLeaderLines val="1"/>
        </c:dLbls>
      </c:pie3DChart>
      <c:spPr>
        <a:noFill/>
        <a:ln w="25400">
          <a:noFill/>
        </a:ln>
      </c:spPr>
    </c:plotArea>
    <c:plotVisOnly val="1"/>
    <c:dispBlanksAs val="zero"/>
    <c:showDLblsOverMax val="0"/>
  </c:chart>
  <c:spPr>
    <a:solidFill>
      <a:srgbClr val="FFFFFF"/>
    </a:solidFill>
    <a:ln w="3175">
      <a:solidFill>
        <a:srgbClr val="000000"/>
      </a:solidFill>
      <a:prstDash val="solid"/>
    </a:ln>
  </c:spPr>
  <c:txPr>
    <a:bodyPr/>
    <a:lstStyle/>
    <a:p>
      <a:pPr>
        <a:defRPr sz="275" b="0" i="0" u="none" strike="noStrike" baseline="0">
          <a:solidFill>
            <a:srgbClr val="000000"/>
          </a:solidFill>
          <a:latin typeface="Arial"/>
          <a:ea typeface="Arial"/>
          <a:cs typeface="Arial"/>
        </a:defRPr>
      </a:pPr>
      <a:endParaRPr lang="es-CO"/>
    </a:p>
  </c:txPr>
  <c:printSettings>
    <c:headerFooter alignWithMargins="0"/>
    <c:pageMargins b="1" l="0.75000000000000133" r="0.75000000000000133" t="1" header="0" footer="0"/>
    <c:pageSetup paperSize="9" orientation="landscape" horizontalDpi="300" verticalDpi="0"/>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30"/>
      <c:rotY val="0"/>
      <c:rAngAx val="0"/>
      <c:perspective val="0"/>
    </c:view3D>
    <c:floor>
      <c:thickness val="0"/>
    </c:floor>
    <c:sideWall>
      <c:thickness val="0"/>
    </c:sideWall>
    <c:backWall>
      <c:thickness val="0"/>
    </c:backWall>
    <c:plotArea>
      <c:layout>
        <c:manualLayout>
          <c:layoutTarget val="inner"/>
          <c:xMode val="edge"/>
          <c:yMode val="edge"/>
          <c:x val="2.5128200815875086E-2"/>
          <c:y val="4.544934008989665E-2"/>
          <c:w val="0.94346154816428096"/>
          <c:h val="0.92046365484268089"/>
        </c:manualLayout>
      </c:layout>
      <c:pie3DChart>
        <c:varyColors val="1"/>
        <c:ser>
          <c:idx val="0"/>
          <c:order val="0"/>
          <c:spPr>
            <a:ln>
              <a:solidFill>
                <a:srgbClr val="000000"/>
              </a:solidFill>
            </a:ln>
          </c:spPr>
          <c:dPt>
            <c:idx val="0"/>
            <c:bubble3D val="0"/>
            <c:spPr>
              <a:solidFill>
                <a:srgbClr val="A6CAF0"/>
              </a:solidFill>
              <a:ln w="12700">
                <a:solidFill>
                  <a:srgbClr val="000000"/>
                </a:solidFill>
                <a:prstDash val="solid"/>
              </a:ln>
            </c:spPr>
            <c:extLst>
              <c:ext xmlns:c16="http://schemas.microsoft.com/office/drawing/2014/chart" uri="{C3380CC4-5D6E-409C-BE32-E72D297353CC}">
                <c16:uniqueId val="{00000001-EA98-4991-BE7A-442FE4AE75D9}"/>
              </c:ext>
            </c:extLst>
          </c:dPt>
          <c:dPt>
            <c:idx val="1"/>
            <c:bubble3D val="0"/>
            <c:spPr>
              <a:solidFill>
                <a:srgbClr val="00FF00"/>
              </a:solidFill>
              <a:ln>
                <a:solidFill>
                  <a:srgbClr val="000000"/>
                </a:solidFill>
              </a:ln>
            </c:spPr>
            <c:extLst>
              <c:ext xmlns:c16="http://schemas.microsoft.com/office/drawing/2014/chart" uri="{C3380CC4-5D6E-409C-BE32-E72D297353CC}">
                <c16:uniqueId val="{00000003-EA98-4991-BE7A-442FE4AE75D9}"/>
              </c:ext>
            </c:extLst>
          </c:dPt>
          <c:dPt>
            <c:idx val="2"/>
            <c:bubble3D val="0"/>
            <c:spPr>
              <a:solidFill>
                <a:srgbClr val="FFFF00"/>
              </a:solidFill>
              <a:ln>
                <a:solidFill>
                  <a:srgbClr val="000000"/>
                </a:solidFill>
              </a:ln>
            </c:spPr>
            <c:extLst>
              <c:ext xmlns:c16="http://schemas.microsoft.com/office/drawing/2014/chart" uri="{C3380CC4-5D6E-409C-BE32-E72D297353CC}">
                <c16:uniqueId val="{00000005-EA98-4991-BE7A-442FE4AE75D9}"/>
              </c:ext>
            </c:extLst>
          </c:dPt>
          <c:dPt>
            <c:idx val="3"/>
            <c:bubble3D val="0"/>
            <c:spPr>
              <a:solidFill>
                <a:srgbClr val="CC9CCC"/>
              </a:solidFill>
              <a:ln>
                <a:solidFill>
                  <a:srgbClr val="000000"/>
                </a:solidFill>
              </a:ln>
            </c:spPr>
            <c:extLst>
              <c:ext xmlns:c16="http://schemas.microsoft.com/office/drawing/2014/chart" uri="{C3380CC4-5D6E-409C-BE32-E72D297353CC}">
                <c16:uniqueId val="{00000007-EA98-4991-BE7A-442FE4AE75D9}"/>
              </c:ext>
            </c:extLst>
          </c:dPt>
          <c:dPt>
            <c:idx val="4"/>
            <c:bubble3D val="0"/>
            <c:spPr>
              <a:solidFill>
                <a:srgbClr val="FF0000"/>
              </a:solidFill>
              <a:ln>
                <a:solidFill>
                  <a:srgbClr val="000000"/>
                </a:solidFill>
              </a:ln>
            </c:spPr>
            <c:extLst>
              <c:ext xmlns:c16="http://schemas.microsoft.com/office/drawing/2014/chart" uri="{C3380CC4-5D6E-409C-BE32-E72D297353CC}">
                <c16:uniqueId val="{00000009-EA98-4991-BE7A-442FE4AE75D9}"/>
              </c:ext>
            </c:extLst>
          </c:dPt>
          <c:dLbls>
            <c:dLbl>
              <c:idx val="0"/>
              <c:layout>
                <c:manualLayout>
                  <c:x val="-7.5646015946119999E-2"/>
                  <c:y val="5.7839552664612583E-2"/>
                </c:manualLayout>
              </c:layout>
              <c:spPr>
                <a:noFill/>
                <a:ln w="25400">
                  <a:noFill/>
                </a:ln>
              </c:spPr>
              <c:txPr>
                <a:bodyPr/>
                <a:lstStyle/>
                <a:p>
                  <a:pPr>
                    <a:defRPr sz="1000" b="0" i="0" u="none" strike="noStrike" baseline="0">
                      <a:solidFill>
                        <a:srgbClr val="000000"/>
                      </a:solidFill>
                      <a:latin typeface="Calibri"/>
                      <a:ea typeface="Calibri"/>
                      <a:cs typeface="Calibri"/>
                    </a:defRPr>
                  </a:pPr>
                  <a:endParaRPr lang="es-CO"/>
                </a:p>
              </c:txPr>
              <c:dLblPos val="bestFi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1-EA98-4991-BE7A-442FE4AE75D9}"/>
                </c:ext>
              </c:extLst>
            </c:dLbl>
            <c:spPr>
              <a:noFill/>
              <a:ln w="25400">
                <a:noFill/>
              </a:ln>
            </c:spPr>
            <c:txPr>
              <a:bodyPr wrap="square" lIns="38100" tIns="19050" rIns="38100" bIns="19050" anchor="ctr">
                <a:spAutoFit/>
              </a:bodyPr>
              <a:lstStyle/>
              <a:p>
                <a:pPr>
                  <a:defRPr sz="1000" b="0" i="0" u="none" strike="noStrike" baseline="0">
                    <a:solidFill>
                      <a:srgbClr val="000000"/>
                    </a:solidFill>
                    <a:latin typeface="Calibri"/>
                    <a:ea typeface="Calibri"/>
                    <a:cs typeface="Calibri"/>
                  </a:defRPr>
                </a:pPr>
                <a:endParaRPr lang="es-CO"/>
              </a:p>
            </c:txPr>
            <c:dLblPos val="ctr"/>
            <c:showLegendKey val="0"/>
            <c:showVal val="0"/>
            <c:showCatName val="0"/>
            <c:showSerName val="0"/>
            <c:showPercent val="1"/>
            <c:showBubbleSize val="0"/>
            <c:showLeaderLines val="0"/>
            <c:extLst>
              <c:ext xmlns:c15="http://schemas.microsoft.com/office/drawing/2012/chart" uri="{CE6537A1-D6FC-4f65-9D91-7224C49458BB}">
                <c15:layout/>
              </c:ext>
            </c:extLst>
          </c:dLbls>
          <c:val>
            <c:numRef>
              <c:f>'TORTA EST.VIAS TEC.'!$L$19:$P$19</c:f>
              <c:numCache>
                <c:formatCode>0%</c:formatCode>
                <c:ptCount val="5"/>
                <c:pt idx="1">
                  <c:v>1</c:v>
                </c:pt>
                <c:pt idx="2">
                  <c:v>0</c:v>
                </c:pt>
              </c:numCache>
            </c:numRef>
          </c:val>
          <c:extLst>
            <c:ext xmlns:c16="http://schemas.microsoft.com/office/drawing/2014/chart" uri="{C3380CC4-5D6E-409C-BE32-E72D297353CC}">
              <c16:uniqueId val="{0000000A-EA98-4991-BE7A-442FE4AE75D9}"/>
            </c:ext>
          </c:extLst>
        </c:ser>
        <c:dLbls>
          <c:showLegendKey val="0"/>
          <c:showVal val="0"/>
          <c:showCatName val="0"/>
          <c:showSerName val="0"/>
          <c:showPercent val="0"/>
          <c:showBubbleSize val="0"/>
          <c:showLeaderLines val="0"/>
        </c:dLbls>
      </c:pie3DChart>
      <c:spPr>
        <a:noFill/>
        <a:ln w="25400">
          <a:noFill/>
        </a:ln>
      </c:spPr>
    </c:plotArea>
    <c:plotVisOnly val="1"/>
    <c:dispBlanksAs val="gap"/>
    <c:showDLblsOverMax val="0"/>
  </c:chart>
  <c:spPr>
    <a:noFill/>
    <a:ln>
      <a:noFill/>
    </a:ln>
  </c:spPr>
  <c:txPr>
    <a:bodyPr/>
    <a:lstStyle/>
    <a:p>
      <a:pPr>
        <a:defRPr sz="1000" b="0" i="0" u="none" strike="noStrike" baseline="0">
          <a:solidFill>
            <a:srgbClr val="000000"/>
          </a:solidFill>
          <a:latin typeface="Calibri"/>
          <a:ea typeface="Calibri"/>
          <a:cs typeface="Calibri"/>
        </a:defRPr>
      </a:pPr>
      <a:endParaRPr lang="es-CO"/>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30"/>
      <c:rotY val="0"/>
      <c:rAngAx val="0"/>
      <c:perspective val="0"/>
    </c:view3D>
    <c:floor>
      <c:thickness val="0"/>
    </c:floor>
    <c:sideWall>
      <c:thickness val="0"/>
    </c:sideWall>
    <c:backWall>
      <c:thickness val="0"/>
    </c:backWall>
    <c:plotArea>
      <c:layout>
        <c:manualLayout>
          <c:layoutTarget val="inner"/>
          <c:xMode val="edge"/>
          <c:yMode val="edge"/>
          <c:x val="2.5128200815875086E-2"/>
          <c:y val="4.544934008989665E-2"/>
          <c:w val="0.94346154816428096"/>
          <c:h val="0.92046365484268089"/>
        </c:manualLayout>
      </c:layout>
      <c:pie3DChart>
        <c:varyColors val="1"/>
        <c:ser>
          <c:idx val="0"/>
          <c:order val="0"/>
          <c:spPr>
            <a:ln>
              <a:solidFill>
                <a:srgbClr val="000000"/>
              </a:solidFill>
            </a:ln>
          </c:spPr>
          <c:dPt>
            <c:idx val="0"/>
            <c:bubble3D val="0"/>
            <c:spPr>
              <a:solidFill>
                <a:srgbClr val="A6CAF0"/>
              </a:solidFill>
              <a:ln w="12700">
                <a:solidFill>
                  <a:srgbClr val="000000"/>
                </a:solidFill>
                <a:prstDash val="solid"/>
              </a:ln>
            </c:spPr>
            <c:extLst>
              <c:ext xmlns:c16="http://schemas.microsoft.com/office/drawing/2014/chart" uri="{C3380CC4-5D6E-409C-BE32-E72D297353CC}">
                <c16:uniqueId val="{00000001-8588-4E58-8AA4-E000D6108144}"/>
              </c:ext>
            </c:extLst>
          </c:dPt>
          <c:dPt>
            <c:idx val="1"/>
            <c:bubble3D val="0"/>
            <c:spPr>
              <a:solidFill>
                <a:srgbClr val="00FF00"/>
              </a:solidFill>
              <a:ln>
                <a:solidFill>
                  <a:srgbClr val="000000"/>
                </a:solidFill>
              </a:ln>
            </c:spPr>
            <c:extLst>
              <c:ext xmlns:c16="http://schemas.microsoft.com/office/drawing/2014/chart" uri="{C3380CC4-5D6E-409C-BE32-E72D297353CC}">
                <c16:uniqueId val="{00000003-8588-4E58-8AA4-E000D6108144}"/>
              </c:ext>
            </c:extLst>
          </c:dPt>
          <c:dPt>
            <c:idx val="2"/>
            <c:bubble3D val="0"/>
            <c:spPr>
              <a:solidFill>
                <a:srgbClr val="FFFF00"/>
              </a:solidFill>
              <a:ln>
                <a:solidFill>
                  <a:srgbClr val="000000"/>
                </a:solidFill>
              </a:ln>
            </c:spPr>
            <c:extLst>
              <c:ext xmlns:c16="http://schemas.microsoft.com/office/drawing/2014/chart" uri="{C3380CC4-5D6E-409C-BE32-E72D297353CC}">
                <c16:uniqueId val="{00000005-8588-4E58-8AA4-E000D6108144}"/>
              </c:ext>
            </c:extLst>
          </c:dPt>
          <c:dPt>
            <c:idx val="3"/>
            <c:bubble3D val="0"/>
            <c:spPr>
              <a:solidFill>
                <a:srgbClr val="CC9CCC"/>
              </a:solidFill>
              <a:ln>
                <a:solidFill>
                  <a:srgbClr val="000000"/>
                </a:solidFill>
              </a:ln>
            </c:spPr>
            <c:extLst>
              <c:ext xmlns:c16="http://schemas.microsoft.com/office/drawing/2014/chart" uri="{C3380CC4-5D6E-409C-BE32-E72D297353CC}">
                <c16:uniqueId val="{00000007-8588-4E58-8AA4-E000D6108144}"/>
              </c:ext>
            </c:extLst>
          </c:dPt>
          <c:dPt>
            <c:idx val="4"/>
            <c:bubble3D val="0"/>
            <c:spPr>
              <a:solidFill>
                <a:srgbClr val="FF0000"/>
              </a:solidFill>
              <a:ln>
                <a:solidFill>
                  <a:srgbClr val="000000"/>
                </a:solidFill>
              </a:ln>
            </c:spPr>
            <c:extLst>
              <c:ext xmlns:c16="http://schemas.microsoft.com/office/drawing/2014/chart" uri="{C3380CC4-5D6E-409C-BE32-E72D297353CC}">
                <c16:uniqueId val="{00000009-8588-4E58-8AA4-E000D6108144}"/>
              </c:ext>
            </c:extLst>
          </c:dPt>
          <c:dLbls>
            <c:dLbl>
              <c:idx val="1"/>
              <c:layout>
                <c:manualLayout>
                  <c:x val="-4.9756813579451197E-7"/>
                  <c:y val="-0.46436060709802585"/>
                </c:manualLayout>
              </c:layout>
              <c:spPr>
                <a:noFill/>
                <a:ln w="25400">
                  <a:noFill/>
                </a:ln>
              </c:spPr>
              <c:txPr>
                <a:bodyPr/>
                <a:lstStyle/>
                <a:p>
                  <a:pPr>
                    <a:defRPr sz="1000" b="0" i="0" u="none" strike="noStrike" baseline="0">
                      <a:solidFill>
                        <a:srgbClr val="000000"/>
                      </a:solidFill>
                      <a:latin typeface="Calibri"/>
                      <a:ea typeface="Calibri"/>
                      <a:cs typeface="Calibri"/>
                    </a:defRPr>
                  </a:pPr>
                  <a:endParaRPr lang="es-CO"/>
                </a:p>
              </c:txPr>
              <c:dLblPos val="bestFit"/>
              <c:showLegendKey val="0"/>
              <c:showVal val="0"/>
              <c:showCatName val="0"/>
              <c:showSerName val="0"/>
              <c:showPercent val="1"/>
              <c:showBubbleSize val="0"/>
              <c:extLst>
                <c:ext xmlns:c15="http://schemas.microsoft.com/office/drawing/2012/chart" uri="{CE6537A1-D6FC-4f65-9D91-7224C49458BB}">
                  <c15:layout/>
                </c:ext>
                <c:ext xmlns:c16="http://schemas.microsoft.com/office/drawing/2014/chart" uri="{C3380CC4-5D6E-409C-BE32-E72D297353CC}">
                  <c16:uniqueId val="{00000003-8588-4E58-8AA4-E000D6108144}"/>
                </c:ext>
              </c:extLst>
            </c:dLbl>
            <c:spPr>
              <a:noFill/>
              <a:ln w="25400">
                <a:noFill/>
              </a:ln>
            </c:spPr>
            <c:txPr>
              <a:bodyPr wrap="square" lIns="38100" tIns="19050" rIns="38100" bIns="19050" anchor="ctr">
                <a:spAutoFit/>
              </a:bodyPr>
              <a:lstStyle/>
              <a:p>
                <a:pPr>
                  <a:defRPr sz="1000" b="0" i="0" u="none" strike="noStrike" baseline="0">
                    <a:solidFill>
                      <a:srgbClr val="000000"/>
                    </a:solidFill>
                    <a:latin typeface="Calibri"/>
                    <a:ea typeface="Calibri"/>
                    <a:cs typeface="Calibri"/>
                  </a:defRPr>
                </a:pPr>
                <a:endParaRPr lang="es-CO"/>
              </a:p>
            </c:txPr>
            <c:dLblPos val="ctr"/>
            <c:showLegendKey val="0"/>
            <c:showVal val="0"/>
            <c:showCatName val="0"/>
            <c:showSerName val="0"/>
            <c:showPercent val="1"/>
            <c:showBubbleSize val="0"/>
            <c:showLeaderLines val="0"/>
            <c:extLst>
              <c:ext xmlns:c15="http://schemas.microsoft.com/office/drawing/2012/chart" uri="{CE6537A1-D6FC-4f65-9D91-7224C49458BB}"/>
            </c:extLst>
          </c:dLbls>
          <c:val>
            <c:numRef>
              <c:f>'TORTA EST.VIAS TEC.'!$R$26:$V$26</c:f>
              <c:numCache>
                <c:formatCode>0.0%</c:formatCode>
                <c:ptCount val="5"/>
                <c:pt idx="1">
                  <c:v>1</c:v>
                </c:pt>
              </c:numCache>
            </c:numRef>
          </c:val>
          <c:extLst>
            <c:ext xmlns:c16="http://schemas.microsoft.com/office/drawing/2014/chart" uri="{C3380CC4-5D6E-409C-BE32-E72D297353CC}">
              <c16:uniqueId val="{0000000A-8588-4E58-8AA4-E000D6108144}"/>
            </c:ext>
          </c:extLst>
        </c:ser>
        <c:dLbls>
          <c:showLegendKey val="0"/>
          <c:showVal val="0"/>
          <c:showCatName val="0"/>
          <c:showSerName val="0"/>
          <c:showPercent val="0"/>
          <c:showBubbleSize val="0"/>
          <c:showLeaderLines val="0"/>
        </c:dLbls>
      </c:pie3DChart>
      <c:spPr>
        <a:noFill/>
        <a:ln w="25400">
          <a:noFill/>
        </a:ln>
      </c:spPr>
    </c:plotArea>
    <c:plotVisOnly val="1"/>
    <c:dispBlanksAs val="gap"/>
    <c:showDLblsOverMax val="0"/>
  </c:chart>
  <c:spPr>
    <a:noFill/>
    <a:ln>
      <a:noFill/>
    </a:ln>
  </c:spPr>
  <c:txPr>
    <a:bodyPr/>
    <a:lstStyle/>
    <a:p>
      <a:pPr>
        <a:defRPr sz="1000" b="0" i="0" u="none" strike="noStrike" baseline="0">
          <a:solidFill>
            <a:srgbClr val="000000"/>
          </a:solidFill>
          <a:latin typeface="Calibri"/>
          <a:ea typeface="Calibri"/>
          <a:cs typeface="Calibri"/>
        </a:defRPr>
      </a:pPr>
      <a:endParaRPr lang="es-CO"/>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30"/>
      <c:rotY val="0"/>
      <c:rAngAx val="0"/>
      <c:perspective val="0"/>
    </c:view3D>
    <c:floor>
      <c:thickness val="0"/>
    </c:floor>
    <c:sideWall>
      <c:thickness val="0"/>
    </c:sideWall>
    <c:backWall>
      <c:thickness val="0"/>
    </c:backWall>
    <c:plotArea>
      <c:layout>
        <c:manualLayout>
          <c:layoutTarget val="inner"/>
          <c:xMode val="edge"/>
          <c:yMode val="edge"/>
          <c:x val="2.5128200815875086E-2"/>
          <c:y val="4.544934008989665E-2"/>
          <c:w val="0.94346154816428096"/>
          <c:h val="0.92046365484268089"/>
        </c:manualLayout>
      </c:layout>
      <c:pie3DChart>
        <c:varyColors val="1"/>
        <c:ser>
          <c:idx val="0"/>
          <c:order val="0"/>
          <c:spPr>
            <a:ln>
              <a:solidFill>
                <a:srgbClr val="000000"/>
              </a:solidFill>
            </a:ln>
          </c:spPr>
          <c:dPt>
            <c:idx val="0"/>
            <c:bubble3D val="0"/>
            <c:spPr>
              <a:solidFill>
                <a:srgbClr val="A6CAF0"/>
              </a:solidFill>
              <a:ln w="12700">
                <a:solidFill>
                  <a:srgbClr val="000000"/>
                </a:solidFill>
                <a:prstDash val="solid"/>
              </a:ln>
            </c:spPr>
            <c:extLst>
              <c:ext xmlns:c16="http://schemas.microsoft.com/office/drawing/2014/chart" uri="{C3380CC4-5D6E-409C-BE32-E72D297353CC}">
                <c16:uniqueId val="{00000001-BC40-48EB-B3B4-58002AD308BE}"/>
              </c:ext>
            </c:extLst>
          </c:dPt>
          <c:dPt>
            <c:idx val="1"/>
            <c:bubble3D val="0"/>
            <c:spPr>
              <a:solidFill>
                <a:srgbClr val="00FF00"/>
              </a:solidFill>
              <a:ln>
                <a:solidFill>
                  <a:srgbClr val="000000"/>
                </a:solidFill>
              </a:ln>
            </c:spPr>
            <c:extLst>
              <c:ext xmlns:c16="http://schemas.microsoft.com/office/drawing/2014/chart" uri="{C3380CC4-5D6E-409C-BE32-E72D297353CC}">
                <c16:uniqueId val="{00000003-BC40-48EB-B3B4-58002AD308BE}"/>
              </c:ext>
            </c:extLst>
          </c:dPt>
          <c:dPt>
            <c:idx val="2"/>
            <c:bubble3D val="0"/>
            <c:spPr>
              <a:solidFill>
                <a:srgbClr val="FFFF00"/>
              </a:solidFill>
              <a:ln>
                <a:solidFill>
                  <a:srgbClr val="000000"/>
                </a:solidFill>
              </a:ln>
            </c:spPr>
            <c:extLst>
              <c:ext xmlns:c16="http://schemas.microsoft.com/office/drawing/2014/chart" uri="{C3380CC4-5D6E-409C-BE32-E72D297353CC}">
                <c16:uniqueId val="{00000005-BC40-48EB-B3B4-58002AD308BE}"/>
              </c:ext>
            </c:extLst>
          </c:dPt>
          <c:dPt>
            <c:idx val="3"/>
            <c:bubble3D val="0"/>
            <c:spPr>
              <a:solidFill>
                <a:srgbClr val="CC9CCC"/>
              </a:solidFill>
              <a:ln>
                <a:solidFill>
                  <a:srgbClr val="000000"/>
                </a:solidFill>
              </a:ln>
            </c:spPr>
            <c:extLst>
              <c:ext xmlns:c16="http://schemas.microsoft.com/office/drawing/2014/chart" uri="{C3380CC4-5D6E-409C-BE32-E72D297353CC}">
                <c16:uniqueId val="{00000007-BC40-48EB-B3B4-58002AD308BE}"/>
              </c:ext>
            </c:extLst>
          </c:dPt>
          <c:dLbls>
            <c:dLbl>
              <c:idx val="1"/>
              <c:delete val="1"/>
              <c:extLst>
                <c:ext xmlns:c15="http://schemas.microsoft.com/office/drawing/2012/chart" uri="{CE6537A1-D6FC-4f65-9D91-7224C49458BB}"/>
                <c:ext xmlns:c16="http://schemas.microsoft.com/office/drawing/2014/chart" uri="{C3380CC4-5D6E-409C-BE32-E72D297353CC}">
                  <c16:uniqueId val="{00000003-BC40-48EB-B3B4-58002AD308BE}"/>
                </c:ext>
              </c:extLst>
            </c:dLbl>
            <c:dLbl>
              <c:idx val="2"/>
              <c:layout>
                <c:manualLayout>
                  <c:x val="0.11294945951661256"/>
                  <c:y val="7.6349195480999638E-2"/>
                </c:manualLayout>
              </c:layout>
              <c:spPr>
                <a:noFill/>
                <a:ln w="25400">
                  <a:noFill/>
                </a:ln>
              </c:spPr>
              <c:txPr>
                <a:bodyPr/>
                <a:lstStyle/>
                <a:p>
                  <a:pPr>
                    <a:defRPr sz="1000" b="0" i="0" u="none" strike="noStrike" baseline="0">
                      <a:solidFill>
                        <a:srgbClr val="000000"/>
                      </a:solidFill>
                      <a:latin typeface="Calibri"/>
                      <a:ea typeface="Calibri"/>
                      <a:cs typeface="Calibri"/>
                    </a:defRPr>
                  </a:pPr>
                  <a:endParaRPr lang="es-CO"/>
                </a:p>
              </c:txPr>
              <c:dLblPos val="bestFit"/>
              <c:showLegendKey val="0"/>
              <c:showVal val="0"/>
              <c:showCatName val="0"/>
              <c:showSerName val="0"/>
              <c:showPercent val="1"/>
              <c:showBubbleSize val="0"/>
              <c:extLst>
                <c:ext xmlns:c15="http://schemas.microsoft.com/office/drawing/2012/chart" uri="{CE6537A1-D6FC-4f65-9D91-7224C49458BB}">
                  <c15:layout/>
                </c:ext>
                <c:ext xmlns:c16="http://schemas.microsoft.com/office/drawing/2014/chart" uri="{C3380CC4-5D6E-409C-BE32-E72D297353CC}">
                  <c16:uniqueId val="{00000005-BC40-48EB-B3B4-58002AD308BE}"/>
                </c:ext>
              </c:extLst>
            </c:dLbl>
            <c:dLbl>
              <c:idx val="3"/>
              <c:layout>
                <c:manualLayout>
                  <c:x val="7.975022079586018E-2"/>
                  <c:y val="3.0950131233595787E-2"/>
                </c:manualLayout>
              </c:layout>
              <c:spPr>
                <a:noFill/>
                <a:ln w="25400">
                  <a:noFill/>
                </a:ln>
              </c:spPr>
              <c:txPr>
                <a:bodyPr/>
                <a:lstStyle/>
                <a:p>
                  <a:pPr>
                    <a:defRPr sz="1000" b="0" i="0" u="none" strike="noStrike" baseline="0">
                      <a:solidFill>
                        <a:srgbClr val="000000"/>
                      </a:solidFill>
                      <a:latin typeface="Calibri"/>
                      <a:ea typeface="Calibri"/>
                      <a:cs typeface="Calibri"/>
                    </a:defRPr>
                  </a:pPr>
                  <a:endParaRPr lang="es-CO"/>
                </a:p>
              </c:txPr>
              <c:dLblPos val="bestFit"/>
              <c:showLegendKey val="0"/>
              <c:showVal val="0"/>
              <c:showCatName val="0"/>
              <c:showSerName val="0"/>
              <c:showPercent val="1"/>
              <c:showBubbleSize val="0"/>
              <c:extLst>
                <c:ext xmlns:c15="http://schemas.microsoft.com/office/drawing/2012/chart" uri="{CE6537A1-D6FC-4f65-9D91-7224C49458BB}">
                  <c15:layout/>
                </c:ext>
                <c:ext xmlns:c16="http://schemas.microsoft.com/office/drawing/2014/chart" uri="{C3380CC4-5D6E-409C-BE32-E72D297353CC}">
                  <c16:uniqueId val="{00000007-BC40-48EB-B3B4-58002AD308BE}"/>
                </c:ext>
              </c:extLst>
            </c:dLbl>
            <c:spPr>
              <a:noFill/>
              <a:ln w="25400">
                <a:noFill/>
              </a:ln>
            </c:spPr>
            <c:txPr>
              <a:bodyPr wrap="square" lIns="38100" tIns="19050" rIns="38100" bIns="19050" anchor="ctr">
                <a:spAutoFit/>
              </a:bodyPr>
              <a:lstStyle/>
              <a:p>
                <a:pPr>
                  <a:defRPr sz="1000" b="0" i="0" u="none" strike="noStrike" baseline="0">
                    <a:solidFill>
                      <a:srgbClr val="000000"/>
                    </a:solidFill>
                    <a:latin typeface="Calibri"/>
                    <a:ea typeface="Calibri"/>
                    <a:cs typeface="Calibri"/>
                  </a:defRPr>
                </a:pPr>
                <a:endParaRPr lang="es-CO"/>
              </a:p>
            </c:txPr>
            <c:dLblPos val="ctr"/>
            <c:showLegendKey val="0"/>
            <c:showVal val="0"/>
            <c:showCatName val="0"/>
            <c:showSerName val="0"/>
            <c:showPercent val="1"/>
            <c:showBubbleSize val="0"/>
            <c:showLeaderLines val="0"/>
            <c:extLst>
              <c:ext xmlns:c15="http://schemas.microsoft.com/office/drawing/2012/chart" uri="{CE6537A1-D6FC-4f65-9D91-7224C49458BB}">
                <c15:layout/>
              </c:ext>
            </c:extLst>
          </c:dLbls>
          <c:val>
            <c:numRef>
              <c:f>'TORTA EST.VIAS TEC.'!$L$40:$O$40</c:f>
              <c:numCache>
                <c:formatCode>0%</c:formatCode>
                <c:ptCount val="4"/>
                <c:pt idx="0">
                  <c:v>0.7</c:v>
                </c:pt>
                <c:pt idx="1">
                  <c:v>0.19</c:v>
                </c:pt>
                <c:pt idx="2">
                  <c:v>0</c:v>
                </c:pt>
                <c:pt idx="3">
                  <c:v>0.11</c:v>
                </c:pt>
              </c:numCache>
            </c:numRef>
          </c:val>
          <c:extLst>
            <c:ext xmlns:c16="http://schemas.microsoft.com/office/drawing/2014/chart" uri="{C3380CC4-5D6E-409C-BE32-E72D297353CC}">
              <c16:uniqueId val="{00000008-BC40-48EB-B3B4-58002AD308BE}"/>
            </c:ext>
          </c:extLst>
        </c:ser>
        <c:dLbls>
          <c:showLegendKey val="0"/>
          <c:showVal val="0"/>
          <c:showCatName val="0"/>
          <c:showSerName val="0"/>
          <c:showPercent val="0"/>
          <c:showBubbleSize val="0"/>
          <c:showLeaderLines val="0"/>
        </c:dLbls>
      </c:pie3DChart>
      <c:spPr>
        <a:noFill/>
        <a:ln w="25400">
          <a:noFill/>
        </a:ln>
      </c:spPr>
    </c:plotArea>
    <c:plotVisOnly val="1"/>
    <c:dispBlanksAs val="gap"/>
    <c:showDLblsOverMax val="0"/>
  </c:chart>
  <c:spPr>
    <a:noFill/>
    <a:ln>
      <a:noFill/>
    </a:ln>
  </c:spPr>
  <c:txPr>
    <a:bodyPr/>
    <a:lstStyle/>
    <a:p>
      <a:pPr>
        <a:defRPr sz="1000" b="0" i="0" u="none" strike="noStrike" baseline="0">
          <a:solidFill>
            <a:srgbClr val="000000"/>
          </a:solidFill>
          <a:latin typeface="Calibri"/>
          <a:ea typeface="Calibri"/>
          <a:cs typeface="Calibri"/>
        </a:defRPr>
      </a:pPr>
      <a:endParaRPr lang="es-CO"/>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30"/>
      <c:rotY val="0"/>
      <c:rAngAx val="0"/>
      <c:perspective val="0"/>
    </c:view3D>
    <c:floor>
      <c:thickness val="0"/>
    </c:floor>
    <c:sideWall>
      <c:thickness val="0"/>
    </c:sideWall>
    <c:backWall>
      <c:thickness val="0"/>
    </c:backWall>
    <c:plotArea>
      <c:layout>
        <c:manualLayout>
          <c:layoutTarget val="inner"/>
          <c:xMode val="edge"/>
          <c:yMode val="edge"/>
          <c:x val="2.5128200815875086E-2"/>
          <c:y val="4.544934008989665E-2"/>
          <c:w val="0.94346154816428096"/>
          <c:h val="0.92046365484268089"/>
        </c:manualLayout>
      </c:layout>
      <c:pie3DChart>
        <c:varyColors val="1"/>
        <c:ser>
          <c:idx val="0"/>
          <c:order val="0"/>
          <c:spPr>
            <a:ln>
              <a:solidFill>
                <a:srgbClr val="000000"/>
              </a:solidFill>
            </a:ln>
          </c:spPr>
          <c:dPt>
            <c:idx val="0"/>
            <c:bubble3D val="0"/>
            <c:spPr>
              <a:solidFill>
                <a:srgbClr val="A6CAF0"/>
              </a:solidFill>
              <a:ln w="12700">
                <a:solidFill>
                  <a:srgbClr val="000000"/>
                </a:solidFill>
                <a:prstDash val="solid"/>
              </a:ln>
            </c:spPr>
            <c:extLst>
              <c:ext xmlns:c16="http://schemas.microsoft.com/office/drawing/2014/chart" uri="{C3380CC4-5D6E-409C-BE32-E72D297353CC}">
                <c16:uniqueId val="{00000001-3EDD-4226-9A5F-16A8ADAB3258}"/>
              </c:ext>
            </c:extLst>
          </c:dPt>
          <c:dPt>
            <c:idx val="1"/>
            <c:bubble3D val="0"/>
            <c:spPr>
              <a:solidFill>
                <a:srgbClr val="00FF00"/>
              </a:solidFill>
              <a:ln>
                <a:solidFill>
                  <a:srgbClr val="000000"/>
                </a:solidFill>
              </a:ln>
            </c:spPr>
            <c:extLst>
              <c:ext xmlns:c16="http://schemas.microsoft.com/office/drawing/2014/chart" uri="{C3380CC4-5D6E-409C-BE32-E72D297353CC}">
                <c16:uniqueId val="{00000003-3EDD-4226-9A5F-16A8ADAB3258}"/>
              </c:ext>
            </c:extLst>
          </c:dPt>
          <c:dPt>
            <c:idx val="2"/>
            <c:bubble3D val="0"/>
            <c:spPr>
              <a:solidFill>
                <a:srgbClr val="FFFF00"/>
              </a:solidFill>
              <a:ln>
                <a:solidFill>
                  <a:srgbClr val="000000"/>
                </a:solidFill>
              </a:ln>
            </c:spPr>
            <c:extLst>
              <c:ext xmlns:c16="http://schemas.microsoft.com/office/drawing/2014/chart" uri="{C3380CC4-5D6E-409C-BE32-E72D297353CC}">
                <c16:uniqueId val="{00000005-3EDD-4226-9A5F-16A8ADAB3258}"/>
              </c:ext>
            </c:extLst>
          </c:dPt>
          <c:dPt>
            <c:idx val="3"/>
            <c:bubble3D val="0"/>
            <c:spPr>
              <a:solidFill>
                <a:srgbClr val="CC9CCC"/>
              </a:solidFill>
              <a:ln>
                <a:solidFill>
                  <a:srgbClr val="000000"/>
                </a:solidFill>
              </a:ln>
            </c:spPr>
            <c:extLst>
              <c:ext xmlns:c16="http://schemas.microsoft.com/office/drawing/2014/chart" uri="{C3380CC4-5D6E-409C-BE32-E72D297353CC}">
                <c16:uniqueId val="{00000007-3EDD-4226-9A5F-16A8ADAB3258}"/>
              </c:ext>
            </c:extLst>
          </c:dPt>
          <c:dLbls>
            <c:spPr>
              <a:noFill/>
              <a:ln w="25400">
                <a:noFill/>
              </a:ln>
            </c:spPr>
            <c:txPr>
              <a:bodyPr wrap="square" lIns="38100" tIns="19050" rIns="38100" bIns="19050" anchor="ctr">
                <a:spAutoFit/>
              </a:bodyPr>
              <a:lstStyle/>
              <a:p>
                <a:pPr>
                  <a:defRPr sz="1000" b="0" i="0" u="none" strike="noStrike" baseline="0">
                    <a:solidFill>
                      <a:srgbClr val="000000"/>
                    </a:solidFill>
                    <a:latin typeface="Calibri"/>
                    <a:ea typeface="Calibri"/>
                    <a:cs typeface="Calibri"/>
                  </a:defRPr>
                </a:pPr>
                <a:endParaRPr lang="es-CO"/>
              </a:p>
            </c:txPr>
            <c:dLblPos val="ctr"/>
            <c:showLegendKey val="0"/>
            <c:showVal val="0"/>
            <c:showCatName val="0"/>
            <c:showSerName val="0"/>
            <c:showPercent val="1"/>
            <c:showBubbleSize val="0"/>
            <c:showLeaderLines val="0"/>
            <c:extLst>
              <c:ext xmlns:c15="http://schemas.microsoft.com/office/drawing/2012/chart" uri="{CE6537A1-D6FC-4f65-9D91-7224C49458BB}">
                <c15:layout/>
              </c:ext>
            </c:extLst>
          </c:dLbls>
          <c:val>
            <c:numRef>
              <c:f>'TORTA EST.VIAS TEC.'!$L$33:$O$33</c:f>
              <c:numCache>
                <c:formatCode>_(* #,##0_);_(* \(#,##0\);_(* "-"??_);_(@_)</c:formatCode>
                <c:ptCount val="4"/>
                <c:pt idx="1">
                  <c:v>25</c:v>
                </c:pt>
                <c:pt idx="2">
                  <c:v>75</c:v>
                </c:pt>
              </c:numCache>
            </c:numRef>
          </c:val>
          <c:extLst>
            <c:ext xmlns:c16="http://schemas.microsoft.com/office/drawing/2014/chart" uri="{C3380CC4-5D6E-409C-BE32-E72D297353CC}">
              <c16:uniqueId val="{00000008-3EDD-4226-9A5F-16A8ADAB3258}"/>
            </c:ext>
          </c:extLst>
        </c:ser>
        <c:dLbls>
          <c:showLegendKey val="0"/>
          <c:showVal val="0"/>
          <c:showCatName val="0"/>
          <c:showSerName val="0"/>
          <c:showPercent val="0"/>
          <c:showBubbleSize val="0"/>
          <c:showLeaderLines val="0"/>
        </c:dLbls>
      </c:pie3DChart>
      <c:spPr>
        <a:noFill/>
        <a:ln w="25400">
          <a:noFill/>
        </a:ln>
      </c:spPr>
    </c:plotArea>
    <c:plotVisOnly val="1"/>
    <c:dispBlanksAs val="gap"/>
    <c:showDLblsOverMax val="0"/>
  </c:chart>
  <c:spPr>
    <a:noFill/>
    <a:ln>
      <a:noFill/>
    </a:ln>
  </c:spPr>
  <c:txPr>
    <a:bodyPr/>
    <a:lstStyle/>
    <a:p>
      <a:pPr>
        <a:defRPr sz="1000" b="0" i="0" u="none" strike="noStrike" baseline="0">
          <a:solidFill>
            <a:srgbClr val="000000"/>
          </a:solidFill>
          <a:latin typeface="Calibri"/>
          <a:ea typeface="Calibri"/>
          <a:cs typeface="Calibri"/>
        </a:defRPr>
      </a:pPr>
      <a:endParaRPr lang="es-CO"/>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30"/>
      <c:rotY val="0"/>
      <c:rAngAx val="0"/>
      <c:perspective val="0"/>
    </c:view3D>
    <c:floor>
      <c:thickness val="0"/>
    </c:floor>
    <c:sideWall>
      <c:thickness val="0"/>
    </c:sideWall>
    <c:backWall>
      <c:thickness val="0"/>
    </c:backWall>
    <c:plotArea>
      <c:layout>
        <c:manualLayout>
          <c:layoutTarget val="inner"/>
          <c:xMode val="edge"/>
          <c:yMode val="edge"/>
          <c:x val="2.5128200815875086E-2"/>
          <c:y val="4.544934008989665E-2"/>
          <c:w val="0.94346154816428096"/>
          <c:h val="0.92046365484268089"/>
        </c:manualLayout>
      </c:layout>
      <c:pie3DChart>
        <c:varyColors val="1"/>
        <c:ser>
          <c:idx val="0"/>
          <c:order val="0"/>
          <c:spPr>
            <a:ln>
              <a:solidFill>
                <a:srgbClr val="000000"/>
              </a:solidFill>
            </a:ln>
          </c:spPr>
          <c:dPt>
            <c:idx val="0"/>
            <c:bubble3D val="0"/>
            <c:spPr>
              <a:solidFill>
                <a:srgbClr val="A6CAF0"/>
              </a:solidFill>
              <a:ln w="12700">
                <a:solidFill>
                  <a:srgbClr val="000000"/>
                </a:solidFill>
                <a:prstDash val="solid"/>
              </a:ln>
            </c:spPr>
            <c:extLst>
              <c:ext xmlns:c16="http://schemas.microsoft.com/office/drawing/2014/chart" uri="{C3380CC4-5D6E-409C-BE32-E72D297353CC}">
                <c16:uniqueId val="{00000001-ED0F-4B99-886C-C65A397CF354}"/>
              </c:ext>
            </c:extLst>
          </c:dPt>
          <c:dPt>
            <c:idx val="1"/>
            <c:bubble3D val="0"/>
            <c:spPr>
              <a:solidFill>
                <a:srgbClr val="00FF00"/>
              </a:solidFill>
              <a:ln>
                <a:solidFill>
                  <a:srgbClr val="000000"/>
                </a:solidFill>
              </a:ln>
            </c:spPr>
            <c:extLst>
              <c:ext xmlns:c16="http://schemas.microsoft.com/office/drawing/2014/chart" uri="{C3380CC4-5D6E-409C-BE32-E72D297353CC}">
                <c16:uniqueId val="{00000003-ED0F-4B99-886C-C65A397CF354}"/>
              </c:ext>
            </c:extLst>
          </c:dPt>
          <c:dPt>
            <c:idx val="2"/>
            <c:bubble3D val="0"/>
            <c:spPr>
              <a:solidFill>
                <a:srgbClr val="FFFF00"/>
              </a:solidFill>
              <a:ln>
                <a:solidFill>
                  <a:srgbClr val="000000"/>
                </a:solidFill>
              </a:ln>
            </c:spPr>
            <c:extLst>
              <c:ext xmlns:c16="http://schemas.microsoft.com/office/drawing/2014/chart" uri="{C3380CC4-5D6E-409C-BE32-E72D297353CC}">
                <c16:uniqueId val="{00000005-ED0F-4B99-886C-C65A397CF354}"/>
              </c:ext>
            </c:extLst>
          </c:dPt>
          <c:dPt>
            <c:idx val="3"/>
            <c:bubble3D val="0"/>
            <c:spPr>
              <a:solidFill>
                <a:srgbClr val="CC9CCC"/>
              </a:solidFill>
              <a:ln>
                <a:solidFill>
                  <a:srgbClr val="000000"/>
                </a:solidFill>
              </a:ln>
            </c:spPr>
            <c:extLst>
              <c:ext xmlns:c16="http://schemas.microsoft.com/office/drawing/2014/chart" uri="{C3380CC4-5D6E-409C-BE32-E72D297353CC}">
                <c16:uniqueId val="{00000007-ED0F-4B99-886C-C65A397CF354}"/>
              </c:ext>
            </c:extLst>
          </c:dPt>
          <c:dLbls>
            <c:spPr>
              <a:noFill/>
              <a:ln w="25400">
                <a:noFill/>
              </a:ln>
            </c:spPr>
            <c:txPr>
              <a:bodyPr wrap="square" lIns="38100" tIns="19050" rIns="38100" bIns="19050" anchor="ctr">
                <a:spAutoFit/>
              </a:bodyPr>
              <a:lstStyle/>
              <a:p>
                <a:pPr>
                  <a:defRPr sz="1000" b="0" i="0" u="none" strike="noStrike" baseline="0">
                    <a:solidFill>
                      <a:srgbClr val="000000"/>
                    </a:solidFill>
                    <a:latin typeface="Calibri"/>
                    <a:ea typeface="Calibri"/>
                    <a:cs typeface="Calibri"/>
                  </a:defRPr>
                </a:pPr>
                <a:endParaRPr lang="es-CO"/>
              </a:p>
            </c:txPr>
            <c:dLblPos val="ctr"/>
            <c:showLegendKey val="0"/>
            <c:showVal val="0"/>
            <c:showCatName val="0"/>
            <c:showSerName val="0"/>
            <c:showPercent val="1"/>
            <c:showBubbleSize val="0"/>
            <c:showLeaderLines val="0"/>
            <c:extLst>
              <c:ext xmlns:c15="http://schemas.microsoft.com/office/drawing/2012/chart" uri="{CE6537A1-D6FC-4f65-9D91-7224C49458BB}">
                <c15:layout/>
              </c:ext>
            </c:extLst>
          </c:dLbls>
          <c:val>
            <c:numRef>
              <c:f>'TORTA EST.VIAS TEC.'!$R$34:$U$34</c:f>
              <c:numCache>
                <c:formatCode>0%</c:formatCode>
                <c:ptCount val="4"/>
                <c:pt idx="1">
                  <c:v>0.75369458128078826</c:v>
                </c:pt>
                <c:pt idx="2">
                  <c:v>0.24630541871921185</c:v>
                </c:pt>
              </c:numCache>
            </c:numRef>
          </c:val>
          <c:extLst>
            <c:ext xmlns:c16="http://schemas.microsoft.com/office/drawing/2014/chart" uri="{C3380CC4-5D6E-409C-BE32-E72D297353CC}">
              <c16:uniqueId val="{00000008-ED0F-4B99-886C-C65A397CF354}"/>
            </c:ext>
          </c:extLst>
        </c:ser>
        <c:dLbls>
          <c:showLegendKey val="0"/>
          <c:showVal val="0"/>
          <c:showCatName val="0"/>
          <c:showSerName val="0"/>
          <c:showPercent val="0"/>
          <c:showBubbleSize val="0"/>
          <c:showLeaderLines val="0"/>
        </c:dLbls>
      </c:pie3DChart>
      <c:spPr>
        <a:noFill/>
        <a:ln w="25400">
          <a:noFill/>
        </a:ln>
      </c:spPr>
    </c:plotArea>
    <c:plotVisOnly val="1"/>
    <c:dispBlanksAs val="gap"/>
    <c:showDLblsOverMax val="0"/>
  </c:chart>
  <c:spPr>
    <a:noFill/>
    <a:ln>
      <a:noFill/>
    </a:ln>
  </c:spPr>
  <c:txPr>
    <a:bodyPr/>
    <a:lstStyle/>
    <a:p>
      <a:pPr>
        <a:defRPr sz="1000" b="0" i="0" u="none" strike="noStrike" baseline="0">
          <a:solidFill>
            <a:srgbClr val="000000"/>
          </a:solidFill>
          <a:latin typeface="Calibri"/>
          <a:ea typeface="Calibri"/>
          <a:cs typeface="Calibri"/>
        </a:defRPr>
      </a:pPr>
      <a:endParaRPr lang="es-CO"/>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30"/>
      <c:rotY val="0"/>
      <c:rAngAx val="0"/>
      <c:perspective val="0"/>
    </c:view3D>
    <c:floor>
      <c:thickness val="0"/>
    </c:floor>
    <c:sideWall>
      <c:thickness val="0"/>
    </c:sideWall>
    <c:backWall>
      <c:thickness val="0"/>
    </c:backWall>
    <c:plotArea>
      <c:layout>
        <c:manualLayout>
          <c:layoutTarget val="inner"/>
          <c:xMode val="edge"/>
          <c:yMode val="edge"/>
          <c:x val="2.5128200815875086E-2"/>
          <c:y val="4.544934008989665E-2"/>
          <c:w val="0.94346154816428096"/>
          <c:h val="0.92046365484268089"/>
        </c:manualLayout>
      </c:layout>
      <c:pie3DChart>
        <c:varyColors val="1"/>
        <c:ser>
          <c:idx val="0"/>
          <c:order val="0"/>
          <c:spPr>
            <a:ln>
              <a:solidFill>
                <a:srgbClr val="000000"/>
              </a:solidFill>
            </a:ln>
          </c:spPr>
          <c:dPt>
            <c:idx val="0"/>
            <c:bubble3D val="0"/>
            <c:spPr>
              <a:solidFill>
                <a:srgbClr val="A6CAF0"/>
              </a:solidFill>
              <a:ln w="12700">
                <a:solidFill>
                  <a:srgbClr val="000000"/>
                </a:solidFill>
                <a:prstDash val="solid"/>
              </a:ln>
            </c:spPr>
            <c:extLst>
              <c:ext xmlns:c16="http://schemas.microsoft.com/office/drawing/2014/chart" uri="{C3380CC4-5D6E-409C-BE32-E72D297353CC}">
                <c16:uniqueId val="{00000001-373A-4D82-B4F3-6EE0CB2CFCFA}"/>
              </c:ext>
            </c:extLst>
          </c:dPt>
          <c:dPt>
            <c:idx val="1"/>
            <c:bubble3D val="0"/>
            <c:spPr>
              <a:solidFill>
                <a:srgbClr val="00FF00"/>
              </a:solidFill>
              <a:ln>
                <a:solidFill>
                  <a:srgbClr val="000000"/>
                </a:solidFill>
              </a:ln>
            </c:spPr>
            <c:extLst>
              <c:ext xmlns:c16="http://schemas.microsoft.com/office/drawing/2014/chart" uri="{C3380CC4-5D6E-409C-BE32-E72D297353CC}">
                <c16:uniqueId val="{00000003-373A-4D82-B4F3-6EE0CB2CFCFA}"/>
              </c:ext>
            </c:extLst>
          </c:dPt>
          <c:dPt>
            <c:idx val="2"/>
            <c:bubble3D val="0"/>
            <c:spPr>
              <a:solidFill>
                <a:srgbClr val="FFFF00"/>
              </a:solidFill>
              <a:ln>
                <a:solidFill>
                  <a:srgbClr val="000000"/>
                </a:solidFill>
              </a:ln>
            </c:spPr>
            <c:extLst>
              <c:ext xmlns:c16="http://schemas.microsoft.com/office/drawing/2014/chart" uri="{C3380CC4-5D6E-409C-BE32-E72D297353CC}">
                <c16:uniqueId val="{00000005-373A-4D82-B4F3-6EE0CB2CFCFA}"/>
              </c:ext>
            </c:extLst>
          </c:dPt>
          <c:dPt>
            <c:idx val="3"/>
            <c:bubble3D val="0"/>
            <c:spPr>
              <a:solidFill>
                <a:srgbClr val="CC9CCC"/>
              </a:solidFill>
              <a:ln>
                <a:solidFill>
                  <a:srgbClr val="000000"/>
                </a:solidFill>
              </a:ln>
            </c:spPr>
            <c:extLst>
              <c:ext xmlns:c16="http://schemas.microsoft.com/office/drawing/2014/chart" uri="{C3380CC4-5D6E-409C-BE32-E72D297353CC}">
                <c16:uniqueId val="{00000007-373A-4D82-B4F3-6EE0CB2CFCFA}"/>
              </c:ext>
            </c:extLst>
          </c:dPt>
          <c:dLbls>
            <c:dLbl>
              <c:idx val="3"/>
              <c:layout>
                <c:manualLayout>
                  <c:x val="2.8151409983704585E-2"/>
                  <c:y val="5.4138537030697244E-2"/>
                </c:manualLayout>
              </c:layout>
              <c:spPr>
                <a:noFill/>
                <a:ln w="25400">
                  <a:noFill/>
                </a:ln>
              </c:spPr>
              <c:txPr>
                <a:bodyPr/>
                <a:lstStyle/>
                <a:p>
                  <a:pPr>
                    <a:defRPr sz="1000" b="0" i="0" u="none" strike="noStrike" baseline="0">
                      <a:solidFill>
                        <a:srgbClr val="000000"/>
                      </a:solidFill>
                      <a:latin typeface="Calibri"/>
                      <a:ea typeface="Calibri"/>
                      <a:cs typeface="Calibri"/>
                    </a:defRPr>
                  </a:pPr>
                  <a:endParaRPr lang="es-CO"/>
                </a:p>
              </c:txPr>
              <c:dLblPos val="bestFit"/>
              <c:showLegendKey val="0"/>
              <c:showVal val="0"/>
              <c:showCatName val="0"/>
              <c:showSerName val="0"/>
              <c:showPercent val="1"/>
              <c:showBubbleSize val="0"/>
              <c:extLst>
                <c:ext xmlns:c15="http://schemas.microsoft.com/office/drawing/2012/chart" uri="{CE6537A1-D6FC-4f65-9D91-7224C49458BB}">
                  <c15:layout/>
                </c:ext>
                <c:ext xmlns:c16="http://schemas.microsoft.com/office/drawing/2014/chart" uri="{C3380CC4-5D6E-409C-BE32-E72D297353CC}">
                  <c16:uniqueId val="{00000007-373A-4D82-B4F3-6EE0CB2CFCFA}"/>
                </c:ext>
              </c:extLst>
            </c:dLbl>
            <c:spPr>
              <a:noFill/>
              <a:ln w="25400">
                <a:noFill/>
              </a:ln>
            </c:spPr>
            <c:txPr>
              <a:bodyPr wrap="square" lIns="38100" tIns="19050" rIns="38100" bIns="19050" anchor="ctr">
                <a:spAutoFit/>
              </a:bodyPr>
              <a:lstStyle/>
              <a:p>
                <a:pPr>
                  <a:defRPr sz="1000" b="0" i="0" u="none" strike="noStrike" baseline="0">
                    <a:solidFill>
                      <a:srgbClr val="000000"/>
                    </a:solidFill>
                    <a:latin typeface="Calibri"/>
                    <a:ea typeface="Calibri"/>
                    <a:cs typeface="Calibri"/>
                  </a:defRPr>
                </a:pPr>
                <a:endParaRPr lang="es-CO"/>
              </a:p>
            </c:txPr>
            <c:dLblPos val="ctr"/>
            <c:showLegendKey val="0"/>
            <c:showVal val="0"/>
            <c:showCatName val="0"/>
            <c:showSerName val="0"/>
            <c:showPercent val="1"/>
            <c:showBubbleSize val="0"/>
            <c:showLeaderLines val="0"/>
            <c:extLst>
              <c:ext xmlns:c15="http://schemas.microsoft.com/office/drawing/2012/chart" uri="{CE6537A1-D6FC-4f65-9D91-7224C49458BB}">
                <c15:layout/>
              </c:ext>
            </c:extLst>
          </c:dLbls>
          <c:val>
            <c:numRef>
              <c:f>'TORTA EST.VIAS TEC.'!$L$47:$O$47</c:f>
              <c:numCache>
                <c:formatCode>0%</c:formatCode>
                <c:ptCount val="4"/>
                <c:pt idx="0">
                  <c:v>0.32</c:v>
                </c:pt>
                <c:pt idx="1">
                  <c:v>0.49</c:v>
                </c:pt>
                <c:pt idx="2">
                  <c:v>0.13</c:v>
                </c:pt>
                <c:pt idx="3">
                  <c:v>0.06</c:v>
                </c:pt>
              </c:numCache>
            </c:numRef>
          </c:val>
          <c:extLst>
            <c:ext xmlns:c16="http://schemas.microsoft.com/office/drawing/2014/chart" uri="{C3380CC4-5D6E-409C-BE32-E72D297353CC}">
              <c16:uniqueId val="{00000008-373A-4D82-B4F3-6EE0CB2CFCFA}"/>
            </c:ext>
          </c:extLst>
        </c:ser>
        <c:dLbls>
          <c:showLegendKey val="0"/>
          <c:showVal val="0"/>
          <c:showCatName val="0"/>
          <c:showSerName val="0"/>
          <c:showPercent val="0"/>
          <c:showBubbleSize val="0"/>
          <c:showLeaderLines val="0"/>
        </c:dLbls>
      </c:pie3DChart>
      <c:spPr>
        <a:noFill/>
        <a:ln w="25400">
          <a:noFill/>
        </a:ln>
      </c:spPr>
    </c:plotArea>
    <c:plotVisOnly val="1"/>
    <c:dispBlanksAs val="gap"/>
    <c:showDLblsOverMax val="0"/>
  </c:chart>
  <c:spPr>
    <a:noFill/>
    <a:ln>
      <a:noFill/>
    </a:ln>
  </c:spPr>
  <c:txPr>
    <a:bodyPr/>
    <a:lstStyle/>
    <a:p>
      <a:pPr>
        <a:defRPr sz="1000" b="0" i="0" u="none" strike="noStrike" baseline="0">
          <a:solidFill>
            <a:srgbClr val="000000"/>
          </a:solidFill>
          <a:latin typeface="Calibri"/>
          <a:ea typeface="Calibri"/>
          <a:cs typeface="Calibri"/>
        </a:defRPr>
      </a:pPr>
      <a:endParaRPr lang="es-CO"/>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30"/>
      <c:rotY val="0"/>
      <c:rAngAx val="0"/>
      <c:perspective val="0"/>
    </c:view3D>
    <c:floor>
      <c:thickness val="0"/>
    </c:floor>
    <c:sideWall>
      <c:thickness val="0"/>
    </c:sideWall>
    <c:backWall>
      <c:thickness val="0"/>
    </c:backWall>
    <c:plotArea>
      <c:layout>
        <c:manualLayout>
          <c:layoutTarget val="inner"/>
          <c:xMode val="edge"/>
          <c:yMode val="edge"/>
          <c:x val="2.5128200815875086E-2"/>
          <c:y val="4.544934008989665E-2"/>
          <c:w val="0.94346154816428096"/>
          <c:h val="0.92046365484268089"/>
        </c:manualLayout>
      </c:layout>
      <c:pie3DChart>
        <c:varyColors val="1"/>
        <c:ser>
          <c:idx val="0"/>
          <c:order val="0"/>
          <c:spPr>
            <a:ln>
              <a:solidFill>
                <a:srgbClr val="000000"/>
              </a:solidFill>
            </a:ln>
          </c:spPr>
          <c:dPt>
            <c:idx val="0"/>
            <c:bubble3D val="0"/>
            <c:spPr>
              <a:solidFill>
                <a:srgbClr val="A6CAF0"/>
              </a:solidFill>
              <a:ln w="12700">
                <a:solidFill>
                  <a:srgbClr val="000000"/>
                </a:solidFill>
                <a:prstDash val="solid"/>
              </a:ln>
            </c:spPr>
            <c:extLst>
              <c:ext xmlns:c16="http://schemas.microsoft.com/office/drawing/2014/chart" uri="{C3380CC4-5D6E-409C-BE32-E72D297353CC}">
                <c16:uniqueId val="{00000001-AD53-4948-9AFB-B3CD47DAB396}"/>
              </c:ext>
            </c:extLst>
          </c:dPt>
          <c:dPt>
            <c:idx val="1"/>
            <c:bubble3D val="0"/>
            <c:spPr>
              <a:solidFill>
                <a:srgbClr val="00FF00"/>
              </a:solidFill>
              <a:ln>
                <a:solidFill>
                  <a:srgbClr val="000000"/>
                </a:solidFill>
              </a:ln>
            </c:spPr>
            <c:extLst>
              <c:ext xmlns:c16="http://schemas.microsoft.com/office/drawing/2014/chart" uri="{C3380CC4-5D6E-409C-BE32-E72D297353CC}">
                <c16:uniqueId val="{00000003-AD53-4948-9AFB-B3CD47DAB396}"/>
              </c:ext>
            </c:extLst>
          </c:dPt>
          <c:dPt>
            <c:idx val="2"/>
            <c:bubble3D val="0"/>
            <c:spPr>
              <a:solidFill>
                <a:srgbClr val="FFFF00"/>
              </a:solidFill>
              <a:ln>
                <a:solidFill>
                  <a:srgbClr val="000000"/>
                </a:solidFill>
              </a:ln>
            </c:spPr>
            <c:extLst>
              <c:ext xmlns:c16="http://schemas.microsoft.com/office/drawing/2014/chart" uri="{C3380CC4-5D6E-409C-BE32-E72D297353CC}">
                <c16:uniqueId val="{00000005-AD53-4948-9AFB-B3CD47DAB396}"/>
              </c:ext>
            </c:extLst>
          </c:dPt>
          <c:dPt>
            <c:idx val="3"/>
            <c:bubble3D val="0"/>
            <c:spPr>
              <a:solidFill>
                <a:srgbClr val="CC9CCC"/>
              </a:solidFill>
              <a:ln>
                <a:solidFill>
                  <a:srgbClr val="000000"/>
                </a:solidFill>
              </a:ln>
            </c:spPr>
            <c:extLst>
              <c:ext xmlns:c16="http://schemas.microsoft.com/office/drawing/2014/chart" uri="{C3380CC4-5D6E-409C-BE32-E72D297353CC}">
                <c16:uniqueId val="{00000007-AD53-4948-9AFB-B3CD47DAB396}"/>
              </c:ext>
            </c:extLst>
          </c:dPt>
          <c:dPt>
            <c:idx val="4"/>
            <c:bubble3D val="0"/>
            <c:spPr>
              <a:solidFill>
                <a:srgbClr val="FF0000"/>
              </a:solidFill>
              <a:ln>
                <a:solidFill>
                  <a:srgbClr val="000000"/>
                </a:solidFill>
              </a:ln>
            </c:spPr>
            <c:extLst>
              <c:ext xmlns:c16="http://schemas.microsoft.com/office/drawing/2014/chart" uri="{C3380CC4-5D6E-409C-BE32-E72D297353CC}">
                <c16:uniqueId val="{00000009-AD53-4948-9AFB-B3CD47DAB396}"/>
              </c:ext>
            </c:extLst>
          </c:dPt>
          <c:dLbls>
            <c:dLbl>
              <c:idx val="0"/>
              <c:layout>
                <c:manualLayout>
                  <c:x val="-8.1935324122220571E-2"/>
                  <c:y val="5.7839552664612583E-2"/>
                </c:manualLayout>
              </c:layout>
              <c:spPr>
                <a:noFill/>
                <a:ln w="25400">
                  <a:noFill/>
                </a:ln>
              </c:spPr>
              <c:txPr>
                <a:bodyPr/>
                <a:lstStyle/>
                <a:p>
                  <a:pPr>
                    <a:defRPr sz="1000" b="0" i="0" u="none" strike="noStrike" baseline="0">
                      <a:solidFill>
                        <a:srgbClr val="000000"/>
                      </a:solidFill>
                      <a:latin typeface="Calibri"/>
                      <a:ea typeface="Calibri"/>
                      <a:cs typeface="Calibri"/>
                    </a:defRPr>
                  </a:pPr>
                  <a:endParaRPr lang="es-CO"/>
                </a:p>
              </c:txPr>
              <c:dLblPos val="bestFi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1-AD53-4948-9AFB-B3CD47DAB396}"/>
                </c:ext>
              </c:extLst>
            </c:dLbl>
            <c:dLbl>
              <c:idx val="3"/>
              <c:delete val="1"/>
              <c:extLst>
                <c:ext xmlns:c15="http://schemas.microsoft.com/office/drawing/2012/chart" uri="{CE6537A1-D6FC-4f65-9D91-7224C49458BB}"/>
                <c:ext xmlns:c16="http://schemas.microsoft.com/office/drawing/2014/chart" uri="{C3380CC4-5D6E-409C-BE32-E72D297353CC}">
                  <c16:uniqueId val="{00000007-AD53-4948-9AFB-B3CD47DAB396}"/>
                </c:ext>
              </c:extLst>
            </c:dLbl>
            <c:spPr>
              <a:noFill/>
              <a:ln w="25400">
                <a:noFill/>
              </a:ln>
            </c:spPr>
            <c:txPr>
              <a:bodyPr wrap="square" lIns="38100" tIns="19050" rIns="38100" bIns="19050" anchor="ctr">
                <a:spAutoFit/>
              </a:bodyPr>
              <a:lstStyle/>
              <a:p>
                <a:pPr>
                  <a:defRPr sz="1000" b="0" i="0" u="none" strike="noStrike" baseline="0">
                    <a:solidFill>
                      <a:srgbClr val="000000"/>
                    </a:solidFill>
                    <a:latin typeface="Calibri"/>
                    <a:ea typeface="Calibri"/>
                    <a:cs typeface="Calibri"/>
                  </a:defRPr>
                </a:pPr>
                <a:endParaRPr lang="es-CO"/>
              </a:p>
            </c:txPr>
            <c:dLblPos val="ctr"/>
            <c:showLegendKey val="0"/>
            <c:showVal val="0"/>
            <c:showCatName val="0"/>
            <c:showSerName val="0"/>
            <c:showPercent val="1"/>
            <c:showBubbleSize val="0"/>
            <c:showLeaderLines val="0"/>
            <c:extLst>
              <c:ext xmlns:c15="http://schemas.microsoft.com/office/drawing/2012/chart" uri="{CE6537A1-D6FC-4f65-9D91-7224C49458BB}">
                <c15:layout/>
              </c:ext>
            </c:extLst>
          </c:dLbls>
          <c:val>
            <c:numRef>
              <c:f>'TORTA EST.VIAS TEC.'!$R$19:$V$19</c:f>
              <c:numCache>
                <c:formatCode>0%</c:formatCode>
                <c:ptCount val="5"/>
                <c:pt idx="1">
                  <c:v>1</c:v>
                </c:pt>
                <c:pt idx="2">
                  <c:v>0</c:v>
                </c:pt>
              </c:numCache>
            </c:numRef>
          </c:val>
          <c:extLst>
            <c:ext xmlns:c16="http://schemas.microsoft.com/office/drawing/2014/chart" uri="{C3380CC4-5D6E-409C-BE32-E72D297353CC}">
              <c16:uniqueId val="{0000000A-AD53-4948-9AFB-B3CD47DAB396}"/>
            </c:ext>
          </c:extLst>
        </c:ser>
        <c:dLbls>
          <c:showLegendKey val="0"/>
          <c:showVal val="0"/>
          <c:showCatName val="0"/>
          <c:showSerName val="0"/>
          <c:showPercent val="0"/>
          <c:showBubbleSize val="0"/>
          <c:showLeaderLines val="0"/>
        </c:dLbls>
      </c:pie3DChart>
      <c:spPr>
        <a:noFill/>
        <a:ln w="25400">
          <a:noFill/>
        </a:ln>
      </c:spPr>
    </c:plotArea>
    <c:plotVisOnly val="1"/>
    <c:dispBlanksAs val="gap"/>
    <c:showDLblsOverMax val="0"/>
  </c:chart>
  <c:spPr>
    <a:noFill/>
    <a:ln>
      <a:noFill/>
    </a:ln>
  </c:spPr>
  <c:txPr>
    <a:bodyPr/>
    <a:lstStyle/>
    <a:p>
      <a:pPr>
        <a:defRPr sz="1000" b="0" i="0" u="none" strike="noStrike" baseline="0">
          <a:solidFill>
            <a:srgbClr val="000000"/>
          </a:solidFill>
          <a:latin typeface="Calibri"/>
          <a:ea typeface="Calibri"/>
          <a:cs typeface="Calibri"/>
        </a:defRPr>
      </a:pPr>
      <a:endParaRPr lang="es-CO"/>
    </a:p>
  </c:txPr>
  <c:printSettings>
    <c:headerFooter/>
    <c:pageMargins b="0.75" l="0.7" r="0.7" t="0.75" header="0.3" footer="0.3"/>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rAngAx val="0"/>
      <c:perspective val="0"/>
    </c:view3D>
    <c:floor>
      <c:thickness val="0"/>
    </c:floor>
    <c:sideWall>
      <c:thickness val="0"/>
    </c:sideWall>
    <c:backWall>
      <c:thickness val="0"/>
    </c:backWall>
    <c:plotArea>
      <c:layout>
        <c:manualLayout>
          <c:layoutTarget val="inner"/>
          <c:xMode val="edge"/>
          <c:yMode val="edge"/>
          <c:x val="2.5128200815875086E-2"/>
          <c:y val="4.544934008989665E-2"/>
          <c:w val="0.94346154816428096"/>
          <c:h val="0.92046365484268089"/>
        </c:manualLayout>
      </c:layout>
      <c:pie3DChart>
        <c:varyColors val="1"/>
        <c:ser>
          <c:idx val="0"/>
          <c:order val="0"/>
          <c:spPr>
            <a:ln>
              <a:solidFill>
                <a:srgbClr val="000000"/>
              </a:solidFill>
            </a:ln>
          </c:spPr>
          <c:dPt>
            <c:idx val="0"/>
            <c:bubble3D val="0"/>
            <c:spPr>
              <a:solidFill>
                <a:srgbClr val="A6CAF0"/>
              </a:solidFill>
              <a:ln w="12700">
                <a:solidFill>
                  <a:srgbClr val="000000"/>
                </a:solidFill>
                <a:prstDash val="solid"/>
              </a:ln>
            </c:spPr>
            <c:extLst>
              <c:ext xmlns:c16="http://schemas.microsoft.com/office/drawing/2014/chart" uri="{C3380CC4-5D6E-409C-BE32-E72D297353CC}">
                <c16:uniqueId val="{00000001-A185-42CB-A98D-9C893B211510}"/>
              </c:ext>
            </c:extLst>
          </c:dPt>
          <c:dPt>
            <c:idx val="1"/>
            <c:bubble3D val="0"/>
            <c:spPr>
              <a:solidFill>
                <a:srgbClr val="00FF00"/>
              </a:solidFill>
              <a:ln>
                <a:solidFill>
                  <a:srgbClr val="000000"/>
                </a:solidFill>
              </a:ln>
            </c:spPr>
            <c:extLst>
              <c:ext xmlns:c16="http://schemas.microsoft.com/office/drawing/2014/chart" uri="{C3380CC4-5D6E-409C-BE32-E72D297353CC}">
                <c16:uniqueId val="{00000003-A185-42CB-A98D-9C893B211510}"/>
              </c:ext>
            </c:extLst>
          </c:dPt>
          <c:dPt>
            <c:idx val="2"/>
            <c:bubble3D val="0"/>
            <c:spPr>
              <a:solidFill>
                <a:srgbClr val="FFFF00"/>
              </a:solidFill>
              <a:ln>
                <a:solidFill>
                  <a:srgbClr val="000000"/>
                </a:solidFill>
              </a:ln>
            </c:spPr>
            <c:extLst>
              <c:ext xmlns:c16="http://schemas.microsoft.com/office/drawing/2014/chart" uri="{C3380CC4-5D6E-409C-BE32-E72D297353CC}">
                <c16:uniqueId val="{00000005-A185-42CB-A98D-9C893B211510}"/>
              </c:ext>
            </c:extLst>
          </c:dPt>
          <c:dPt>
            <c:idx val="3"/>
            <c:bubble3D val="0"/>
            <c:spPr>
              <a:solidFill>
                <a:srgbClr val="CC9CCC"/>
              </a:solidFill>
              <a:ln>
                <a:solidFill>
                  <a:srgbClr val="000000"/>
                </a:solidFill>
              </a:ln>
            </c:spPr>
            <c:extLst>
              <c:ext xmlns:c16="http://schemas.microsoft.com/office/drawing/2014/chart" uri="{C3380CC4-5D6E-409C-BE32-E72D297353CC}">
                <c16:uniqueId val="{00000007-A185-42CB-A98D-9C893B211510}"/>
              </c:ext>
            </c:extLst>
          </c:dPt>
          <c:dLbls>
            <c:spPr>
              <a:noFill/>
              <a:ln>
                <a:noFill/>
              </a:ln>
              <a:effectLst/>
            </c:spPr>
            <c:dLblPos val="bestFit"/>
            <c:showLegendKey val="0"/>
            <c:showVal val="1"/>
            <c:showCatName val="0"/>
            <c:showSerName val="0"/>
            <c:showPercent val="0"/>
            <c:showBubbleSize val="0"/>
            <c:showLeaderLines val="1"/>
            <c:extLst>
              <c:ext xmlns:c15="http://schemas.microsoft.com/office/drawing/2012/chart" uri="{CE6537A1-D6FC-4f65-9D91-7224C49458BB}">
                <c15:layout/>
              </c:ext>
            </c:extLst>
          </c:dLbls>
          <c:val>
            <c:numRef>
              <c:f>'TORTA EST.VIAS TEC.'!$R$40:$U$40</c:f>
              <c:numCache>
                <c:formatCode>0%</c:formatCode>
                <c:ptCount val="4"/>
                <c:pt idx="0">
                  <c:v>0.70187307799832255</c:v>
                </c:pt>
                <c:pt idx="1">
                  <c:v>0.18652502096729104</c:v>
                </c:pt>
                <c:pt idx="3">
                  <c:v>0.11160190103438634</c:v>
                </c:pt>
              </c:numCache>
            </c:numRef>
          </c:val>
          <c:extLst>
            <c:ext xmlns:c16="http://schemas.microsoft.com/office/drawing/2014/chart" uri="{C3380CC4-5D6E-409C-BE32-E72D297353CC}">
              <c16:uniqueId val="{00000008-A185-42CB-A98D-9C893B211510}"/>
            </c:ext>
          </c:extLst>
        </c:ser>
        <c:dLbls>
          <c:dLblPos val="bestFit"/>
          <c:showLegendKey val="0"/>
          <c:showVal val="1"/>
          <c:showCatName val="0"/>
          <c:showSerName val="0"/>
          <c:showPercent val="0"/>
          <c:showBubbleSize val="0"/>
          <c:showLeaderLines val="1"/>
        </c:dLbls>
      </c:pie3DChart>
      <c:spPr>
        <a:noFill/>
        <a:ln w="25400">
          <a:noFill/>
        </a:ln>
      </c:spPr>
    </c:plotArea>
    <c:plotVisOnly val="1"/>
    <c:dispBlanksAs val="gap"/>
    <c:showDLblsOverMax val="0"/>
  </c:chart>
  <c:spPr>
    <a:noFill/>
    <a:ln>
      <a:noFill/>
    </a:ln>
  </c:spPr>
  <c:txPr>
    <a:bodyPr/>
    <a:lstStyle/>
    <a:p>
      <a:pPr>
        <a:defRPr sz="1000" b="0" i="0" u="none" strike="noStrike" baseline="0">
          <a:solidFill>
            <a:srgbClr val="000000"/>
          </a:solidFill>
          <a:latin typeface="Calibri"/>
          <a:ea typeface="Calibri"/>
          <a:cs typeface="Calibri"/>
        </a:defRPr>
      </a:pPr>
      <a:endParaRPr lang="es-CO"/>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30"/>
      <c:rotY val="0"/>
      <c:rAngAx val="0"/>
      <c:perspective val="0"/>
    </c:view3D>
    <c:floor>
      <c:thickness val="0"/>
    </c:floor>
    <c:sideWall>
      <c:thickness val="0"/>
    </c:sideWall>
    <c:backWall>
      <c:thickness val="0"/>
    </c:backWall>
    <c:plotArea>
      <c:layout>
        <c:manualLayout>
          <c:layoutTarget val="inner"/>
          <c:xMode val="edge"/>
          <c:yMode val="edge"/>
          <c:x val="2.5128200815875086E-2"/>
          <c:y val="4.544934008989665E-2"/>
          <c:w val="0.94346154816428096"/>
          <c:h val="0.92046365484268089"/>
        </c:manualLayout>
      </c:layout>
      <c:pie3DChart>
        <c:varyColors val="0"/>
        <c:dLbls>
          <c:showLegendKey val="0"/>
          <c:showVal val="0"/>
          <c:showCatName val="0"/>
          <c:showSerName val="0"/>
          <c:showPercent val="0"/>
          <c:showBubbleSize val="0"/>
          <c:showLeaderLines val="0"/>
        </c:dLbls>
      </c:pie3DChart>
      <c:spPr>
        <a:noFill/>
        <a:ln w="25400">
          <a:noFill/>
        </a:ln>
      </c:spPr>
    </c:plotArea>
    <c:plotVisOnly val="1"/>
    <c:dispBlanksAs val="gap"/>
    <c:showDLblsOverMax val="0"/>
  </c:chart>
  <c:spPr>
    <a:noFill/>
    <a:ln>
      <a:noFill/>
    </a:ln>
  </c:spPr>
  <c:txPr>
    <a:bodyPr/>
    <a:lstStyle/>
    <a:p>
      <a:pPr>
        <a:defRPr sz="1000" b="0" i="0" u="none" strike="noStrike" baseline="0">
          <a:solidFill>
            <a:srgbClr val="000000"/>
          </a:solidFill>
          <a:latin typeface="Calibri"/>
          <a:ea typeface="Calibri"/>
          <a:cs typeface="Calibri"/>
        </a:defRPr>
      </a:pPr>
      <a:endParaRPr lang="es-CO"/>
    </a:p>
  </c:txPr>
  <c:printSettings>
    <c:headerFooter/>
    <c:pageMargins b="0.75" l="0.7" r="0.7" t="0.75"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30"/>
      <c:rotY val="0"/>
      <c:rAngAx val="0"/>
      <c:perspective val="0"/>
    </c:view3D>
    <c:floor>
      <c:thickness val="0"/>
    </c:floor>
    <c:sideWall>
      <c:thickness val="0"/>
    </c:sideWall>
    <c:backWall>
      <c:thickness val="0"/>
    </c:backWall>
    <c:plotArea>
      <c:layout>
        <c:manualLayout>
          <c:layoutTarget val="inner"/>
          <c:xMode val="edge"/>
          <c:yMode val="edge"/>
          <c:x val="2.5128200815875086E-2"/>
          <c:y val="4.544934008989665E-2"/>
          <c:w val="0.94346154816428096"/>
          <c:h val="0.92046365484268089"/>
        </c:manualLayout>
      </c:layout>
      <c:pie3DChart>
        <c:varyColors val="1"/>
        <c:ser>
          <c:idx val="0"/>
          <c:order val="0"/>
          <c:spPr>
            <a:ln>
              <a:solidFill>
                <a:srgbClr val="000000"/>
              </a:solidFill>
            </a:ln>
          </c:spPr>
          <c:dPt>
            <c:idx val="0"/>
            <c:bubble3D val="0"/>
            <c:spPr>
              <a:solidFill>
                <a:srgbClr val="A6CAF0"/>
              </a:solidFill>
              <a:ln w="12700">
                <a:solidFill>
                  <a:srgbClr val="000000"/>
                </a:solidFill>
                <a:prstDash val="solid"/>
              </a:ln>
            </c:spPr>
            <c:extLst>
              <c:ext xmlns:c16="http://schemas.microsoft.com/office/drawing/2014/chart" uri="{C3380CC4-5D6E-409C-BE32-E72D297353CC}">
                <c16:uniqueId val="{00000001-E875-42C4-A353-31678D0F617A}"/>
              </c:ext>
            </c:extLst>
          </c:dPt>
          <c:dPt>
            <c:idx val="1"/>
            <c:bubble3D val="0"/>
            <c:spPr>
              <a:solidFill>
                <a:srgbClr val="00FF00"/>
              </a:solidFill>
              <a:ln>
                <a:solidFill>
                  <a:srgbClr val="000000"/>
                </a:solidFill>
              </a:ln>
            </c:spPr>
            <c:extLst>
              <c:ext xmlns:c16="http://schemas.microsoft.com/office/drawing/2014/chart" uri="{C3380CC4-5D6E-409C-BE32-E72D297353CC}">
                <c16:uniqueId val="{00000003-E875-42C4-A353-31678D0F617A}"/>
              </c:ext>
            </c:extLst>
          </c:dPt>
          <c:dPt>
            <c:idx val="2"/>
            <c:bubble3D val="0"/>
            <c:spPr>
              <a:solidFill>
                <a:srgbClr val="FFFF00"/>
              </a:solidFill>
              <a:ln>
                <a:solidFill>
                  <a:srgbClr val="000000"/>
                </a:solidFill>
              </a:ln>
            </c:spPr>
            <c:extLst>
              <c:ext xmlns:c16="http://schemas.microsoft.com/office/drawing/2014/chart" uri="{C3380CC4-5D6E-409C-BE32-E72D297353CC}">
                <c16:uniqueId val="{00000005-E875-42C4-A353-31678D0F617A}"/>
              </c:ext>
            </c:extLst>
          </c:dPt>
          <c:dPt>
            <c:idx val="3"/>
            <c:bubble3D val="0"/>
            <c:spPr>
              <a:solidFill>
                <a:srgbClr val="CC9CCC"/>
              </a:solidFill>
              <a:ln>
                <a:solidFill>
                  <a:srgbClr val="000000"/>
                </a:solidFill>
              </a:ln>
            </c:spPr>
            <c:extLst>
              <c:ext xmlns:c16="http://schemas.microsoft.com/office/drawing/2014/chart" uri="{C3380CC4-5D6E-409C-BE32-E72D297353CC}">
                <c16:uniqueId val="{00000007-E875-42C4-A353-31678D0F617A}"/>
              </c:ext>
            </c:extLst>
          </c:dPt>
          <c:dLbls>
            <c:dLbl>
              <c:idx val="3"/>
              <c:layout>
                <c:manualLayout>
                  <c:x val="5.138357705286839E-2"/>
                  <c:y val="6.5732739929247955E-2"/>
                </c:manualLayout>
              </c:layout>
              <c:spPr>
                <a:noFill/>
                <a:ln w="25400">
                  <a:noFill/>
                </a:ln>
              </c:spPr>
              <c:txPr>
                <a:bodyPr/>
                <a:lstStyle/>
                <a:p>
                  <a:pPr>
                    <a:defRPr sz="1000" b="0" i="0" u="none" strike="noStrike" baseline="0">
                      <a:solidFill>
                        <a:srgbClr val="000000"/>
                      </a:solidFill>
                      <a:latin typeface="Calibri"/>
                      <a:ea typeface="Calibri"/>
                      <a:cs typeface="Calibri"/>
                    </a:defRPr>
                  </a:pPr>
                  <a:endParaRPr lang="es-CO"/>
                </a:p>
              </c:txPr>
              <c:dLblPos val="bestFit"/>
              <c:showLegendKey val="0"/>
              <c:showVal val="0"/>
              <c:showCatName val="0"/>
              <c:showSerName val="0"/>
              <c:showPercent val="1"/>
              <c:showBubbleSize val="0"/>
              <c:extLst>
                <c:ext xmlns:c15="http://schemas.microsoft.com/office/drawing/2012/chart" uri="{CE6537A1-D6FC-4f65-9D91-7224C49458BB}">
                  <c15:layout/>
                </c:ext>
                <c:ext xmlns:c16="http://schemas.microsoft.com/office/drawing/2014/chart" uri="{C3380CC4-5D6E-409C-BE32-E72D297353CC}">
                  <c16:uniqueId val="{00000007-E875-42C4-A353-31678D0F617A}"/>
                </c:ext>
              </c:extLst>
            </c:dLbl>
            <c:spPr>
              <a:noFill/>
              <a:ln w="25400">
                <a:noFill/>
              </a:ln>
            </c:spPr>
            <c:txPr>
              <a:bodyPr wrap="square" lIns="38100" tIns="19050" rIns="38100" bIns="19050" anchor="ctr">
                <a:spAutoFit/>
              </a:bodyPr>
              <a:lstStyle/>
              <a:p>
                <a:pPr>
                  <a:defRPr sz="1000" b="0" i="0" u="none" strike="noStrike" baseline="0">
                    <a:solidFill>
                      <a:srgbClr val="000000"/>
                    </a:solidFill>
                    <a:latin typeface="Calibri"/>
                    <a:ea typeface="Calibri"/>
                    <a:cs typeface="Calibri"/>
                  </a:defRPr>
                </a:pPr>
                <a:endParaRPr lang="es-CO"/>
              </a:p>
            </c:txPr>
            <c:dLblPos val="ctr"/>
            <c:showLegendKey val="0"/>
            <c:showVal val="0"/>
            <c:showCatName val="0"/>
            <c:showSerName val="0"/>
            <c:showPercent val="1"/>
            <c:showBubbleSize val="0"/>
            <c:showLeaderLines val="0"/>
            <c:extLst>
              <c:ext xmlns:c15="http://schemas.microsoft.com/office/drawing/2012/chart" uri="{CE6537A1-D6FC-4f65-9D91-7224C49458BB}">
                <c15:layout/>
              </c:ext>
            </c:extLst>
          </c:dLbls>
          <c:val>
            <c:numRef>
              <c:f>'TORTA EST.VIAS TEC.'!$R$47:$U$47</c:f>
              <c:numCache>
                <c:formatCode>0%</c:formatCode>
                <c:ptCount val="4"/>
                <c:pt idx="0">
                  <c:v>0.31945499218226486</c:v>
                </c:pt>
                <c:pt idx="1">
                  <c:v>0.48659816841635012</c:v>
                </c:pt>
                <c:pt idx="2">
                  <c:v>0.12979673888764798</c:v>
                </c:pt>
                <c:pt idx="3">
                  <c:v>6.4150100513736874E-2</c:v>
                </c:pt>
              </c:numCache>
            </c:numRef>
          </c:val>
          <c:extLst>
            <c:ext xmlns:c16="http://schemas.microsoft.com/office/drawing/2014/chart" uri="{C3380CC4-5D6E-409C-BE32-E72D297353CC}">
              <c16:uniqueId val="{00000008-E875-42C4-A353-31678D0F617A}"/>
            </c:ext>
          </c:extLst>
        </c:ser>
        <c:dLbls>
          <c:showLegendKey val="0"/>
          <c:showVal val="0"/>
          <c:showCatName val="0"/>
          <c:showSerName val="0"/>
          <c:showPercent val="0"/>
          <c:showBubbleSize val="0"/>
          <c:showLeaderLines val="0"/>
        </c:dLbls>
      </c:pie3DChart>
      <c:spPr>
        <a:noFill/>
        <a:ln w="25400">
          <a:noFill/>
        </a:ln>
      </c:spPr>
    </c:plotArea>
    <c:plotVisOnly val="1"/>
    <c:dispBlanksAs val="gap"/>
    <c:showDLblsOverMax val="0"/>
  </c:chart>
  <c:spPr>
    <a:noFill/>
    <a:ln>
      <a:noFill/>
    </a:ln>
  </c:spPr>
  <c:txPr>
    <a:bodyPr/>
    <a:lstStyle/>
    <a:p>
      <a:pPr>
        <a:defRPr sz="1000" b="0" i="0" u="none" strike="noStrike" baseline="0">
          <a:solidFill>
            <a:srgbClr val="000000"/>
          </a:solidFill>
          <a:latin typeface="Calibri"/>
          <a:ea typeface="Calibri"/>
          <a:cs typeface="Calibri"/>
        </a:defRPr>
      </a:pPr>
      <a:endParaRPr lang="es-CO"/>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30"/>
      <c:rotY val="0"/>
      <c:rAngAx val="0"/>
      <c:perspective val="0"/>
    </c:view3D>
    <c:floor>
      <c:thickness val="0"/>
    </c:floor>
    <c:sideWall>
      <c:thickness val="0"/>
    </c:sideWall>
    <c:backWall>
      <c:thickness val="0"/>
    </c:backWall>
    <c:plotArea>
      <c:layout>
        <c:manualLayout>
          <c:layoutTarget val="inner"/>
          <c:xMode val="edge"/>
          <c:yMode val="edge"/>
          <c:x val="2.5128200815875086E-2"/>
          <c:y val="4.544934008989665E-2"/>
          <c:w val="0.94346154816428096"/>
          <c:h val="0.92046365484268089"/>
        </c:manualLayout>
      </c:layout>
      <c:pie3DChart>
        <c:varyColors val="1"/>
        <c:ser>
          <c:idx val="0"/>
          <c:order val="0"/>
          <c:spPr>
            <a:ln>
              <a:solidFill>
                <a:srgbClr val="000000"/>
              </a:solidFill>
            </a:ln>
          </c:spPr>
          <c:dPt>
            <c:idx val="0"/>
            <c:bubble3D val="0"/>
            <c:spPr>
              <a:solidFill>
                <a:srgbClr val="A6CAF0"/>
              </a:solidFill>
              <a:ln w="12700">
                <a:solidFill>
                  <a:srgbClr val="000000"/>
                </a:solidFill>
                <a:prstDash val="solid"/>
              </a:ln>
            </c:spPr>
            <c:extLst>
              <c:ext xmlns:c16="http://schemas.microsoft.com/office/drawing/2014/chart" uri="{C3380CC4-5D6E-409C-BE32-E72D297353CC}">
                <c16:uniqueId val="{00000001-B73B-4F4B-AF39-BE7C356401A8}"/>
              </c:ext>
            </c:extLst>
          </c:dPt>
          <c:dPt>
            <c:idx val="1"/>
            <c:bubble3D val="0"/>
            <c:spPr>
              <a:solidFill>
                <a:srgbClr val="00FF00"/>
              </a:solidFill>
              <a:ln>
                <a:solidFill>
                  <a:srgbClr val="000000"/>
                </a:solidFill>
              </a:ln>
            </c:spPr>
            <c:extLst>
              <c:ext xmlns:c16="http://schemas.microsoft.com/office/drawing/2014/chart" uri="{C3380CC4-5D6E-409C-BE32-E72D297353CC}">
                <c16:uniqueId val="{00000003-B73B-4F4B-AF39-BE7C356401A8}"/>
              </c:ext>
            </c:extLst>
          </c:dPt>
          <c:dPt>
            <c:idx val="2"/>
            <c:bubble3D val="0"/>
            <c:spPr>
              <a:solidFill>
                <a:srgbClr val="FFFF00"/>
              </a:solidFill>
              <a:ln>
                <a:solidFill>
                  <a:srgbClr val="000000"/>
                </a:solidFill>
              </a:ln>
            </c:spPr>
            <c:extLst>
              <c:ext xmlns:c16="http://schemas.microsoft.com/office/drawing/2014/chart" uri="{C3380CC4-5D6E-409C-BE32-E72D297353CC}">
                <c16:uniqueId val="{00000005-B73B-4F4B-AF39-BE7C356401A8}"/>
              </c:ext>
            </c:extLst>
          </c:dPt>
          <c:dPt>
            <c:idx val="3"/>
            <c:bubble3D val="0"/>
            <c:spPr>
              <a:solidFill>
                <a:srgbClr val="CC9CCC"/>
              </a:solidFill>
              <a:ln>
                <a:solidFill>
                  <a:srgbClr val="000000"/>
                </a:solidFill>
              </a:ln>
            </c:spPr>
            <c:extLst>
              <c:ext xmlns:c16="http://schemas.microsoft.com/office/drawing/2014/chart" uri="{C3380CC4-5D6E-409C-BE32-E72D297353CC}">
                <c16:uniqueId val="{00000007-B73B-4F4B-AF39-BE7C356401A8}"/>
              </c:ext>
            </c:extLst>
          </c:dPt>
          <c:dPt>
            <c:idx val="4"/>
            <c:bubble3D val="0"/>
            <c:spPr>
              <a:solidFill>
                <a:srgbClr val="FF0000"/>
              </a:solidFill>
              <a:ln>
                <a:solidFill>
                  <a:srgbClr val="000000"/>
                </a:solidFill>
              </a:ln>
            </c:spPr>
            <c:extLst>
              <c:ext xmlns:c16="http://schemas.microsoft.com/office/drawing/2014/chart" uri="{C3380CC4-5D6E-409C-BE32-E72D297353CC}">
                <c16:uniqueId val="{00000009-B73B-4F4B-AF39-BE7C356401A8}"/>
              </c:ext>
            </c:extLst>
          </c:dPt>
          <c:dLbls>
            <c:spPr>
              <a:noFill/>
              <a:ln w="25400">
                <a:noFill/>
              </a:ln>
            </c:spPr>
            <c:txPr>
              <a:bodyPr wrap="square" lIns="38100" tIns="19050" rIns="38100" bIns="19050" anchor="ctr">
                <a:spAutoFit/>
              </a:bodyPr>
              <a:lstStyle/>
              <a:p>
                <a:pPr>
                  <a:defRPr sz="1000" b="0" i="0" u="none" strike="noStrike" baseline="0">
                    <a:solidFill>
                      <a:srgbClr val="000000"/>
                    </a:solidFill>
                    <a:latin typeface="Calibri"/>
                    <a:ea typeface="Calibri"/>
                    <a:cs typeface="Calibri"/>
                  </a:defRPr>
                </a:pPr>
                <a:endParaRPr lang="es-CO"/>
              </a:p>
            </c:txPr>
            <c:dLblPos val="ctr"/>
            <c:showLegendKey val="0"/>
            <c:showVal val="0"/>
            <c:showCatName val="0"/>
            <c:showSerName val="0"/>
            <c:showPercent val="1"/>
            <c:showBubbleSize val="0"/>
            <c:showLeaderLines val="0"/>
            <c:extLst>
              <c:ext xmlns:c15="http://schemas.microsoft.com/office/drawing/2012/chart" uri="{CE6537A1-D6FC-4f65-9D91-7224C49458BB}">
                <c15:layout/>
              </c:ext>
            </c:extLst>
          </c:dLbls>
          <c:val>
            <c:numRef>
              <c:f>'TORTA EST.VIAS TEC.'!$L$26:$P$26</c:f>
              <c:numCache>
                <c:formatCode>_(* #,##0_);_(* \(#,##0\);_(* "-"??_);_(@_)</c:formatCode>
                <c:ptCount val="5"/>
                <c:pt idx="1">
                  <c:v>100</c:v>
                </c:pt>
              </c:numCache>
            </c:numRef>
          </c:val>
          <c:extLst>
            <c:ext xmlns:c16="http://schemas.microsoft.com/office/drawing/2014/chart" uri="{C3380CC4-5D6E-409C-BE32-E72D297353CC}">
              <c16:uniqueId val="{0000000A-B73B-4F4B-AF39-BE7C356401A8}"/>
            </c:ext>
          </c:extLst>
        </c:ser>
        <c:dLbls>
          <c:showLegendKey val="0"/>
          <c:showVal val="0"/>
          <c:showCatName val="0"/>
          <c:showSerName val="0"/>
          <c:showPercent val="0"/>
          <c:showBubbleSize val="0"/>
          <c:showLeaderLines val="0"/>
        </c:dLbls>
      </c:pie3DChart>
      <c:spPr>
        <a:noFill/>
        <a:ln w="25400">
          <a:noFill/>
        </a:ln>
      </c:spPr>
    </c:plotArea>
    <c:plotVisOnly val="1"/>
    <c:dispBlanksAs val="gap"/>
    <c:showDLblsOverMax val="0"/>
  </c:chart>
  <c:spPr>
    <a:noFill/>
    <a:ln>
      <a:noFill/>
    </a:ln>
  </c:spPr>
  <c:txPr>
    <a:bodyPr/>
    <a:lstStyle/>
    <a:p>
      <a:pPr>
        <a:defRPr sz="1000" b="0" i="0" u="none" strike="noStrike" baseline="0">
          <a:solidFill>
            <a:srgbClr val="000000"/>
          </a:solidFill>
          <a:latin typeface="Calibri"/>
          <a:ea typeface="Calibri"/>
          <a:cs typeface="Calibri"/>
        </a:defRPr>
      </a:pPr>
      <a:endParaRPr lang="es-CO"/>
    </a:p>
  </c:txPr>
  <c:printSettings>
    <c:headerFooter/>
    <c:pageMargins b="0.75" l="0.7" r="0.7" t="0.75" header="0.3" footer="0.3"/>
    <c:pageSetup/>
  </c:printSettings>
</c:chartSpace>
</file>

<file path=xl/drawings/_rels/drawing4.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emf"/></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8" Type="http://schemas.openxmlformats.org/officeDocument/2006/relationships/chart" Target="../charts/chart8.xml"/><Relationship Id="rId3" Type="http://schemas.openxmlformats.org/officeDocument/2006/relationships/chart" Target="../charts/chart3.xml"/><Relationship Id="rId7" Type="http://schemas.openxmlformats.org/officeDocument/2006/relationships/chart" Target="../charts/chart7.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chart" Target="../charts/chart6.xml"/><Relationship Id="rId5" Type="http://schemas.openxmlformats.org/officeDocument/2006/relationships/chart" Target="../charts/chart5.xml"/><Relationship Id="rId10" Type="http://schemas.openxmlformats.org/officeDocument/2006/relationships/chart" Target="../charts/chart10.xml"/><Relationship Id="rId4" Type="http://schemas.openxmlformats.org/officeDocument/2006/relationships/chart" Target="../charts/chart4.xml"/><Relationship Id="rId9" Type="http://schemas.openxmlformats.org/officeDocument/2006/relationships/chart" Target="../charts/chart9.xml"/></Relationships>
</file>

<file path=xl/drawings/_rels/drawing10.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2.png"/><Relationship Id="rId1" Type="http://schemas.openxmlformats.org/officeDocument/2006/relationships/image" Target="../media/image6.emf"/></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8" Type="http://schemas.openxmlformats.org/officeDocument/2006/relationships/chart" Target="../charts/chart18.xml"/><Relationship Id="rId13" Type="http://schemas.openxmlformats.org/officeDocument/2006/relationships/chart" Target="../charts/chart23.xml"/><Relationship Id="rId18" Type="http://schemas.openxmlformats.org/officeDocument/2006/relationships/chart" Target="../charts/chart28.xml"/><Relationship Id="rId3" Type="http://schemas.openxmlformats.org/officeDocument/2006/relationships/chart" Target="../charts/chart13.xml"/><Relationship Id="rId21" Type="http://schemas.openxmlformats.org/officeDocument/2006/relationships/chart" Target="../charts/chart31.xml"/><Relationship Id="rId7" Type="http://schemas.openxmlformats.org/officeDocument/2006/relationships/chart" Target="../charts/chart17.xml"/><Relationship Id="rId12" Type="http://schemas.openxmlformats.org/officeDocument/2006/relationships/chart" Target="../charts/chart22.xml"/><Relationship Id="rId17" Type="http://schemas.openxmlformats.org/officeDocument/2006/relationships/chart" Target="../charts/chart27.xml"/><Relationship Id="rId2" Type="http://schemas.openxmlformats.org/officeDocument/2006/relationships/chart" Target="../charts/chart12.xml"/><Relationship Id="rId16" Type="http://schemas.openxmlformats.org/officeDocument/2006/relationships/chart" Target="../charts/chart26.xml"/><Relationship Id="rId20" Type="http://schemas.openxmlformats.org/officeDocument/2006/relationships/chart" Target="../charts/chart30.xml"/><Relationship Id="rId1" Type="http://schemas.openxmlformats.org/officeDocument/2006/relationships/chart" Target="../charts/chart11.xml"/><Relationship Id="rId6" Type="http://schemas.openxmlformats.org/officeDocument/2006/relationships/chart" Target="../charts/chart16.xml"/><Relationship Id="rId11" Type="http://schemas.openxmlformats.org/officeDocument/2006/relationships/chart" Target="../charts/chart21.xml"/><Relationship Id="rId5" Type="http://schemas.openxmlformats.org/officeDocument/2006/relationships/chart" Target="../charts/chart15.xml"/><Relationship Id="rId15" Type="http://schemas.openxmlformats.org/officeDocument/2006/relationships/chart" Target="../charts/chart25.xml"/><Relationship Id="rId23" Type="http://schemas.openxmlformats.org/officeDocument/2006/relationships/chart" Target="../charts/chart33.xml"/><Relationship Id="rId10" Type="http://schemas.openxmlformats.org/officeDocument/2006/relationships/chart" Target="../charts/chart20.xml"/><Relationship Id="rId19" Type="http://schemas.openxmlformats.org/officeDocument/2006/relationships/chart" Target="../charts/chart29.xml"/><Relationship Id="rId4" Type="http://schemas.openxmlformats.org/officeDocument/2006/relationships/chart" Target="../charts/chart14.xml"/><Relationship Id="rId9" Type="http://schemas.openxmlformats.org/officeDocument/2006/relationships/chart" Target="../charts/chart19.xml"/><Relationship Id="rId14" Type="http://schemas.openxmlformats.org/officeDocument/2006/relationships/chart" Target="../charts/chart24.xml"/><Relationship Id="rId22" Type="http://schemas.openxmlformats.org/officeDocument/2006/relationships/chart" Target="../charts/chart32.xml"/></Relationships>
</file>

<file path=xl/drawings/_rels/drawing16.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1.png"/><Relationship Id="rId1" Type="http://schemas.openxmlformats.org/officeDocument/2006/relationships/image" Target="../media/image10.png"/><Relationship Id="rId5" Type="http://schemas.openxmlformats.org/officeDocument/2006/relationships/image" Target="../media/image18.png"/><Relationship Id="rId4" Type="http://schemas.openxmlformats.org/officeDocument/2006/relationships/image" Target="../media/image17.png"/></Relationships>
</file>

<file path=xl/drawings/_rels/drawing23.xml.rels><?xml version="1.0" encoding="UTF-8" standalone="yes"?>
<Relationships xmlns="http://schemas.openxmlformats.org/package/2006/relationships"><Relationship Id="rId1" Type="http://schemas.openxmlformats.org/officeDocument/2006/relationships/image" Target="../media/image3.png"/></Relationships>
</file>

<file path=xl/drawings/_rels/drawing24.xml.rels><?xml version="1.0" encoding="UTF-8" standalone="yes"?>
<Relationships xmlns="http://schemas.openxmlformats.org/package/2006/relationships"><Relationship Id="rId1" Type="http://schemas.openxmlformats.org/officeDocument/2006/relationships/image" Target="../media/image3.png"/></Relationships>
</file>

<file path=xl/drawings/_rels/drawing25.xml.rels><?xml version="1.0" encoding="UTF-8" standalone="yes"?>
<Relationships xmlns="http://schemas.openxmlformats.org/package/2006/relationships"><Relationship Id="rId1" Type="http://schemas.openxmlformats.org/officeDocument/2006/relationships/image" Target="../media/image3.png"/></Relationships>
</file>

<file path=xl/drawings/_rels/drawing27.xml.rels><?xml version="1.0" encoding="UTF-8" standalone="yes"?>
<Relationships xmlns="http://schemas.openxmlformats.org/package/2006/relationships"><Relationship Id="rId13" Type="http://schemas.openxmlformats.org/officeDocument/2006/relationships/image" Target="../media/image31.png"/><Relationship Id="rId18" Type="http://schemas.openxmlformats.org/officeDocument/2006/relationships/image" Target="../media/image36.png"/><Relationship Id="rId26" Type="http://schemas.openxmlformats.org/officeDocument/2006/relationships/image" Target="../media/image44.png"/><Relationship Id="rId39" Type="http://schemas.openxmlformats.org/officeDocument/2006/relationships/image" Target="../media/image57.png"/><Relationship Id="rId21" Type="http://schemas.openxmlformats.org/officeDocument/2006/relationships/image" Target="../media/image39.png"/><Relationship Id="rId34" Type="http://schemas.openxmlformats.org/officeDocument/2006/relationships/image" Target="../media/image52.png"/><Relationship Id="rId7" Type="http://schemas.openxmlformats.org/officeDocument/2006/relationships/image" Target="../media/image25.png"/><Relationship Id="rId12" Type="http://schemas.openxmlformats.org/officeDocument/2006/relationships/image" Target="../media/image30.png"/><Relationship Id="rId17" Type="http://schemas.openxmlformats.org/officeDocument/2006/relationships/image" Target="../media/image35.png"/><Relationship Id="rId25" Type="http://schemas.openxmlformats.org/officeDocument/2006/relationships/image" Target="../media/image43.png"/><Relationship Id="rId33" Type="http://schemas.openxmlformats.org/officeDocument/2006/relationships/image" Target="../media/image51.png"/><Relationship Id="rId38" Type="http://schemas.openxmlformats.org/officeDocument/2006/relationships/image" Target="../media/image56.png"/><Relationship Id="rId2" Type="http://schemas.openxmlformats.org/officeDocument/2006/relationships/image" Target="../media/image20.png"/><Relationship Id="rId16" Type="http://schemas.openxmlformats.org/officeDocument/2006/relationships/image" Target="../media/image34.png"/><Relationship Id="rId20" Type="http://schemas.openxmlformats.org/officeDocument/2006/relationships/image" Target="../media/image38.png"/><Relationship Id="rId29" Type="http://schemas.openxmlformats.org/officeDocument/2006/relationships/image" Target="../media/image47.png"/><Relationship Id="rId1" Type="http://schemas.openxmlformats.org/officeDocument/2006/relationships/image" Target="../media/image19.png"/><Relationship Id="rId6" Type="http://schemas.openxmlformats.org/officeDocument/2006/relationships/image" Target="../media/image24.png"/><Relationship Id="rId11" Type="http://schemas.openxmlformats.org/officeDocument/2006/relationships/image" Target="../media/image29.png"/><Relationship Id="rId24" Type="http://schemas.openxmlformats.org/officeDocument/2006/relationships/image" Target="../media/image42.png"/><Relationship Id="rId32" Type="http://schemas.openxmlformats.org/officeDocument/2006/relationships/image" Target="../media/image50.png"/><Relationship Id="rId37" Type="http://schemas.openxmlformats.org/officeDocument/2006/relationships/image" Target="../media/image55.png"/><Relationship Id="rId40" Type="http://schemas.openxmlformats.org/officeDocument/2006/relationships/image" Target="../media/image58.png"/><Relationship Id="rId5" Type="http://schemas.openxmlformats.org/officeDocument/2006/relationships/image" Target="../media/image23.png"/><Relationship Id="rId15" Type="http://schemas.openxmlformats.org/officeDocument/2006/relationships/image" Target="../media/image33.png"/><Relationship Id="rId23" Type="http://schemas.openxmlformats.org/officeDocument/2006/relationships/image" Target="../media/image41.png"/><Relationship Id="rId28" Type="http://schemas.openxmlformats.org/officeDocument/2006/relationships/image" Target="../media/image46.png"/><Relationship Id="rId36" Type="http://schemas.openxmlformats.org/officeDocument/2006/relationships/image" Target="../media/image54.png"/><Relationship Id="rId10" Type="http://schemas.openxmlformats.org/officeDocument/2006/relationships/image" Target="../media/image28.png"/><Relationship Id="rId19" Type="http://schemas.openxmlformats.org/officeDocument/2006/relationships/image" Target="../media/image37.png"/><Relationship Id="rId31" Type="http://schemas.openxmlformats.org/officeDocument/2006/relationships/image" Target="../media/image49.png"/><Relationship Id="rId4" Type="http://schemas.openxmlformats.org/officeDocument/2006/relationships/image" Target="../media/image22.png"/><Relationship Id="rId9" Type="http://schemas.openxmlformats.org/officeDocument/2006/relationships/image" Target="../media/image27.png"/><Relationship Id="rId14" Type="http://schemas.openxmlformats.org/officeDocument/2006/relationships/image" Target="../media/image32.png"/><Relationship Id="rId22" Type="http://schemas.openxmlformats.org/officeDocument/2006/relationships/image" Target="../media/image40.png"/><Relationship Id="rId27" Type="http://schemas.openxmlformats.org/officeDocument/2006/relationships/image" Target="../media/image45.png"/><Relationship Id="rId30" Type="http://schemas.openxmlformats.org/officeDocument/2006/relationships/image" Target="../media/image48.png"/><Relationship Id="rId35" Type="http://schemas.openxmlformats.org/officeDocument/2006/relationships/image" Target="../media/image53.png"/><Relationship Id="rId8" Type="http://schemas.openxmlformats.org/officeDocument/2006/relationships/image" Target="../media/image26.png"/><Relationship Id="rId3" Type="http://schemas.openxmlformats.org/officeDocument/2006/relationships/image" Target="../media/image21.png"/></Relationships>
</file>

<file path=xl/drawings/_rels/drawing28.xml.rels><?xml version="1.0" encoding="UTF-8" standalone="yes"?>
<Relationships xmlns="http://schemas.openxmlformats.org/package/2006/relationships"><Relationship Id="rId8" Type="http://schemas.openxmlformats.org/officeDocument/2006/relationships/image" Target="../media/image66.png"/><Relationship Id="rId3" Type="http://schemas.openxmlformats.org/officeDocument/2006/relationships/image" Target="../media/image61.png"/><Relationship Id="rId7" Type="http://schemas.openxmlformats.org/officeDocument/2006/relationships/image" Target="../media/image65.png"/><Relationship Id="rId2" Type="http://schemas.openxmlformats.org/officeDocument/2006/relationships/image" Target="../media/image60.jpeg"/><Relationship Id="rId1" Type="http://schemas.openxmlformats.org/officeDocument/2006/relationships/image" Target="../media/image59.png"/><Relationship Id="rId6" Type="http://schemas.openxmlformats.org/officeDocument/2006/relationships/image" Target="../media/image64.png"/><Relationship Id="rId5" Type="http://schemas.openxmlformats.org/officeDocument/2006/relationships/image" Target="../media/image63.jpeg"/><Relationship Id="rId10" Type="http://schemas.openxmlformats.org/officeDocument/2006/relationships/image" Target="../media/image68.png"/><Relationship Id="rId4" Type="http://schemas.openxmlformats.org/officeDocument/2006/relationships/image" Target="../media/image62.png"/><Relationship Id="rId9" Type="http://schemas.openxmlformats.org/officeDocument/2006/relationships/image" Target="../media/image67.png"/></Relationships>
</file>

<file path=xl/drawings/_rels/drawing30.xml.rels><?xml version="1.0" encoding="UTF-8" standalone="yes"?>
<Relationships xmlns="http://schemas.openxmlformats.org/package/2006/relationships"><Relationship Id="rId8" Type="http://schemas.openxmlformats.org/officeDocument/2006/relationships/image" Target="../media/image77.png"/><Relationship Id="rId13" Type="http://schemas.openxmlformats.org/officeDocument/2006/relationships/image" Target="../media/image82.jpeg"/><Relationship Id="rId18" Type="http://schemas.microsoft.com/office/2007/relationships/hdphoto" Target="../media/hdphoto1.wdp"/><Relationship Id="rId3" Type="http://schemas.openxmlformats.org/officeDocument/2006/relationships/image" Target="../media/image72.png"/><Relationship Id="rId7" Type="http://schemas.openxmlformats.org/officeDocument/2006/relationships/image" Target="../media/image76.png"/><Relationship Id="rId12" Type="http://schemas.openxmlformats.org/officeDocument/2006/relationships/image" Target="../media/image81.png"/><Relationship Id="rId17" Type="http://schemas.openxmlformats.org/officeDocument/2006/relationships/image" Target="../media/image86.png"/><Relationship Id="rId2" Type="http://schemas.openxmlformats.org/officeDocument/2006/relationships/image" Target="../media/image71.png"/><Relationship Id="rId16" Type="http://schemas.openxmlformats.org/officeDocument/2006/relationships/image" Target="../media/image85.jpeg"/><Relationship Id="rId20" Type="http://schemas.microsoft.com/office/2007/relationships/hdphoto" Target="../media/hdphoto2.wdp"/><Relationship Id="rId1" Type="http://schemas.openxmlformats.org/officeDocument/2006/relationships/image" Target="../media/image70.png"/><Relationship Id="rId6" Type="http://schemas.openxmlformats.org/officeDocument/2006/relationships/image" Target="../media/image75.png"/><Relationship Id="rId11" Type="http://schemas.openxmlformats.org/officeDocument/2006/relationships/image" Target="../media/image80.png"/><Relationship Id="rId5" Type="http://schemas.openxmlformats.org/officeDocument/2006/relationships/image" Target="../media/image74.png"/><Relationship Id="rId15" Type="http://schemas.openxmlformats.org/officeDocument/2006/relationships/image" Target="../media/image84.jpeg"/><Relationship Id="rId10" Type="http://schemas.openxmlformats.org/officeDocument/2006/relationships/image" Target="../media/image79.png"/><Relationship Id="rId19" Type="http://schemas.openxmlformats.org/officeDocument/2006/relationships/image" Target="../media/image87.png"/><Relationship Id="rId4" Type="http://schemas.openxmlformats.org/officeDocument/2006/relationships/image" Target="../media/image73.png"/><Relationship Id="rId9" Type="http://schemas.openxmlformats.org/officeDocument/2006/relationships/image" Target="../media/image78.png"/><Relationship Id="rId14" Type="http://schemas.openxmlformats.org/officeDocument/2006/relationships/image" Target="../media/image83.jpe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15.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9.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85725</xdr:colOff>
          <xdr:row>0</xdr:row>
          <xdr:rowOff>47625</xdr:rowOff>
        </xdr:from>
        <xdr:to>
          <xdr:col>1</xdr:col>
          <xdr:colOff>276225</xdr:colOff>
          <xdr:row>3</xdr:row>
          <xdr:rowOff>66675</xdr:rowOff>
        </xdr:to>
        <xdr:sp macro="" textlink="">
          <xdr:nvSpPr>
            <xdr:cNvPr id="25601" name="Imagen 1" hidden="1">
              <a:extLst>
                <a:ext uri="{63B3BB69-23CF-44E3-9099-C40C66FF867C}">
                  <a14:compatExt spid="_x0000_s25601"/>
                </a:ext>
                <a:ext uri="{FF2B5EF4-FFF2-40B4-BE49-F238E27FC236}">
                  <a16:creationId xmlns:a16="http://schemas.microsoft.com/office/drawing/2014/main" id="{00000000-0008-0000-0000-0000016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1">
                  <a:solidFill>
                    <a:srgbClr val="000000" mc:Ignorable="a14" a14:legacySpreadsheetColorIndex="64"/>
                  </a:solidFill>
                  <a:miter lim="800000"/>
                  <a:headEnd/>
                  <a:tailEnd/>
                </a14:hiddenLine>
              </a:ext>
            </a:extLst>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104775</xdr:colOff>
          <xdr:row>2</xdr:row>
          <xdr:rowOff>28575</xdr:rowOff>
        </xdr:from>
        <xdr:to>
          <xdr:col>0</xdr:col>
          <xdr:colOff>657225</xdr:colOff>
          <xdr:row>6</xdr:row>
          <xdr:rowOff>152400</xdr:rowOff>
        </xdr:to>
        <xdr:sp macro="" textlink="">
          <xdr:nvSpPr>
            <xdr:cNvPr id="2050" name="Imagen 1" hidden="1">
              <a:extLst>
                <a:ext uri="{63B3BB69-23CF-44E3-9099-C40C66FF867C}">
                  <a14:compatExt spid="_x0000_s2050"/>
                </a:ext>
                <a:ext uri="{FF2B5EF4-FFF2-40B4-BE49-F238E27FC236}">
                  <a16:creationId xmlns:a16="http://schemas.microsoft.com/office/drawing/2014/main" id="{00000000-0008-0000-0100-0000020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1">
                  <a:solidFill>
                    <a:srgbClr val="000000" mc:Ignorable="a14" a14:legacySpreadsheetColorIndex="64"/>
                  </a:solidFill>
                  <a:miter lim="800000"/>
                  <a:headEnd/>
                  <a:tailEnd/>
                </a14:hiddenLine>
              </a:ext>
            </a:extLst>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xdr:from>
      <xdr:col>0</xdr:col>
      <xdr:colOff>9525</xdr:colOff>
      <xdr:row>8</xdr:row>
      <xdr:rowOff>0</xdr:rowOff>
    </xdr:from>
    <xdr:to>
      <xdr:col>2</xdr:col>
      <xdr:colOff>28575</xdr:colOff>
      <xdr:row>10</xdr:row>
      <xdr:rowOff>161925</xdr:rowOff>
    </xdr:to>
    <xdr:sp macro="" textlink="">
      <xdr:nvSpPr>
        <xdr:cNvPr id="31631638" name="Line 1">
          <a:extLst>
            <a:ext uri="{FF2B5EF4-FFF2-40B4-BE49-F238E27FC236}">
              <a16:creationId xmlns:a16="http://schemas.microsoft.com/office/drawing/2014/main" id="{00000000-0008-0000-0300-000016A9E201}"/>
            </a:ext>
          </a:extLst>
        </xdr:cNvPr>
        <xdr:cNvSpPr>
          <a:spLocks noChangeShapeType="1"/>
        </xdr:cNvSpPr>
      </xdr:nvSpPr>
      <xdr:spPr bwMode="auto">
        <a:xfrm>
          <a:off x="9525" y="1638300"/>
          <a:ext cx="2076450" cy="552450"/>
        </a:xfrm>
        <a:prstGeom prst="line">
          <a:avLst/>
        </a:prstGeom>
        <a:noFill/>
        <a:ln w="1714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1</xdr:col>
      <xdr:colOff>0</xdr:colOff>
      <xdr:row>11</xdr:row>
      <xdr:rowOff>0</xdr:rowOff>
    </xdr:from>
    <xdr:to>
      <xdr:col>1</xdr:col>
      <xdr:colOff>0</xdr:colOff>
      <xdr:row>11</xdr:row>
      <xdr:rowOff>0</xdr:rowOff>
    </xdr:to>
    <xdr:sp macro="" textlink="">
      <xdr:nvSpPr>
        <xdr:cNvPr id="31631639" name="Line 2">
          <a:extLst>
            <a:ext uri="{FF2B5EF4-FFF2-40B4-BE49-F238E27FC236}">
              <a16:creationId xmlns:a16="http://schemas.microsoft.com/office/drawing/2014/main" id="{00000000-0008-0000-0300-000017A9E201}"/>
            </a:ext>
          </a:extLst>
        </xdr:cNvPr>
        <xdr:cNvSpPr>
          <a:spLocks noChangeShapeType="1"/>
        </xdr:cNvSpPr>
      </xdr:nvSpPr>
      <xdr:spPr bwMode="auto">
        <a:xfrm>
          <a:off x="2000250" y="2200275"/>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11</xdr:row>
      <xdr:rowOff>0</xdr:rowOff>
    </xdr:from>
    <xdr:to>
      <xdr:col>3</xdr:col>
      <xdr:colOff>0</xdr:colOff>
      <xdr:row>11</xdr:row>
      <xdr:rowOff>0</xdr:rowOff>
    </xdr:to>
    <xdr:sp macro="" textlink="">
      <xdr:nvSpPr>
        <xdr:cNvPr id="31631640" name="Line 3">
          <a:extLst>
            <a:ext uri="{FF2B5EF4-FFF2-40B4-BE49-F238E27FC236}">
              <a16:creationId xmlns:a16="http://schemas.microsoft.com/office/drawing/2014/main" id="{00000000-0008-0000-0300-000018A9E201}"/>
            </a:ext>
          </a:extLst>
        </xdr:cNvPr>
        <xdr:cNvSpPr>
          <a:spLocks noChangeShapeType="1"/>
        </xdr:cNvSpPr>
      </xdr:nvSpPr>
      <xdr:spPr bwMode="auto">
        <a:xfrm>
          <a:off x="3305175" y="2200275"/>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5</xdr:col>
      <xdr:colOff>0</xdr:colOff>
      <xdr:row>11</xdr:row>
      <xdr:rowOff>0</xdr:rowOff>
    </xdr:from>
    <xdr:to>
      <xdr:col>5</xdr:col>
      <xdr:colOff>0</xdr:colOff>
      <xdr:row>11</xdr:row>
      <xdr:rowOff>0</xdr:rowOff>
    </xdr:to>
    <xdr:sp macro="" textlink="">
      <xdr:nvSpPr>
        <xdr:cNvPr id="31631641" name="Line 4">
          <a:extLst>
            <a:ext uri="{FF2B5EF4-FFF2-40B4-BE49-F238E27FC236}">
              <a16:creationId xmlns:a16="http://schemas.microsoft.com/office/drawing/2014/main" id="{00000000-0008-0000-0300-000019A9E201}"/>
            </a:ext>
          </a:extLst>
        </xdr:cNvPr>
        <xdr:cNvSpPr>
          <a:spLocks noChangeShapeType="1"/>
        </xdr:cNvSpPr>
      </xdr:nvSpPr>
      <xdr:spPr bwMode="auto">
        <a:xfrm>
          <a:off x="4610100" y="2200275"/>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5</xdr:col>
      <xdr:colOff>0</xdr:colOff>
      <xdr:row>11</xdr:row>
      <xdr:rowOff>0</xdr:rowOff>
    </xdr:from>
    <xdr:to>
      <xdr:col>5</xdr:col>
      <xdr:colOff>0</xdr:colOff>
      <xdr:row>11</xdr:row>
      <xdr:rowOff>0</xdr:rowOff>
    </xdr:to>
    <xdr:sp macro="" textlink="">
      <xdr:nvSpPr>
        <xdr:cNvPr id="31631642" name="Line 5">
          <a:extLst>
            <a:ext uri="{FF2B5EF4-FFF2-40B4-BE49-F238E27FC236}">
              <a16:creationId xmlns:a16="http://schemas.microsoft.com/office/drawing/2014/main" id="{00000000-0008-0000-0300-00001AA9E201}"/>
            </a:ext>
          </a:extLst>
        </xdr:cNvPr>
        <xdr:cNvSpPr>
          <a:spLocks noChangeShapeType="1"/>
        </xdr:cNvSpPr>
      </xdr:nvSpPr>
      <xdr:spPr bwMode="auto">
        <a:xfrm>
          <a:off x="4610100" y="2200275"/>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7</xdr:col>
      <xdr:colOff>0</xdr:colOff>
      <xdr:row>11</xdr:row>
      <xdr:rowOff>0</xdr:rowOff>
    </xdr:from>
    <xdr:to>
      <xdr:col>7</xdr:col>
      <xdr:colOff>0</xdr:colOff>
      <xdr:row>11</xdr:row>
      <xdr:rowOff>0</xdr:rowOff>
    </xdr:to>
    <xdr:sp macro="" textlink="">
      <xdr:nvSpPr>
        <xdr:cNvPr id="31631643" name="Line 6">
          <a:extLst>
            <a:ext uri="{FF2B5EF4-FFF2-40B4-BE49-F238E27FC236}">
              <a16:creationId xmlns:a16="http://schemas.microsoft.com/office/drawing/2014/main" id="{00000000-0008-0000-0300-00001BA9E201}"/>
            </a:ext>
          </a:extLst>
        </xdr:cNvPr>
        <xdr:cNvSpPr>
          <a:spLocks noChangeShapeType="1"/>
        </xdr:cNvSpPr>
      </xdr:nvSpPr>
      <xdr:spPr bwMode="auto">
        <a:xfrm>
          <a:off x="5915025" y="2200275"/>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7</xdr:col>
      <xdr:colOff>0</xdr:colOff>
      <xdr:row>11</xdr:row>
      <xdr:rowOff>0</xdr:rowOff>
    </xdr:from>
    <xdr:to>
      <xdr:col>7</xdr:col>
      <xdr:colOff>0</xdr:colOff>
      <xdr:row>11</xdr:row>
      <xdr:rowOff>0</xdr:rowOff>
    </xdr:to>
    <xdr:sp macro="" textlink="">
      <xdr:nvSpPr>
        <xdr:cNvPr id="31631644" name="Line 7">
          <a:extLst>
            <a:ext uri="{FF2B5EF4-FFF2-40B4-BE49-F238E27FC236}">
              <a16:creationId xmlns:a16="http://schemas.microsoft.com/office/drawing/2014/main" id="{00000000-0008-0000-0300-00001CA9E201}"/>
            </a:ext>
          </a:extLst>
        </xdr:cNvPr>
        <xdr:cNvSpPr>
          <a:spLocks noChangeShapeType="1"/>
        </xdr:cNvSpPr>
      </xdr:nvSpPr>
      <xdr:spPr bwMode="auto">
        <a:xfrm>
          <a:off x="5915025" y="2200275"/>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9</xdr:col>
      <xdr:colOff>0</xdr:colOff>
      <xdr:row>11</xdr:row>
      <xdr:rowOff>0</xdr:rowOff>
    </xdr:from>
    <xdr:to>
      <xdr:col>9</xdr:col>
      <xdr:colOff>0</xdr:colOff>
      <xdr:row>11</xdr:row>
      <xdr:rowOff>0</xdr:rowOff>
    </xdr:to>
    <xdr:sp macro="" textlink="">
      <xdr:nvSpPr>
        <xdr:cNvPr id="31631645" name="Line 8">
          <a:extLst>
            <a:ext uri="{FF2B5EF4-FFF2-40B4-BE49-F238E27FC236}">
              <a16:creationId xmlns:a16="http://schemas.microsoft.com/office/drawing/2014/main" id="{00000000-0008-0000-0300-00001DA9E201}"/>
            </a:ext>
          </a:extLst>
        </xdr:cNvPr>
        <xdr:cNvSpPr>
          <a:spLocks noChangeShapeType="1"/>
        </xdr:cNvSpPr>
      </xdr:nvSpPr>
      <xdr:spPr bwMode="auto">
        <a:xfrm>
          <a:off x="7810500" y="2200275"/>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9</xdr:col>
      <xdr:colOff>0</xdr:colOff>
      <xdr:row>11</xdr:row>
      <xdr:rowOff>0</xdr:rowOff>
    </xdr:from>
    <xdr:to>
      <xdr:col>9</xdr:col>
      <xdr:colOff>0</xdr:colOff>
      <xdr:row>11</xdr:row>
      <xdr:rowOff>0</xdr:rowOff>
    </xdr:to>
    <xdr:sp macro="" textlink="">
      <xdr:nvSpPr>
        <xdr:cNvPr id="31631646" name="Line 9">
          <a:extLst>
            <a:ext uri="{FF2B5EF4-FFF2-40B4-BE49-F238E27FC236}">
              <a16:creationId xmlns:a16="http://schemas.microsoft.com/office/drawing/2014/main" id="{00000000-0008-0000-0300-00001EA9E201}"/>
            </a:ext>
          </a:extLst>
        </xdr:cNvPr>
        <xdr:cNvSpPr>
          <a:spLocks noChangeShapeType="1"/>
        </xdr:cNvSpPr>
      </xdr:nvSpPr>
      <xdr:spPr bwMode="auto">
        <a:xfrm>
          <a:off x="7810500" y="2200275"/>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11</xdr:row>
      <xdr:rowOff>0</xdr:rowOff>
    </xdr:from>
    <xdr:to>
      <xdr:col>10</xdr:col>
      <xdr:colOff>0</xdr:colOff>
      <xdr:row>11</xdr:row>
      <xdr:rowOff>0</xdr:rowOff>
    </xdr:to>
    <xdr:sp macro="" textlink="">
      <xdr:nvSpPr>
        <xdr:cNvPr id="31631647" name="Line 10">
          <a:extLst>
            <a:ext uri="{FF2B5EF4-FFF2-40B4-BE49-F238E27FC236}">
              <a16:creationId xmlns:a16="http://schemas.microsoft.com/office/drawing/2014/main" id="{00000000-0008-0000-0300-00001FA9E201}"/>
            </a:ext>
          </a:extLst>
        </xdr:cNvPr>
        <xdr:cNvSpPr>
          <a:spLocks noChangeShapeType="1"/>
        </xdr:cNvSpPr>
      </xdr:nvSpPr>
      <xdr:spPr bwMode="auto">
        <a:xfrm>
          <a:off x="7867650" y="2200275"/>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2</xdr:col>
      <xdr:colOff>19050</xdr:colOff>
      <xdr:row>27</xdr:row>
      <xdr:rowOff>28575</xdr:rowOff>
    </xdr:from>
    <xdr:to>
      <xdr:col>2</xdr:col>
      <xdr:colOff>95250</xdr:colOff>
      <xdr:row>27</xdr:row>
      <xdr:rowOff>104775</xdr:rowOff>
    </xdr:to>
    <xdr:sp macro="" textlink="">
      <xdr:nvSpPr>
        <xdr:cNvPr id="31631648" name="Oval 62">
          <a:extLst>
            <a:ext uri="{FF2B5EF4-FFF2-40B4-BE49-F238E27FC236}">
              <a16:creationId xmlns:a16="http://schemas.microsoft.com/office/drawing/2014/main" id="{00000000-0008-0000-0300-000020A9E201}"/>
            </a:ext>
          </a:extLst>
        </xdr:cNvPr>
        <xdr:cNvSpPr>
          <a:spLocks noChangeArrowheads="1"/>
        </xdr:cNvSpPr>
      </xdr:nvSpPr>
      <xdr:spPr bwMode="auto">
        <a:xfrm>
          <a:off x="2076450" y="6419850"/>
          <a:ext cx="76200" cy="76200"/>
        </a:xfrm>
        <a:prstGeom prst="ellipse">
          <a:avLst/>
        </a:prstGeom>
        <a:solidFill>
          <a:srgbClr val="00FF00"/>
        </a:solidFill>
        <a:ln w="9525">
          <a:solidFill>
            <a:srgbClr val="00FF00"/>
          </a:solidFill>
          <a:round/>
          <a:headEnd/>
          <a:tailEnd/>
        </a:ln>
      </xdr:spPr>
    </xdr:sp>
    <xdr:clientData/>
  </xdr:twoCellAnchor>
  <xdr:twoCellAnchor>
    <xdr:from>
      <xdr:col>4</xdr:col>
      <xdr:colOff>9525</xdr:colOff>
      <xdr:row>27</xdr:row>
      <xdr:rowOff>47625</xdr:rowOff>
    </xdr:from>
    <xdr:to>
      <xdr:col>4</xdr:col>
      <xdr:colOff>85725</xdr:colOff>
      <xdr:row>27</xdr:row>
      <xdr:rowOff>123825</xdr:rowOff>
    </xdr:to>
    <xdr:sp macro="" textlink="">
      <xdr:nvSpPr>
        <xdr:cNvPr id="31631649" name="Oval 63">
          <a:extLst>
            <a:ext uri="{FF2B5EF4-FFF2-40B4-BE49-F238E27FC236}">
              <a16:creationId xmlns:a16="http://schemas.microsoft.com/office/drawing/2014/main" id="{00000000-0008-0000-0300-000021A9E201}"/>
            </a:ext>
          </a:extLst>
        </xdr:cNvPr>
        <xdr:cNvSpPr>
          <a:spLocks noChangeArrowheads="1"/>
        </xdr:cNvSpPr>
      </xdr:nvSpPr>
      <xdr:spPr bwMode="auto">
        <a:xfrm>
          <a:off x="3371850" y="6438900"/>
          <a:ext cx="76200" cy="76200"/>
        </a:xfrm>
        <a:prstGeom prst="ellipse">
          <a:avLst/>
        </a:prstGeom>
        <a:solidFill>
          <a:srgbClr val="FFFF00"/>
        </a:solidFill>
        <a:ln w="9525">
          <a:solidFill>
            <a:srgbClr val="FFFF00"/>
          </a:solidFill>
          <a:round/>
          <a:headEnd/>
          <a:tailEnd/>
        </a:ln>
      </xdr:spPr>
    </xdr:sp>
    <xdr:clientData/>
  </xdr:twoCellAnchor>
  <xdr:twoCellAnchor>
    <xdr:from>
      <xdr:col>6</xdr:col>
      <xdr:colOff>28575</xdr:colOff>
      <xdr:row>27</xdr:row>
      <xdr:rowOff>38100</xdr:rowOff>
    </xdr:from>
    <xdr:to>
      <xdr:col>6</xdr:col>
      <xdr:colOff>104775</xdr:colOff>
      <xdr:row>27</xdr:row>
      <xdr:rowOff>114300</xdr:rowOff>
    </xdr:to>
    <xdr:sp macro="" textlink="">
      <xdr:nvSpPr>
        <xdr:cNvPr id="31631650" name="Oval 64">
          <a:extLst>
            <a:ext uri="{FF2B5EF4-FFF2-40B4-BE49-F238E27FC236}">
              <a16:creationId xmlns:a16="http://schemas.microsoft.com/office/drawing/2014/main" id="{00000000-0008-0000-0300-000022A9E201}"/>
            </a:ext>
          </a:extLst>
        </xdr:cNvPr>
        <xdr:cNvSpPr>
          <a:spLocks noChangeArrowheads="1"/>
        </xdr:cNvSpPr>
      </xdr:nvSpPr>
      <xdr:spPr bwMode="auto">
        <a:xfrm>
          <a:off x="4695825" y="6429375"/>
          <a:ext cx="76200" cy="76200"/>
        </a:xfrm>
        <a:prstGeom prst="ellipse">
          <a:avLst/>
        </a:prstGeom>
        <a:solidFill>
          <a:srgbClr val="FF0000"/>
        </a:solidFill>
        <a:ln w="9525">
          <a:solidFill>
            <a:srgbClr val="FF0000"/>
          </a:solidFill>
          <a:round/>
          <a:headEnd/>
          <a:tailEnd/>
        </a:ln>
      </xdr:spPr>
    </xdr:sp>
    <xdr:clientData/>
  </xdr:twoCellAnchor>
  <xdr:twoCellAnchor>
    <xdr:from>
      <xdr:col>8</xdr:col>
      <xdr:colOff>28575</xdr:colOff>
      <xdr:row>27</xdr:row>
      <xdr:rowOff>19050</xdr:rowOff>
    </xdr:from>
    <xdr:to>
      <xdr:col>8</xdr:col>
      <xdr:colOff>152400</xdr:colOff>
      <xdr:row>27</xdr:row>
      <xdr:rowOff>95250</xdr:rowOff>
    </xdr:to>
    <xdr:sp macro="" textlink="">
      <xdr:nvSpPr>
        <xdr:cNvPr id="31631651" name="Rectangle 65">
          <a:extLst>
            <a:ext uri="{FF2B5EF4-FFF2-40B4-BE49-F238E27FC236}">
              <a16:creationId xmlns:a16="http://schemas.microsoft.com/office/drawing/2014/main" id="{00000000-0008-0000-0300-000023A9E201}"/>
            </a:ext>
          </a:extLst>
        </xdr:cNvPr>
        <xdr:cNvSpPr>
          <a:spLocks noChangeArrowheads="1"/>
        </xdr:cNvSpPr>
      </xdr:nvSpPr>
      <xdr:spPr bwMode="auto">
        <a:xfrm>
          <a:off x="6000750" y="6410325"/>
          <a:ext cx="123825" cy="76200"/>
        </a:xfrm>
        <a:prstGeom prst="rect">
          <a:avLst/>
        </a:prstGeom>
        <a:solidFill>
          <a:srgbClr val="C0C0C0"/>
        </a:solidFill>
        <a:ln w="9525">
          <a:solidFill>
            <a:srgbClr val="C0C0C0"/>
          </a:solidFill>
          <a:miter lim="800000"/>
          <a:headEnd/>
          <a:tailEnd/>
        </a:ln>
      </xdr:spPr>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36</xdr:row>
      <xdr:rowOff>9525</xdr:rowOff>
    </xdr:from>
    <xdr:to>
      <xdr:col>1</xdr:col>
      <xdr:colOff>0</xdr:colOff>
      <xdr:row>37</xdr:row>
      <xdr:rowOff>152400</xdr:rowOff>
    </xdr:to>
    <xdr:sp macro="" textlink="">
      <xdr:nvSpPr>
        <xdr:cNvPr id="30777249" name="Line 2">
          <a:extLst>
            <a:ext uri="{FF2B5EF4-FFF2-40B4-BE49-F238E27FC236}">
              <a16:creationId xmlns:a16="http://schemas.microsoft.com/office/drawing/2014/main" id="{00000000-0008-0000-0500-0000A19FD501}"/>
            </a:ext>
          </a:extLst>
        </xdr:cNvPr>
        <xdr:cNvSpPr>
          <a:spLocks noChangeShapeType="1"/>
        </xdr:cNvSpPr>
      </xdr:nvSpPr>
      <xdr:spPr bwMode="auto">
        <a:xfrm>
          <a:off x="0" y="8705850"/>
          <a:ext cx="2028825" cy="352425"/>
        </a:xfrm>
        <a:prstGeom prst="line">
          <a:avLst/>
        </a:prstGeom>
        <a:noFill/>
        <a:ln w="317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0</xdr:colOff>
      <xdr:row>15</xdr:row>
      <xdr:rowOff>0</xdr:rowOff>
    </xdr:from>
    <xdr:to>
      <xdr:col>0</xdr:col>
      <xdr:colOff>0</xdr:colOff>
      <xdr:row>15</xdr:row>
      <xdr:rowOff>0</xdr:rowOff>
    </xdr:to>
    <xdr:pic>
      <xdr:nvPicPr>
        <xdr:cNvPr id="30777250" name="Picture 3" descr="LOG">
          <a:extLst>
            <a:ext uri="{FF2B5EF4-FFF2-40B4-BE49-F238E27FC236}">
              <a16:creationId xmlns:a16="http://schemas.microsoft.com/office/drawing/2014/main" id="{00000000-0008-0000-0500-0000A29FD50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30956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36</xdr:row>
      <xdr:rowOff>9525</xdr:rowOff>
    </xdr:from>
    <xdr:to>
      <xdr:col>1</xdr:col>
      <xdr:colOff>0</xdr:colOff>
      <xdr:row>37</xdr:row>
      <xdr:rowOff>152400</xdr:rowOff>
    </xdr:to>
    <xdr:sp macro="" textlink="">
      <xdr:nvSpPr>
        <xdr:cNvPr id="30777251" name="Line 2">
          <a:extLst>
            <a:ext uri="{FF2B5EF4-FFF2-40B4-BE49-F238E27FC236}">
              <a16:creationId xmlns:a16="http://schemas.microsoft.com/office/drawing/2014/main" id="{00000000-0008-0000-0500-0000A39FD501}"/>
            </a:ext>
          </a:extLst>
        </xdr:cNvPr>
        <xdr:cNvSpPr>
          <a:spLocks noChangeShapeType="1"/>
        </xdr:cNvSpPr>
      </xdr:nvSpPr>
      <xdr:spPr bwMode="auto">
        <a:xfrm>
          <a:off x="0" y="8705850"/>
          <a:ext cx="2028825" cy="352425"/>
        </a:xfrm>
        <a:prstGeom prst="line">
          <a:avLst/>
        </a:prstGeom>
        <a:noFill/>
        <a:ln w="317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0</xdr:colOff>
      <xdr:row>36</xdr:row>
      <xdr:rowOff>0</xdr:rowOff>
    </xdr:from>
    <xdr:to>
      <xdr:col>1</xdr:col>
      <xdr:colOff>9525</xdr:colOff>
      <xdr:row>37</xdr:row>
      <xdr:rowOff>190500</xdr:rowOff>
    </xdr:to>
    <xdr:sp macro="" textlink="">
      <xdr:nvSpPr>
        <xdr:cNvPr id="30777263" name="Line 2">
          <a:extLst>
            <a:ext uri="{FF2B5EF4-FFF2-40B4-BE49-F238E27FC236}">
              <a16:creationId xmlns:a16="http://schemas.microsoft.com/office/drawing/2014/main" id="{00000000-0008-0000-0500-0000AF9FD501}"/>
            </a:ext>
          </a:extLst>
        </xdr:cNvPr>
        <xdr:cNvSpPr>
          <a:spLocks noChangeShapeType="1"/>
        </xdr:cNvSpPr>
      </xdr:nvSpPr>
      <xdr:spPr bwMode="auto">
        <a:xfrm>
          <a:off x="0" y="8696325"/>
          <a:ext cx="2038350" cy="371475"/>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0</xdr:colOff>
      <xdr:row>36</xdr:row>
      <xdr:rowOff>0</xdr:rowOff>
    </xdr:from>
    <xdr:to>
      <xdr:col>1</xdr:col>
      <xdr:colOff>9525</xdr:colOff>
      <xdr:row>37</xdr:row>
      <xdr:rowOff>190500</xdr:rowOff>
    </xdr:to>
    <xdr:sp macro="" textlink="">
      <xdr:nvSpPr>
        <xdr:cNvPr id="30777264" name="Line 2">
          <a:extLst>
            <a:ext uri="{FF2B5EF4-FFF2-40B4-BE49-F238E27FC236}">
              <a16:creationId xmlns:a16="http://schemas.microsoft.com/office/drawing/2014/main" id="{00000000-0008-0000-0500-0000B09FD501}"/>
            </a:ext>
          </a:extLst>
        </xdr:cNvPr>
        <xdr:cNvSpPr>
          <a:spLocks noChangeShapeType="1"/>
        </xdr:cNvSpPr>
      </xdr:nvSpPr>
      <xdr:spPr bwMode="auto">
        <a:xfrm>
          <a:off x="0" y="8696325"/>
          <a:ext cx="2038350" cy="371475"/>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0</xdr:colOff>
      <xdr:row>36</xdr:row>
      <xdr:rowOff>0</xdr:rowOff>
    </xdr:from>
    <xdr:to>
      <xdr:col>1</xdr:col>
      <xdr:colOff>9525</xdr:colOff>
      <xdr:row>37</xdr:row>
      <xdr:rowOff>190500</xdr:rowOff>
    </xdr:to>
    <xdr:sp macro="" textlink="">
      <xdr:nvSpPr>
        <xdr:cNvPr id="30777265" name="Line 2">
          <a:extLst>
            <a:ext uri="{FF2B5EF4-FFF2-40B4-BE49-F238E27FC236}">
              <a16:creationId xmlns:a16="http://schemas.microsoft.com/office/drawing/2014/main" id="{00000000-0008-0000-0500-0000B19FD501}"/>
            </a:ext>
          </a:extLst>
        </xdr:cNvPr>
        <xdr:cNvSpPr>
          <a:spLocks noChangeShapeType="1"/>
        </xdr:cNvSpPr>
      </xdr:nvSpPr>
      <xdr:spPr bwMode="auto">
        <a:xfrm>
          <a:off x="0" y="8696325"/>
          <a:ext cx="2038350" cy="371475"/>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editAs="oneCell">
    <xdr:from>
      <xdr:col>0</xdr:col>
      <xdr:colOff>57150</xdr:colOff>
      <xdr:row>16</xdr:row>
      <xdr:rowOff>47625</xdr:rowOff>
    </xdr:from>
    <xdr:to>
      <xdr:col>107</xdr:col>
      <xdr:colOff>200025</xdr:colOff>
      <xdr:row>33</xdr:row>
      <xdr:rowOff>266086</xdr:rowOff>
    </xdr:to>
    <xdr:pic>
      <xdr:nvPicPr>
        <xdr:cNvPr id="2" name="Imagen 1"/>
        <xdr:cNvPicPr>
          <a:picLocks noChangeAspect="1"/>
        </xdr:cNvPicPr>
      </xdr:nvPicPr>
      <xdr:blipFill>
        <a:blip xmlns:r="http://schemas.openxmlformats.org/officeDocument/2006/relationships" r:embed="rId2"/>
        <a:stretch>
          <a:fillRect/>
        </a:stretch>
      </xdr:blipFill>
      <xdr:spPr>
        <a:xfrm>
          <a:off x="57150" y="3352800"/>
          <a:ext cx="7791450" cy="4914286"/>
        </a:xfrm>
        <a:prstGeom prst="rect">
          <a:avLst/>
        </a:prstGeom>
      </xdr:spPr>
    </xdr:pic>
    <xdr:clientData/>
  </xdr:twoCellAnchor>
  <xdr:oneCellAnchor>
    <xdr:from>
      <xdr:col>73</xdr:col>
      <xdr:colOff>19050</xdr:colOff>
      <xdr:row>29</xdr:row>
      <xdr:rowOff>142875</xdr:rowOff>
    </xdr:from>
    <xdr:ext cx="1958806" cy="264560"/>
    <xdr:sp macro="" textlink="">
      <xdr:nvSpPr>
        <xdr:cNvPr id="3" name="CuadroTexto 2"/>
        <xdr:cNvSpPr txBox="1"/>
      </xdr:nvSpPr>
      <xdr:spPr>
        <a:xfrm>
          <a:off x="4791075" y="7038975"/>
          <a:ext cx="1958806"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t>PR 27+0000 - OLAYA HERRERA</a:t>
          </a:r>
        </a:p>
      </xdr:txBody>
    </xdr:sp>
    <xdr:clientData/>
  </xdr:oneCellAnchor>
  <xdr:twoCellAnchor>
    <xdr:from>
      <xdr:col>69</xdr:col>
      <xdr:colOff>28575</xdr:colOff>
      <xdr:row>29</xdr:row>
      <xdr:rowOff>123825</xdr:rowOff>
    </xdr:from>
    <xdr:to>
      <xdr:col>76</xdr:col>
      <xdr:colOff>0</xdr:colOff>
      <xdr:row>29</xdr:row>
      <xdr:rowOff>228600</xdr:rowOff>
    </xdr:to>
    <xdr:cxnSp macro="">
      <xdr:nvCxnSpPr>
        <xdr:cNvPr id="5" name="Conector recto de flecha 4"/>
        <xdr:cNvCxnSpPr/>
      </xdr:nvCxnSpPr>
      <xdr:spPr bwMode="auto">
        <a:xfrm>
          <a:off x="4648200" y="7019925"/>
          <a:ext cx="238125" cy="104775"/>
        </a:xfrm>
        <a:prstGeom prst="straightConnector1">
          <a:avLst/>
        </a:prstGeom>
        <a:ln w="12700">
          <a:headEnd type="none" w="med" len="med"/>
          <a:tailEnd type="triangle"/>
        </a:ln>
      </xdr:spPr>
      <xdr:style>
        <a:lnRef idx="1">
          <a:schemeClr val="dk1"/>
        </a:lnRef>
        <a:fillRef idx="0">
          <a:schemeClr val="dk1"/>
        </a:fillRef>
        <a:effectRef idx="0">
          <a:schemeClr val="dk1"/>
        </a:effectRef>
        <a:fontRef idx="minor">
          <a:schemeClr val="tx1"/>
        </a:fontRef>
      </xdr:style>
    </xdr:cxnSp>
    <xdr:clientData/>
  </xdr:twoCellAnchor>
  <xdr:oneCellAnchor>
    <xdr:from>
      <xdr:col>71</xdr:col>
      <xdr:colOff>9525</xdr:colOff>
      <xdr:row>21</xdr:row>
      <xdr:rowOff>66675</xdr:rowOff>
    </xdr:from>
    <xdr:ext cx="1482714" cy="264560"/>
    <xdr:sp macro="" textlink="">
      <xdr:nvSpPr>
        <xdr:cNvPr id="13" name="CuadroTexto 12"/>
        <xdr:cNvSpPr txBox="1"/>
      </xdr:nvSpPr>
      <xdr:spPr>
        <a:xfrm>
          <a:off x="4705350" y="4752975"/>
          <a:ext cx="1482714"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t>PR 41+0000 - POCORA</a:t>
          </a:r>
        </a:p>
      </xdr:txBody>
    </xdr:sp>
    <xdr:clientData/>
  </xdr:oneCellAnchor>
  <xdr:twoCellAnchor>
    <xdr:from>
      <xdr:col>98</xdr:col>
      <xdr:colOff>123825</xdr:colOff>
      <xdr:row>21</xdr:row>
      <xdr:rowOff>190500</xdr:rowOff>
    </xdr:from>
    <xdr:to>
      <xdr:col>100</xdr:col>
      <xdr:colOff>104775</xdr:colOff>
      <xdr:row>21</xdr:row>
      <xdr:rowOff>247650</xdr:rowOff>
    </xdr:to>
    <xdr:cxnSp macro="">
      <xdr:nvCxnSpPr>
        <xdr:cNvPr id="14" name="Conector recto de flecha 13"/>
        <xdr:cNvCxnSpPr/>
      </xdr:nvCxnSpPr>
      <xdr:spPr bwMode="auto">
        <a:xfrm flipH="1" flipV="1">
          <a:off x="6105525" y="4876800"/>
          <a:ext cx="266700" cy="57150"/>
        </a:xfrm>
        <a:prstGeom prst="straightConnector1">
          <a:avLst/>
        </a:prstGeom>
        <a:ln w="12700">
          <a:headEnd type="none" w="med" len="med"/>
          <a:tailEnd type="triangle"/>
        </a:ln>
      </xdr:spPr>
      <xdr:style>
        <a:lnRef idx="1">
          <a:schemeClr val="dk1"/>
        </a:lnRef>
        <a:fillRef idx="0">
          <a:schemeClr val="dk1"/>
        </a:fillRef>
        <a:effectRef idx="0">
          <a:schemeClr val="dk1"/>
        </a:effectRef>
        <a:fontRef idx="minor">
          <a:schemeClr val="tx1"/>
        </a:fontRef>
      </xdr:style>
    </xdr:cxn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34</xdr:row>
      <xdr:rowOff>0</xdr:rowOff>
    </xdr:from>
    <xdr:to>
      <xdr:col>1</xdr:col>
      <xdr:colOff>9525</xdr:colOff>
      <xdr:row>35</xdr:row>
      <xdr:rowOff>190500</xdr:rowOff>
    </xdr:to>
    <xdr:sp macro="" textlink="">
      <xdr:nvSpPr>
        <xdr:cNvPr id="30707710" name="Line 2">
          <a:extLst>
            <a:ext uri="{FF2B5EF4-FFF2-40B4-BE49-F238E27FC236}">
              <a16:creationId xmlns:a16="http://schemas.microsoft.com/office/drawing/2014/main" id="{00000000-0008-0000-0600-0000FE8FD401}"/>
            </a:ext>
          </a:extLst>
        </xdr:cNvPr>
        <xdr:cNvSpPr>
          <a:spLocks noChangeShapeType="1"/>
        </xdr:cNvSpPr>
      </xdr:nvSpPr>
      <xdr:spPr bwMode="auto">
        <a:xfrm>
          <a:off x="0" y="8181975"/>
          <a:ext cx="1885950" cy="390525"/>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80</xdr:col>
      <xdr:colOff>19050</xdr:colOff>
      <xdr:row>93</xdr:row>
      <xdr:rowOff>19050</xdr:rowOff>
    </xdr:from>
    <xdr:to>
      <xdr:col>80</xdr:col>
      <xdr:colOff>19050</xdr:colOff>
      <xdr:row>94</xdr:row>
      <xdr:rowOff>180975</xdr:rowOff>
    </xdr:to>
    <xdr:sp macro="" textlink="">
      <xdr:nvSpPr>
        <xdr:cNvPr id="30707711" name="Line 7">
          <a:extLst>
            <a:ext uri="{FF2B5EF4-FFF2-40B4-BE49-F238E27FC236}">
              <a16:creationId xmlns:a16="http://schemas.microsoft.com/office/drawing/2014/main" id="{00000000-0008-0000-0600-0000FF8FD401}"/>
            </a:ext>
          </a:extLst>
        </xdr:cNvPr>
        <xdr:cNvSpPr>
          <a:spLocks noChangeShapeType="1"/>
        </xdr:cNvSpPr>
      </xdr:nvSpPr>
      <xdr:spPr bwMode="auto">
        <a:xfrm>
          <a:off x="5648325" y="17545050"/>
          <a:ext cx="0" cy="352425"/>
        </a:xfrm>
        <a:prstGeom prst="line">
          <a:avLst/>
        </a:prstGeom>
        <a:noFill/>
        <a:ln w="57150">
          <a:solidFill>
            <a:srgbClr val="8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0</xdr:colOff>
      <xdr:row>34</xdr:row>
      <xdr:rowOff>0</xdr:rowOff>
    </xdr:from>
    <xdr:to>
      <xdr:col>1</xdr:col>
      <xdr:colOff>9525</xdr:colOff>
      <xdr:row>35</xdr:row>
      <xdr:rowOff>190500</xdr:rowOff>
    </xdr:to>
    <xdr:sp macro="" textlink="">
      <xdr:nvSpPr>
        <xdr:cNvPr id="32315392" name="Line 2">
          <a:extLst>
            <a:ext uri="{FF2B5EF4-FFF2-40B4-BE49-F238E27FC236}">
              <a16:creationId xmlns:a16="http://schemas.microsoft.com/office/drawing/2014/main" id="{00000000-0008-0000-0600-00000018ED01}"/>
            </a:ext>
          </a:extLst>
        </xdr:cNvPr>
        <xdr:cNvSpPr>
          <a:spLocks noChangeShapeType="1"/>
        </xdr:cNvSpPr>
      </xdr:nvSpPr>
      <xdr:spPr bwMode="auto">
        <a:xfrm>
          <a:off x="0" y="8181975"/>
          <a:ext cx="1885950" cy="390525"/>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0</xdr:colOff>
      <xdr:row>34</xdr:row>
      <xdr:rowOff>0</xdr:rowOff>
    </xdr:from>
    <xdr:to>
      <xdr:col>1</xdr:col>
      <xdr:colOff>9525</xdr:colOff>
      <xdr:row>35</xdr:row>
      <xdr:rowOff>190500</xdr:rowOff>
    </xdr:to>
    <xdr:sp macro="" textlink="">
      <xdr:nvSpPr>
        <xdr:cNvPr id="32315408" name="Line 2">
          <a:extLst>
            <a:ext uri="{FF2B5EF4-FFF2-40B4-BE49-F238E27FC236}">
              <a16:creationId xmlns:a16="http://schemas.microsoft.com/office/drawing/2014/main" id="{00000000-0008-0000-0600-00001018ED01}"/>
            </a:ext>
          </a:extLst>
        </xdr:cNvPr>
        <xdr:cNvSpPr>
          <a:spLocks noChangeShapeType="1"/>
        </xdr:cNvSpPr>
      </xdr:nvSpPr>
      <xdr:spPr bwMode="auto">
        <a:xfrm>
          <a:off x="0" y="8181975"/>
          <a:ext cx="1885950" cy="390525"/>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editAs="oneCell">
    <xdr:from>
      <xdr:col>0</xdr:col>
      <xdr:colOff>63498</xdr:colOff>
      <xdr:row>15</xdr:row>
      <xdr:rowOff>74082</xdr:rowOff>
    </xdr:from>
    <xdr:to>
      <xdr:col>92</xdr:col>
      <xdr:colOff>255983</xdr:colOff>
      <xdr:row>31</xdr:row>
      <xdr:rowOff>211665</xdr:rowOff>
    </xdr:to>
    <xdr:pic>
      <xdr:nvPicPr>
        <xdr:cNvPr id="2" name="Imagen 1"/>
        <xdr:cNvPicPr>
          <a:picLocks noChangeAspect="1"/>
        </xdr:cNvPicPr>
      </xdr:nvPicPr>
      <xdr:blipFill>
        <a:blip xmlns:r="http://schemas.openxmlformats.org/officeDocument/2006/relationships" r:embed="rId1"/>
        <a:stretch>
          <a:fillRect/>
        </a:stretch>
      </xdr:blipFill>
      <xdr:spPr>
        <a:xfrm>
          <a:off x="63498" y="3058582"/>
          <a:ext cx="8108818" cy="4540250"/>
        </a:xfrm>
        <a:prstGeom prst="rect">
          <a:avLst/>
        </a:prstGeom>
      </xdr:spPr>
    </xdr:pic>
    <xdr:clientData/>
  </xdr:twoCellAnchor>
  <xdr:oneCellAnchor>
    <xdr:from>
      <xdr:col>0</xdr:col>
      <xdr:colOff>158750</xdr:colOff>
      <xdr:row>25</xdr:row>
      <xdr:rowOff>201083</xdr:rowOff>
    </xdr:from>
    <xdr:ext cx="2442592" cy="264560"/>
    <xdr:sp macro="" textlink="">
      <xdr:nvSpPr>
        <xdr:cNvPr id="3" name="CuadroTexto 2"/>
        <xdr:cNvSpPr txBox="1"/>
      </xdr:nvSpPr>
      <xdr:spPr>
        <a:xfrm>
          <a:off x="158750" y="5937250"/>
          <a:ext cx="244259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t>PR 15+0000 - ALTO DE LOS BIZCOCHOS</a:t>
          </a:r>
        </a:p>
      </xdr:txBody>
    </xdr:sp>
    <xdr:clientData/>
  </xdr:oneCellAnchor>
  <xdr:twoCellAnchor>
    <xdr:from>
      <xdr:col>12</xdr:col>
      <xdr:colOff>31750</xdr:colOff>
      <xdr:row>26</xdr:row>
      <xdr:rowOff>105834</xdr:rowOff>
    </xdr:from>
    <xdr:to>
      <xdr:col>17</xdr:col>
      <xdr:colOff>10584</xdr:colOff>
      <xdr:row>26</xdr:row>
      <xdr:rowOff>169334</xdr:rowOff>
    </xdr:to>
    <xdr:cxnSp macro="">
      <xdr:nvCxnSpPr>
        <xdr:cNvPr id="5" name="Conector recto de flecha 4"/>
        <xdr:cNvCxnSpPr/>
      </xdr:nvCxnSpPr>
      <xdr:spPr bwMode="auto">
        <a:xfrm flipH="1" flipV="1">
          <a:off x="2476500" y="6117167"/>
          <a:ext cx="243417" cy="63500"/>
        </a:xfrm>
        <a:prstGeom prst="straightConnector1">
          <a:avLst/>
        </a:prstGeom>
        <a:ln w="12700">
          <a:headEnd type="none" w="med" len="med"/>
          <a:tailEnd type="triangle"/>
        </a:ln>
      </xdr:spPr>
      <xdr:style>
        <a:lnRef idx="1">
          <a:schemeClr val="dk1"/>
        </a:lnRef>
        <a:fillRef idx="0">
          <a:schemeClr val="dk1"/>
        </a:fillRef>
        <a:effectRef idx="0">
          <a:schemeClr val="dk1"/>
        </a:effectRef>
        <a:fontRef idx="minor">
          <a:schemeClr val="tx1"/>
        </a:fontRef>
      </xdr:style>
    </xdr:cxnSp>
    <xdr:clientData/>
  </xdr:twoCellAnchor>
  <xdr:oneCellAnchor>
    <xdr:from>
      <xdr:col>47</xdr:col>
      <xdr:colOff>52915</xdr:colOff>
      <xdr:row>24</xdr:row>
      <xdr:rowOff>275166</xdr:rowOff>
    </xdr:from>
    <xdr:ext cx="2618730" cy="264560"/>
    <xdr:sp macro="" textlink="">
      <xdr:nvSpPr>
        <xdr:cNvPr id="11" name="CuadroTexto 10"/>
        <xdr:cNvSpPr txBox="1"/>
      </xdr:nvSpPr>
      <xdr:spPr>
        <a:xfrm>
          <a:off x="4349748" y="5736166"/>
          <a:ext cx="261873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t>PR 20+0000 - CORREGIMIETO CUCUANA</a:t>
          </a:r>
        </a:p>
      </xdr:txBody>
    </xdr:sp>
    <xdr:clientData/>
  </xdr:oneCellAnchor>
  <xdr:twoCellAnchor>
    <xdr:from>
      <xdr:col>42</xdr:col>
      <xdr:colOff>31750</xdr:colOff>
      <xdr:row>25</xdr:row>
      <xdr:rowOff>74083</xdr:rowOff>
    </xdr:from>
    <xdr:to>
      <xdr:col>47</xdr:col>
      <xdr:colOff>43390</xdr:colOff>
      <xdr:row>25</xdr:row>
      <xdr:rowOff>132279</xdr:rowOff>
    </xdr:to>
    <xdr:cxnSp macro="">
      <xdr:nvCxnSpPr>
        <xdr:cNvPr id="12" name="Conector recto de flecha 11"/>
        <xdr:cNvCxnSpPr>
          <a:endCxn id="11" idx="1"/>
        </xdr:cNvCxnSpPr>
      </xdr:nvCxnSpPr>
      <xdr:spPr bwMode="auto">
        <a:xfrm>
          <a:off x="4064000" y="5810250"/>
          <a:ext cx="276223" cy="58196"/>
        </a:xfrm>
        <a:prstGeom prst="straightConnector1">
          <a:avLst/>
        </a:prstGeom>
        <a:ln w="12700">
          <a:headEnd type="none" w="med" len="med"/>
          <a:tailEnd type="triangle"/>
        </a:ln>
      </xdr:spPr>
      <xdr:style>
        <a:lnRef idx="1">
          <a:schemeClr val="dk1"/>
        </a:lnRef>
        <a:fillRef idx="0">
          <a:schemeClr val="dk1"/>
        </a:fillRef>
        <a:effectRef idx="0">
          <a:schemeClr val="dk1"/>
        </a:effectRef>
        <a:fontRef idx="minor">
          <a:schemeClr val="tx1"/>
        </a:fontRef>
      </xdr:style>
    </xdr:cxnSp>
    <xdr:clientData/>
  </xdr:twoCellAnchor>
</xdr:wsDr>
</file>

<file path=xl/drawings/drawing6.xml><?xml version="1.0" encoding="utf-8"?>
<xdr:wsDr xmlns:xdr="http://schemas.openxmlformats.org/drawingml/2006/spreadsheetDrawing" xmlns:a="http://schemas.openxmlformats.org/drawingml/2006/main">
  <xdr:twoCellAnchor>
    <xdr:from>
      <xdr:col>0</xdr:col>
      <xdr:colOff>0</xdr:colOff>
      <xdr:row>35</xdr:row>
      <xdr:rowOff>0</xdr:rowOff>
    </xdr:from>
    <xdr:to>
      <xdr:col>1</xdr:col>
      <xdr:colOff>9525</xdr:colOff>
      <xdr:row>36</xdr:row>
      <xdr:rowOff>190500</xdr:rowOff>
    </xdr:to>
    <xdr:sp macro="" textlink="">
      <xdr:nvSpPr>
        <xdr:cNvPr id="30879556" name="Line 2">
          <a:extLst>
            <a:ext uri="{FF2B5EF4-FFF2-40B4-BE49-F238E27FC236}">
              <a16:creationId xmlns:a16="http://schemas.microsoft.com/office/drawing/2014/main" id="{00000000-0008-0000-0700-0000442FD701}"/>
            </a:ext>
          </a:extLst>
        </xdr:cNvPr>
        <xdr:cNvSpPr>
          <a:spLocks noChangeShapeType="1"/>
        </xdr:cNvSpPr>
      </xdr:nvSpPr>
      <xdr:spPr bwMode="auto">
        <a:xfrm>
          <a:off x="0" y="8458200"/>
          <a:ext cx="1885950" cy="390525"/>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91</xdr:col>
      <xdr:colOff>9525</xdr:colOff>
      <xdr:row>95</xdr:row>
      <xdr:rowOff>9525</xdr:rowOff>
    </xdr:from>
    <xdr:to>
      <xdr:col>91</xdr:col>
      <xdr:colOff>9525</xdr:colOff>
      <xdr:row>96</xdr:row>
      <xdr:rowOff>171450</xdr:rowOff>
    </xdr:to>
    <xdr:sp macro="" textlink="">
      <xdr:nvSpPr>
        <xdr:cNvPr id="30879557" name="Line 12">
          <a:extLst>
            <a:ext uri="{FF2B5EF4-FFF2-40B4-BE49-F238E27FC236}">
              <a16:creationId xmlns:a16="http://schemas.microsoft.com/office/drawing/2014/main" id="{00000000-0008-0000-0700-0000452FD701}"/>
            </a:ext>
          </a:extLst>
        </xdr:cNvPr>
        <xdr:cNvSpPr>
          <a:spLocks noChangeShapeType="1"/>
        </xdr:cNvSpPr>
      </xdr:nvSpPr>
      <xdr:spPr bwMode="auto">
        <a:xfrm>
          <a:off x="7162800" y="17954625"/>
          <a:ext cx="0" cy="352425"/>
        </a:xfrm>
        <a:prstGeom prst="line">
          <a:avLst/>
        </a:prstGeom>
        <a:noFill/>
        <a:ln w="57150">
          <a:solidFill>
            <a:srgbClr val="99CC00"/>
          </a:solidFill>
          <a:round/>
          <a:headEnd/>
          <a:tailEnd/>
        </a:ln>
        <a:extLst>
          <a:ext uri="{909E8E84-426E-40DD-AFC4-6F175D3DCCD1}">
            <a14:hiddenFill xmlns:a14="http://schemas.microsoft.com/office/drawing/2010/main">
              <a:noFill/>
            </a14:hiddenFill>
          </a:ext>
        </a:extLst>
      </xdr:spPr>
    </xdr:sp>
    <xdr:clientData/>
  </xdr:twoCellAnchor>
  <xdr:twoCellAnchor>
    <xdr:from>
      <xdr:col>90</xdr:col>
      <xdr:colOff>95250</xdr:colOff>
      <xdr:row>94</xdr:row>
      <xdr:rowOff>19050</xdr:rowOff>
    </xdr:from>
    <xdr:to>
      <xdr:col>90</xdr:col>
      <xdr:colOff>95250</xdr:colOff>
      <xdr:row>95</xdr:row>
      <xdr:rowOff>180975</xdr:rowOff>
    </xdr:to>
    <xdr:sp macro="" textlink="">
      <xdr:nvSpPr>
        <xdr:cNvPr id="30879558" name="Line 13">
          <a:extLst>
            <a:ext uri="{FF2B5EF4-FFF2-40B4-BE49-F238E27FC236}">
              <a16:creationId xmlns:a16="http://schemas.microsoft.com/office/drawing/2014/main" id="{00000000-0008-0000-0700-0000462FD701}"/>
            </a:ext>
          </a:extLst>
        </xdr:cNvPr>
        <xdr:cNvSpPr>
          <a:spLocks noChangeShapeType="1"/>
        </xdr:cNvSpPr>
      </xdr:nvSpPr>
      <xdr:spPr bwMode="auto">
        <a:xfrm>
          <a:off x="7115175" y="17773650"/>
          <a:ext cx="0" cy="352425"/>
        </a:xfrm>
        <a:prstGeom prst="line">
          <a:avLst/>
        </a:prstGeom>
        <a:noFill/>
        <a:ln w="57150">
          <a:solidFill>
            <a:srgbClr val="99CC00"/>
          </a:solidFill>
          <a:round/>
          <a:headEnd/>
          <a:tailEnd/>
        </a:ln>
        <a:extLst>
          <a:ext uri="{909E8E84-426E-40DD-AFC4-6F175D3DCCD1}">
            <a14:hiddenFill xmlns:a14="http://schemas.microsoft.com/office/drawing/2010/main">
              <a:noFill/>
            </a14:hiddenFill>
          </a:ext>
        </a:extLst>
      </xdr:spPr>
    </xdr:sp>
    <xdr:clientData/>
  </xdr:twoCellAnchor>
  <xdr:twoCellAnchor>
    <xdr:from>
      <xdr:col>91</xdr:col>
      <xdr:colOff>57150</xdr:colOff>
      <xdr:row>94</xdr:row>
      <xdr:rowOff>152400</xdr:rowOff>
    </xdr:from>
    <xdr:to>
      <xdr:col>91</xdr:col>
      <xdr:colOff>57150</xdr:colOff>
      <xdr:row>96</xdr:row>
      <xdr:rowOff>123825</xdr:rowOff>
    </xdr:to>
    <xdr:sp macro="" textlink="">
      <xdr:nvSpPr>
        <xdr:cNvPr id="30879559" name="Line 14">
          <a:extLst>
            <a:ext uri="{FF2B5EF4-FFF2-40B4-BE49-F238E27FC236}">
              <a16:creationId xmlns:a16="http://schemas.microsoft.com/office/drawing/2014/main" id="{00000000-0008-0000-0700-0000472FD701}"/>
            </a:ext>
          </a:extLst>
        </xdr:cNvPr>
        <xdr:cNvSpPr>
          <a:spLocks noChangeShapeType="1"/>
        </xdr:cNvSpPr>
      </xdr:nvSpPr>
      <xdr:spPr bwMode="auto">
        <a:xfrm>
          <a:off x="7210425" y="17907000"/>
          <a:ext cx="0" cy="352425"/>
        </a:xfrm>
        <a:prstGeom prst="line">
          <a:avLst/>
        </a:prstGeom>
        <a:noFill/>
        <a:ln w="57150">
          <a:solidFill>
            <a:srgbClr val="99CC00"/>
          </a:solidFill>
          <a:round/>
          <a:headEnd/>
          <a:tailEnd/>
        </a:ln>
        <a:extLst>
          <a:ext uri="{909E8E84-426E-40DD-AFC4-6F175D3DCCD1}">
            <a14:hiddenFill xmlns:a14="http://schemas.microsoft.com/office/drawing/2010/main">
              <a:noFill/>
            </a14:hiddenFill>
          </a:ext>
        </a:extLst>
      </xdr:spPr>
    </xdr:sp>
    <xdr:clientData/>
  </xdr:twoCellAnchor>
  <xdr:twoCellAnchor>
    <xdr:from>
      <xdr:col>81</xdr:col>
      <xdr:colOff>123825</xdr:colOff>
      <xdr:row>98</xdr:row>
      <xdr:rowOff>85725</xdr:rowOff>
    </xdr:from>
    <xdr:to>
      <xdr:col>94</xdr:col>
      <xdr:colOff>209550</xdr:colOff>
      <xdr:row>98</xdr:row>
      <xdr:rowOff>85725</xdr:rowOff>
    </xdr:to>
    <xdr:sp macro="" textlink="">
      <xdr:nvSpPr>
        <xdr:cNvPr id="30879560" name="Line 25">
          <a:extLst>
            <a:ext uri="{FF2B5EF4-FFF2-40B4-BE49-F238E27FC236}">
              <a16:creationId xmlns:a16="http://schemas.microsoft.com/office/drawing/2014/main" id="{00000000-0008-0000-0700-0000482FD701}"/>
            </a:ext>
          </a:extLst>
        </xdr:cNvPr>
        <xdr:cNvSpPr>
          <a:spLocks noChangeShapeType="1"/>
        </xdr:cNvSpPr>
      </xdr:nvSpPr>
      <xdr:spPr bwMode="auto">
        <a:xfrm>
          <a:off x="5800725" y="18602325"/>
          <a:ext cx="2124075" cy="0"/>
        </a:xfrm>
        <a:prstGeom prst="line">
          <a:avLst/>
        </a:prstGeom>
        <a:noFill/>
        <a:ln w="76200">
          <a:solidFill>
            <a:srgbClr val="FFFF00"/>
          </a:solidFill>
          <a:round/>
          <a:headEnd/>
          <a:tailEnd/>
        </a:ln>
        <a:extLst>
          <a:ext uri="{909E8E84-426E-40DD-AFC4-6F175D3DCCD1}">
            <a14:hiddenFill xmlns:a14="http://schemas.microsoft.com/office/drawing/2010/main">
              <a:noFill/>
            </a14:hiddenFill>
          </a:ext>
        </a:extLst>
      </xdr:spPr>
    </xdr:sp>
    <xdr:clientData/>
  </xdr:twoCellAnchor>
  <xdr:twoCellAnchor editAs="oneCell">
    <xdr:from>
      <xdr:col>0</xdr:col>
      <xdr:colOff>0</xdr:colOff>
      <xdr:row>14</xdr:row>
      <xdr:rowOff>0</xdr:rowOff>
    </xdr:from>
    <xdr:to>
      <xdr:col>0</xdr:col>
      <xdr:colOff>66675</xdr:colOff>
      <xdr:row>14</xdr:row>
      <xdr:rowOff>57150</xdr:rowOff>
    </xdr:to>
    <xdr:pic>
      <xdr:nvPicPr>
        <xdr:cNvPr id="30879561" name="Picture 1202">
          <a:extLst>
            <a:ext uri="{FF2B5EF4-FFF2-40B4-BE49-F238E27FC236}">
              <a16:creationId xmlns:a16="http://schemas.microsoft.com/office/drawing/2014/main" id="{00000000-0008-0000-0700-0000492FD701}"/>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2867025"/>
          <a:ext cx="66675"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133350</xdr:colOff>
      <xdr:row>15</xdr:row>
      <xdr:rowOff>57150</xdr:rowOff>
    </xdr:from>
    <xdr:to>
      <xdr:col>92</xdr:col>
      <xdr:colOff>38100</xdr:colOff>
      <xdr:row>32</xdr:row>
      <xdr:rowOff>180975</xdr:rowOff>
    </xdr:to>
    <xdr:pic>
      <xdr:nvPicPr>
        <xdr:cNvPr id="30879562" name="1 Imagen">
          <a:extLst>
            <a:ext uri="{FF2B5EF4-FFF2-40B4-BE49-F238E27FC236}">
              <a16:creationId xmlns:a16="http://schemas.microsoft.com/office/drawing/2014/main" id="{00000000-0008-0000-0700-00004A2FD7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33354" t="26028" r="8858" b="5589"/>
        <a:stretch>
          <a:fillRect/>
        </a:stretch>
      </xdr:blipFill>
      <xdr:spPr bwMode="auto">
        <a:xfrm>
          <a:off x="133350" y="3124200"/>
          <a:ext cx="7200900" cy="481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18</xdr:col>
      <xdr:colOff>13611</xdr:colOff>
      <xdr:row>27</xdr:row>
      <xdr:rowOff>206377</xdr:rowOff>
    </xdr:from>
    <xdr:to>
      <xdr:col>24</xdr:col>
      <xdr:colOff>24235</xdr:colOff>
      <xdr:row>31</xdr:row>
      <xdr:rowOff>199924</xdr:rowOff>
    </xdr:to>
    <xdr:sp macro="" textlink="">
      <xdr:nvSpPr>
        <xdr:cNvPr id="9" name="8 CuadroTexto">
          <a:extLst>
            <a:ext uri="{FF2B5EF4-FFF2-40B4-BE49-F238E27FC236}">
              <a16:creationId xmlns:a16="http://schemas.microsoft.com/office/drawing/2014/main" id="{00000000-0008-0000-0700-000009000000}"/>
            </a:ext>
          </a:extLst>
        </xdr:cNvPr>
        <xdr:cNvSpPr txBox="1"/>
      </xdr:nvSpPr>
      <xdr:spPr>
        <a:xfrm rot="18091013">
          <a:off x="2289099" y="6989164"/>
          <a:ext cx="1098447" cy="2963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000"/>
            <a:t>NEIVA</a:t>
          </a:r>
        </a:p>
      </xdr:txBody>
    </xdr:sp>
    <xdr:clientData/>
  </xdr:twoCellAnchor>
  <xdr:twoCellAnchor>
    <xdr:from>
      <xdr:col>10</xdr:col>
      <xdr:colOff>22226</xdr:colOff>
      <xdr:row>31</xdr:row>
      <xdr:rowOff>78294</xdr:rowOff>
    </xdr:from>
    <xdr:to>
      <xdr:col>15</xdr:col>
      <xdr:colOff>25729</xdr:colOff>
      <xdr:row>32</xdr:row>
      <xdr:rowOff>200027</xdr:rowOff>
    </xdr:to>
    <xdr:cxnSp macro="">
      <xdr:nvCxnSpPr>
        <xdr:cNvPr id="10" name="9 Conector recto de flecha">
          <a:extLst>
            <a:ext uri="{FF2B5EF4-FFF2-40B4-BE49-F238E27FC236}">
              <a16:creationId xmlns:a16="http://schemas.microsoft.com/office/drawing/2014/main" id="{00000000-0008-0000-0700-00000A000000}"/>
            </a:ext>
          </a:extLst>
        </xdr:cNvPr>
        <xdr:cNvCxnSpPr/>
      </xdr:nvCxnSpPr>
      <xdr:spPr>
        <a:xfrm flipH="1">
          <a:off x="2317751" y="7564944"/>
          <a:ext cx="241628" cy="397958"/>
        </a:xfrm>
        <a:prstGeom prst="straightConnector1">
          <a:avLst/>
        </a:prstGeom>
        <a:ln w="1905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15</xdr:col>
      <xdr:colOff>33721</xdr:colOff>
      <xdr:row>32</xdr:row>
      <xdr:rowOff>5560</xdr:rowOff>
    </xdr:from>
    <xdr:to>
      <xdr:col>37</xdr:col>
      <xdr:colOff>30444</xdr:colOff>
      <xdr:row>33</xdr:row>
      <xdr:rowOff>32679</xdr:rowOff>
    </xdr:to>
    <xdr:sp macro="" textlink="">
      <xdr:nvSpPr>
        <xdr:cNvPr id="11" name="10 CuadroTexto">
          <a:extLst>
            <a:ext uri="{FF2B5EF4-FFF2-40B4-BE49-F238E27FC236}">
              <a16:creationId xmlns:a16="http://schemas.microsoft.com/office/drawing/2014/main" id="{00000000-0008-0000-0700-00000B000000}"/>
            </a:ext>
          </a:extLst>
        </xdr:cNvPr>
        <xdr:cNvSpPr txBox="1"/>
      </xdr:nvSpPr>
      <xdr:spPr>
        <a:xfrm>
          <a:off x="2567371" y="7768435"/>
          <a:ext cx="1044473" cy="3033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s-CO" sz="1100" b="1"/>
            <a:t>PR24+0060</a:t>
          </a:r>
        </a:p>
      </xdr:txBody>
    </xdr:sp>
    <xdr:clientData/>
  </xdr:twoCellAnchor>
  <xdr:twoCellAnchor>
    <xdr:from>
      <xdr:col>10</xdr:col>
      <xdr:colOff>9427</xdr:colOff>
      <xdr:row>28</xdr:row>
      <xdr:rowOff>25453</xdr:rowOff>
    </xdr:from>
    <xdr:to>
      <xdr:col>32</xdr:col>
      <xdr:colOff>28353</xdr:colOff>
      <xdr:row>29</xdr:row>
      <xdr:rowOff>45085</xdr:rowOff>
    </xdr:to>
    <xdr:sp macro="" textlink="">
      <xdr:nvSpPr>
        <xdr:cNvPr id="12" name="11 CuadroTexto">
          <a:extLst>
            <a:ext uri="{FF2B5EF4-FFF2-40B4-BE49-F238E27FC236}">
              <a16:creationId xmlns:a16="http://schemas.microsoft.com/office/drawing/2014/main" id="{00000000-0008-0000-0700-00000C000000}"/>
            </a:ext>
          </a:extLst>
        </xdr:cNvPr>
        <xdr:cNvSpPr txBox="1"/>
      </xdr:nvSpPr>
      <xdr:spPr>
        <a:xfrm rot="20568733">
          <a:off x="2304952" y="6683428"/>
          <a:ext cx="1066676" cy="29585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800"/>
            <a:t>ORTEGA</a:t>
          </a:r>
        </a:p>
      </xdr:txBody>
    </xdr:sp>
    <xdr:clientData/>
  </xdr:twoCellAnchor>
  <xdr:twoCellAnchor>
    <xdr:from>
      <xdr:col>13</xdr:col>
      <xdr:colOff>9525</xdr:colOff>
      <xdr:row>29</xdr:row>
      <xdr:rowOff>0</xdr:rowOff>
    </xdr:from>
    <xdr:to>
      <xdr:col>21</xdr:col>
      <xdr:colOff>28575</xdr:colOff>
      <xdr:row>29</xdr:row>
      <xdr:rowOff>114300</xdr:rowOff>
    </xdr:to>
    <xdr:cxnSp macro="">
      <xdr:nvCxnSpPr>
        <xdr:cNvPr id="13" name="12 Conector recto de flecha">
          <a:extLst>
            <a:ext uri="{FF2B5EF4-FFF2-40B4-BE49-F238E27FC236}">
              <a16:creationId xmlns:a16="http://schemas.microsoft.com/office/drawing/2014/main" id="{00000000-0008-0000-0700-00000D000000}"/>
            </a:ext>
          </a:extLst>
        </xdr:cNvPr>
        <xdr:cNvCxnSpPr/>
      </xdr:nvCxnSpPr>
      <xdr:spPr>
        <a:xfrm flipH="1">
          <a:off x="2447925" y="6934200"/>
          <a:ext cx="400050" cy="114300"/>
        </a:xfrm>
        <a:prstGeom prst="straightConnector1">
          <a:avLst/>
        </a:prstGeom>
        <a:ln w="1905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56</xdr:col>
      <xdr:colOff>32479</xdr:colOff>
      <xdr:row>14</xdr:row>
      <xdr:rowOff>0</xdr:rowOff>
    </xdr:from>
    <xdr:to>
      <xdr:col>62</xdr:col>
      <xdr:colOff>34598</xdr:colOff>
      <xdr:row>17</xdr:row>
      <xdr:rowOff>155473</xdr:rowOff>
    </xdr:to>
    <xdr:sp macro="" textlink="">
      <xdr:nvSpPr>
        <xdr:cNvPr id="14" name="13 CuadroTexto">
          <a:extLst>
            <a:ext uri="{FF2B5EF4-FFF2-40B4-BE49-F238E27FC236}">
              <a16:creationId xmlns:a16="http://schemas.microsoft.com/office/drawing/2014/main" id="{00000000-0008-0000-0700-00000E000000}"/>
            </a:ext>
          </a:extLst>
        </xdr:cNvPr>
        <xdr:cNvSpPr txBox="1"/>
      </xdr:nvSpPr>
      <xdr:spPr>
        <a:xfrm rot="18565926">
          <a:off x="4208715" y="3177064"/>
          <a:ext cx="907948" cy="28786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800"/>
            <a:t>BOGOTA</a:t>
          </a:r>
        </a:p>
      </xdr:txBody>
    </xdr:sp>
    <xdr:clientData/>
  </xdr:twoCellAnchor>
  <xdr:twoCellAnchor>
    <xdr:from>
      <xdr:col>48</xdr:col>
      <xdr:colOff>19050</xdr:colOff>
      <xdr:row>16</xdr:row>
      <xdr:rowOff>51402</xdr:rowOff>
    </xdr:from>
    <xdr:to>
      <xdr:col>52</xdr:col>
      <xdr:colOff>46192</xdr:colOff>
      <xdr:row>17</xdr:row>
      <xdr:rowOff>47627</xdr:rowOff>
    </xdr:to>
    <xdr:cxnSp macro="">
      <xdr:nvCxnSpPr>
        <xdr:cNvPr id="15" name="14 Conector recto de flecha">
          <a:extLst>
            <a:ext uri="{FF2B5EF4-FFF2-40B4-BE49-F238E27FC236}">
              <a16:creationId xmlns:a16="http://schemas.microsoft.com/office/drawing/2014/main" id="{00000000-0008-0000-0700-00000F000000}"/>
            </a:ext>
          </a:extLst>
        </xdr:cNvPr>
        <xdr:cNvCxnSpPr/>
      </xdr:nvCxnSpPr>
      <xdr:spPr>
        <a:xfrm flipV="1">
          <a:off x="4124325" y="3394677"/>
          <a:ext cx="217642" cy="272450"/>
        </a:xfrm>
        <a:prstGeom prst="straightConnector1">
          <a:avLst/>
        </a:prstGeom>
        <a:ln w="1905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45</xdr:col>
      <xdr:colOff>35569</xdr:colOff>
      <xdr:row>17</xdr:row>
      <xdr:rowOff>213133</xdr:rowOff>
    </xdr:from>
    <xdr:to>
      <xdr:col>64</xdr:col>
      <xdr:colOff>43765</xdr:colOff>
      <xdr:row>19</xdr:row>
      <xdr:rowOff>52644</xdr:rowOff>
    </xdr:to>
    <xdr:sp macro="" textlink="">
      <xdr:nvSpPr>
        <xdr:cNvPr id="16" name="15 CuadroTexto">
          <a:extLst>
            <a:ext uri="{FF2B5EF4-FFF2-40B4-BE49-F238E27FC236}">
              <a16:creationId xmlns:a16="http://schemas.microsoft.com/office/drawing/2014/main" id="{00000000-0008-0000-0700-000010000000}"/>
            </a:ext>
          </a:extLst>
        </xdr:cNvPr>
        <xdr:cNvSpPr txBox="1"/>
      </xdr:nvSpPr>
      <xdr:spPr>
        <a:xfrm rot="19529762">
          <a:off x="3997969" y="3832633"/>
          <a:ext cx="913071" cy="39196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rtl="0">
            <a:defRPr sz="1000"/>
          </a:pPr>
          <a:r>
            <a:rPr lang="es-CO" sz="800" b="0" i="0" u="none" strike="noStrike" baseline="0">
              <a:solidFill>
                <a:srgbClr val="3333CC"/>
              </a:solidFill>
              <a:latin typeface="Calibri"/>
              <a:cs typeface="Calibri"/>
            </a:rPr>
            <a:t>Rio Luisa</a:t>
          </a:r>
        </a:p>
      </xdr:txBody>
    </xdr:sp>
    <xdr:clientData/>
  </xdr:twoCellAnchor>
  <xdr:twoCellAnchor>
    <xdr:from>
      <xdr:col>31</xdr:col>
      <xdr:colOff>47653</xdr:colOff>
      <xdr:row>16</xdr:row>
      <xdr:rowOff>201084</xdr:rowOff>
    </xdr:from>
    <xdr:to>
      <xdr:col>53</xdr:col>
      <xdr:colOff>44377</xdr:colOff>
      <xdr:row>17</xdr:row>
      <xdr:rowOff>228203</xdr:rowOff>
    </xdr:to>
    <xdr:sp macro="" textlink="">
      <xdr:nvSpPr>
        <xdr:cNvPr id="17" name="16 CuadroTexto">
          <a:extLst>
            <a:ext uri="{FF2B5EF4-FFF2-40B4-BE49-F238E27FC236}">
              <a16:creationId xmlns:a16="http://schemas.microsoft.com/office/drawing/2014/main" id="{00000000-0008-0000-0700-000011000000}"/>
            </a:ext>
          </a:extLst>
        </xdr:cNvPr>
        <xdr:cNvSpPr txBox="1"/>
      </xdr:nvSpPr>
      <xdr:spPr>
        <a:xfrm>
          <a:off x="3343303" y="3544359"/>
          <a:ext cx="1044474" cy="3033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s-CO" sz="1100" b="1"/>
            <a:t>PR27+1130</a:t>
          </a:r>
        </a:p>
      </xdr:txBody>
    </xdr:sp>
    <xdr:clientData/>
  </xdr:twoCellAnchor>
  <xdr:twoCellAnchor>
    <xdr:from>
      <xdr:col>14</xdr:col>
      <xdr:colOff>38100</xdr:colOff>
      <xdr:row>24</xdr:row>
      <xdr:rowOff>171450</xdr:rowOff>
    </xdr:from>
    <xdr:to>
      <xdr:col>39</xdr:col>
      <xdr:colOff>38100</xdr:colOff>
      <xdr:row>32</xdr:row>
      <xdr:rowOff>171450</xdr:rowOff>
    </xdr:to>
    <xdr:sp macro="" textlink="">
      <xdr:nvSpPr>
        <xdr:cNvPr id="30879572" name="3 Forma libre">
          <a:extLst>
            <a:ext uri="{FF2B5EF4-FFF2-40B4-BE49-F238E27FC236}">
              <a16:creationId xmlns:a16="http://schemas.microsoft.com/office/drawing/2014/main" id="{00000000-0008-0000-0700-0000542FD701}"/>
            </a:ext>
          </a:extLst>
        </xdr:cNvPr>
        <xdr:cNvSpPr>
          <a:spLocks/>
        </xdr:cNvSpPr>
      </xdr:nvSpPr>
      <xdr:spPr bwMode="auto">
        <a:xfrm>
          <a:off x="2524125" y="5724525"/>
          <a:ext cx="1190625" cy="2209800"/>
        </a:xfrm>
        <a:custGeom>
          <a:avLst/>
          <a:gdLst>
            <a:gd name="T0" fmla="*/ 8 w 1270000"/>
            <a:gd name="T1" fmla="*/ 522046 h 2235200"/>
            <a:gd name="T2" fmla="*/ 24 w 1270000"/>
            <a:gd name="T3" fmla="*/ 497980 h 2235200"/>
            <a:gd name="T4" fmla="*/ 40 w 1270000"/>
            <a:gd name="T5" fmla="*/ 484441 h 2235200"/>
            <a:gd name="T6" fmla="*/ 55 w 1270000"/>
            <a:gd name="T7" fmla="*/ 472406 h 2235200"/>
            <a:gd name="T8" fmla="*/ 76 w 1270000"/>
            <a:gd name="T9" fmla="*/ 457361 h 2235200"/>
            <a:gd name="T10" fmla="*/ 88 w 1270000"/>
            <a:gd name="T11" fmla="*/ 442314 h 2235200"/>
            <a:gd name="T12" fmla="*/ 100 w 1270000"/>
            <a:gd name="T13" fmla="*/ 424260 h 2235200"/>
            <a:gd name="T14" fmla="*/ 113 w 1270000"/>
            <a:gd name="T15" fmla="*/ 410722 h 2235200"/>
            <a:gd name="T16" fmla="*/ 121 w 1270000"/>
            <a:gd name="T17" fmla="*/ 403199 h 2235200"/>
            <a:gd name="T18" fmla="*/ 130 w 1270000"/>
            <a:gd name="T19" fmla="*/ 392666 h 2235200"/>
            <a:gd name="T20" fmla="*/ 144 w 1270000"/>
            <a:gd name="T21" fmla="*/ 374613 h 2235200"/>
            <a:gd name="T22" fmla="*/ 162 w 1270000"/>
            <a:gd name="T23" fmla="*/ 356561 h 2235200"/>
            <a:gd name="T24" fmla="*/ 177 w 1270000"/>
            <a:gd name="T25" fmla="*/ 343021 h 2235200"/>
            <a:gd name="T26" fmla="*/ 188 w 1270000"/>
            <a:gd name="T27" fmla="*/ 329478 h 2235200"/>
            <a:gd name="T28" fmla="*/ 198 w 1270000"/>
            <a:gd name="T29" fmla="*/ 315941 h 2235200"/>
            <a:gd name="T30" fmla="*/ 214 w 1270000"/>
            <a:gd name="T31" fmla="*/ 293373 h 2235200"/>
            <a:gd name="T32" fmla="*/ 218 w 1270000"/>
            <a:gd name="T33" fmla="*/ 279830 h 2235200"/>
            <a:gd name="T34" fmla="*/ 233 w 1270000"/>
            <a:gd name="T35" fmla="*/ 264785 h 2235200"/>
            <a:gd name="T36" fmla="*/ 245 w 1270000"/>
            <a:gd name="T37" fmla="*/ 251246 h 2235200"/>
            <a:gd name="T38" fmla="*/ 254 w 1270000"/>
            <a:gd name="T39" fmla="*/ 236198 h 2235200"/>
            <a:gd name="T40" fmla="*/ 263 w 1270000"/>
            <a:gd name="T41" fmla="*/ 218148 h 2235200"/>
            <a:gd name="T42" fmla="*/ 275 w 1270000"/>
            <a:gd name="T43" fmla="*/ 195582 h 2235200"/>
            <a:gd name="T44" fmla="*/ 282 w 1270000"/>
            <a:gd name="T45" fmla="*/ 182041 h 2235200"/>
            <a:gd name="T46" fmla="*/ 289 w 1270000"/>
            <a:gd name="T47" fmla="*/ 173011 h 2235200"/>
            <a:gd name="T48" fmla="*/ 296 w 1270000"/>
            <a:gd name="T49" fmla="*/ 153457 h 2235200"/>
            <a:gd name="T50" fmla="*/ 304 w 1270000"/>
            <a:gd name="T51" fmla="*/ 138414 h 2235200"/>
            <a:gd name="T52" fmla="*/ 310 w 1270000"/>
            <a:gd name="T53" fmla="*/ 129385 h 2235200"/>
            <a:gd name="T54" fmla="*/ 316 w 1270000"/>
            <a:gd name="T55" fmla="*/ 115844 h 2235200"/>
            <a:gd name="T56" fmla="*/ 323 w 1270000"/>
            <a:gd name="T57" fmla="*/ 100799 h 2235200"/>
            <a:gd name="T58" fmla="*/ 331 w 1270000"/>
            <a:gd name="T59" fmla="*/ 82746 h 2235200"/>
            <a:gd name="T60" fmla="*/ 337 w 1270000"/>
            <a:gd name="T61" fmla="*/ 73721 h 2235200"/>
            <a:gd name="T62" fmla="*/ 342 w 1270000"/>
            <a:gd name="T63" fmla="*/ 58676 h 2235200"/>
            <a:gd name="T64" fmla="*/ 350 w 1270000"/>
            <a:gd name="T65" fmla="*/ 45133 h 2235200"/>
            <a:gd name="T66" fmla="*/ 357 w 1270000"/>
            <a:gd name="T67" fmla="*/ 27078 h 2235200"/>
            <a:gd name="T68" fmla="*/ 363 w 1270000"/>
            <a:gd name="T69" fmla="*/ 16551 h 2235200"/>
            <a:gd name="T70" fmla="*/ 373 w 1270000"/>
            <a:gd name="T71" fmla="*/ 3010 h 2235200"/>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w 1270000"/>
            <a:gd name="T109" fmla="*/ 0 h 2235200"/>
            <a:gd name="T110" fmla="*/ 1270000 w 1270000"/>
            <a:gd name="T111" fmla="*/ 2235200 h 2235200"/>
          </a:gdLst>
          <a:ahLst/>
          <a:cxnLst>
            <a:cxn ang="T72">
              <a:pos x="T0" y="T1"/>
            </a:cxn>
            <a:cxn ang="T73">
              <a:pos x="T2" y="T3"/>
            </a:cxn>
            <a:cxn ang="T74">
              <a:pos x="T4" y="T5"/>
            </a:cxn>
            <a:cxn ang="T75">
              <a:pos x="T6" y="T7"/>
            </a:cxn>
            <a:cxn ang="T76">
              <a:pos x="T8" y="T9"/>
            </a:cxn>
            <a:cxn ang="T77">
              <a:pos x="T10" y="T11"/>
            </a:cxn>
            <a:cxn ang="T78">
              <a:pos x="T12" y="T13"/>
            </a:cxn>
            <a:cxn ang="T79">
              <a:pos x="T14" y="T15"/>
            </a:cxn>
            <a:cxn ang="T80">
              <a:pos x="T16" y="T17"/>
            </a:cxn>
            <a:cxn ang="T81">
              <a:pos x="T18" y="T19"/>
            </a:cxn>
            <a:cxn ang="T82">
              <a:pos x="T20" y="T21"/>
            </a:cxn>
            <a:cxn ang="T83">
              <a:pos x="T22" y="T23"/>
            </a:cxn>
            <a:cxn ang="T84">
              <a:pos x="T24" y="T25"/>
            </a:cxn>
            <a:cxn ang="T85">
              <a:pos x="T26" y="T27"/>
            </a:cxn>
            <a:cxn ang="T86">
              <a:pos x="T28" y="T29"/>
            </a:cxn>
            <a:cxn ang="T87">
              <a:pos x="T30" y="T31"/>
            </a:cxn>
            <a:cxn ang="T88">
              <a:pos x="T32" y="T33"/>
            </a:cxn>
            <a:cxn ang="T89">
              <a:pos x="T34" y="T35"/>
            </a:cxn>
            <a:cxn ang="T90">
              <a:pos x="T36" y="T37"/>
            </a:cxn>
            <a:cxn ang="T91">
              <a:pos x="T38" y="T39"/>
            </a:cxn>
            <a:cxn ang="T92">
              <a:pos x="T40" y="T41"/>
            </a:cxn>
            <a:cxn ang="T93">
              <a:pos x="T42" y="T43"/>
            </a:cxn>
            <a:cxn ang="T94">
              <a:pos x="T44" y="T45"/>
            </a:cxn>
            <a:cxn ang="T95">
              <a:pos x="T46" y="T47"/>
            </a:cxn>
            <a:cxn ang="T96">
              <a:pos x="T48" y="T49"/>
            </a:cxn>
            <a:cxn ang="T97">
              <a:pos x="T50" y="T51"/>
            </a:cxn>
            <a:cxn ang="T98">
              <a:pos x="T52" y="T53"/>
            </a:cxn>
            <a:cxn ang="T99">
              <a:pos x="T54" y="T55"/>
            </a:cxn>
            <a:cxn ang="T100">
              <a:pos x="T56" y="T57"/>
            </a:cxn>
            <a:cxn ang="T101">
              <a:pos x="T58" y="T59"/>
            </a:cxn>
            <a:cxn ang="T102">
              <a:pos x="T60" y="T61"/>
            </a:cxn>
            <a:cxn ang="T103">
              <a:pos x="T62" y="T63"/>
            </a:cxn>
            <a:cxn ang="T104">
              <a:pos x="T64" y="T65"/>
            </a:cxn>
            <a:cxn ang="T105">
              <a:pos x="T66" y="T67"/>
            </a:cxn>
            <a:cxn ang="T106">
              <a:pos x="T68" y="T69"/>
            </a:cxn>
            <a:cxn ang="T107">
              <a:pos x="T70" y="T71"/>
            </a:cxn>
          </a:cxnLst>
          <a:rect l="T108" t="T109" r="T110" b="T111"/>
          <a:pathLst>
            <a:path w="1270000" h="2235200">
              <a:moveTo>
                <a:pt x="0" y="2235200"/>
              </a:moveTo>
              <a:cubicBezTo>
                <a:pt x="8467" y="2224617"/>
                <a:pt x="17428" y="2214411"/>
                <a:pt x="25400" y="2203450"/>
              </a:cubicBezTo>
              <a:lnTo>
                <a:pt x="63500" y="2146300"/>
              </a:lnTo>
              <a:cubicBezTo>
                <a:pt x="89927" y="2106659"/>
                <a:pt x="65617" y="2135717"/>
                <a:pt x="82550" y="2101850"/>
              </a:cubicBezTo>
              <a:cubicBezTo>
                <a:pt x="85963" y="2095024"/>
                <a:pt x="90180" y="2088504"/>
                <a:pt x="95250" y="2082800"/>
              </a:cubicBezTo>
              <a:cubicBezTo>
                <a:pt x="107182" y="2069376"/>
                <a:pt x="120650" y="2057400"/>
                <a:pt x="133350" y="2044700"/>
              </a:cubicBezTo>
              <a:cubicBezTo>
                <a:pt x="157796" y="2020254"/>
                <a:pt x="144928" y="2030631"/>
                <a:pt x="171450" y="2012950"/>
              </a:cubicBezTo>
              <a:cubicBezTo>
                <a:pt x="175683" y="2006600"/>
                <a:pt x="179264" y="1999763"/>
                <a:pt x="184150" y="1993900"/>
              </a:cubicBezTo>
              <a:cubicBezTo>
                <a:pt x="199429" y="1975565"/>
                <a:pt x="203519" y="1974637"/>
                <a:pt x="222250" y="1962150"/>
              </a:cubicBezTo>
              <a:cubicBezTo>
                <a:pt x="256117" y="1911350"/>
                <a:pt x="211667" y="1972733"/>
                <a:pt x="254000" y="1930400"/>
              </a:cubicBezTo>
              <a:cubicBezTo>
                <a:pt x="268998" y="1915402"/>
                <a:pt x="266949" y="1903381"/>
                <a:pt x="279400" y="1885950"/>
              </a:cubicBezTo>
              <a:cubicBezTo>
                <a:pt x="284620" y="1878642"/>
                <a:pt x="292100" y="1873250"/>
                <a:pt x="298450" y="1866900"/>
              </a:cubicBezTo>
              <a:cubicBezTo>
                <a:pt x="300567" y="1860550"/>
                <a:pt x="301549" y="1853701"/>
                <a:pt x="304800" y="1847850"/>
              </a:cubicBezTo>
              <a:lnTo>
                <a:pt x="342900" y="1790700"/>
              </a:lnTo>
              <a:lnTo>
                <a:pt x="368300" y="1752600"/>
              </a:lnTo>
              <a:cubicBezTo>
                <a:pt x="372533" y="1746250"/>
                <a:pt x="374650" y="1737783"/>
                <a:pt x="381000" y="1733550"/>
              </a:cubicBezTo>
              <a:lnTo>
                <a:pt x="400050" y="1720850"/>
              </a:lnTo>
              <a:cubicBezTo>
                <a:pt x="402167" y="1714500"/>
                <a:pt x="402687" y="1707369"/>
                <a:pt x="406400" y="1701800"/>
              </a:cubicBezTo>
              <a:cubicBezTo>
                <a:pt x="411381" y="1694328"/>
                <a:pt x="419606" y="1689568"/>
                <a:pt x="425450" y="1682750"/>
              </a:cubicBezTo>
              <a:cubicBezTo>
                <a:pt x="432338" y="1674715"/>
                <a:pt x="438431" y="1666020"/>
                <a:pt x="444500" y="1657350"/>
              </a:cubicBezTo>
              <a:lnTo>
                <a:pt x="482600" y="1600200"/>
              </a:lnTo>
              <a:cubicBezTo>
                <a:pt x="486313" y="1594631"/>
                <a:pt x="485957" y="1587137"/>
                <a:pt x="488950" y="1581150"/>
              </a:cubicBezTo>
              <a:cubicBezTo>
                <a:pt x="497791" y="1563469"/>
                <a:pt x="506656" y="1557094"/>
                <a:pt x="520700" y="1543050"/>
              </a:cubicBezTo>
              <a:cubicBezTo>
                <a:pt x="531859" y="1509572"/>
                <a:pt x="519674" y="1536661"/>
                <a:pt x="546100" y="1504950"/>
              </a:cubicBezTo>
              <a:cubicBezTo>
                <a:pt x="550986" y="1499087"/>
                <a:pt x="553730" y="1491604"/>
                <a:pt x="558800" y="1485900"/>
              </a:cubicBezTo>
              <a:cubicBezTo>
                <a:pt x="570732" y="1472476"/>
                <a:pt x="586937" y="1462744"/>
                <a:pt x="596900" y="1447800"/>
              </a:cubicBezTo>
              <a:lnTo>
                <a:pt x="622300" y="1409700"/>
              </a:lnTo>
              <a:cubicBezTo>
                <a:pt x="626533" y="1403350"/>
                <a:pt x="629604" y="1396046"/>
                <a:pt x="635000" y="1390650"/>
              </a:cubicBezTo>
              <a:cubicBezTo>
                <a:pt x="649044" y="1376606"/>
                <a:pt x="657909" y="1370231"/>
                <a:pt x="666750" y="1352550"/>
              </a:cubicBezTo>
              <a:cubicBezTo>
                <a:pt x="669743" y="1346563"/>
                <a:pt x="669849" y="1339351"/>
                <a:pt x="673100" y="1333500"/>
              </a:cubicBezTo>
              <a:lnTo>
                <a:pt x="711200" y="1276350"/>
              </a:lnTo>
              <a:cubicBezTo>
                <a:pt x="718626" y="1265211"/>
                <a:pt x="719667" y="1250950"/>
                <a:pt x="723900" y="1238250"/>
              </a:cubicBezTo>
              <a:lnTo>
                <a:pt x="736600" y="1200150"/>
              </a:lnTo>
              <a:cubicBezTo>
                <a:pt x="739013" y="1192910"/>
                <a:pt x="745514" y="1187726"/>
                <a:pt x="749300" y="1181100"/>
              </a:cubicBezTo>
              <a:cubicBezTo>
                <a:pt x="753996" y="1172881"/>
                <a:pt x="757130" y="1163817"/>
                <a:pt x="762000" y="1155700"/>
              </a:cubicBezTo>
              <a:cubicBezTo>
                <a:pt x="769853" y="1142612"/>
                <a:pt x="782573" y="1132080"/>
                <a:pt x="787400" y="1117600"/>
              </a:cubicBezTo>
              <a:cubicBezTo>
                <a:pt x="789517" y="1111250"/>
                <a:pt x="790037" y="1104119"/>
                <a:pt x="793750" y="1098550"/>
              </a:cubicBezTo>
              <a:cubicBezTo>
                <a:pt x="821837" y="1056419"/>
                <a:pt x="804725" y="1102001"/>
                <a:pt x="825500" y="1060450"/>
              </a:cubicBezTo>
              <a:cubicBezTo>
                <a:pt x="828493" y="1054463"/>
                <a:pt x="828529" y="1047212"/>
                <a:pt x="831850" y="1041400"/>
              </a:cubicBezTo>
              <a:cubicBezTo>
                <a:pt x="836541" y="1033191"/>
                <a:pt x="858686" y="1008007"/>
                <a:pt x="863600" y="996950"/>
              </a:cubicBezTo>
              <a:lnTo>
                <a:pt x="882650" y="939800"/>
              </a:lnTo>
              <a:cubicBezTo>
                <a:pt x="884767" y="933450"/>
                <a:pt x="885287" y="926319"/>
                <a:pt x="889000" y="920750"/>
              </a:cubicBezTo>
              <a:cubicBezTo>
                <a:pt x="925396" y="866155"/>
                <a:pt x="881760" y="935230"/>
                <a:pt x="908050" y="882650"/>
              </a:cubicBezTo>
              <a:cubicBezTo>
                <a:pt x="938239" y="822273"/>
                <a:pt x="900685" y="923794"/>
                <a:pt x="933450" y="825500"/>
              </a:cubicBezTo>
              <a:cubicBezTo>
                <a:pt x="935863" y="818260"/>
                <a:pt x="943050" y="813424"/>
                <a:pt x="946150" y="806450"/>
              </a:cubicBezTo>
              <a:cubicBezTo>
                <a:pt x="951587" y="794217"/>
                <a:pt x="954617" y="781050"/>
                <a:pt x="958850" y="768350"/>
              </a:cubicBezTo>
              <a:lnTo>
                <a:pt x="965200" y="749300"/>
              </a:lnTo>
              <a:cubicBezTo>
                <a:pt x="967613" y="742060"/>
                <a:pt x="974800" y="737224"/>
                <a:pt x="977900" y="730250"/>
              </a:cubicBezTo>
              <a:cubicBezTo>
                <a:pt x="983337" y="718017"/>
                <a:pt x="986367" y="704850"/>
                <a:pt x="990600" y="692150"/>
              </a:cubicBezTo>
              <a:cubicBezTo>
                <a:pt x="994669" y="679943"/>
                <a:pt x="997185" y="659931"/>
                <a:pt x="1003300" y="647700"/>
              </a:cubicBezTo>
              <a:cubicBezTo>
                <a:pt x="1006713" y="640874"/>
                <a:pt x="1011767" y="635000"/>
                <a:pt x="1016000" y="628650"/>
              </a:cubicBezTo>
              <a:cubicBezTo>
                <a:pt x="1029216" y="575787"/>
                <a:pt x="1013124" y="628053"/>
                <a:pt x="1035050" y="584200"/>
              </a:cubicBezTo>
              <a:cubicBezTo>
                <a:pt x="1038043" y="578213"/>
                <a:pt x="1038407" y="571137"/>
                <a:pt x="1041400" y="565150"/>
              </a:cubicBezTo>
              <a:cubicBezTo>
                <a:pt x="1044813" y="558324"/>
                <a:pt x="1051000" y="553074"/>
                <a:pt x="1054100" y="546100"/>
              </a:cubicBezTo>
              <a:cubicBezTo>
                <a:pt x="1059537" y="533867"/>
                <a:pt x="1062567" y="520700"/>
                <a:pt x="1066800" y="508000"/>
              </a:cubicBezTo>
              <a:cubicBezTo>
                <a:pt x="1068917" y="501650"/>
                <a:pt x="1069437" y="494519"/>
                <a:pt x="1073150" y="488950"/>
              </a:cubicBezTo>
              <a:cubicBezTo>
                <a:pt x="1077383" y="482600"/>
                <a:pt x="1082437" y="476726"/>
                <a:pt x="1085850" y="469900"/>
              </a:cubicBezTo>
              <a:cubicBezTo>
                <a:pt x="1091185" y="459230"/>
                <a:pt x="1095498" y="435623"/>
                <a:pt x="1098550" y="425450"/>
              </a:cubicBezTo>
              <a:cubicBezTo>
                <a:pt x="1102397" y="412628"/>
                <a:pt x="1107017" y="400050"/>
                <a:pt x="1111250" y="387350"/>
              </a:cubicBezTo>
              <a:lnTo>
                <a:pt x="1123950" y="349250"/>
              </a:lnTo>
              <a:cubicBezTo>
                <a:pt x="1126363" y="342010"/>
                <a:pt x="1133237" y="337026"/>
                <a:pt x="1136650" y="330200"/>
              </a:cubicBezTo>
              <a:cubicBezTo>
                <a:pt x="1139643" y="324213"/>
                <a:pt x="1141161" y="317586"/>
                <a:pt x="1143000" y="311150"/>
              </a:cubicBezTo>
              <a:cubicBezTo>
                <a:pt x="1145713" y="301655"/>
                <a:pt x="1150625" y="276850"/>
                <a:pt x="1155700" y="266700"/>
              </a:cubicBezTo>
              <a:cubicBezTo>
                <a:pt x="1159113" y="259874"/>
                <a:pt x="1165300" y="254624"/>
                <a:pt x="1168400" y="247650"/>
              </a:cubicBezTo>
              <a:cubicBezTo>
                <a:pt x="1173837" y="235417"/>
                <a:pt x="1176867" y="222250"/>
                <a:pt x="1181100" y="209550"/>
              </a:cubicBezTo>
              <a:lnTo>
                <a:pt x="1187450" y="190500"/>
              </a:lnTo>
              <a:lnTo>
                <a:pt x="1206500" y="133350"/>
              </a:lnTo>
              <a:cubicBezTo>
                <a:pt x="1208617" y="127000"/>
                <a:pt x="1211227" y="120794"/>
                <a:pt x="1212850" y="114300"/>
              </a:cubicBezTo>
              <a:cubicBezTo>
                <a:pt x="1214967" y="105833"/>
                <a:pt x="1215762" y="96922"/>
                <a:pt x="1219200" y="88900"/>
              </a:cubicBezTo>
              <a:cubicBezTo>
                <a:pt x="1222206" y="81885"/>
                <a:pt x="1228487" y="76676"/>
                <a:pt x="1231900" y="69850"/>
              </a:cubicBezTo>
              <a:cubicBezTo>
                <a:pt x="1234893" y="63863"/>
                <a:pt x="1234999" y="56651"/>
                <a:pt x="1238250" y="50800"/>
              </a:cubicBezTo>
              <a:cubicBezTo>
                <a:pt x="1245663" y="37457"/>
                <a:pt x="1256824" y="26352"/>
                <a:pt x="1263650" y="12700"/>
              </a:cubicBezTo>
              <a:lnTo>
                <a:pt x="1270000" y="0"/>
              </a:lnTo>
            </a:path>
          </a:pathLst>
        </a:custGeom>
        <a:noFill/>
        <a:ln w="63500">
          <a:solidFill>
            <a:srgbClr val="FFFF00"/>
          </a:solidFill>
          <a:round/>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28</xdr:col>
      <xdr:colOff>19050</xdr:colOff>
      <xdr:row>24</xdr:row>
      <xdr:rowOff>161925</xdr:rowOff>
    </xdr:from>
    <xdr:to>
      <xdr:col>39</xdr:col>
      <xdr:colOff>38100</xdr:colOff>
      <xdr:row>29</xdr:row>
      <xdr:rowOff>95250</xdr:rowOff>
    </xdr:to>
    <xdr:cxnSp macro="">
      <xdr:nvCxnSpPr>
        <xdr:cNvPr id="30879573" name="21 Conector recto">
          <a:extLst>
            <a:ext uri="{FF2B5EF4-FFF2-40B4-BE49-F238E27FC236}">
              <a16:creationId xmlns:a16="http://schemas.microsoft.com/office/drawing/2014/main" id="{00000000-0008-0000-0700-0000552FD701}"/>
            </a:ext>
          </a:extLst>
        </xdr:cNvPr>
        <xdr:cNvCxnSpPr>
          <a:cxnSpLocks noChangeShapeType="1"/>
        </xdr:cNvCxnSpPr>
      </xdr:nvCxnSpPr>
      <xdr:spPr bwMode="auto">
        <a:xfrm flipV="1">
          <a:off x="3171825" y="5715000"/>
          <a:ext cx="542925" cy="1314450"/>
        </a:xfrm>
        <a:prstGeom prst="line">
          <a:avLst/>
        </a:prstGeom>
        <a:noFill/>
        <a:ln w="76200">
          <a:solidFill>
            <a:srgbClr val="00FF00"/>
          </a:solidFill>
          <a:round/>
          <a:headEnd/>
          <a:tailEnd/>
        </a:ln>
        <a:extLst>
          <a:ext uri="{909E8E84-426E-40DD-AFC4-6F175D3DCCD1}">
            <a14:hiddenFill xmlns:a14="http://schemas.microsoft.com/office/drawing/2010/main">
              <a:noFill/>
            </a14:hiddenFill>
          </a:ext>
        </a:extLst>
      </xdr:spPr>
    </xdr:cxnSp>
    <xdr:clientData/>
  </xdr:twoCellAnchor>
  <xdr:twoCellAnchor>
    <xdr:from>
      <xdr:col>39</xdr:col>
      <xdr:colOff>28575</xdr:colOff>
      <xdr:row>18</xdr:row>
      <xdr:rowOff>76200</xdr:rowOff>
    </xdr:from>
    <xdr:to>
      <xdr:col>44</xdr:col>
      <xdr:colOff>19050</xdr:colOff>
      <xdr:row>24</xdr:row>
      <xdr:rowOff>161925</xdr:rowOff>
    </xdr:to>
    <xdr:sp macro="" textlink="">
      <xdr:nvSpPr>
        <xdr:cNvPr id="30879574" name="5 Forma libre">
          <a:extLst>
            <a:ext uri="{FF2B5EF4-FFF2-40B4-BE49-F238E27FC236}">
              <a16:creationId xmlns:a16="http://schemas.microsoft.com/office/drawing/2014/main" id="{00000000-0008-0000-0700-0000562FD701}"/>
            </a:ext>
          </a:extLst>
        </xdr:cNvPr>
        <xdr:cNvSpPr>
          <a:spLocks/>
        </xdr:cNvSpPr>
      </xdr:nvSpPr>
      <xdr:spPr bwMode="auto">
        <a:xfrm>
          <a:off x="3705225" y="3971925"/>
          <a:ext cx="228600" cy="1743075"/>
        </a:xfrm>
        <a:custGeom>
          <a:avLst/>
          <a:gdLst>
            <a:gd name="T0" fmla="*/ 0 w 240393"/>
            <a:gd name="T1" fmla="*/ 1442514 h 1746250"/>
            <a:gd name="T2" fmla="*/ 92 w 240393"/>
            <a:gd name="T3" fmla="*/ 1401304 h 1746250"/>
            <a:gd name="T4" fmla="*/ 116 w 240393"/>
            <a:gd name="T5" fmla="*/ 1382569 h 1746250"/>
            <a:gd name="T6" fmla="*/ 138 w 240393"/>
            <a:gd name="T7" fmla="*/ 1360087 h 1746250"/>
            <a:gd name="T8" fmla="*/ 161 w 240393"/>
            <a:gd name="T9" fmla="*/ 1348846 h 1746250"/>
            <a:gd name="T10" fmla="*/ 184 w 240393"/>
            <a:gd name="T11" fmla="*/ 1333855 h 1746250"/>
            <a:gd name="T12" fmla="*/ 230 w 240393"/>
            <a:gd name="T13" fmla="*/ 1288896 h 1746250"/>
            <a:gd name="T14" fmla="*/ 253 w 240393"/>
            <a:gd name="T15" fmla="*/ 1258925 h 1746250"/>
            <a:gd name="T16" fmla="*/ 278 w 240393"/>
            <a:gd name="T17" fmla="*/ 1213962 h 1746250"/>
            <a:gd name="T18" fmla="*/ 343 w 240393"/>
            <a:gd name="T19" fmla="*/ 1180240 h 1746250"/>
            <a:gd name="T20" fmla="*/ 393 w 240393"/>
            <a:gd name="T21" fmla="*/ 1157760 h 1746250"/>
            <a:gd name="T22" fmla="*/ 415 w 240393"/>
            <a:gd name="T23" fmla="*/ 1146513 h 1746250"/>
            <a:gd name="T24" fmla="*/ 460 w 240393"/>
            <a:gd name="T25" fmla="*/ 1105304 h 1746250"/>
            <a:gd name="T26" fmla="*/ 484 w 240393"/>
            <a:gd name="T27" fmla="*/ 1094060 h 1746250"/>
            <a:gd name="T28" fmla="*/ 508 w 240393"/>
            <a:gd name="T29" fmla="*/ 1079077 h 1746250"/>
            <a:gd name="T30" fmla="*/ 578 w 240393"/>
            <a:gd name="T31" fmla="*/ 1037859 h 1746250"/>
            <a:gd name="T32" fmla="*/ 599 w 240393"/>
            <a:gd name="T33" fmla="*/ 1015375 h 1746250"/>
            <a:gd name="T34" fmla="*/ 623 w 240393"/>
            <a:gd name="T35" fmla="*/ 989152 h 1746250"/>
            <a:gd name="T36" fmla="*/ 646 w 240393"/>
            <a:gd name="T37" fmla="*/ 977913 h 1746250"/>
            <a:gd name="T38" fmla="*/ 691 w 240393"/>
            <a:gd name="T39" fmla="*/ 940444 h 1746250"/>
            <a:gd name="T40" fmla="*/ 738 w 240393"/>
            <a:gd name="T41" fmla="*/ 914216 h 1746250"/>
            <a:gd name="T42" fmla="*/ 784 w 240393"/>
            <a:gd name="T43" fmla="*/ 891740 h 1746250"/>
            <a:gd name="T44" fmla="*/ 808 w 240393"/>
            <a:gd name="T45" fmla="*/ 880500 h 1746250"/>
            <a:gd name="T46" fmla="*/ 831 w 240393"/>
            <a:gd name="T47" fmla="*/ 858008 h 1746250"/>
            <a:gd name="T48" fmla="*/ 852 w 240393"/>
            <a:gd name="T49" fmla="*/ 846776 h 1746250"/>
            <a:gd name="T50" fmla="*/ 876 w 240393"/>
            <a:gd name="T51" fmla="*/ 831787 h 1746250"/>
            <a:gd name="T52" fmla="*/ 943 w 240393"/>
            <a:gd name="T53" fmla="*/ 783080 h 1746250"/>
            <a:gd name="T54" fmla="*/ 1016 w 240393"/>
            <a:gd name="T55" fmla="*/ 715635 h 1746250"/>
            <a:gd name="T56" fmla="*/ 1039 w 240393"/>
            <a:gd name="T57" fmla="*/ 704398 h 1746250"/>
            <a:gd name="T58" fmla="*/ 1060 w 240393"/>
            <a:gd name="T59" fmla="*/ 689410 h 1746250"/>
            <a:gd name="T60" fmla="*/ 1109 w 240393"/>
            <a:gd name="T61" fmla="*/ 633209 h 1746250"/>
            <a:gd name="T62" fmla="*/ 1131 w 240393"/>
            <a:gd name="T63" fmla="*/ 618223 h 1746250"/>
            <a:gd name="T64" fmla="*/ 1176 w 240393"/>
            <a:gd name="T65" fmla="*/ 550778 h 1746250"/>
            <a:gd name="T66" fmla="*/ 1198 w 240393"/>
            <a:gd name="T67" fmla="*/ 524558 h 1746250"/>
            <a:gd name="T68" fmla="*/ 1224 w 240393"/>
            <a:gd name="T69" fmla="*/ 509567 h 1746250"/>
            <a:gd name="T70" fmla="*/ 1198 w 240393"/>
            <a:gd name="T71" fmla="*/ 412147 h 1746250"/>
            <a:gd name="T72" fmla="*/ 1153 w 240393"/>
            <a:gd name="T73" fmla="*/ 385917 h 1746250"/>
            <a:gd name="T74" fmla="*/ 1109 w 240393"/>
            <a:gd name="T75" fmla="*/ 352199 h 1746250"/>
            <a:gd name="T76" fmla="*/ 1083 w 240393"/>
            <a:gd name="T77" fmla="*/ 314731 h 1746250"/>
            <a:gd name="T78" fmla="*/ 1060 w 240393"/>
            <a:gd name="T79" fmla="*/ 288507 h 1746250"/>
            <a:gd name="T80" fmla="*/ 1039 w 240393"/>
            <a:gd name="T81" fmla="*/ 254776 h 1746250"/>
            <a:gd name="T82" fmla="*/ 1016 w 240393"/>
            <a:gd name="T83" fmla="*/ 232301 h 1746250"/>
            <a:gd name="T84" fmla="*/ 922 w 240393"/>
            <a:gd name="T85" fmla="*/ 161112 h 1746250"/>
            <a:gd name="T86" fmla="*/ 943 w 240393"/>
            <a:gd name="T87" fmla="*/ 59950 h 1746250"/>
            <a:gd name="T88" fmla="*/ 1039 w 240393"/>
            <a:gd name="T89" fmla="*/ 7496 h 1746250"/>
            <a:gd name="T90" fmla="*/ 1083 w 240393"/>
            <a:gd name="T91" fmla="*/ 0 h 1746250"/>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Lst>
          <a:ahLst/>
          <a:cxnLst>
            <a:cxn ang="T92">
              <a:pos x="T0" y="T1"/>
            </a:cxn>
            <a:cxn ang="T93">
              <a:pos x="T2" y="T3"/>
            </a:cxn>
            <a:cxn ang="T94">
              <a:pos x="T4" y="T5"/>
            </a:cxn>
            <a:cxn ang="T95">
              <a:pos x="T6" y="T7"/>
            </a:cxn>
            <a:cxn ang="T96">
              <a:pos x="T8" y="T9"/>
            </a:cxn>
            <a:cxn ang="T97">
              <a:pos x="T10" y="T11"/>
            </a:cxn>
            <a:cxn ang="T98">
              <a:pos x="T12" y="T13"/>
            </a:cxn>
            <a:cxn ang="T99">
              <a:pos x="T14" y="T15"/>
            </a:cxn>
            <a:cxn ang="T100">
              <a:pos x="T16" y="T17"/>
            </a:cxn>
            <a:cxn ang="T101">
              <a:pos x="T18" y="T19"/>
            </a:cxn>
            <a:cxn ang="T102">
              <a:pos x="T20" y="T21"/>
            </a:cxn>
            <a:cxn ang="T103">
              <a:pos x="T22" y="T23"/>
            </a:cxn>
            <a:cxn ang="T104">
              <a:pos x="T24" y="T25"/>
            </a:cxn>
            <a:cxn ang="T105">
              <a:pos x="T26" y="T27"/>
            </a:cxn>
            <a:cxn ang="T106">
              <a:pos x="T28" y="T29"/>
            </a:cxn>
            <a:cxn ang="T107">
              <a:pos x="T30" y="T31"/>
            </a:cxn>
            <a:cxn ang="T108">
              <a:pos x="T32" y="T33"/>
            </a:cxn>
            <a:cxn ang="T109">
              <a:pos x="T34" y="T35"/>
            </a:cxn>
            <a:cxn ang="T110">
              <a:pos x="T36" y="T37"/>
            </a:cxn>
            <a:cxn ang="T111">
              <a:pos x="T38" y="T39"/>
            </a:cxn>
            <a:cxn ang="T112">
              <a:pos x="T40" y="T41"/>
            </a:cxn>
            <a:cxn ang="T113">
              <a:pos x="T42" y="T43"/>
            </a:cxn>
            <a:cxn ang="T114">
              <a:pos x="T44" y="T45"/>
            </a:cxn>
            <a:cxn ang="T115">
              <a:pos x="T46" y="T47"/>
            </a:cxn>
            <a:cxn ang="T116">
              <a:pos x="T48" y="T49"/>
            </a:cxn>
            <a:cxn ang="T117">
              <a:pos x="T50" y="T51"/>
            </a:cxn>
            <a:cxn ang="T118">
              <a:pos x="T52" y="T53"/>
            </a:cxn>
            <a:cxn ang="T119">
              <a:pos x="T54" y="T55"/>
            </a:cxn>
            <a:cxn ang="T120">
              <a:pos x="T56" y="T57"/>
            </a:cxn>
            <a:cxn ang="T121">
              <a:pos x="T58" y="T59"/>
            </a:cxn>
            <a:cxn ang="T122">
              <a:pos x="T60" y="T61"/>
            </a:cxn>
            <a:cxn ang="T123">
              <a:pos x="T62" y="T63"/>
            </a:cxn>
            <a:cxn ang="T124">
              <a:pos x="T64" y="T65"/>
            </a:cxn>
            <a:cxn ang="T125">
              <a:pos x="T66" y="T67"/>
            </a:cxn>
            <a:cxn ang="T126">
              <a:pos x="T68" y="T69"/>
            </a:cxn>
            <a:cxn ang="T127">
              <a:pos x="T70" y="T71"/>
            </a:cxn>
            <a:cxn ang="T128">
              <a:pos x="T72" y="T73"/>
            </a:cxn>
            <a:cxn ang="T129">
              <a:pos x="T74" y="T75"/>
            </a:cxn>
            <a:cxn ang="T130">
              <a:pos x="T76" y="T77"/>
            </a:cxn>
            <a:cxn ang="T131">
              <a:pos x="T78" y="T79"/>
            </a:cxn>
            <a:cxn ang="T132">
              <a:pos x="T80" y="T81"/>
            </a:cxn>
            <a:cxn ang="T133">
              <a:pos x="T82" y="T83"/>
            </a:cxn>
            <a:cxn ang="T134">
              <a:pos x="T84" y="T85"/>
            </a:cxn>
            <a:cxn ang="T135">
              <a:pos x="T86" y="T87"/>
            </a:cxn>
            <a:cxn ang="T136">
              <a:pos x="T88" y="T89"/>
            </a:cxn>
            <a:cxn ang="T137">
              <a:pos x="T90" y="T91"/>
            </a:cxn>
          </a:cxnLst>
          <a:rect l="0" t="0" r="r" b="b"/>
          <a:pathLst>
            <a:path w="240393" h="1746250">
              <a:moveTo>
                <a:pt x="0" y="1746250"/>
              </a:moveTo>
              <a:cubicBezTo>
                <a:pt x="4693" y="1734518"/>
                <a:pt x="15812" y="1708013"/>
                <a:pt x="18143" y="1696357"/>
              </a:cubicBezTo>
              <a:cubicBezTo>
                <a:pt x="19655" y="1688798"/>
                <a:pt x="21300" y="1681264"/>
                <a:pt x="22679" y="1673679"/>
              </a:cubicBezTo>
              <a:cubicBezTo>
                <a:pt x="24324" y="1664631"/>
                <a:pt x="25220" y="1655442"/>
                <a:pt x="27215" y="1646464"/>
              </a:cubicBezTo>
              <a:cubicBezTo>
                <a:pt x="28252" y="1641797"/>
                <a:pt x="30437" y="1637454"/>
                <a:pt x="31750" y="1632857"/>
              </a:cubicBezTo>
              <a:cubicBezTo>
                <a:pt x="33462" y="1626863"/>
                <a:pt x="34934" y="1620799"/>
                <a:pt x="36286" y="1614714"/>
              </a:cubicBezTo>
              <a:cubicBezTo>
                <a:pt x="41137" y="1592887"/>
                <a:pt x="42203" y="1583949"/>
                <a:pt x="45358" y="1560286"/>
              </a:cubicBezTo>
              <a:cubicBezTo>
                <a:pt x="46969" y="1548203"/>
                <a:pt x="48680" y="1536129"/>
                <a:pt x="49893" y="1524000"/>
              </a:cubicBezTo>
              <a:cubicBezTo>
                <a:pt x="51704" y="1505885"/>
                <a:pt x="51436" y="1487530"/>
                <a:pt x="54429" y="1469572"/>
              </a:cubicBezTo>
              <a:cubicBezTo>
                <a:pt x="54431" y="1469563"/>
                <a:pt x="65766" y="1435558"/>
                <a:pt x="68036" y="1428750"/>
              </a:cubicBezTo>
              <a:lnTo>
                <a:pt x="77108" y="1401536"/>
              </a:lnTo>
              <a:lnTo>
                <a:pt x="81643" y="1387929"/>
              </a:lnTo>
              <a:cubicBezTo>
                <a:pt x="85315" y="1362226"/>
                <a:pt x="84604" y="1359426"/>
                <a:pt x="90715" y="1338036"/>
              </a:cubicBezTo>
              <a:cubicBezTo>
                <a:pt x="92028" y="1333439"/>
                <a:pt x="93937" y="1329026"/>
                <a:pt x="95250" y="1324429"/>
              </a:cubicBezTo>
              <a:cubicBezTo>
                <a:pt x="96962" y="1318435"/>
                <a:pt x="97995" y="1312257"/>
                <a:pt x="99786" y="1306286"/>
              </a:cubicBezTo>
              <a:cubicBezTo>
                <a:pt x="111234" y="1268127"/>
                <a:pt x="107033" y="1291376"/>
                <a:pt x="113393" y="1256393"/>
              </a:cubicBezTo>
              <a:cubicBezTo>
                <a:pt x="115038" y="1247345"/>
                <a:pt x="116531" y="1238269"/>
                <a:pt x="117929" y="1229179"/>
              </a:cubicBezTo>
              <a:cubicBezTo>
                <a:pt x="119555" y="1218613"/>
                <a:pt x="120368" y="1207912"/>
                <a:pt x="122465" y="1197429"/>
              </a:cubicBezTo>
              <a:cubicBezTo>
                <a:pt x="123403" y="1192741"/>
                <a:pt x="125925" y="1188481"/>
                <a:pt x="127000" y="1183822"/>
              </a:cubicBezTo>
              <a:cubicBezTo>
                <a:pt x="130467" y="1168798"/>
                <a:pt x="131196" y="1153091"/>
                <a:pt x="136072" y="1138464"/>
              </a:cubicBezTo>
              <a:cubicBezTo>
                <a:pt x="151316" y="1092735"/>
                <a:pt x="128057" y="1163667"/>
                <a:pt x="145143" y="1106714"/>
              </a:cubicBezTo>
              <a:cubicBezTo>
                <a:pt x="147891" y="1097555"/>
                <a:pt x="151191" y="1088571"/>
                <a:pt x="154215" y="1079500"/>
              </a:cubicBezTo>
              <a:cubicBezTo>
                <a:pt x="155727" y="1074964"/>
                <a:pt x="157964" y="1070609"/>
                <a:pt x="158750" y="1065893"/>
              </a:cubicBezTo>
              <a:cubicBezTo>
                <a:pt x="160262" y="1056822"/>
                <a:pt x="161291" y="1047656"/>
                <a:pt x="163286" y="1038679"/>
              </a:cubicBezTo>
              <a:cubicBezTo>
                <a:pt x="164323" y="1034012"/>
                <a:pt x="166508" y="1029669"/>
                <a:pt x="167822" y="1025072"/>
              </a:cubicBezTo>
              <a:cubicBezTo>
                <a:pt x="169535" y="1019078"/>
                <a:pt x="171052" y="1013024"/>
                <a:pt x="172358" y="1006929"/>
              </a:cubicBezTo>
              <a:cubicBezTo>
                <a:pt x="184369" y="950875"/>
                <a:pt x="175932" y="978062"/>
                <a:pt x="185965" y="947964"/>
              </a:cubicBezTo>
              <a:lnTo>
                <a:pt x="199572" y="866322"/>
              </a:lnTo>
              <a:cubicBezTo>
                <a:pt x="200358" y="861606"/>
                <a:pt x="202795" y="857311"/>
                <a:pt x="204108" y="852714"/>
              </a:cubicBezTo>
              <a:cubicBezTo>
                <a:pt x="205820" y="846720"/>
                <a:pt x="207421" y="840684"/>
                <a:pt x="208643" y="834572"/>
              </a:cubicBezTo>
              <a:cubicBezTo>
                <a:pt x="217120" y="792183"/>
                <a:pt x="209647" y="818983"/>
                <a:pt x="217715" y="766536"/>
              </a:cubicBezTo>
              <a:cubicBezTo>
                <a:pt x="218663" y="760375"/>
                <a:pt x="220738" y="754441"/>
                <a:pt x="222250" y="748393"/>
              </a:cubicBezTo>
              <a:cubicBezTo>
                <a:pt x="226398" y="706915"/>
                <a:pt x="226186" y="705271"/>
                <a:pt x="231322" y="666750"/>
              </a:cubicBezTo>
              <a:cubicBezTo>
                <a:pt x="232735" y="656153"/>
                <a:pt x="233946" y="645518"/>
                <a:pt x="235858" y="635000"/>
              </a:cubicBezTo>
              <a:cubicBezTo>
                <a:pt x="236973" y="628867"/>
                <a:pt x="238881" y="622905"/>
                <a:pt x="240393" y="616857"/>
              </a:cubicBezTo>
              <a:cubicBezTo>
                <a:pt x="238881" y="577548"/>
                <a:pt x="238475" y="538180"/>
                <a:pt x="235858" y="498929"/>
              </a:cubicBezTo>
              <a:cubicBezTo>
                <a:pt x="235242" y="489681"/>
                <a:pt x="229398" y="476320"/>
                <a:pt x="226786" y="467179"/>
              </a:cubicBezTo>
              <a:cubicBezTo>
                <a:pt x="224089" y="457741"/>
                <a:pt x="218885" y="435134"/>
                <a:pt x="217715" y="426357"/>
              </a:cubicBezTo>
              <a:cubicBezTo>
                <a:pt x="215707" y="411296"/>
                <a:pt x="214954" y="396090"/>
                <a:pt x="213179" y="381000"/>
              </a:cubicBezTo>
              <a:cubicBezTo>
                <a:pt x="211930" y="370382"/>
                <a:pt x="209969" y="359858"/>
                <a:pt x="208643" y="349250"/>
              </a:cubicBezTo>
              <a:cubicBezTo>
                <a:pt x="206945" y="335665"/>
                <a:pt x="205917" y="322000"/>
                <a:pt x="204108" y="308429"/>
              </a:cubicBezTo>
              <a:cubicBezTo>
                <a:pt x="202893" y="299313"/>
                <a:pt x="200815" y="290326"/>
                <a:pt x="199572" y="281214"/>
              </a:cubicBezTo>
              <a:cubicBezTo>
                <a:pt x="188710" y="201563"/>
                <a:pt x="204272" y="229301"/>
                <a:pt x="181429" y="195036"/>
              </a:cubicBezTo>
              <a:cubicBezTo>
                <a:pt x="182941" y="154215"/>
                <a:pt x="182476" y="113272"/>
                <a:pt x="185965" y="72572"/>
              </a:cubicBezTo>
              <a:cubicBezTo>
                <a:pt x="185987" y="72312"/>
                <a:pt x="199812" y="13369"/>
                <a:pt x="204108" y="9072"/>
              </a:cubicBezTo>
              <a:lnTo>
                <a:pt x="213179" y="0"/>
              </a:lnTo>
            </a:path>
          </a:pathLst>
        </a:custGeom>
        <a:noFill/>
        <a:ln w="76200">
          <a:solidFill>
            <a:srgbClr val="00FF00"/>
          </a:solidFill>
          <a:round/>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43</xdr:col>
      <xdr:colOff>47625</xdr:colOff>
      <xdr:row>16</xdr:row>
      <xdr:rowOff>161925</xdr:rowOff>
    </xdr:from>
    <xdr:to>
      <xdr:col>51</xdr:col>
      <xdr:colOff>19050</xdr:colOff>
      <xdr:row>18</xdr:row>
      <xdr:rowOff>76200</xdr:rowOff>
    </xdr:to>
    <xdr:cxnSp macro="">
      <xdr:nvCxnSpPr>
        <xdr:cNvPr id="30879575" name="17 Conector recto">
          <a:extLst>
            <a:ext uri="{FF2B5EF4-FFF2-40B4-BE49-F238E27FC236}">
              <a16:creationId xmlns:a16="http://schemas.microsoft.com/office/drawing/2014/main" id="{00000000-0008-0000-0700-0000572FD701}"/>
            </a:ext>
          </a:extLst>
        </xdr:cNvPr>
        <xdr:cNvCxnSpPr>
          <a:cxnSpLocks noChangeShapeType="1"/>
        </xdr:cNvCxnSpPr>
      </xdr:nvCxnSpPr>
      <xdr:spPr bwMode="auto">
        <a:xfrm flipV="1">
          <a:off x="3914775" y="3505200"/>
          <a:ext cx="352425" cy="466725"/>
        </a:xfrm>
        <a:prstGeom prst="line">
          <a:avLst/>
        </a:prstGeom>
        <a:noFill/>
        <a:ln w="76200">
          <a:solidFill>
            <a:srgbClr val="00FF00"/>
          </a:solidFill>
          <a:round/>
          <a:headEnd/>
          <a:tailEnd/>
        </a:ln>
        <a:extLst>
          <a:ext uri="{909E8E84-426E-40DD-AFC4-6F175D3DCCD1}">
            <a14:hiddenFill xmlns:a14="http://schemas.microsoft.com/office/drawing/2010/main">
              <a:noFill/>
            </a14:hiddenFill>
          </a:ext>
        </a:extLst>
      </xdr:spPr>
    </xdr:cxnSp>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34</xdr:row>
      <xdr:rowOff>19050</xdr:rowOff>
    </xdr:from>
    <xdr:to>
      <xdr:col>1</xdr:col>
      <xdr:colOff>0</xdr:colOff>
      <xdr:row>35</xdr:row>
      <xdr:rowOff>238125</xdr:rowOff>
    </xdr:to>
    <xdr:sp macro="" textlink="">
      <xdr:nvSpPr>
        <xdr:cNvPr id="31189550" name="Line 2">
          <a:extLst>
            <a:ext uri="{FF2B5EF4-FFF2-40B4-BE49-F238E27FC236}">
              <a16:creationId xmlns:a16="http://schemas.microsoft.com/office/drawing/2014/main" id="{00000000-0008-0000-0800-00002EEADB01}"/>
            </a:ext>
          </a:extLst>
        </xdr:cNvPr>
        <xdr:cNvSpPr>
          <a:spLocks noChangeShapeType="1"/>
        </xdr:cNvSpPr>
      </xdr:nvSpPr>
      <xdr:spPr bwMode="auto">
        <a:xfrm>
          <a:off x="0" y="8343900"/>
          <a:ext cx="2047875" cy="36195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116</xdr:col>
      <xdr:colOff>104775</xdr:colOff>
      <xdr:row>90</xdr:row>
      <xdr:rowOff>142875</xdr:rowOff>
    </xdr:from>
    <xdr:to>
      <xdr:col>117</xdr:col>
      <xdr:colOff>57150</xdr:colOff>
      <xdr:row>90</xdr:row>
      <xdr:rowOff>142875</xdr:rowOff>
    </xdr:to>
    <xdr:sp macro="" textlink="">
      <xdr:nvSpPr>
        <xdr:cNvPr id="31189551" name="Line 4">
          <a:extLst>
            <a:ext uri="{FF2B5EF4-FFF2-40B4-BE49-F238E27FC236}">
              <a16:creationId xmlns:a16="http://schemas.microsoft.com/office/drawing/2014/main" id="{00000000-0008-0000-0800-00002FEADB01}"/>
            </a:ext>
          </a:extLst>
        </xdr:cNvPr>
        <xdr:cNvSpPr>
          <a:spLocks noChangeShapeType="1"/>
        </xdr:cNvSpPr>
      </xdr:nvSpPr>
      <xdr:spPr bwMode="auto">
        <a:xfrm>
          <a:off x="8248650" y="17211675"/>
          <a:ext cx="66675" cy="0"/>
        </a:xfrm>
        <a:prstGeom prst="line">
          <a:avLst/>
        </a:prstGeom>
        <a:noFill/>
        <a:ln w="76200">
          <a:solidFill>
            <a:srgbClr val="FFFF00"/>
          </a:solidFill>
          <a:round/>
          <a:headEnd/>
          <a:tailEnd/>
        </a:ln>
        <a:extLst>
          <a:ext uri="{909E8E84-426E-40DD-AFC4-6F175D3DCCD1}">
            <a14:hiddenFill xmlns:a14="http://schemas.microsoft.com/office/drawing/2010/main">
              <a:noFill/>
            </a14:hiddenFill>
          </a:ext>
        </a:extLst>
      </xdr:spPr>
    </xdr:sp>
    <xdr:clientData/>
  </xdr:twoCellAnchor>
  <xdr:twoCellAnchor>
    <xdr:from>
      <xdr:col>115</xdr:col>
      <xdr:colOff>9525</xdr:colOff>
      <xdr:row>90</xdr:row>
      <xdr:rowOff>142875</xdr:rowOff>
    </xdr:from>
    <xdr:to>
      <xdr:col>115</xdr:col>
      <xdr:colOff>76200</xdr:colOff>
      <xdr:row>90</xdr:row>
      <xdr:rowOff>142875</xdr:rowOff>
    </xdr:to>
    <xdr:sp macro="" textlink="">
      <xdr:nvSpPr>
        <xdr:cNvPr id="31189552" name="Line 5">
          <a:extLst>
            <a:ext uri="{FF2B5EF4-FFF2-40B4-BE49-F238E27FC236}">
              <a16:creationId xmlns:a16="http://schemas.microsoft.com/office/drawing/2014/main" id="{00000000-0008-0000-0800-000030EADB01}"/>
            </a:ext>
          </a:extLst>
        </xdr:cNvPr>
        <xdr:cNvSpPr>
          <a:spLocks noChangeShapeType="1"/>
        </xdr:cNvSpPr>
      </xdr:nvSpPr>
      <xdr:spPr bwMode="auto">
        <a:xfrm>
          <a:off x="8010525" y="17211675"/>
          <a:ext cx="66675" cy="0"/>
        </a:xfrm>
        <a:prstGeom prst="line">
          <a:avLst/>
        </a:prstGeom>
        <a:noFill/>
        <a:ln w="76200">
          <a:solidFill>
            <a:srgbClr val="FFFF00"/>
          </a:solidFill>
          <a:round/>
          <a:headEnd/>
          <a:tailEnd/>
        </a:ln>
        <a:extLst>
          <a:ext uri="{909E8E84-426E-40DD-AFC4-6F175D3DCCD1}">
            <a14:hiddenFill xmlns:a14="http://schemas.microsoft.com/office/drawing/2010/main">
              <a:noFill/>
            </a14:hiddenFill>
          </a:ext>
        </a:extLst>
      </xdr:spPr>
    </xdr:sp>
    <xdr:clientData/>
  </xdr:twoCellAnchor>
  <xdr:twoCellAnchor>
    <xdr:from>
      <xdr:col>114</xdr:col>
      <xdr:colOff>47625</xdr:colOff>
      <xdr:row>94</xdr:row>
      <xdr:rowOff>47625</xdr:rowOff>
    </xdr:from>
    <xdr:to>
      <xdr:col>114</xdr:col>
      <xdr:colOff>114300</xdr:colOff>
      <xdr:row>94</xdr:row>
      <xdr:rowOff>47625</xdr:rowOff>
    </xdr:to>
    <xdr:sp macro="" textlink="">
      <xdr:nvSpPr>
        <xdr:cNvPr id="31189553" name="Line 6">
          <a:extLst>
            <a:ext uri="{FF2B5EF4-FFF2-40B4-BE49-F238E27FC236}">
              <a16:creationId xmlns:a16="http://schemas.microsoft.com/office/drawing/2014/main" id="{00000000-0008-0000-0800-000031EADB01}"/>
            </a:ext>
          </a:extLst>
        </xdr:cNvPr>
        <xdr:cNvSpPr>
          <a:spLocks noChangeShapeType="1"/>
        </xdr:cNvSpPr>
      </xdr:nvSpPr>
      <xdr:spPr bwMode="auto">
        <a:xfrm>
          <a:off x="7867650" y="17878425"/>
          <a:ext cx="66675" cy="0"/>
        </a:xfrm>
        <a:prstGeom prst="line">
          <a:avLst/>
        </a:prstGeom>
        <a:noFill/>
        <a:ln w="76200">
          <a:solidFill>
            <a:srgbClr val="FFFF00"/>
          </a:solidFill>
          <a:round/>
          <a:headEnd/>
          <a:tailEnd/>
        </a:ln>
        <a:extLst>
          <a:ext uri="{909E8E84-426E-40DD-AFC4-6F175D3DCCD1}">
            <a14:hiddenFill xmlns:a14="http://schemas.microsoft.com/office/drawing/2010/main">
              <a:noFill/>
            </a14:hiddenFill>
          </a:ext>
        </a:extLst>
      </xdr:spPr>
    </xdr:sp>
    <xdr:clientData/>
  </xdr:twoCellAnchor>
  <xdr:twoCellAnchor>
    <xdr:from>
      <xdr:col>114</xdr:col>
      <xdr:colOff>133350</xdr:colOff>
      <xdr:row>90</xdr:row>
      <xdr:rowOff>85725</xdr:rowOff>
    </xdr:from>
    <xdr:to>
      <xdr:col>115</xdr:col>
      <xdr:colOff>19050</xdr:colOff>
      <xdr:row>90</xdr:row>
      <xdr:rowOff>85725</xdr:rowOff>
    </xdr:to>
    <xdr:sp macro="" textlink="">
      <xdr:nvSpPr>
        <xdr:cNvPr id="31189554" name="Line 7">
          <a:extLst>
            <a:ext uri="{FF2B5EF4-FFF2-40B4-BE49-F238E27FC236}">
              <a16:creationId xmlns:a16="http://schemas.microsoft.com/office/drawing/2014/main" id="{00000000-0008-0000-0800-000032EADB01}"/>
            </a:ext>
          </a:extLst>
        </xdr:cNvPr>
        <xdr:cNvSpPr>
          <a:spLocks noChangeShapeType="1"/>
        </xdr:cNvSpPr>
      </xdr:nvSpPr>
      <xdr:spPr bwMode="auto">
        <a:xfrm>
          <a:off x="7953375" y="17154525"/>
          <a:ext cx="66675" cy="0"/>
        </a:xfrm>
        <a:prstGeom prst="line">
          <a:avLst/>
        </a:prstGeom>
        <a:noFill/>
        <a:ln w="76200">
          <a:solidFill>
            <a:srgbClr val="FFFF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0</xdr:colOff>
      <xdr:row>34</xdr:row>
      <xdr:rowOff>19050</xdr:rowOff>
    </xdr:from>
    <xdr:to>
      <xdr:col>1</xdr:col>
      <xdr:colOff>0</xdr:colOff>
      <xdr:row>35</xdr:row>
      <xdr:rowOff>238125</xdr:rowOff>
    </xdr:to>
    <xdr:sp macro="" textlink="">
      <xdr:nvSpPr>
        <xdr:cNvPr id="31189555" name="Line 2">
          <a:extLst>
            <a:ext uri="{FF2B5EF4-FFF2-40B4-BE49-F238E27FC236}">
              <a16:creationId xmlns:a16="http://schemas.microsoft.com/office/drawing/2014/main" id="{00000000-0008-0000-0800-000033EADB01}"/>
            </a:ext>
          </a:extLst>
        </xdr:cNvPr>
        <xdr:cNvSpPr>
          <a:spLocks noChangeShapeType="1"/>
        </xdr:cNvSpPr>
      </xdr:nvSpPr>
      <xdr:spPr bwMode="auto">
        <a:xfrm>
          <a:off x="0" y="8343900"/>
          <a:ext cx="2047875" cy="36195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73</xdr:col>
      <xdr:colOff>31749</xdr:colOff>
      <xdr:row>16</xdr:row>
      <xdr:rowOff>57319</xdr:rowOff>
    </xdr:from>
    <xdr:to>
      <xdr:col>91</xdr:col>
      <xdr:colOff>47624</xdr:colOff>
      <xdr:row>17</xdr:row>
      <xdr:rowOff>174625</xdr:rowOff>
    </xdr:to>
    <xdr:sp macro="" textlink="">
      <xdr:nvSpPr>
        <xdr:cNvPr id="9" name="8 CuadroTexto">
          <a:extLst>
            <a:ext uri="{FF2B5EF4-FFF2-40B4-BE49-F238E27FC236}">
              <a16:creationId xmlns:a16="http://schemas.microsoft.com/office/drawing/2014/main" id="{00000000-0008-0000-0800-000009000000}"/>
            </a:ext>
          </a:extLst>
        </xdr:cNvPr>
        <xdr:cNvSpPr txBox="1"/>
      </xdr:nvSpPr>
      <xdr:spPr>
        <a:xfrm>
          <a:off x="4079874" y="3772069"/>
          <a:ext cx="873125" cy="39353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800"/>
            <a:t>TERMINAL DE TRANSPORTES</a:t>
          </a:r>
        </a:p>
      </xdr:txBody>
    </xdr:sp>
    <xdr:clientData/>
  </xdr:twoCellAnchor>
  <xdr:twoCellAnchor>
    <xdr:from>
      <xdr:col>107</xdr:col>
      <xdr:colOff>12842</xdr:colOff>
      <xdr:row>15</xdr:row>
      <xdr:rowOff>198000</xdr:rowOff>
    </xdr:from>
    <xdr:to>
      <xdr:col>117</xdr:col>
      <xdr:colOff>6390</xdr:colOff>
      <xdr:row>16</xdr:row>
      <xdr:rowOff>221150</xdr:rowOff>
    </xdr:to>
    <xdr:sp macro="" textlink="">
      <xdr:nvSpPr>
        <xdr:cNvPr id="10" name="9 CuadroTexto">
          <a:extLst>
            <a:ext uri="{FF2B5EF4-FFF2-40B4-BE49-F238E27FC236}">
              <a16:creationId xmlns:a16="http://schemas.microsoft.com/office/drawing/2014/main" id="{00000000-0008-0000-0800-00000A000000}"/>
            </a:ext>
          </a:extLst>
        </xdr:cNvPr>
        <xdr:cNvSpPr txBox="1"/>
      </xdr:nvSpPr>
      <xdr:spPr>
        <a:xfrm rot="2024921">
          <a:off x="5680217" y="3636525"/>
          <a:ext cx="1060348" cy="299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s-CO" sz="1100" b="1"/>
            <a:t>PR45+0000</a:t>
          </a:r>
        </a:p>
      </xdr:txBody>
    </xdr:sp>
    <xdr:clientData/>
  </xdr:twoCellAnchor>
  <xdr:twoCellAnchor>
    <xdr:from>
      <xdr:col>0</xdr:col>
      <xdr:colOff>1466272</xdr:colOff>
      <xdr:row>27</xdr:row>
      <xdr:rowOff>183571</xdr:rowOff>
    </xdr:from>
    <xdr:to>
      <xdr:col>0</xdr:col>
      <xdr:colOff>1762646</xdr:colOff>
      <xdr:row>31</xdr:row>
      <xdr:rowOff>161243</xdr:rowOff>
    </xdr:to>
    <xdr:sp macro="" textlink="">
      <xdr:nvSpPr>
        <xdr:cNvPr id="11" name="10 CuadroTexto">
          <a:extLst>
            <a:ext uri="{FF2B5EF4-FFF2-40B4-BE49-F238E27FC236}">
              <a16:creationId xmlns:a16="http://schemas.microsoft.com/office/drawing/2014/main" id="{00000000-0008-0000-0800-00000B000000}"/>
            </a:ext>
          </a:extLst>
        </xdr:cNvPr>
        <xdr:cNvSpPr txBox="1"/>
      </xdr:nvSpPr>
      <xdr:spPr>
        <a:xfrm rot="18091013">
          <a:off x="1073173" y="7329895"/>
          <a:ext cx="1082572" cy="2963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s-CO"/>
        </a:p>
      </xdr:txBody>
    </xdr:sp>
    <xdr:clientData/>
  </xdr:twoCellAnchor>
  <xdr:twoCellAnchor>
    <xdr:from>
      <xdr:col>63</xdr:col>
      <xdr:colOff>12852</xdr:colOff>
      <xdr:row>14</xdr:row>
      <xdr:rowOff>261562</xdr:rowOff>
    </xdr:from>
    <xdr:to>
      <xdr:col>86</xdr:col>
      <xdr:colOff>12296</xdr:colOff>
      <xdr:row>16</xdr:row>
      <xdr:rowOff>2765</xdr:rowOff>
    </xdr:to>
    <xdr:sp macro="" textlink="">
      <xdr:nvSpPr>
        <xdr:cNvPr id="14" name="13 CuadroTexto">
          <a:extLst>
            <a:ext uri="{FF2B5EF4-FFF2-40B4-BE49-F238E27FC236}">
              <a16:creationId xmlns:a16="http://schemas.microsoft.com/office/drawing/2014/main" id="{00000000-0008-0000-0800-00000E000000}"/>
            </a:ext>
          </a:extLst>
        </xdr:cNvPr>
        <xdr:cNvSpPr txBox="1"/>
      </xdr:nvSpPr>
      <xdr:spPr>
        <a:xfrm rot="323535">
          <a:off x="3584727" y="3423862"/>
          <a:ext cx="1094819" cy="29365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t>IBAGUE</a:t>
          </a:r>
        </a:p>
      </xdr:txBody>
    </xdr:sp>
    <xdr:clientData/>
  </xdr:twoCellAnchor>
  <xdr:twoCellAnchor>
    <xdr:from>
      <xdr:col>65</xdr:col>
      <xdr:colOff>23132</xdr:colOff>
      <xdr:row>15</xdr:row>
      <xdr:rowOff>191861</xdr:rowOff>
    </xdr:from>
    <xdr:to>
      <xdr:col>76</xdr:col>
      <xdr:colOff>26338</xdr:colOff>
      <xdr:row>15</xdr:row>
      <xdr:rowOff>233990</xdr:rowOff>
    </xdr:to>
    <xdr:cxnSp macro="">
      <xdr:nvCxnSpPr>
        <xdr:cNvPr id="15" name="14 Conector recto de flecha">
          <a:extLst>
            <a:ext uri="{FF2B5EF4-FFF2-40B4-BE49-F238E27FC236}">
              <a16:creationId xmlns:a16="http://schemas.microsoft.com/office/drawing/2014/main" id="{00000000-0008-0000-0800-00000F000000}"/>
            </a:ext>
          </a:extLst>
        </xdr:cNvPr>
        <xdr:cNvCxnSpPr/>
      </xdr:nvCxnSpPr>
      <xdr:spPr>
        <a:xfrm flipH="1" flipV="1">
          <a:off x="3690257" y="3630386"/>
          <a:ext cx="527081" cy="42129"/>
        </a:xfrm>
        <a:prstGeom prst="straightConnector1">
          <a:avLst/>
        </a:prstGeom>
        <a:ln w="1905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114</xdr:col>
      <xdr:colOff>32056</xdr:colOff>
      <xdr:row>12</xdr:row>
      <xdr:rowOff>85725</xdr:rowOff>
    </xdr:from>
    <xdr:to>
      <xdr:col>116</xdr:col>
      <xdr:colOff>3219</xdr:colOff>
      <xdr:row>16</xdr:row>
      <xdr:rowOff>37236</xdr:rowOff>
    </xdr:to>
    <xdr:sp macro="" textlink="">
      <xdr:nvSpPr>
        <xdr:cNvPr id="16" name="15 CuadroTexto">
          <a:extLst>
            <a:ext uri="{FF2B5EF4-FFF2-40B4-BE49-F238E27FC236}">
              <a16:creationId xmlns:a16="http://schemas.microsoft.com/office/drawing/2014/main" id="{00000000-0008-0000-0800-000010000000}"/>
            </a:ext>
          </a:extLst>
        </xdr:cNvPr>
        <xdr:cNvSpPr txBox="1"/>
      </xdr:nvSpPr>
      <xdr:spPr>
        <a:xfrm rot="17974086">
          <a:off x="7547582" y="3152474"/>
          <a:ext cx="904011" cy="29501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t>BOGOTA</a:t>
          </a:r>
        </a:p>
      </xdr:txBody>
    </xdr:sp>
    <xdr:clientData/>
  </xdr:twoCellAnchor>
  <xdr:twoCellAnchor>
    <xdr:from>
      <xdr:col>113</xdr:col>
      <xdr:colOff>72603</xdr:colOff>
      <xdr:row>14</xdr:row>
      <xdr:rowOff>35378</xdr:rowOff>
    </xdr:from>
    <xdr:to>
      <xdr:col>114</xdr:col>
      <xdr:colOff>106135</xdr:colOff>
      <xdr:row>15</xdr:row>
      <xdr:rowOff>96557</xdr:rowOff>
    </xdr:to>
    <xdr:cxnSp macro="">
      <xdr:nvCxnSpPr>
        <xdr:cNvPr id="17" name="16 Conector recto de flecha">
          <a:extLst>
            <a:ext uri="{FF2B5EF4-FFF2-40B4-BE49-F238E27FC236}">
              <a16:creationId xmlns:a16="http://schemas.microsoft.com/office/drawing/2014/main" id="{00000000-0008-0000-0800-000011000000}"/>
            </a:ext>
          </a:extLst>
        </xdr:cNvPr>
        <xdr:cNvCxnSpPr/>
      </xdr:nvCxnSpPr>
      <xdr:spPr>
        <a:xfrm flipV="1">
          <a:off x="7721178" y="3197678"/>
          <a:ext cx="204982" cy="337404"/>
        </a:xfrm>
        <a:prstGeom prst="straightConnector1">
          <a:avLst/>
        </a:prstGeom>
        <a:ln w="1905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0</xdr:colOff>
      <xdr:row>34</xdr:row>
      <xdr:rowOff>19050</xdr:rowOff>
    </xdr:from>
    <xdr:to>
      <xdr:col>1</xdr:col>
      <xdr:colOff>0</xdr:colOff>
      <xdr:row>35</xdr:row>
      <xdr:rowOff>238125</xdr:rowOff>
    </xdr:to>
    <xdr:sp macro="" textlink="">
      <xdr:nvSpPr>
        <xdr:cNvPr id="31189563" name="Line 1">
          <a:extLst>
            <a:ext uri="{FF2B5EF4-FFF2-40B4-BE49-F238E27FC236}">
              <a16:creationId xmlns:a16="http://schemas.microsoft.com/office/drawing/2014/main" id="{00000000-0008-0000-0800-00003BEADB01}"/>
            </a:ext>
          </a:extLst>
        </xdr:cNvPr>
        <xdr:cNvSpPr>
          <a:spLocks noChangeShapeType="1"/>
        </xdr:cNvSpPr>
      </xdr:nvSpPr>
      <xdr:spPr bwMode="auto">
        <a:xfrm>
          <a:off x="0" y="8343900"/>
          <a:ext cx="2047875" cy="36195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0</xdr:colOff>
      <xdr:row>34</xdr:row>
      <xdr:rowOff>19050</xdr:rowOff>
    </xdr:from>
    <xdr:to>
      <xdr:col>1</xdr:col>
      <xdr:colOff>0</xdr:colOff>
      <xdr:row>35</xdr:row>
      <xdr:rowOff>238125</xdr:rowOff>
    </xdr:to>
    <xdr:sp macro="" textlink="">
      <xdr:nvSpPr>
        <xdr:cNvPr id="31189564" name="Line 1">
          <a:extLst>
            <a:ext uri="{FF2B5EF4-FFF2-40B4-BE49-F238E27FC236}">
              <a16:creationId xmlns:a16="http://schemas.microsoft.com/office/drawing/2014/main" id="{00000000-0008-0000-0800-00003CEADB01}"/>
            </a:ext>
          </a:extLst>
        </xdr:cNvPr>
        <xdr:cNvSpPr>
          <a:spLocks noChangeShapeType="1"/>
        </xdr:cNvSpPr>
      </xdr:nvSpPr>
      <xdr:spPr bwMode="auto">
        <a:xfrm>
          <a:off x="0" y="8343900"/>
          <a:ext cx="2047875" cy="36195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406401</xdr:colOff>
      <xdr:row>30</xdr:row>
      <xdr:rowOff>82551</xdr:rowOff>
    </xdr:from>
    <xdr:to>
      <xdr:col>0</xdr:col>
      <xdr:colOff>1450874</xdr:colOff>
      <xdr:row>31</xdr:row>
      <xdr:rowOff>105701</xdr:rowOff>
    </xdr:to>
    <xdr:sp macro="" textlink="">
      <xdr:nvSpPr>
        <xdr:cNvPr id="13" name="12 CuadroTexto">
          <a:extLst>
            <a:ext uri="{FF2B5EF4-FFF2-40B4-BE49-F238E27FC236}">
              <a16:creationId xmlns:a16="http://schemas.microsoft.com/office/drawing/2014/main" id="{00000000-0008-0000-0800-00000D000000}"/>
            </a:ext>
          </a:extLst>
        </xdr:cNvPr>
        <xdr:cNvSpPr txBox="1"/>
      </xdr:nvSpPr>
      <xdr:spPr>
        <a:xfrm rot="1590833">
          <a:off x="406401" y="7664451"/>
          <a:ext cx="1044473" cy="299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s-CO" sz="1100" b="1"/>
            <a:t>PR40+0500</a:t>
          </a:r>
        </a:p>
      </xdr:txBody>
    </xdr:sp>
    <xdr:clientData/>
  </xdr:twoCellAnchor>
  <xdr:twoCellAnchor editAs="oneCell">
    <xdr:from>
      <xdr:col>0</xdr:col>
      <xdr:colOff>0</xdr:colOff>
      <xdr:row>14</xdr:row>
      <xdr:rowOff>34636</xdr:rowOff>
    </xdr:from>
    <xdr:to>
      <xdr:col>122</xdr:col>
      <xdr:colOff>284883</xdr:colOff>
      <xdr:row>32</xdr:row>
      <xdr:rowOff>17317</xdr:rowOff>
    </xdr:to>
    <xdr:pic>
      <xdr:nvPicPr>
        <xdr:cNvPr id="18" name="Imagen 17">
          <a:extLst>
            <a:ext uri="{FF2B5EF4-FFF2-40B4-BE49-F238E27FC236}">
              <a16:creationId xmlns:a16="http://schemas.microsoft.com/office/drawing/2014/main" id="{00000000-0008-0000-0800-000012000000}"/>
            </a:ext>
          </a:extLst>
        </xdr:cNvPr>
        <xdr:cNvPicPr>
          <a:picLocks noChangeAspect="1"/>
        </xdr:cNvPicPr>
      </xdr:nvPicPr>
      <xdr:blipFill>
        <a:blip xmlns:r="http://schemas.openxmlformats.org/officeDocument/2006/relationships" r:embed="rId1"/>
        <a:stretch>
          <a:fillRect/>
        </a:stretch>
      </xdr:blipFill>
      <xdr:spPr>
        <a:xfrm>
          <a:off x="0" y="2944091"/>
          <a:ext cx="9654019" cy="4970317"/>
        </a:xfrm>
        <a:prstGeom prst="rect">
          <a:avLst/>
        </a:prstGeom>
      </xdr:spPr>
    </xdr:pic>
    <xdr:clientData/>
  </xdr:twoCellAnchor>
  <xdr:twoCellAnchor>
    <xdr:from>
      <xdr:col>0</xdr:col>
      <xdr:colOff>1333500</xdr:colOff>
      <xdr:row>20</xdr:row>
      <xdr:rowOff>214312</xdr:rowOff>
    </xdr:from>
    <xdr:to>
      <xdr:col>18</xdr:col>
      <xdr:colOff>11906</xdr:colOff>
      <xdr:row>23</xdr:row>
      <xdr:rowOff>119062</xdr:rowOff>
    </xdr:to>
    <xdr:cxnSp macro="">
      <xdr:nvCxnSpPr>
        <xdr:cNvPr id="3" name="Conector recto de flecha 2"/>
        <xdr:cNvCxnSpPr/>
      </xdr:nvCxnSpPr>
      <xdr:spPr bwMode="auto">
        <a:xfrm flipH="1" flipV="1">
          <a:off x="1333500" y="4774406"/>
          <a:ext cx="1654969" cy="726281"/>
        </a:xfrm>
        <a:prstGeom prst="straightConnector1">
          <a:avLst/>
        </a:prstGeom>
        <a:ln>
          <a:headEnd type="none" w="med" len="med"/>
          <a:tailEnd type="triangle"/>
        </a:ln>
      </xdr:spPr>
      <xdr:style>
        <a:lnRef idx="1">
          <a:schemeClr val="dk1"/>
        </a:lnRef>
        <a:fillRef idx="0">
          <a:schemeClr val="dk1"/>
        </a:fillRef>
        <a:effectRef idx="0">
          <a:schemeClr val="dk1"/>
        </a:effectRef>
        <a:fontRef idx="minor">
          <a:schemeClr val="tx1"/>
        </a:fontRef>
      </xdr:style>
    </xdr:cxnSp>
    <xdr:clientData/>
  </xdr:twoCellAnchor>
  <xdr:oneCellAnchor>
    <xdr:from>
      <xdr:col>0</xdr:col>
      <xdr:colOff>1447208</xdr:colOff>
      <xdr:row>20</xdr:row>
      <xdr:rowOff>35719</xdr:rowOff>
    </xdr:from>
    <xdr:ext cx="990656" cy="264560"/>
    <xdr:sp macro="" textlink="">
      <xdr:nvSpPr>
        <xdr:cNvPr id="5" name="CuadroTexto 4"/>
        <xdr:cNvSpPr txBox="1"/>
      </xdr:nvSpPr>
      <xdr:spPr>
        <a:xfrm rot="1530873">
          <a:off x="1447208" y="4595813"/>
          <a:ext cx="990656"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t>RUTA 40TL05 </a:t>
          </a:r>
        </a:p>
      </xdr:txBody>
    </xdr:sp>
    <xdr:clientData/>
  </xdr:oneCellAnchor>
</xdr:wsDr>
</file>

<file path=xl/drawings/drawing8.xml><?xml version="1.0" encoding="utf-8"?>
<xdr:wsDr xmlns:xdr="http://schemas.openxmlformats.org/drawingml/2006/spreadsheetDrawing" xmlns:a="http://schemas.openxmlformats.org/drawingml/2006/main">
  <xdr:twoCellAnchor>
    <xdr:from>
      <xdr:col>0</xdr:col>
      <xdr:colOff>0</xdr:colOff>
      <xdr:row>35</xdr:row>
      <xdr:rowOff>19050</xdr:rowOff>
    </xdr:from>
    <xdr:to>
      <xdr:col>1</xdr:col>
      <xdr:colOff>0</xdr:colOff>
      <xdr:row>36</xdr:row>
      <xdr:rowOff>238125</xdr:rowOff>
    </xdr:to>
    <xdr:sp macro="" textlink="">
      <xdr:nvSpPr>
        <xdr:cNvPr id="30948071" name="Line 1">
          <a:extLst>
            <a:ext uri="{FF2B5EF4-FFF2-40B4-BE49-F238E27FC236}">
              <a16:creationId xmlns:a16="http://schemas.microsoft.com/office/drawing/2014/main" id="{00000000-0008-0000-0900-0000E73AD801}"/>
            </a:ext>
          </a:extLst>
        </xdr:cNvPr>
        <xdr:cNvSpPr>
          <a:spLocks noChangeShapeType="1"/>
        </xdr:cNvSpPr>
      </xdr:nvSpPr>
      <xdr:spPr bwMode="auto">
        <a:xfrm>
          <a:off x="0" y="8486775"/>
          <a:ext cx="2181225" cy="34290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933450</xdr:colOff>
      <xdr:row>25</xdr:row>
      <xdr:rowOff>9525</xdr:rowOff>
    </xdr:from>
    <xdr:to>
      <xdr:col>0</xdr:col>
      <xdr:colOff>2143125</xdr:colOff>
      <xdr:row>25</xdr:row>
      <xdr:rowOff>180975</xdr:rowOff>
    </xdr:to>
    <xdr:sp macro="" textlink="">
      <xdr:nvSpPr>
        <xdr:cNvPr id="30948072" name="Rectangle 3">
          <a:extLst>
            <a:ext uri="{FF2B5EF4-FFF2-40B4-BE49-F238E27FC236}">
              <a16:creationId xmlns:a16="http://schemas.microsoft.com/office/drawing/2014/main" id="{00000000-0008-0000-0900-0000E83AD801}"/>
            </a:ext>
          </a:extLst>
        </xdr:cNvPr>
        <xdr:cNvSpPr>
          <a:spLocks noChangeArrowheads="1"/>
        </xdr:cNvSpPr>
      </xdr:nvSpPr>
      <xdr:spPr bwMode="auto">
        <a:xfrm>
          <a:off x="933450" y="5848350"/>
          <a:ext cx="120967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30</xdr:col>
      <xdr:colOff>28575</xdr:colOff>
      <xdr:row>26</xdr:row>
      <xdr:rowOff>180975</xdr:rowOff>
    </xdr:from>
    <xdr:to>
      <xdr:col>36</xdr:col>
      <xdr:colOff>28575</xdr:colOff>
      <xdr:row>28</xdr:row>
      <xdr:rowOff>47625</xdr:rowOff>
    </xdr:to>
    <xdr:sp macro="" textlink="">
      <xdr:nvSpPr>
        <xdr:cNvPr id="30948073" name="Text Box 6">
          <a:extLst>
            <a:ext uri="{FF2B5EF4-FFF2-40B4-BE49-F238E27FC236}">
              <a16:creationId xmlns:a16="http://schemas.microsoft.com/office/drawing/2014/main" id="{00000000-0008-0000-0900-0000E93AD801}"/>
            </a:ext>
          </a:extLst>
        </xdr:cNvPr>
        <xdr:cNvSpPr txBox="1">
          <a:spLocks noChangeArrowheads="1"/>
        </xdr:cNvSpPr>
      </xdr:nvSpPr>
      <xdr:spPr bwMode="auto">
        <a:xfrm>
          <a:off x="3590925" y="6296025"/>
          <a:ext cx="285750" cy="419100"/>
        </a:xfrm>
        <a:prstGeom prst="rect">
          <a:avLst/>
        </a:prstGeom>
        <a:solidFill>
          <a:srgbClr val="FFFFFF"/>
        </a:solidFill>
        <a:ln w="57150">
          <a:solidFill>
            <a:srgbClr val="FFFFFF"/>
          </a:solidFill>
          <a:miter lim="800000"/>
          <a:headEnd/>
          <a:tailEnd/>
        </a:ln>
      </xdr:spPr>
    </xdr:sp>
    <xdr:clientData/>
  </xdr:twoCellAnchor>
  <xdr:twoCellAnchor>
    <xdr:from>
      <xdr:col>49</xdr:col>
      <xdr:colOff>38100</xdr:colOff>
      <xdr:row>100</xdr:row>
      <xdr:rowOff>85725</xdr:rowOff>
    </xdr:from>
    <xdr:to>
      <xdr:col>89</xdr:col>
      <xdr:colOff>95250</xdr:colOff>
      <xdr:row>100</xdr:row>
      <xdr:rowOff>85725</xdr:rowOff>
    </xdr:to>
    <xdr:sp macro="" textlink="">
      <xdr:nvSpPr>
        <xdr:cNvPr id="30948074" name="Line 9">
          <a:extLst>
            <a:ext uri="{FF2B5EF4-FFF2-40B4-BE49-F238E27FC236}">
              <a16:creationId xmlns:a16="http://schemas.microsoft.com/office/drawing/2014/main" id="{00000000-0008-0000-0900-0000EA3AD801}"/>
            </a:ext>
          </a:extLst>
        </xdr:cNvPr>
        <xdr:cNvSpPr>
          <a:spLocks noChangeShapeType="1"/>
        </xdr:cNvSpPr>
      </xdr:nvSpPr>
      <xdr:spPr bwMode="auto">
        <a:xfrm>
          <a:off x="4505325" y="18973800"/>
          <a:ext cx="3095625" cy="0"/>
        </a:xfrm>
        <a:prstGeom prst="line">
          <a:avLst/>
        </a:prstGeom>
        <a:noFill/>
        <a:ln w="57150">
          <a:solidFill>
            <a:srgbClr val="99CC00"/>
          </a:solidFill>
          <a:round/>
          <a:headEnd/>
          <a:tailEnd/>
        </a:ln>
        <a:extLst>
          <a:ext uri="{909E8E84-426E-40DD-AFC4-6F175D3DCCD1}">
            <a14:hiddenFill xmlns:a14="http://schemas.microsoft.com/office/drawing/2010/main">
              <a:noFill/>
            </a14:hiddenFill>
          </a:ext>
        </a:extLst>
      </xdr:spPr>
    </xdr:sp>
    <xdr:clientData/>
  </xdr:twoCellAnchor>
  <xdr:twoCellAnchor>
    <xdr:from>
      <xdr:col>54</xdr:col>
      <xdr:colOff>38100</xdr:colOff>
      <xdr:row>103</xdr:row>
      <xdr:rowOff>47625</xdr:rowOff>
    </xdr:from>
    <xdr:to>
      <xdr:col>90</xdr:col>
      <xdr:colOff>0</xdr:colOff>
      <xdr:row>103</xdr:row>
      <xdr:rowOff>47625</xdr:rowOff>
    </xdr:to>
    <xdr:sp macro="" textlink="">
      <xdr:nvSpPr>
        <xdr:cNvPr id="30948075" name="Line 10">
          <a:extLst>
            <a:ext uri="{FF2B5EF4-FFF2-40B4-BE49-F238E27FC236}">
              <a16:creationId xmlns:a16="http://schemas.microsoft.com/office/drawing/2014/main" id="{00000000-0008-0000-0900-0000EB3AD801}"/>
            </a:ext>
          </a:extLst>
        </xdr:cNvPr>
        <xdr:cNvSpPr>
          <a:spLocks noChangeShapeType="1"/>
        </xdr:cNvSpPr>
      </xdr:nvSpPr>
      <xdr:spPr bwMode="auto">
        <a:xfrm>
          <a:off x="4743450" y="19507200"/>
          <a:ext cx="3152775" cy="0"/>
        </a:xfrm>
        <a:prstGeom prst="line">
          <a:avLst/>
        </a:prstGeom>
        <a:noFill/>
        <a:ln w="57150">
          <a:solidFill>
            <a:srgbClr val="99CC00"/>
          </a:solidFill>
          <a:round/>
          <a:headEnd/>
          <a:tailEnd/>
        </a:ln>
        <a:extLst>
          <a:ext uri="{909E8E84-426E-40DD-AFC4-6F175D3DCCD1}">
            <a14:hiddenFill xmlns:a14="http://schemas.microsoft.com/office/drawing/2010/main">
              <a:noFill/>
            </a14:hiddenFill>
          </a:ext>
        </a:extLst>
      </xdr:spPr>
    </xdr:sp>
    <xdr:clientData/>
  </xdr:twoCellAnchor>
  <xdr:twoCellAnchor>
    <xdr:from>
      <xdr:col>49</xdr:col>
      <xdr:colOff>38100</xdr:colOff>
      <xdr:row>105</xdr:row>
      <xdr:rowOff>142875</xdr:rowOff>
    </xdr:from>
    <xdr:to>
      <xdr:col>89</xdr:col>
      <xdr:colOff>95250</xdr:colOff>
      <xdr:row>105</xdr:row>
      <xdr:rowOff>142875</xdr:rowOff>
    </xdr:to>
    <xdr:sp macro="" textlink="">
      <xdr:nvSpPr>
        <xdr:cNvPr id="30948076" name="Line 11">
          <a:extLst>
            <a:ext uri="{FF2B5EF4-FFF2-40B4-BE49-F238E27FC236}">
              <a16:creationId xmlns:a16="http://schemas.microsoft.com/office/drawing/2014/main" id="{00000000-0008-0000-0900-0000EC3AD801}"/>
            </a:ext>
          </a:extLst>
        </xdr:cNvPr>
        <xdr:cNvSpPr>
          <a:spLocks noChangeShapeType="1"/>
        </xdr:cNvSpPr>
      </xdr:nvSpPr>
      <xdr:spPr bwMode="auto">
        <a:xfrm>
          <a:off x="4505325" y="19983450"/>
          <a:ext cx="3095625" cy="0"/>
        </a:xfrm>
        <a:prstGeom prst="line">
          <a:avLst/>
        </a:prstGeom>
        <a:noFill/>
        <a:ln w="57150">
          <a:solidFill>
            <a:srgbClr val="008000"/>
          </a:solidFill>
          <a:round/>
          <a:headEnd/>
          <a:tailEnd/>
        </a:ln>
        <a:extLst>
          <a:ext uri="{909E8E84-426E-40DD-AFC4-6F175D3DCCD1}">
            <a14:hiddenFill xmlns:a14="http://schemas.microsoft.com/office/drawing/2010/main">
              <a:noFill/>
            </a14:hiddenFill>
          </a:ext>
        </a:extLst>
      </xdr:spPr>
    </xdr:sp>
    <xdr:clientData/>
  </xdr:twoCellAnchor>
  <xdr:twoCellAnchor>
    <xdr:from>
      <xdr:col>57</xdr:col>
      <xdr:colOff>38100</xdr:colOff>
      <xdr:row>104</xdr:row>
      <xdr:rowOff>38100</xdr:rowOff>
    </xdr:from>
    <xdr:to>
      <xdr:col>90</xdr:col>
      <xdr:colOff>333375</xdr:colOff>
      <xdr:row>104</xdr:row>
      <xdr:rowOff>38100</xdr:rowOff>
    </xdr:to>
    <xdr:sp macro="" textlink="">
      <xdr:nvSpPr>
        <xdr:cNvPr id="30948077" name="Line 12">
          <a:extLst>
            <a:ext uri="{FF2B5EF4-FFF2-40B4-BE49-F238E27FC236}">
              <a16:creationId xmlns:a16="http://schemas.microsoft.com/office/drawing/2014/main" id="{00000000-0008-0000-0900-0000ED3AD801}"/>
            </a:ext>
          </a:extLst>
        </xdr:cNvPr>
        <xdr:cNvSpPr>
          <a:spLocks noChangeShapeType="1"/>
        </xdr:cNvSpPr>
      </xdr:nvSpPr>
      <xdr:spPr bwMode="auto">
        <a:xfrm>
          <a:off x="4886325" y="19688175"/>
          <a:ext cx="3343275" cy="0"/>
        </a:xfrm>
        <a:prstGeom prst="line">
          <a:avLst/>
        </a:prstGeom>
        <a:noFill/>
        <a:ln w="57150">
          <a:solidFill>
            <a:srgbClr val="008000"/>
          </a:solidFill>
          <a:round/>
          <a:headEnd/>
          <a:tailEnd/>
        </a:ln>
        <a:extLst>
          <a:ext uri="{909E8E84-426E-40DD-AFC4-6F175D3DCCD1}">
            <a14:hiddenFill xmlns:a14="http://schemas.microsoft.com/office/drawing/2010/main">
              <a:noFill/>
            </a14:hiddenFill>
          </a:ext>
        </a:extLst>
      </xdr:spPr>
    </xdr:sp>
    <xdr:clientData/>
  </xdr:twoCellAnchor>
  <xdr:twoCellAnchor>
    <xdr:from>
      <xdr:col>51</xdr:col>
      <xdr:colOff>38100</xdr:colOff>
      <xdr:row>105</xdr:row>
      <xdr:rowOff>142875</xdr:rowOff>
    </xdr:from>
    <xdr:to>
      <xdr:col>90</xdr:col>
      <xdr:colOff>47625</xdr:colOff>
      <xdr:row>105</xdr:row>
      <xdr:rowOff>142875</xdr:rowOff>
    </xdr:to>
    <xdr:sp macro="" textlink="">
      <xdr:nvSpPr>
        <xdr:cNvPr id="30948078" name="Line 13">
          <a:extLst>
            <a:ext uri="{FF2B5EF4-FFF2-40B4-BE49-F238E27FC236}">
              <a16:creationId xmlns:a16="http://schemas.microsoft.com/office/drawing/2014/main" id="{00000000-0008-0000-0900-0000EE3AD801}"/>
            </a:ext>
          </a:extLst>
        </xdr:cNvPr>
        <xdr:cNvSpPr>
          <a:spLocks noChangeShapeType="1"/>
        </xdr:cNvSpPr>
      </xdr:nvSpPr>
      <xdr:spPr bwMode="auto">
        <a:xfrm>
          <a:off x="4600575" y="19983450"/>
          <a:ext cx="3343275" cy="0"/>
        </a:xfrm>
        <a:prstGeom prst="line">
          <a:avLst/>
        </a:prstGeom>
        <a:noFill/>
        <a:ln w="57150">
          <a:solidFill>
            <a:srgbClr val="008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0</xdr:colOff>
      <xdr:row>35</xdr:row>
      <xdr:rowOff>19050</xdr:rowOff>
    </xdr:from>
    <xdr:to>
      <xdr:col>1</xdr:col>
      <xdr:colOff>0</xdr:colOff>
      <xdr:row>36</xdr:row>
      <xdr:rowOff>238125</xdr:rowOff>
    </xdr:to>
    <xdr:sp macro="" textlink="">
      <xdr:nvSpPr>
        <xdr:cNvPr id="30948079" name="Line 1">
          <a:extLst>
            <a:ext uri="{FF2B5EF4-FFF2-40B4-BE49-F238E27FC236}">
              <a16:creationId xmlns:a16="http://schemas.microsoft.com/office/drawing/2014/main" id="{00000000-0008-0000-0900-0000EF3AD801}"/>
            </a:ext>
          </a:extLst>
        </xdr:cNvPr>
        <xdr:cNvSpPr>
          <a:spLocks noChangeShapeType="1"/>
        </xdr:cNvSpPr>
      </xdr:nvSpPr>
      <xdr:spPr bwMode="auto">
        <a:xfrm>
          <a:off x="0" y="8486775"/>
          <a:ext cx="2181225" cy="34290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editAs="oneCell">
    <xdr:from>
      <xdr:col>0</xdr:col>
      <xdr:colOff>85725</xdr:colOff>
      <xdr:row>15</xdr:row>
      <xdr:rowOff>57150</xdr:rowOff>
    </xdr:from>
    <xdr:to>
      <xdr:col>89</xdr:col>
      <xdr:colOff>333375</xdr:colOff>
      <xdr:row>32</xdr:row>
      <xdr:rowOff>190500</xdr:rowOff>
    </xdr:to>
    <xdr:pic>
      <xdr:nvPicPr>
        <xdr:cNvPr id="30948080" name="2 Imagen">
          <a:extLst>
            <a:ext uri="{FF2B5EF4-FFF2-40B4-BE49-F238E27FC236}">
              <a16:creationId xmlns:a16="http://schemas.microsoft.com/office/drawing/2014/main" id="{00000000-0008-0000-0900-0000F03AD80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5725" y="3276600"/>
          <a:ext cx="7753350" cy="468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79</xdr:col>
      <xdr:colOff>68036</xdr:colOff>
      <xdr:row>28</xdr:row>
      <xdr:rowOff>149679</xdr:rowOff>
    </xdr:from>
    <xdr:to>
      <xdr:col>83</xdr:col>
      <xdr:colOff>122464</xdr:colOff>
      <xdr:row>29</xdr:row>
      <xdr:rowOff>122464</xdr:rowOff>
    </xdr:to>
    <xdr:cxnSp macro="">
      <xdr:nvCxnSpPr>
        <xdr:cNvPr id="13" name="12 Conector recto de flecha">
          <a:extLst>
            <a:ext uri="{FF2B5EF4-FFF2-40B4-BE49-F238E27FC236}">
              <a16:creationId xmlns:a16="http://schemas.microsoft.com/office/drawing/2014/main" id="{00000000-0008-0000-0900-00000D000000}"/>
            </a:ext>
          </a:extLst>
        </xdr:cNvPr>
        <xdr:cNvCxnSpPr/>
      </xdr:nvCxnSpPr>
      <xdr:spPr>
        <a:xfrm flipV="1">
          <a:off x="6059261" y="6817179"/>
          <a:ext cx="673553" cy="249010"/>
        </a:xfrm>
        <a:prstGeom prst="straightConnector1">
          <a:avLst/>
        </a:prstGeom>
        <a:ln>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79</xdr:col>
      <xdr:colOff>92846</xdr:colOff>
      <xdr:row>28</xdr:row>
      <xdr:rowOff>270441</xdr:rowOff>
    </xdr:from>
    <xdr:to>
      <xdr:col>86</xdr:col>
      <xdr:colOff>9112</xdr:colOff>
      <xdr:row>30</xdr:row>
      <xdr:rowOff>19180</xdr:rowOff>
    </xdr:to>
    <xdr:sp macro="" textlink="">
      <xdr:nvSpPr>
        <xdr:cNvPr id="14" name="13 CuadroTexto">
          <a:extLst>
            <a:ext uri="{FF2B5EF4-FFF2-40B4-BE49-F238E27FC236}">
              <a16:creationId xmlns:a16="http://schemas.microsoft.com/office/drawing/2014/main" id="{00000000-0008-0000-0900-00000E000000}"/>
            </a:ext>
          </a:extLst>
        </xdr:cNvPr>
        <xdr:cNvSpPr txBox="1"/>
      </xdr:nvSpPr>
      <xdr:spPr>
        <a:xfrm rot="20539597">
          <a:off x="6084071" y="6937941"/>
          <a:ext cx="1002116" cy="30118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t>ESPINAL</a:t>
          </a:r>
        </a:p>
      </xdr:txBody>
    </xdr:sp>
    <xdr:clientData/>
  </xdr:twoCellAnchor>
  <xdr:twoCellAnchor>
    <xdr:from>
      <xdr:col>68</xdr:col>
      <xdr:colOff>7560</xdr:colOff>
      <xdr:row>29</xdr:row>
      <xdr:rowOff>106736</xdr:rowOff>
    </xdr:from>
    <xdr:to>
      <xdr:col>73</xdr:col>
      <xdr:colOff>28442</xdr:colOff>
      <xdr:row>33</xdr:row>
      <xdr:rowOff>50216</xdr:rowOff>
    </xdr:to>
    <xdr:sp macro="" textlink="">
      <xdr:nvSpPr>
        <xdr:cNvPr id="15" name="14 CuadroTexto">
          <a:extLst>
            <a:ext uri="{FF2B5EF4-FFF2-40B4-BE49-F238E27FC236}">
              <a16:creationId xmlns:a16="http://schemas.microsoft.com/office/drawing/2014/main" id="{00000000-0008-0000-0900-00000F000000}"/>
            </a:ext>
          </a:extLst>
        </xdr:cNvPr>
        <xdr:cNvSpPr txBox="1"/>
      </xdr:nvSpPr>
      <xdr:spPr>
        <a:xfrm rot="18091013">
          <a:off x="4984974" y="7445147"/>
          <a:ext cx="1048380" cy="2590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t>NEIVA</a:t>
          </a:r>
        </a:p>
      </xdr:txBody>
    </xdr:sp>
    <xdr:clientData/>
  </xdr:twoCellAnchor>
  <xdr:twoCellAnchor>
    <xdr:from>
      <xdr:col>69</xdr:col>
      <xdr:colOff>13607</xdr:colOff>
      <xdr:row>31</xdr:row>
      <xdr:rowOff>111578</xdr:rowOff>
    </xdr:from>
    <xdr:to>
      <xdr:col>73</xdr:col>
      <xdr:colOff>43545</xdr:colOff>
      <xdr:row>32</xdr:row>
      <xdr:rowOff>190500</xdr:rowOff>
    </xdr:to>
    <xdr:cxnSp macro="">
      <xdr:nvCxnSpPr>
        <xdr:cNvPr id="16" name="15 Conector recto de flecha">
          <a:extLst>
            <a:ext uri="{FF2B5EF4-FFF2-40B4-BE49-F238E27FC236}">
              <a16:creationId xmlns:a16="http://schemas.microsoft.com/office/drawing/2014/main" id="{00000000-0008-0000-0900-000010000000}"/>
            </a:ext>
          </a:extLst>
        </xdr:cNvPr>
        <xdr:cNvCxnSpPr/>
      </xdr:nvCxnSpPr>
      <xdr:spPr>
        <a:xfrm flipH="1">
          <a:off x="5433332" y="7607753"/>
          <a:ext cx="220438" cy="355147"/>
        </a:xfrm>
        <a:prstGeom prst="straightConnector1">
          <a:avLst/>
        </a:prstGeom>
        <a:ln>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612321</xdr:colOff>
      <xdr:row>15</xdr:row>
      <xdr:rowOff>217714</xdr:rowOff>
    </xdr:from>
    <xdr:to>
      <xdr:col>0</xdr:col>
      <xdr:colOff>985155</xdr:colOff>
      <xdr:row>16</xdr:row>
      <xdr:rowOff>217714</xdr:rowOff>
    </xdr:to>
    <xdr:cxnSp macro="">
      <xdr:nvCxnSpPr>
        <xdr:cNvPr id="17" name="16 Conector recto de flecha">
          <a:extLst>
            <a:ext uri="{FF2B5EF4-FFF2-40B4-BE49-F238E27FC236}">
              <a16:creationId xmlns:a16="http://schemas.microsoft.com/office/drawing/2014/main" id="{00000000-0008-0000-0900-000011000000}"/>
            </a:ext>
          </a:extLst>
        </xdr:cNvPr>
        <xdr:cNvCxnSpPr/>
      </xdr:nvCxnSpPr>
      <xdr:spPr>
        <a:xfrm flipH="1" flipV="1">
          <a:off x="612321" y="3437164"/>
          <a:ext cx="372834" cy="228600"/>
        </a:xfrm>
        <a:prstGeom prst="straightConnector1">
          <a:avLst/>
        </a:prstGeom>
        <a:ln>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16646</xdr:colOff>
      <xdr:row>15</xdr:row>
      <xdr:rowOff>188797</xdr:rowOff>
    </xdr:from>
    <xdr:to>
      <xdr:col>0</xdr:col>
      <xdr:colOff>1048698</xdr:colOff>
      <xdr:row>16</xdr:row>
      <xdr:rowOff>209679</xdr:rowOff>
    </xdr:to>
    <xdr:sp macro="" textlink="">
      <xdr:nvSpPr>
        <xdr:cNvPr id="18" name="17 CuadroTexto">
          <a:extLst>
            <a:ext uri="{FF2B5EF4-FFF2-40B4-BE49-F238E27FC236}">
              <a16:creationId xmlns:a16="http://schemas.microsoft.com/office/drawing/2014/main" id="{00000000-0008-0000-0900-000012000000}"/>
            </a:ext>
          </a:extLst>
        </xdr:cNvPr>
        <xdr:cNvSpPr txBox="1"/>
      </xdr:nvSpPr>
      <xdr:spPr>
        <a:xfrm rot="2356738">
          <a:off x="16646" y="3408247"/>
          <a:ext cx="1032052" cy="2494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100"/>
            <a:t>CHICORAL</a:t>
          </a:r>
        </a:p>
      </xdr:txBody>
    </xdr:sp>
    <xdr:clientData/>
  </xdr:twoCellAnchor>
  <xdr:twoCellAnchor>
    <xdr:from>
      <xdr:col>0</xdr:col>
      <xdr:colOff>729060</xdr:colOff>
      <xdr:row>16</xdr:row>
      <xdr:rowOff>148577</xdr:rowOff>
    </xdr:from>
    <xdr:to>
      <xdr:col>0</xdr:col>
      <xdr:colOff>1022085</xdr:colOff>
      <xdr:row>20</xdr:row>
      <xdr:rowOff>92058</xdr:rowOff>
    </xdr:to>
    <xdr:sp macro="" textlink="">
      <xdr:nvSpPr>
        <xdr:cNvPr id="19" name="18 CuadroTexto">
          <a:extLst>
            <a:ext uri="{FF2B5EF4-FFF2-40B4-BE49-F238E27FC236}">
              <a16:creationId xmlns:a16="http://schemas.microsoft.com/office/drawing/2014/main" id="{00000000-0008-0000-0900-000013000000}"/>
            </a:ext>
          </a:extLst>
        </xdr:cNvPr>
        <xdr:cNvSpPr txBox="1"/>
      </xdr:nvSpPr>
      <xdr:spPr>
        <a:xfrm rot="18507298">
          <a:off x="399007" y="3926680"/>
          <a:ext cx="953131" cy="293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100" b="1"/>
            <a:t>PR0+0000</a:t>
          </a:r>
        </a:p>
      </xdr:txBody>
    </xdr:sp>
    <xdr:clientData/>
  </xdr:twoCellAnchor>
  <xdr:twoCellAnchor>
    <xdr:from>
      <xdr:col>76</xdr:col>
      <xdr:colOff>0</xdr:colOff>
      <xdr:row>29</xdr:row>
      <xdr:rowOff>161925</xdr:rowOff>
    </xdr:from>
    <xdr:to>
      <xdr:col>80</xdr:col>
      <xdr:colOff>85725</xdr:colOff>
      <xdr:row>30</xdr:row>
      <xdr:rowOff>200025</xdr:rowOff>
    </xdr:to>
    <xdr:sp macro="" textlink="">
      <xdr:nvSpPr>
        <xdr:cNvPr id="30948088" name="2 Forma libre">
          <a:extLst>
            <a:ext uri="{FF2B5EF4-FFF2-40B4-BE49-F238E27FC236}">
              <a16:creationId xmlns:a16="http://schemas.microsoft.com/office/drawing/2014/main" id="{00000000-0008-0000-0900-0000F83AD801}"/>
            </a:ext>
          </a:extLst>
        </xdr:cNvPr>
        <xdr:cNvSpPr>
          <a:spLocks/>
        </xdr:cNvSpPr>
      </xdr:nvSpPr>
      <xdr:spPr bwMode="auto">
        <a:xfrm>
          <a:off x="5753100" y="7105650"/>
          <a:ext cx="485775" cy="314325"/>
        </a:xfrm>
        <a:custGeom>
          <a:avLst/>
          <a:gdLst>
            <a:gd name="T0" fmla="*/ 0 w 481298"/>
            <a:gd name="T1" fmla="*/ 0 h 323559"/>
            <a:gd name="T2" fmla="*/ 737044 w 481298"/>
            <a:gd name="T3" fmla="*/ 1041 h 323559"/>
            <a:gd name="T4" fmla="*/ 1055325 w 481298"/>
            <a:gd name="T5" fmla="*/ 1226 h 323559"/>
            <a:gd name="T6" fmla="*/ 1507622 w 481298"/>
            <a:gd name="T7" fmla="*/ 1103 h 323559"/>
            <a:gd name="T8" fmla="*/ 1909629 w 481298"/>
            <a:gd name="T9" fmla="*/ 857 h 323559"/>
            <a:gd name="T10" fmla="*/ 2194410 w 481298"/>
            <a:gd name="T11" fmla="*/ 1377 h 323559"/>
            <a:gd name="T12" fmla="*/ 2160907 w 481298"/>
            <a:gd name="T13" fmla="*/ 1866 h 323559"/>
            <a:gd name="T14" fmla="*/ 1842627 w 481298"/>
            <a:gd name="T15" fmla="*/ 2724 h 323559"/>
            <a:gd name="T16" fmla="*/ 0 60000 65536"/>
            <a:gd name="T17" fmla="*/ 0 60000 65536"/>
            <a:gd name="T18" fmla="*/ 0 60000 65536"/>
            <a:gd name="T19" fmla="*/ 0 60000 65536"/>
            <a:gd name="T20" fmla="*/ 0 60000 65536"/>
            <a:gd name="T21" fmla="*/ 0 60000 65536"/>
            <a:gd name="T22" fmla="*/ 0 60000 65536"/>
            <a:gd name="T23" fmla="*/ 0 60000 65536"/>
            <a:gd name="T24" fmla="*/ 0 w 481298"/>
            <a:gd name="T25" fmla="*/ 0 h 323559"/>
            <a:gd name="T26" fmla="*/ 481298 w 481298"/>
            <a:gd name="T27" fmla="*/ 323559 h 323559"/>
          </a:gdLst>
          <a:ahLst/>
          <a:cxnLst>
            <a:cxn ang="T16">
              <a:pos x="T0" y="T1"/>
            </a:cxn>
            <a:cxn ang="T17">
              <a:pos x="T2" y="T3"/>
            </a:cxn>
            <a:cxn ang="T18">
              <a:pos x="T4" y="T5"/>
            </a:cxn>
            <a:cxn ang="T19">
              <a:pos x="T6" y="T7"/>
            </a:cxn>
            <a:cxn ang="T20">
              <a:pos x="T8" y="T9"/>
            </a:cxn>
            <a:cxn ang="T21">
              <a:pos x="T10" y="T11"/>
            </a:cxn>
            <a:cxn ang="T22">
              <a:pos x="T12" y="T13"/>
            </a:cxn>
            <a:cxn ang="T23">
              <a:pos x="T14" y="T15"/>
            </a:cxn>
          </a:cxnLst>
          <a:rect l="T24" t="T25" r="T26" b="T27"/>
          <a:pathLst>
            <a:path w="481298" h="323559">
              <a:moveTo>
                <a:pt x="0" y="0"/>
              </a:moveTo>
              <a:cubicBezTo>
                <a:pt x="60894" y="49685"/>
                <a:pt x="121789" y="99370"/>
                <a:pt x="159962" y="123607"/>
              </a:cubicBezTo>
              <a:cubicBezTo>
                <a:pt x="198135" y="147844"/>
                <a:pt x="201164" y="144208"/>
                <a:pt x="229036" y="145420"/>
              </a:cubicBezTo>
              <a:cubicBezTo>
                <a:pt x="256908" y="146632"/>
                <a:pt x="296293" y="138149"/>
                <a:pt x="327195" y="130878"/>
              </a:cubicBezTo>
              <a:cubicBezTo>
                <a:pt x="358097" y="123607"/>
                <a:pt x="389604" y="96341"/>
                <a:pt x="414446" y="101794"/>
              </a:cubicBezTo>
              <a:cubicBezTo>
                <a:pt x="439288" y="107247"/>
                <a:pt x="467161" y="143602"/>
                <a:pt x="476250" y="163597"/>
              </a:cubicBezTo>
              <a:cubicBezTo>
                <a:pt x="485339" y="183592"/>
                <a:pt x="481703" y="195105"/>
                <a:pt x="468979" y="221765"/>
              </a:cubicBezTo>
              <a:cubicBezTo>
                <a:pt x="456255" y="248425"/>
                <a:pt x="412628" y="307199"/>
                <a:pt x="399904" y="323559"/>
              </a:cubicBezTo>
            </a:path>
          </a:pathLst>
        </a:custGeom>
        <a:noFill/>
        <a:ln w="76200">
          <a:solidFill>
            <a:srgbClr val="00FF00"/>
          </a:solidFill>
          <a:round/>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0</xdr:col>
      <xdr:colOff>1285875</xdr:colOff>
      <xdr:row>17</xdr:row>
      <xdr:rowOff>200025</xdr:rowOff>
    </xdr:from>
    <xdr:to>
      <xdr:col>76</xdr:col>
      <xdr:colOff>38100</xdr:colOff>
      <xdr:row>29</xdr:row>
      <xdr:rowOff>180975</xdr:rowOff>
    </xdr:to>
    <xdr:sp macro="" textlink="">
      <xdr:nvSpPr>
        <xdr:cNvPr id="30948089" name="1 Forma libre">
          <a:extLst>
            <a:ext uri="{FF2B5EF4-FFF2-40B4-BE49-F238E27FC236}">
              <a16:creationId xmlns:a16="http://schemas.microsoft.com/office/drawing/2014/main" id="{00000000-0008-0000-0900-0000F93AD801}"/>
            </a:ext>
          </a:extLst>
        </xdr:cNvPr>
        <xdr:cNvSpPr>
          <a:spLocks/>
        </xdr:cNvSpPr>
      </xdr:nvSpPr>
      <xdr:spPr bwMode="auto">
        <a:xfrm>
          <a:off x="1285875" y="3876675"/>
          <a:ext cx="4505325" cy="3248025"/>
        </a:xfrm>
        <a:custGeom>
          <a:avLst/>
          <a:gdLst>
            <a:gd name="T0" fmla="*/ 0 w 4416137"/>
            <a:gd name="T1" fmla="*/ 0 h 3489614"/>
            <a:gd name="T2" fmla="*/ 3065 w 4416137"/>
            <a:gd name="T3" fmla="*/ 43660 h 3489614"/>
            <a:gd name="T4" fmla="*/ 6051 w 4416137"/>
            <a:gd name="T5" fmla="*/ 89625 h 3489614"/>
            <a:gd name="T6" fmla="*/ 8247 w 4416137"/>
            <a:gd name="T7" fmla="*/ 125629 h 3489614"/>
            <a:gd name="T8" fmla="*/ 9976 w 4416137"/>
            <a:gd name="T9" fmla="*/ 154736 h 3489614"/>
            <a:gd name="T10" fmla="*/ 11378 w 4416137"/>
            <a:gd name="T11" fmla="*/ 180780 h 3489614"/>
            <a:gd name="T12" fmla="*/ 12931 w 4416137"/>
            <a:gd name="T13" fmla="*/ 209887 h 3489614"/>
            <a:gd name="T14" fmla="*/ 14442 w 4416137"/>
            <a:gd name="T15" fmla="*/ 236697 h 3489614"/>
            <a:gd name="T16" fmla="*/ 15668 w 4416137"/>
            <a:gd name="T17" fmla="*/ 261978 h 3489614"/>
            <a:gd name="T18" fmla="*/ 17072 w 4416137"/>
            <a:gd name="T19" fmla="*/ 285724 h 3489614"/>
            <a:gd name="T20" fmla="*/ 17755 w 4416137"/>
            <a:gd name="T21" fmla="*/ 297980 h 3489614"/>
            <a:gd name="T22" fmla="*/ 18368 w 4416137"/>
            <a:gd name="T23" fmla="*/ 308705 h 3489614"/>
            <a:gd name="T24" fmla="*/ 0 60000 65536"/>
            <a:gd name="T25" fmla="*/ 0 60000 65536"/>
            <a:gd name="T26" fmla="*/ 0 60000 65536"/>
            <a:gd name="T27" fmla="*/ 0 60000 65536"/>
            <a:gd name="T28" fmla="*/ 0 60000 65536"/>
            <a:gd name="T29" fmla="*/ 0 60000 65536"/>
            <a:gd name="T30" fmla="*/ 0 60000 65536"/>
            <a:gd name="T31" fmla="*/ 0 60000 65536"/>
            <a:gd name="T32" fmla="*/ 0 60000 65536"/>
            <a:gd name="T33" fmla="*/ 0 60000 65536"/>
            <a:gd name="T34" fmla="*/ 0 60000 65536"/>
            <a:gd name="T35" fmla="*/ 0 60000 65536"/>
            <a:gd name="T36" fmla="*/ 0 w 4416137"/>
            <a:gd name="T37" fmla="*/ 0 h 3489614"/>
            <a:gd name="T38" fmla="*/ 4416137 w 4416137"/>
            <a:gd name="T39" fmla="*/ 3489614 h 3489614"/>
          </a:gdLst>
          <a:ahLst/>
          <a:cxnLst>
            <a:cxn ang="T24">
              <a:pos x="T0" y="T1"/>
            </a:cxn>
            <a:cxn ang="T25">
              <a:pos x="T2" y="T3"/>
            </a:cxn>
            <a:cxn ang="T26">
              <a:pos x="T4" y="T5"/>
            </a:cxn>
            <a:cxn ang="T27">
              <a:pos x="T6" y="T7"/>
            </a:cxn>
            <a:cxn ang="T28">
              <a:pos x="T8" y="T9"/>
            </a:cxn>
            <a:cxn ang="T29">
              <a:pos x="T10" y="T11"/>
            </a:cxn>
            <a:cxn ang="T30">
              <a:pos x="T12" y="T13"/>
            </a:cxn>
            <a:cxn ang="T31">
              <a:pos x="T14" y="T15"/>
            </a:cxn>
            <a:cxn ang="T32">
              <a:pos x="T16" y="T17"/>
            </a:cxn>
            <a:cxn ang="T33">
              <a:pos x="T18" y="T19"/>
            </a:cxn>
            <a:cxn ang="T34">
              <a:pos x="T20" y="T21"/>
            </a:cxn>
            <a:cxn ang="T35">
              <a:pos x="T22" y="T23"/>
            </a:cxn>
          </a:cxnLst>
          <a:rect l="T36" t="T37" r="T38" b="T39"/>
          <a:pathLst>
            <a:path w="4416137" h="3489614">
              <a:moveTo>
                <a:pt x="0" y="0"/>
              </a:moveTo>
              <a:cubicBezTo>
                <a:pt x="246784" y="162358"/>
                <a:pt x="493568" y="324716"/>
                <a:pt x="736023" y="493568"/>
              </a:cubicBezTo>
              <a:cubicBezTo>
                <a:pt x="978478" y="662420"/>
                <a:pt x="1246910" y="858694"/>
                <a:pt x="1454728" y="1013114"/>
              </a:cubicBezTo>
              <a:cubicBezTo>
                <a:pt x="1662546" y="1167534"/>
                <a:pt x="1825625" y="1297421"/>
                <a:pt x="1982932" y="1420091"/>
              </a:cubicBezTo>
              <a:cubicBezTo>
                <a:pt x="2140239" y="1542761"/>
                <a:pt x="2273012" y="1645227"/>
                <a:pt x="2398569" y="1749136"/>
              </a:cubicBezTo>
              <a:cubicBezTo>
                <a:pt x="2524126" y="1853045"/>
                <a:pt x="2736273" y="2043545"/>
                <a:pt x="2736273" y="2043545"/>
              </a:cubicBezTo>
              <a:cubicBezTo>
                <a:pt x="2854614" y="2147454"/>
                <a:pt x="2985944" y="2267239"/>
                <a:pt x="3108614" y="2372591"/>
              </a:cubicBezTo>
              <a:cubicBezTo>
                <a:pt x="3231284" y="2477943"/>
                <a:pt x="3362614" y="2577523"/>
                <a:pt x="3472296" y="2675659"/>
              </a:cubicBezTo>
              <a:cubicBezTo>
                <a:pt x="3581978" y="2773795"/>
                <a:pt x="3661353" y="2869045"/>
                <a:pt x="3766705" y="2961409"/>
              </a:cubicBezTo>
              <a:cubicBezTo>
                <a:pt x="3872057" y="3053773"/>
                <a:pt x="4020704" y="3162011"/>
                <a:pt x="4104409" y="3229841"/>
              </a:cubicBezTo>
              <a:cubicBezTo>
                <a:pt x="4188114" y="3297671"/>
                <a:pt x="4268932" y="3368386"/>
                <a:pt x="4268932" y="3368386"/>
              </a:cubicBezTo>
              <a:lnTo>
                <a:pt x="4416137" y="3489614"/>
              </a:lnTo>
            </a:path>
          </a:pathLst>
        </a:custGeom>
        <a:noFill/>
        <a:ln w="76200">
          <a:solidFill>
            <a:srgbClr val="00FF00"/>
          </a:solidFill>
          <a:round/>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80</xdr:col>
      <xdr:colOff>43260</xdr:colOff>
      <xdr:row>29</xdr:row>
      <xdr:rowOff>81901</xdr:rowOff>
    </xdr:from>
    <xdr:to>
      <xdr:col>82</xdr:col>
      <xdr:colOff>21960</xdr:colOff>
      <xdr:row>32</xdr:row>
      <xdr:rowOff>206357</xdr:rowOff>
    </xdr:to>
    <xdr:sp macro="" textlink="">
      <xdr:nvSpPr>
        <xdr:cNvPr id="21" name="18 CuadroTexto">
          <a:extLst>
            <a:ext uri="{FF2B5EF4-FFF2-40B4-BE49-F238E27FC236}">
              <a16:creationId xmlns:a16="http://schemas.microsoft.com/office/drawing/2014/main" id="{00000000-0008-0000-0900-000013000000}"/>
            </a:ext>
          </a:extLst>
        </xdr:cNvPr>
        <xdr:cNvSpPr txBox="1"/>
      </xdr:nvSpPr>
      <xdr:spPr>
        <a:xfrm rot="18507298">
          <a:off x="5866357" y="7355679"/>
          <a:ext cx="953131" cy="293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100" b="1"/>
            <a:t>PR3+0224</a:t>
          </a:r>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981075</xdr:colOff>
      <xdr:row>67</xdr:row>
      <xdr:rowOff>0</xdr:rowOff>
    </xdr:from>
    <xdr:to>
      <xdr:col>1</xdr:col>
      <xdr:colOff>0</xdr:colOff>
      <xdr:row>68</xdr:row>
      <xdr:rowOff>0</xdr:rowOff>
    </xdr:to>
    <xdr:sp macro="" textlink="">
      <xdr:nvSpPr>
        <xdr:cNvPr id="31810745" name="Rectangle 12">
          <a:extLst>
            <a:ext uri="{FF2B5EF4-FFF2-40B4-BE49-F238E27FC236}">
              <a16:creationId xmlns:a16="http://schemas.microsoft.com/office/drawing/2014/main" id="{00000000-0008-0000-0A00-0000B964E501}"/>
            </a:ext>
          </a:extLst>
        </xdr:cNvPr>
        <xdr:cNvSpPr>
          <a:spLocks noChangeArrowheads="1"/>
        </xdr:cNvSpPr>
      </xdr:nvSpPr>
      <xdr:spPr bwMode="auto">
        <a:xfrm>
          <a:off x="981075" y="11706225"/>
          <a:ext cx="733425" cy="161925"/>
        </a:xfrm>
        <a:prstGeom prst="rect">
          <a:avLst/>
        </a:prstGeom>
        <a:solidFill>
          <a:srgbClr val="00FF00"/>
        </a:solidFill>
        <a:ln w="9525">
          <a:solidFill>
            <a:srgbClr val="000000"/>
          </a:solidFill>
          <a:miter lim="800000"/>
          <a:headEnd/>
          <a:tailEnd/>
        </a:ln>
      </xdr:spPr>
    </xdr:sp>
    <xdr:clientData/>
  </xdr:twoCellAnchor>
  <xdr:twoCellAnchor>
    <xdr:from>
      <xdr:col>0</xdr:col>
      <xdr:colOff>981075</xdr:colOff>
      <xdr:row>68</xdr:row>
      <xdr:rowOff>0</xdr:rowOff>
    </xdr:from>
    <xdr:to>
      <xdr:col>1</xdr:col>
      <xdr:colOff>0</xdr:colOff>
      <xdr:row>69</xdr:row>
      <xdr:rowOff>0</xdr:rowOff>
    </xdr:to>
    <xdr:sp macro="" textlink="">
      <xdr:nvSpPr>
        <xdr:cNvPr id="31810746" name="Rectangle 13">
          <a:extLst>
            <a:ext uri="{FF2B5EF4-FFF2-40B4-BE49-F238E27FC236}">
              <a16:creationId xmlns:a16="http://schemas.microsoft.com/office/drawing/2014/main" id="{00000000-0008-0000-0A00-0000BA64E501}"/>
            </a:ext>
          </a:extLst>
        </xdr:cNvPr>
        <xdr:cNvSpPr>
          <a:spLocks noChangeArrowheads="1"/>
        </xdr:cNvSpPr>
      </xdr:nvSpPr>
      <xdr:spPr bwMode="auto">
        <a:xfrm>
          <a:off x="981075" y="11868150"/>
          <a:ext cx="733425" cy="161925"/>
        </a:xfrm>
        <a:prstGeom prst="rect">
          <a:avLst/>
        </a:prstGeom>
        <a:solidFill>
          <a:srgbClr val="FFFF00"/>
        </a:solidFill>
        <a:ln w="9525">
          <a:solidFill>
            <a:srgbClr val="000000"/>
          </a:solidFill>
          <a:miter lim="800000"/>
          <a:headEnd/>
          <a:tailEnd/>
        </a:ln>
      </xdr:spPr>
    </xdr:sp>
    <xdr:clientData/>
  </xdr:twoCellAnchor>
  <xdr:twoCellAnchor>
    <xdr:from>
      <xdr:col>0</xdr:col>
      <xdr:colOff>981075</xdr:colOff>
      <xdr:row>69</xdr:row>
      <xdr:rowOff>0</xdr:rowOff>
    </xdr:from>
    <xdr:to>
      <xdr:col>1</xdr:col>
      <xdr:colOff>0</xdr:colOff>
      <xdr:row>70</xdr:row>
      <xdr:rowOff>0</xdr:rowOff>
    </xdr:to>
    <xdr:sp macro="" textlink="">
      <xdr:nvSpPr>
        <xdr:cNvPr id="31810747" name="Rectangle 14">
          <a:extLst>
            <a:ext uri="{FF2B5EF4-FFF2-40B4-BE49-F238E27FC236}">
              <a16:creationId xmlns:a16="http://schemas.microsoft.com/office/drawing/2014/main" id="{00000000-0008-0000-0A00-0000BB64E501}"/>
            </a:ext>
          </a:extLst>
        </xdr:cNvPr>
        <xdr:cNvSpPr>
          <a:spLocks noChangeArrowheads="1"/>
        </xdr:cNvSpPr>
      </xdr:nvSpPr>
      <xdr:spPr bwMode="auto">
        <a:xfrm>
          <a:off x="981075" y="12030075"/>
          <a:ext cx="733425" cy="161925"/>
        </a:xfrm>
        <a:prstGeom prst="rect">
          <a:avLst/>
        </a:prstGeom>
        <a:solidFill>
          <a:srgbClr val="FF0000"/>
        </a:solidFill>
        <a:ln w="9525">
          <a:solidFill>
            <a:srgbClr val="000000"/>
          </a:solidFill>
          <a:miter lim="800000"/>
          <a:headEnd/>
          <a:tailEnd/>
        </a:ln>
      </xdr:spPr>
    </xdr:sp>
    <xdr:clientData/>
  </xdr:twoCellAnchor>
  <xdr:twoCellAnchor>
    <xdr:from>
      <xdr:col>1</xdr:col>
      <xdr:colOff>0</xdr:colOff>
      <xdr:row>26</xdr:row>
      <xdr:rowOff>19050</xdr:rowOff>
    </xdr:from>
    <xdr:to>
      <xdr:col>1</xdr:col>
      <xdr:colOff>2228850</xdr:colOff>
      <xdr:row>34</xdr:row>
      <xdr:rowOff>104775</xdr:rowOff>
    </xdr:to>
    <xdr:graphicFrame macro="">
      <xdr:nvGraphicFramePr>
        <xdr:cNvPr id="31810748" name="36 Gráfico">
          <a:extLst>
            <a:ext uri="{FF2B5EF4-FFF2-40B4-BE49-F238E27FC236}">
              <a16:creationId xmlns:a16="http://schemas.microsoft.com/office/drawing/2014/main" id="{00000000-0008-0000-0A00-0000BC64E5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2219325</xdr:colOff>
      <xdr:row>26</xdr:row>
      <xdr:rowOff>28575</xdr:rowOff>
    </xdr:from>
    <xdr:to>
      <xdr:col>2</xdr:col>
      <xdr:colOff>2200275</xdr:colOff>
      <xdr:row>34</xdr:row>
      <xdr:rowOff>114300</xdr:rowOff>
    </xdr:to>
    <xdr:graphicFrame macro="">
      <xdr:nvGraphicFramePr>
        <xdr:cNvPr id="31810749" name="36 Gráfico">
          <a:extLst>
            <a:ext uri="{FF2B5EF4-FFF2-40B4-BE49-F238E27FC236}">
              <a16:creationId xmlns:a16="http://schemas.microsoft.com/office/drawing/2014/main" id="{00000000-0008-0000-0A00-0000BD64E5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0</xdr:colOff>
      <xdr:row>16</xdr:row>
      <xdr:rowOff>38100</xdr:rowOff>
    </xdr:from>
    <xdr:to>
      <xdr:col>1</xdr:col>
      <xdr:colOff>2228850</xdr:colOff>
      <xdr:row>24</xdr:row>
      <xdr:rowOff>123825</xdr:rowOff>
    </xdr:to>
    <xdr:graphicFrame macro="">
      <xdr:nvGraphicFramePr>
        <xdr:cNvPr id="31810750" name="44 Gráfico">
          <a:extLst>
            <a:ext uri="{FF2B5EF4-FFF2-40B4-BE49-F238E27FC236}">
              <a16:creationId xmlns:a16="http://schemas.microsoft.com/office/drawing/2014/main" id="{00000000-0008-0000-0A00-0000BE64E5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xdr:col>
      <xdr:colOff>9525</xdr:colOff>
      <xdr:row>16</xdr:row>
      <xdr:rowOff>38100</xdr:rowOff>
    </xdr:from>
    <xdr:to>
      <xdr:col>2</xdr:col>
      <xdr:colOff>2238375</xdr:colOff>
      <xdr:row>24</xdr:row>
      <xdr:rowOff>123825</xdr:rowOff>
    </xdr:to>
    <xdr:graphicFrame macro="">
      <xdr:nvGraphicFramePr>
        <xdr:cNvPr id="31810751" name="44 Gráfico">
          <a:extLst>
            <a:ext uri="{FF2B5EF4-FFF2-40B4-BE49-F238E27FC236}">
              <a16:creationId xmlns:a16="http://schemas.microsoft.com/office/drawing/2014/main" id="{00000000-0008-0000-0A00-0000BF64E5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xdr:col>
      <xdr:colOff>0</xdr:colOff>
      <xdr:row>36</xdr:row>
      <xdr:rowOff>0</xdr:rowOff>
    </xdr:from>
    <xdr:to>
      <xdr:col>2</xdr:col>
      <xdr:colOff>2228850</xdr:colOff>
      <xdr:row>44</xdr:row>
      <xdr:rowOff>85725</xdr:rowOff>
    </xdr:to>
    <xdr:graphicFrame macro="">
      <xdr:nvGraphicFramePr>
        <xdr:cNvPr id="31810752" name="38 Gráfico">
          <a:extLst>
            <a:ext uri="{FF2B5EF4-FFF2-40B4-BE49-F238E27FC236}">
              <a16:creationId xmlns:a16="http://schemas.microsoft.com/office/drawing/2014/main" id="{00000000-0008-0000-0A00-0000C064E5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xdr:col>
      <xdr:colOff>0</xdr:colOff>
      <xdr:row>46</xdr:row>
      <xdr:rowOff>38100</xdr:rowOff>
    </xdr:from>
    <xdr:to>
      <xdr:col>2</xdr:col>
      <xdr:colOff>2228850</xdr:colOff>
      <xdr:row>54</xdr:row>
      <xdr:rowOff>95250</xdr:rowOff>
    </xdr:to>
    <xdr:graphicFrame macro="">
      <xdr:nvGraphicFramePr>
        <xdr:cNvPr id="31810753" name="40 Gráfico">
          <a:extLst>
            <a:ext uri="{FF2B5EF4-FFF2-40B4-BE49-F238E27FC236}">
              <a16:creationId xmlns:a16="http://schemas.microsoft.com/office/drawing/2014/main" id="{00000000-0008-0000-0A00-0000C164E5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2</xdr:col>
      <xdr:colOff>9525</xdr:colOff>
      <xdr:row>56</xdr:row>
      <xdr:rowOff>0</xdr:rowOff>
    </xdr:from>
    <xdr:to>
      <xdr:col>2</xdr:col>
      <xdr:colOff>2238375</xdr:colOff>
      <xdr:row>64</xdr:row>
      <xdr:rowOff>85725</xdr:rowOff>
    </xdr:to>
    <xdr:graphicFrame macro="">
      <xdr:nvGraphicFramePr>
        <xdr:cNvPr id="31810754" name="42 Gráfico">
          <a:extLst>
            <a:ext uri="{FF2B5EF4-FFF2-40B4-BE49-F238E27FC236}">
              <a16:creationId xmlns:a16="http://schemas.microsoft.com/office/drawing/2014/main" id="{00000000-0008-0000-0A00-0000C264E5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xdr:col>
      <xdr:colOff>0</xdr:colOff>
      <xdr:row>36</xdr:row>
      <xdr:rowOff>0</xdr:rowOff>
    </xdr:from>
    <xdr:to>
      <xdr:col>1</xdr:col>
      <xdr:colOff>2228850</xdr:colOff>
      <xdr:row>44</xdr:row>
      <xdr:rowOff>85725</xdr:rowOff>
    </xdr:to>
    <xdr:graphicFrame macro="">
      <xdr:nvGraphicFramePr>
        <xdr:cNvPr id="31810755" name="38 Gráfico">
          <a:extLst>
            <a:ext uri="{FF2B5EF4-FFF2-40B4-BE49-F238E27FC236}">
              <a16:creationId xmlns:a16="http://schemas.microsoft.com/office/drawing/2014/main" id="{00000000-0008-0000-0A00-0000C364E5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1</xdr:col>
      <xdr:colOff>0</xdr:colOff>
      <xdr:row>46</xdr:row>
      <xdr:rowOff>38100</xdr:rowOff>
    </xdr:from>
    <xdr:to>
      <xdr:col>1</xdr:col>
      <xdr:colOff>2228850</xdr:colOff>
      <xdr:row>54</xdr:row>
      <xdr:rowOff>95250</xdr:rowOff>
    </xdr:to>
    <xdr:graphicFrame macro="">
      <xdr:nvGraphicFramePr>
        <xdr:cNvPr id="31810756" name="40 Gráfico">
          <a:extLst>
            <a:ext uri="{FF2B5EF4-FFF2-40B4-BE49-F238E27FC236}">
              <a16:creationId xmlns:a16="http://schemas.microsoft.com/office/drawing/2014/main" id="{00000000-0008-0000-0A00-0000C464E5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xdr:col>
      <xdr:colOff>9525</xdr:colOff>
      <xdr:row>56</xdr:row>
      <xdr:rowOff>0</xdr:rowOff>
    </xdr:from>
    <xdr:to>
      <xdr:col>1</xdr:col>
      <xdr:colOff>2238375</xdr:colOff>
      <xdr:row>64</xdr:row>
      <xdr:rowOff>85725</xdr:rowOff>
    </xdr:to>
    <xdr:graphicFrame macro="">
      <xdr:nvGraphicFramePr>
        <xdr:cNvPr id="31810757" name="42 Gráfico">
          <a:extLst>
            <a:ext uri="{FF2B5EF4-FFF2-40B4-BE49-F238E27FC236}">
              <a16:creationId xmlns:a16="http://schemas.microsoft.com/office/drawing/2014/main" id="{00000000-0008-0000-0A00-0000C564E5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34</xdr:row>
      <xdr:rowOff>9525</xdr:rowOff>
    </xdr:from>
    <xdr:to>
      <xdr:col>1</xdr:col>
      <xdr:colOff>0</xdr:colOff>
      <xdr:row>35</xdr:row>
      <xdr:rowOff>152400</xdr:rowOff>
    </xdr:to>
    <xdr:sp macro="" textlink="">
      <xdr:nvSpPr>
        <xdr:cNvPr id="29135220" name="Line 2">
          <a:extLst>
            <a:ext uri="{FF2B5EF4-FFF2-40B4-BE49-F238E27FC236}">
              <a16:creationId xmlns:a16="http://schemas.microsoft.com/office/drawing/2014/main" id="{00000000-0008-0000-0C00-00007491BC01}"/>
            </a:ext>
          </a:extLst>
        </xdr:cNvPr>
        <xdr:cNvSpPr>
          <a:spLocks noChangeShapeType="1"/>
        </xdr:cNvSpPr>
      </xdr:nvSpPr>
      <xdr:spPr bwMode="auto">
        <a:xfrm>
          <a:off x="0" y="8724900"/>
          <a:ext cx="2028825" cy="352425"/>
        </a:xfrm>
        <a:prstGeom prst="line">
          <a:avLst/>
        </a:prstGeom>
        <a:noFill/>
        <a:ln w="317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0</xdr:colOff>
      <xdr:row>14</xdr:row>
      <xdr:rowOff>0</xdr:rowOff>
    </xdr:from>
    <xdr:to>
      <xdr:col>0</xdr:col>
      <xdr:colOff>0</xdr:colOff>
      <xdr:row>14</xdr:row>
      <xdr:rowOff>0</xdr:rowOff>
    </xdr:to>
    <xdr:pic>
      <xdr:nvPicPr>
        <xdr:cNvPr id="29135221" name="Picture 3" descr="LOG">
          <a:extLst>
            <a:ext uri="{FF2B5EF4-FFF2-40B4-BE49-F238E27FC236}">
              <a16:creationId xmlns:a16="http://schemas.microsoft.com/office/drawing/2014/main" id="{00000000-0008-0000-0C00-00007591BC0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33242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34</xdr:row>
      <xdr:rowOff>9525</xdr:rowOff>
    </xdr:from>
    <xdr:to>
      <xdr:col>1</xdr:col>
      <xdr:colOff>0</xdr:colOff>
      <xdr:row>35</xdr:row>
      <xdr:rowOff>152400</xdr:rowOff>
    </xdr:to>
    <xdr:sp macro="" textlink="">
      <xdr:nvSpPr>
        <xdr:cNvPr id="29135222" name="Line 2">
          <a:extLst>
            <a:ext uri="{FF2B5EF4-FFF2-40B4-BE49-F238E27FC236}">
              <a16:creationId xmlns:a16="http://schemas.microsoft.com/office/drawing/2014/main" id="{00000000-0008-0000-0C00-00007691BC01}"/>
            </a:ext>
          </a:extLst>
        </xdr:cNvPr>
        <xdr:cNvSpPr>
          <a:spLocks noChangeShapeType="1"/>
        </xdr:cNvSpPr>
      </xdr:nvSpPr>
      <xdr:spPr bwMode="auto">
        <a:xfrm>
          <a:off x="0" y="8724900"/>
          <a:ext cx="2028825" cy="352425"/>
        </a:xfrm>
        <a:prstGeom prst="line">
          <a:avLst/>
        </a:prstGeom>
        <a:noFill/>
        <a:ln w="317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editAs="oneCell">
    <xdr:from>
      <xdr:col>0</xdr:col>
      <xdr:colOff>55566</xdr:colOff>
      <xdr:row>15</xdr:row>
      <xdr:rowOff>31752</xdr:rowOff>
    </xdr:from>
    <xdr:to>
      <xdr:col>115</xdr:col>
      <xdr:colOff>285750</xdr:colOff>
      <xdr:row>32</xdr:row>
      <xdr:rowOff>246063</xdr:rowOff>
    </xdr:to>
    <xdr:pic>
      <xdr:nvPicPr>
        <xdr:cNvPr id="7" name="Imagen 6"/>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5566" y="3548065"/>
          <a:ext cx="8905872" cy="49371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558313</xdr:colOff>
      <xdr:row>29</xdr:row>
      <xdr:rowOff>76689</xdr:rowOff>
    </xdr:from>
    <xdr:ext cx="264560" cy="793807"/>
    <xdr:sp macro="" textlink="">
      <xdr:nvSpPr>
        <xdr:cNvPr id="2" name="CuadroTexto 1"/>
        <xdr:cNvSpPr txBox="1"/>
      </xdr:nvSpPr>
      <xdr:spPr>
        <a:xfrm rot="16200000">
          <a:off x="293689" y="7747001"/>
          <a:ext cx="793807"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t>PR 1+0000</a:t>
          </a:r>
        </a:p>
      </xdr:txBody>
    </xdr:sp>
    <xdr:clientData/>
  </xdr:oneCellAnchor>
  <xdr:oneCellAnchor>
    <xdr:from>
      <xdr:col>115</xdr:col>
      <xdr:colOff>83649</xdr:colOff>
      <xdr:row>16</xdr:row>
      <xdr:rowOff>95591</xdr:rowOff>
    </xdr:from>
    <xdr:ext cx="264560" cy="870303"/>
    <xdr:sp macro="" textlink="">
      <xdr:nvSpPr>
        <xdr:cNvPr id="8" name="CuadroTexto 7"/>
        <xdr:cNvSpPr txBox="1"/>
      </xdr:nvSpPr>
      <xdr:spPr>
        <a:xfrm rot="16200000">
          <a:off x="8456465" y="4192588"/>
          <a:ext cx="870303"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t>PR 47+0514</a:t>
          </a:r>
        </a:p>
      </xdr:txBody>
    </xdr:sp>
    <xdr:clientData/>
  </xdr:oneCellAnchor>
  <xdr:oneCellAnchor>
    <xdr:from>
      <xdr:col>95</xdr:col>
      <xdr:colOff>23807</xdr:colOff>
      <xdr:row>20</xdr:row>
      <xdr:rowOff>39689</xdr:rowOff>
    </xdr:from>
    <xdr:ext cx="1440907" cy="264560"/>
    <xdr:sp macro="" textlink="">
      <xdr:nvSpPr>
        <xdr:cNvPr id="3" name="CuadroTexto 2"/>
        <xdr:cNvSpPr txBox="1"/>
      </xdr:nvSpPr>
      <xdr:spPr>
        <a:xfrm>
          <a:off x="5786432" y="4945064"/>
          <a:ext cx="1440907"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t>PR 41+0000 -POCARA</a:t>
          </a:r>
        </a:p>
      </xdr:txBody>
    </xdr:sp>
    <xdr:clientData/>
  </xdr:oneCellAnchor>
  <xdr:twoCellAnchor>
    <xdr:from>
      <xdr:col>105</xdr:col>
      <xdr:colOff>4208</xdr:colOff>
      <xdr:row>20</xdr:row>
      <xdr:rowOff>166689</xdr:rowOff>
    </xdr:from>
    <xdr:to>
      <xdr:col>106</xdr:col>
      <xdr:colOff>63494</xdr:colOff>
      <xdr:row>20</xdr:row>
      <xdr:rowOff>179907</xdr:rowOff>
    </xdr:to>
    <xdr:cxnSp macro="">
      <xdr:nvCxnSpPr>
        <xdr:cNvPr id="5" name="Conector recto de flecha 4"/>
        <xdr:cNvCxnSpPr/>
      </xdr:nvCxnSpPr>
      <xdr:spPr bwMode="auto">
        <a:xfrm flipV="1">
          <a:off x="7140021" y="5072064"/>
          <a:ext cx="202161" cy="13218"/>
        </a:xfrm>
        <a:prstGeom prst="straightConnector1">
          <a:avLst/>
        </a:prstGeom>
        <a:ln w="12700">
          <a:headEnd type="none" w="med" len="med"/>
          <a:tailEnd type="triangle"/>
        </a:ln>
      </xdr:spPr>
      <xdr:style>
        <a:lnRef idx="1">
          <a:schemeClr val="dk1"/>
        </a:lnRef>
        <a:fillRef idx="0">
          <a:schemeClr val="dk1"/>
        </a:fillRef>
        <a:effectRef idx="0">
          <a:schemeClr val="dk1"/>
        </a:effectRef>
        <a:fontRef idx="minor">
          <a:schemeClr val="tx1"/>
        </a:fontRef>
      </xdr:style>
    </xdr:cxnSp>
    <xdr:clientData/>
  </xdr:twoCellAnchor>
  <xdr:oneCellAnchor>
    <xdr:from>
      <xdr:col>37</xdr:col>
      <xdr:colOff>9520</xdr:colOff>
      <xdr:row>24</xdr:row>
      <xdr:rowOff>152402</xdr:rowOff>
    </xdr:from>
    <xdr:ext cx="945387" cy="264560"/>
    <xdr:sp macro="" textlink="">
      <xdr:nvSpPr>
        <xdr:cNvPr id="12" name="CuadroTexto 11"/>
        <xdr:cNvSpPr txBox="1"/>
      </xdr:nvSpPr>
      <xdr:spPr>
        <a:xfrm>
          <a:off x="3470270" y="6169027"/>
          <a:ext cx="945387"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t>PR 27+0000 -</a:t>
          </a:r>
        </a:p>
      </xdr:txBody>
    </xdr:sp>
    <xdr:clientData/>
  </xdr:oneCellAnchor>
</xdr:wsDr>
</file>

<file path=xl/drawings/drawing11.xml><?xml version="1.0" encoding="utf-8"?>
<xdr:wsDr xmlns:xdr="http://schemas.openxmlformats.org/drawingml/2006/spreadsheetDrawing" xmlns:a="http://schemas.openxmlformats.org/drawingml/2006/main">
  <xdr:twoCellAnchor>
    <xdr:from>
      <xdr:col>0</xdr:col>
      <xdr:colOff>0</xdr:colOff>
      <xdr:row>34</xdr:row>
      <xdr:rowOff>0</xdr:rowOff>
    </xdr:from>
    <xdr:to>
      <xdr:col>1</xdr:col>
      <xdr:colOff>9525</xdr:colOff>
      <xdr:row>35</xdr:row>
      <xdr:rowOff>190500</xdr:rowOff>
    </xdr:to>
    <xdr:sp macro="" textlink="">
      <xdr:nvSpPr>
        <xdr:cNvPr id="29136244" name="Line 2">
          <a:extLst>
            <a:ext uri="{FF2B5EF4-FFF2-40B4-BE49-F238E27FC236}">
              <a16:creationId xmlns:a16="http://schemas.microsoft.com/office/drawing/2014/main" id="{00000000-0008-0000-0D00-00007495BC01}"/>
            </a:ext>
          </a:extLst>
        </xdr:cNvPr>
        <xdr:cNvSpPr>
          <a:spLocks noChangeShapeType="1"/>
        </xdr:cNvSpPr>
      </xdr:nvSpPr>
      <xdr:spPr bwMode="auto">
        <a:xfrm>
          <a:off x="0" y="8629650"/>
          <a:ext cx="1562100" cy="40005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80</xdr:col>
      <xdr:colOff>19050</xdr:colOff>
      <xdr:row>89</xdr:row>
      <xdr:rowOff>19050</xdr:rowOff>
    </xdr:from>
    <xdr:to>
      <xdr:col>80</xdr:col>
      <xdr:colOff>19050</xdr:colOff>
      <xdr:row>90</xdr:row>
      <xdr:rowOff>180975</xdr:rowOff>
    </xdr:to>
    <xdr:sp macro="" textlink="">
      <xdr:nvSpPr>
        <xdr:cNvPr id="29136245" name="Line 7">
          <a:extLst>
            <a:ext uri="{FF2B5EF4-FFF2-40B4-BE49-F238E27FC236}">
              <a16:creationId xmlns:a16="http://schemas.microsoft.com/office/drawing/2014/main" id="{00000000-0008-0000-0D00-00007595BC01}"/>
            </a:ext>
          </a:extLst>
        </xdr:cNvPr>
        <xdr:cNvSpPr>
          <a:spLocks noChangeShapeType="1"/>
        </xdr:cNvSpPr>
      </xdr:nvSpPr>
      <xdr:spPr bwMode="auto">
        <a:xfrm>
          <a:off x="5324475" y="17354550"/>
          <a:ext cx="0" cy="352425"/>
        </a:xfrm>
        <a:prstGeom prst="line">
          <a:avLst/>
        </a:prstGeom>
        <a:noFill/>
        <a:ln w="57150">
          <a:solidFill>
            <a:srgbClr val="8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0</xdr:colOff>
      <xdr:row>34</xdr:row>
      <xdr:rowOff>0</xdr:rowOff>
    </xdr:from>
    <xdr:to>
      <xdr:col>1</xdr:col>
      <xdr:colOff>9525</xdr:colOff>
      <xdr:row>35</xdr:row>
      <xdr:rowOff>190500</xdr:rowOff>
    </xdr:to>
    <xdr:sp macro="" textlink="">
      <xdr:nvSpPr>
        <xdr:cNvPr id="29136246" name="Line 2">
          <a:extLst>
            <a:ext uri="{FF2B5EF4-FFF2-40B4-BE49-F238E27FC236}">
              <a16:creationId xmlns:a16="http://schemas.microsoft.com/office/drawing/2014/main" id="{00000000-0008-0000-0D00-00007695BC01}"/>
            </a:ext>
          </a:extLst>
        </xdr:cNvPr>
        <xdr:cNvSpPr>
          <a:spLocks noChangeShapeType="1"/>
        </xdr:cNvSpPr>
      </xdr:nvSpPr>
      <xdr:spPr bwMode="auto">
        <a:xfrm>
          <a:off x="0" y="8629650"/>
          <a:ext cx="1562100" cy="40005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editAs="oneCell">
    <xdr:from>
      <xdr:col>0</xdr:col>
      <xdr:colOff>40054</xdr:colOff>
      <xdr:row>16</xdr:row>
      <xdr:rowOff>36635</xdr:rowOff>
    </xdr:from>
    <xdr:to>
      <xdr:col>100</xdr:col>
      <xdr:colOff>102576</xdr:colOff>
      <xdr:row>32</xdr:row>
      <xdr:rowOff>256442</xdr:rowOff>
    </xdr:to>
    <xdr:pic>
      <xdr:nvPicPr>
        <xdr:cNvPr id="7" name="Imagen 6"/>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0054" y="3758712"/>
          <a:ext cx="8488484" cy="46745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117231</xdr:colOff>
      <xdr:row>30</xdr:row>
      <xdr:rowOff>161193</xdr:rowOff>
    </xdr:from>
    <xdr:ext cx="793807" cy="264560"/>
    <xdr:sp macro="" textlink="">
      <xdr:nvSpPr>
        <xdr:cNvPr id="2" name="CuadroTexto 1"/>
        <xdr:cNvSpPr txBox="1"/>
      </xdr:nvSpPr>
      <xdr:spPr>
        <a:xfrm rot="19790540">
          <a:off x="117231" y="7781193"/>
          <a:ext cx="793807"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t>PR 0+0000</a:t>
          </a:r>
        </a:p>
      </xdr:txBody>
    </xdr:sp>
    <xdr:clientData/>
  </xdr:oneCellAnchor>
  <xdr:oneCellAnchor>
    <xdr:from>
      <xdr:col>63</xdr:col>
      <xdr:colOff>17372</xdr:colOff>
      <xdr:row>27</xdr:row>
      <xdr:rowOff>198094</xdr:rowOff>
    </xdr:from>
    <xdr:ext cx="2593210" cy="233205"/>
    <xdr:sp macro="" textlink="">
      <xdr:nvSpPr>
        <xdr:cNvPr id="8" name="CuadroTexto 7"/>
        <xdr:cNvSpPr txBox="1"/>
      </xdr:nvSpPr>
      <xdr:spPr>
        <a:xfrm rot="1593927">
          <a:off x="4735910" y="6982825"/>
          <a:ext cx="2593210" cy="233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900" b="1"/>
            <a:t>PR 20+0000 -CORREGIMIENTO CUCUANA</a:t>
          </a:r>
        </a:p>
      </xdr:txBody>
    </xdr:sp>
    <xdr:clientData/>
  </xdr:oneCellAnchor>
  <xdr:twoCellAnchor>
    <xdr:from>
      <xdr:col>63</xdr:col>
      <xdr:colOff>7328</xdr:colOff>
      <xdr:row>25</xdr:row>
      <xdr:rowOff>234461</xdr:rowOff>
    </xdr:from>
    <xdr:to>
      <xdr:col>67</xdr:col>
      <xdr:colOff>0</xdr:colOff>
      <xdr:row>26</xdr:row>
      <xdr:rowOff>43961</xdr:rowOff>
    </xdr:to>
    <xdr:cxnSp macro="">
      <xdr:nvCxnSpPr>
        <xdr:cNvPr id="4" name="Conector recto de flecha 3"/>
        <xdr:cNvCxnSpPr/>
      </xdr:nvCxnSpPr>
      <xdr:spPr bwMode="auto">
        <a:xfrm>
          <a:off x="4725866" y="6462346"/>
          <a:ext cx="197826" cy="87923"/>
        </a:xfrm>
        <a:prstGeom prst="straightConnector1">
          <a:avLst/>
        </a:prstGeom>
        <a:ln w="12700">
          <a:headEnd type="none" w="med" len="med"/>
          <a:tailEnd type="triangle"/>
        </a:ln>
      </xdr:spPr>
      <xdr:style>
        <a:lnRef idx="1">
          <a:schemeClr val="dk1"/>
        </a:lnRef>
        <a:fillRef idx="0">
          <a:schemeClr val="dk1"/>
        </a:fillRef>
        <a:effectRef idx="0">
          <a:schemeClr val="dk1"/>
        </a:effectRef>
        <a:fontRef idx="minor">
          <a:schemeClr val="tx1"/>
        </a:fontRef>
      </xdr:style>
    </xdr:cxnSp>
    <xdr:clientData/>
  </xdr:twoCellAnchor>
  <xdr:oneCellAnchor>
    <xdr:from>
      <xdr:col>34</xdr:col>
      <xdr:colOff>37887</xdr:colOff>
      <xdr:row>28</xdr:row>
      <xdr:rowOff>277225</xdr:rowOff>
    </xdr:from>
    <xdr:ext cx="2593210" cy="233205"/>
    <xdr:sp macro="" textlink="">
      <xdr:nvSpPr>
        <xdr:cNvPr id="11" name="CuadroTexto 10"/>
        <xdr:cNvSpPr txBox="1"/>
      </xdr:nvSpPr>
      <xdr:spPr>
        <a:xfrm rot="1593927">
          <a:off x="3269060" y="7340379"/>
          <a:ext cx="2593210" cy="233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900" b="1"/>
            <a:t>PR 15+0000 -ALTO DE LOS BIZCOCHOS</a:t>
          </a:r>
        </a:p>
      </xdr:txBody>
    </xdr:sp>
    <xdr:clientData/>
  </xdr:oneCellAnchor>
  <xdr:twoCellAnchor>
    <xdr:from>
      <xdr:col>34</xdr:col>
      <xdr:colOff>20516</xdr:colOff>
      <xdr:row>27</xdr:row>
      <xdr:rowOff>20515</xdr:rowOff>
    </xdr:from>
    <xdr:to>
      <xdr:col>38</xdr:col>
      <xdr:colOff>13188</xdr:colOff>
      <xdr:row>27</xdr:row>
      <xdr:rowOff>108438</xdr:rowOff>
    </xdr:to>
    <xdr:cxnSp macro="">
      <xdr:nvCxnSpPr>
        <xdr:cNvPr id="12" name="Conector recto de flecha 11"/>
        <xdr:cNvCxnSpPr/>
      </xdr:nvCxnSpPr>
      <xdr:spPr bwMode="auto">
        <a:xfrm>
          <a:off x="3251689" y="6805246"/>
          <a:ext cx="197826" cy="87923"/>
        </a:xfrm>
        <a:prstGeom prst="straightConnector1">
          <a:avLst/>
        </a:prstGeom>
        <a:ln w="12700">
          <a:headEnd type="none" w="med" len="med"/>
          <a:tailEnd type="triangle"/>
        </a:ln>
      </xdr:spPr>
      <xdr:style>
        <a:lnRef idx="1">
          <a:schemeClr val="dk1"/>
        </a:lnRef>
        <a:fillRef idx="0">
          <a:schemeClr val="dk1"/>
        </a:fillRef>
        <a:effectRef idx="0">
          <a:schemeClr val="dk1"/>
        </a:effectRef>
        <a:fontRef idx="minor">
          <a:schemeClr val="tx1"/>
        </a:fontRef>
      </xdr:style>
    </xdr:cxnSp>
    <xdr:clientData/>
  </xdr:twoCellAnchor>
  <xdr:oneCellAnchor>
    <xdr:from>
      <xdr:col>94</xdr:col>
      <xdr:colOff>113265</xdr:colOff>
      <xdr:row>19</xdr:row>
      <xdr:rowOff>137748</xdr:rowOff>
    </xdr:from>
    <xdr:ext cx="798808" cy="264560"/>
    <xdr:sp macro="" textlink="">
      <xdr:nvSpPr>
        <xdr:cNvPr id="13" name="CuadroTexto 12"/>
        <xdr:cNvSpPr txBox="1"/>
      </xdr:nvSpPr>
      <xdr:spPr>
        <a:xfrm rot="19790540">
          <a:off x="7659996" y="4695094"/>
          <a:ext cx="798808"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t>PR 36+253</a:t>
          </a:r>
        </a:p>
      </xdr:txBody>
    </xdr:sp>
    <xdr:clientData/>
  </xdr:oneCellAnchor>
</xdr:wsDr>
</file>

<file path=xl/drawings/drawing12.xml><?xml version="1.0" encoding="utf-8"?>
<xdr:wsDr xmlns:xdr="http://schemas.openxmlformats.org/drawingml/2006/spreadsheetDrawing" xmlns:a="http://schemas.openxmlformats.org/drawingml/2006/main">
  <xdr:twoCellAnchor>
    <xdr:from>
      <xdr:col>0</xdr:col>
      <xdr:colOff>0</xdr:colOff>
      <xdr:row>31</xdr:row>
      <xdr:rowOff>0</xdr:rowOff>
    </xdr:from>
    <xdr:to>
      <xdr:col>1</xdr:col>
      <xdr:colOff>9525</xdr:colOff>
      <xdr:row>32</xdr:row>
      <xdr:rowOff>190500</xdr:rowOff>
    </xdr:to>
    <xdr:sp macro="" textlink="">
      <xdr:nvSpPr>
        <xdr:cNvPr id="29137175" name="Line 2">
          <a:extLst>
            <a:ext uri="{FF2B5EF4-FFF2-40B4-BE49-F238E27FC236}">
              <a16:creationId xmlns:a16="http://schemas.microsoft.com/office/drawing/2014/main" id="{00000000-0008-0000-0E00-00001799BC01}"/>
            </a:ext>
          </a:extLst>
        </xdr:cNvPr>
        <xdr:cNvSpPr>
          <a:spLocks noChangeShapeType="1"/>
        </xdr:cNvSpPr>
      </xdr:nvSpPr>
      <xdr:spPr bwMode="auto">
        <a:xfrm>
          <a:off x="0" y="8077200"/>
          <a:ext cx="1885950" cy="40005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editAs="oneCell">
    <xdr:from>
      <xdr:col>0</xdr:col>
      <xdr:colOff>0</xdr:colOff>
      <xdr:row>0</xdr:row>
      <xdr:rowOff>0</xdr:rowOff>
    </xdr:from>
    <xdr:to>
      <xdr:col>0</xdr:col>
      <xdr:colOff>66675</xdr:colOff>
      <xdr:row>0</xdr:row>
      <xdr:rowOff>57150</xdr:rowOff>
    </xdr:to>
    <xdr:pic>
      <xdr:nvPicPr>
        <xdr:cNvPr id="29137176" name="Picture 1202">
          <a:extLst>
            <a:ext uri="{FF2B5EF4-FFF2-40B4-BE49-F238E27FC236}">
              <a16:creationId xmlns:a16="http://schemas.microsoft.com/office/drawing/2014/main" id="{00000000-0008-0000-0E00-00001899BC01}"/>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0"/>
          <a:ext cx="66675"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60613</xdr:colOff>
      <xdr:row>12</xdr:row>
      <xdr:rowOff>51954</xdr:rowOff>
    </xdr:from>
    <xdr:to>
      <xdr:col>100</xdr:col>
      <xdr:colOff>112568</xdr:colOff>
      <xdr:row>29</xdr:row>
      <xdr:rowOff>216477</xdr:rowOff>
    </xdr:to>
    <xdr:pic>
      <xdr:nvPicPr>
        <xdr:cNvPr id="5" name="Imagen 4"/>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613" y="2952749"/>
          <a:ext cx="8866910" cy="48750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5</xdr:col>
      <xdr:colOff>17319</xdr:colOff>
      <xdr:row>28</xdr:row>
      <xdr:rowOff>43296</xdr:rowOff>
    </xdr:from>
    <xdr:ext cx="932435" cy="280205"/>
    <xdr:sp macro="" textlink="">
      <xdr:nvSpPr>
        <xdr:cNvPr id="2" name="CuadroTexto 1"/>
        <xdr:cNvSpPr txBox="1"/>
      </xdr:nvSpPr>
      <xdr:spPr>
        <a:xfrm>
          <a:off x="2086842" y="7377546"/>
          <a:ext cx="932435" cy="280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200" b="1"/>
            <a:t>PR 24+0060</a:t>
          </a:r>
        </a:p>
      </xdr:txBody>
    </xdr:sp>
    <xdr:clientData/>
  </xdr:oneCellAnchor>
  <xdr:oneCellAnchor>
    <xdr:from>
      <xdr:col>64</xdr:col>
      <xdr:colOff>31172</xdr:colOff>
      <xdr:row>13</xdr:row>
      <xdr:rowOff>213014</xdr:rowOff>
    </xdr:from>
    <xdr:ext cx="932435" cy="280205"/>
    <xdr:sp macro="" textlink="">
      <xdr:nvSpPr>
        <xdr:cNvPr id="6" name="CuadroTexto 5"/>
        <xdr:cNvSpPr txBox="1"/>
      </xdr:nvSpPr>
      <xdr:spPr>
        <a:xfrm>
          <a:off x="5166013" y="3390900"/>
          <a:ext cx="932435" cy="280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200" b="1"/>
            <a:t>PR 27+1130</a:t>
          </a:r>
        </a:p>
      </xdr:txBody>
    </xdr:sp>
    <xdr:clientData/>
  </xdr:oneCellAnchor>
  <xdr:twoCellAnchor>
    <xdr:from>
      <xdr:col>22</xdr:col>
      <xdr:colOff>8659</xdr:colOff>
      <xdr:row>27</xdr:row>
      <xdr:rowOff>8659</xdr:rowOff>
    </xdr:from>
    <xdr:to>
      <xdr:col>26</xdr:col>
      <xdr:colOff>43296</xdr:colOff>
      <xdr:row>28</xdr:row>
      <xdr:rowOff>69273</xdr:rowOff>
    </xdr:to>
    <xdr:cxnSp macro="">
      <xdr:nvCxnSpPr>
        <xdr:cNvPr id="4" name="Conector recto de flecha 3"/>
        <xdr:cNvCxnSpPr/>
      </xdr:nvCxnSpPr>
      <xdr:spPr bwMode="auto">
        <a:xfrm flipH="1">
          <a:off x="2961409" y="7065818"/>
          <a:ext cx="242455" cy="337705"/>
        </a:xfrm>
        <a:prstGeom prst="straightConnector1">
          <a:avLst/>
        </a:prstGeom>
        <a:ln>
          <a:headEnd type="none" w="med" len="med"/>
          <a:tailEnd type="triangle"/>
        </a:ln>
      </xdr:spPr>
      <xdr:style>
        <a:lnRef idx="1">
          <a:schemeClr val="dk1"/>
        </a:lnRef>
        <a:fillRef idx="0">
          <a:schemeClr val="dk1"/>
        </a:fillRef>
        <a:effectRef idx="0">
          <a:schemeClr val="dk1"/>
        </a:effectRef>
        <a:fontRef idx="minor">
          <a:schemeClr val="tx1"/>
        </a:fontRef>
      </xdr:style>
    </xdr:cxnSp>
    <xdr:clientData/>
  </xdr:twoCellAnchor>
  <xdr:oneCellAnchor>
    <xdr:from>
      <xdr:col>21</xdr:col>
      <xdr:colOff>17108</xdr:colOff>
      <xdr:row>26</xdr:row>
      <xdr:rowOff>110132</xdr:rowOff>
    </xdr:from>
    <xdr:ext cx="233205" cy="485967"/>
    <xdr:sp macro="" textlink="">
      <xdr:nvSpPr>
        <xdr:cNvPr id="9" name="CuadroTexto 8"/>
        <xdr:cNvSpPr txBox="1"/>
      </xdr:nvSpPr>
      <xdr:spPr>
        <a:xfrm rot="18133535">
          <a:off x="2791522" y="7016581"/>
          <a:ext cx="485967" cy="233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900" b="1"/>
            <a:t>NEIVA</a:t>
          </a:r>
        </a:p>
      </xdr:txBody>
    </xdr:sp>
    <xdr:clientData/>
  </xdr:oneCellAnchor>
  <xdr:oneCellAnchor>
    <xdr:from>
      <xdr:col>26</xdr:col>
      <xdr:colOff>8491</xdr:colOff>
      <xdr:row>23</xdr:row>
      <xdr:rowOff>33892</xdr:rowOff>
    </xdr:from>
    <xdr:ext cx="584584" cy="233205"/>
    <xdr:sp macro="" textlink="">
      <xdr:nvSpPr>
        <xdr:cNvPr id="10" name="CuadroTexto 9"/>
        <xdr:cNvSpPr txBox="1"/>
      </xdr:nvSpPr>
      <xdr:spPr>
        <a:xfrm rot="1930112">
          <a:off x="3169059" y="5982687"/>
          <a:ext cx="584584" cy="233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900" b="1"/>
            <a:t>ORTEGA</a:t>
          </a:r>
        </a:p>
      </xdr:txBody>
    </xdr:sp>
    <xdr:clientData/>
  </xdr:oneCellAnchor>
  <xdr:twoCellAnchor>
    <xdr:from>
      <xdr:col>26</xdr:col>
      <xdr:colOff>34638</xdr:colOff>
      <xdr:row>23</xdr:row>
      <xdr:rowOff>121228</xdr:rowOff>
    </xdr:from>
    <xdr:to>
      <xdr:col>32</xdr:col>
      <xdr:colOff>8660</xdr:colOff>
      <xdr:row>24</xdr:row>
      <xdr:rowOff>34637</xdr:rowOff>
    </xdr:to>
    <xdr:cxnSp macro="">
      <xdr:nvCxnSpPr>
        <xdr:cNvPr id="8" name="Conector recto de flecha 7"/>
        <xdr:cNvCxnSpPr/>
      </xdr:nvCxnSpPr>
      <xdr:spPr bwMode="auto">
        <a:xfrm flipH="1" flipV="1">
          <a:off x="3195206" y="6070023"/>
          <a:ext cx="285749" cy="190500"/>
        </a:xfrm>
        <a:prstGeom prst="straightConnector1">
          <a:avLst/>
        </a:prstGeom>
        <a:ln>
          <a:headEnd type="none" w="med" len="med"/>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83</xdr:col>
      <xdr:colOff>138546</xdr:colOff>
      <xdr:row>12</xdr:row>
      <xdr:rowOff>181841</xdr:rowOff>
    </xdr:from>
    <xdr:to>
      <xdr:col>86</xdr:col>
      <xdr:colOff>112568</xdr:colOff>
      <xdr:row>14</xdr:row>
      <xdr:rowOff>60615</xdr:rowOff>
    </xdr:to>
    <xdr:cxnSp macro="">
      <xdr:nvCxnSpPr>
        <xdr:cNvPr id="14" name="Conector recto de flecha 13"/>
        <xdr:cNvCxnSpPr/>
      </xdr:nvCxnSpPr>
      <xdr:spPr bwMode="auto">
        <a:xfrm flipV="1">
          <a:off x="6451023" y="3082636"/>
          <a:ext cx="415636" cy="432956"/>
        </a:xfrm>
        <a:prstGeom prst="straightConnector1">
          <a:avLst/>
        </a:prstGeom>
        <a:ln>
          <a:headEnd type="none" w="med" len="med"/>
          <a:tailEnd type="triangle"/>
        </a:ln>
      </xdr:spPr>
      <xdr:style>
        <a:lnRef idx="1">
          <a:schemeClr val="dk1"/>
        </a:lnRef>
        <a:fillRef idx="0">
          <a:schemeClr val="dk1"/>
        </a:fillRef>
        <a:effectRef idx="0">
          <a:schemeClr val="dk1"/>
        </a:effectRef>
        <a:fontRef idx="minor">
          <a:schemeClr val="tx1"/>
        </a:fontRef>
      </xdr:style>
    </xdr:cxnSp>
    <xdr:clientData/>
  </xdr:twoCellAnchor>
  <xdr:oneCellAnchor>
    <xdr:from>
      <xdr:col>85</xdr:col>
      <xdr:colOff>7533</xdr:colOff>
      <xdr:row>12</xdr:row>
      <xdr:rowOff>193469</xdr:rowOff>
    </xdr:from>
    <xdr:ext cx="233205" cy="582532"/>
    <xdr:sp macro="" textlink="">
      <xdr:nvSpPr>
        <xdr:cNvPr id="17" name="CuadroTexto 16"/>
        <xdr:cNvSpPr txBox="1"/>
      </xdr:nvSpPr>
      <xdr:spPr>
        <a:xfrm rot="18689865">
          <a:off x="6439756" y="3268927"/>
          <a:ext cx="582532" cy="233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900" b="1"/>
            <a:t>ESPINAL</a:t>
          </a:r>
        </a:p>
      </xdr:txBody>
    </xdr:sp>
    <xdr:clientData/>
  </xdr:oneCellAnchor>
</xdr:wsDr>
</file>

<file path=xl/drawings/drawing13.xml><?xml version="1.0" encoding="utf-8"?>
<xdr:wsDr xmlns:xdr="http://schemas.openxmlformats.org/drawingml/2006/spreadsheetDrawing" xmlns:a="http://schemas.openxmlformats.org/drawingml/2006/main">
  <xdr:twoCellAnchor>
    <xdr:from>
      <xdr:col>0</xdr:col>
      <xdr:colOff>0</xdr:colOff>
      <xdr:row>31</xdr:row>
      <xdr:rowOff>19050</xdr:rowOff>
    </xdr:from>
    <xdr:to>
      <xdr:col>1</xdr:col>
      <xdr:colOff>0</xdr:colOff>
      <xdr:row>32</xdr:row>
      <xdr:rowOff>238125</xdr:rowOff>
    </xdr:to>
    <xdr:sp macro="" textlink="">
      <xdr:nvSpPr>
        <xdr:cNvPr id="29138664" name="Line 2">
          <a:extLst>
            <a:ext uri="{FF2B5EF4-FFF2-40B4-BE49-F238E27FC236}">
              <a16:creationId xmlns:a16="http://schemas.microsoft.com/office/drawing/2014/main" id="{00000000-0008-0000-0F00-0000E89EBC01}"/>
            </a:ext>
          </a:extLst>
        </xdr:cNvPr>
        <xdr:cNvSpPr>
          <a:spLocks noChangeShapeType="1"/>
        </xdr:cNvSpPr>
      </xdr:nvSpPr>
      <xdr:spPr bwMode="auto">
        <a:xfrm>
          <a:off x="0" y="7962900"/>
          <a:ext cx="2047875" cy="371475"/>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120</xdr:col>
      <xdr:colOff>104775</xdr:colOff>
      <xdr:row>86</xdr:row>
      <xdr:rowOff>142875</xdr:rowOff>
    </xdr:from>
    <xdr:to>
      <xdr:col>121</xdr:col>
      <xdr:colOff>57150</xdr:colOff>
      <xdr:row>86</xdr:row>
      <xdr:rowOff>142875</xdr:rowOff>
    </xdr:to>
    <xdr:sp macro="" textlink="">
      <xdr:nvSpPr>
        <xdr:cNvPr id="29138665" name="Line 4">
          <a:extLst>
            <a:ext uri="{FF2B5EF4-FFF2-40B4-BE49-F238E27FC236}">
              <a16:creationId xmlns:a16="http://schemas.microsoft.com/office/drawing/2014/main" id="{00000000-0008-0000-0F00-0000E99EBC01}"/>
            </a:ext>
          </a:extLst>
        </xdr:cNvPr>
        <xdr:cNvSpPr>
          <a:spLocks noChangeShapeType="1"/>
        </xdr:cNvSpPr>
      </xdr:nvSpPr>
      <xdr:spPr bwMode="auto">
        <a:xfrm>
          <a:off x="8677275" y="16602075"/>
          <a:ext cx="95250" cy="0"/>
        </a:xfrm>
        <a:prstGeom prst="line">
          <a:avLst/>
        </a:prstGeom>
        <a:noFill/>
        <a:ln w="76200">
          <a:solidFill>
            <a:srgbClr val="FFFF00"/>
          </a:solidFill>
          <a:round/>
          <a:headEnd/>
          <a:tailEnd/>
        </a:ln>
        <a:extLst>
          <a:ext uri="{909E8E84-426E-40DD-AFC4-6F175D3DCCD1}">
            <a14:hiddenFill xmlns:a14="http://schemas.microsoft.com/office/drawing/2010/main">
              <a:noFill/>
            </a14:hiddenFill>
          </a:ext>
        </a:extLst>
      </xdr:spPr>
    </xdr:sp>
    <xdr:clientData/>
  </xdr:twoCellAnchor>
  <xdr:twoCellAnchor>
    <xdr:from>
      <xdr:col>119</xdr:col>
      <xdr:colOff>9525</xdr:colOff>
      <xdr:row>86</xdr:row>
      <xdr:rowOff>142875</xdr:rowOff>
    </xdr:from>
    <xdr:to>
      <xdr:col>119</xdr:col>
      <xdr:colOff>76200</xdr:colOff>
      <xdr:row>86</xdr:row>
      <xdr:rowOff>142875</xdr:rowOff>
    </xdr:to>
    <xdr:sp macro="" textlink="">
      <xdr:nvSpPr>
        <xdr:cNvPr id="29138666" name="Line 5">
          <a:extLst>
            <a:ext uri="{FF2B5EF4-FFF2-40B4-BE49-F238E27FC236}">
              <a16:creationId xmlns:a16="http://schemas.microsoft.com/office/drawing/2014/main" id="{00000000-0008-0000-0F00-0000EA9EBC01}"/>
            </a:ext>
          </a:extLst>
        </xdr:cNvPr>
        <xdr:cNvSpPr>
          <a:spLocks noChangeShapeType="1"/>
        </xdr:cNvSpPr>
      </xdr:nvSpPr>
      <xdr:spPr bwMode="auto">
        <a:xfrm>
          <a:off x="8439150" y="16602075"/>
          <a:ext cx="66675" cy="0"/>
        </a:xfrm>
        <a:prstGeom prst="line">
          <a:avLst/>
        </a:prstGeom>
        <a:noFill/>
        <a:ln w="76200">
          <a:solidFill>
            <a:srgbClr val="FFFF00"/>
          </a:solidFill>
          <a:round/>
          <a:headEnd/>
          <a:tailEnd/>
        </a:ln>
        <a:extLst>
          <a:ext uri="{909E8E84-426E-40DD-AFC4-6F175D3DCCD1}">
            <a14:hiddenFill xmlns:a14="http://schemas.microsoft.com/office/drawing/2010/main">
              <a:noFill/>
            </a14:hiddenFill>
          </a:ext>
        </a:extLst>
      </xdr:spPr>
    </xdr:sp>
    <xdr:clientData/>
  </xdr:twoCellAnchor>
  <xdr:twoCellAnchor>
    <xdr:from>
      <xdr:col>118</xdr:col>
      <xdr:colOff>47625</xdr:colOff>
      <xdr:row>90</xdr:row>
      <xdr:rowOff>47625</xdr:rowOff>
    </xdr:from>
    <xdr:to>
      <xdr:col>118</xdr:col>
      <xdr:colOff>114300</xdr:colOff>
      <xdr:row>90</xdr:row>
      <xdr:rowOff>47625</xdr:rowOff>
    </xdr:to>
    <xdr:sp macro="" textlink="">
      <xdr:nvSpPr>
        <xdr:cNvPr id="29138667" name="Line 6">
          <a:extLst>
            <a:ext uri="{FF2B5EF4-FFF2-40B4-BE49-F238E27FC236}">
              <a16:creationId xmlns:a16="http://schemas.microsoft.com/office/drawing/2014/main" id="{00000000-0008-0000-0F00-0000EB9EBC01}"/>
            </a:ext>
          </a:extLst>
        </xdr:cNvPr>
        <xdr:cNvSpPr>
          <a:spLocks noChangeShapeType="1"/>
        </xdr:cNvSpPr>
      </xdr:nvSpPr>
      <xdr:spPr bwMode="auto">
        <a:xfrm>
          <a:off x="8334375" y="17268825"/>
          <a:ext cx="66675" cy="0"/>
        </a:xfrm>
        <a:prstGeom prst="line">
          <a:avLst/>
        </a:prstGeom>
        <a:noFill/>
        <a:ln w="76200">
          <a:solidFill>
            <a:srgbClr val="FFFF00"/>
          </a:solidFill>
          <a:round/>
          <a:headEnd/>
          <a:tailEnd/>
        </a:ln>
        <a:extLst>
          <a:ext uri="{909E8E84-426E-40DD-AFC4-6F175D3DCCD1}">
            <a14:hiddenFill xmlns:a14="http://schemas.microsoft.com/office/drawing/2010/main">
              <a:noFill/>
            </a14:hiddenFill>
          </a:ext>
        </a:extLst>
      </xdr:spPr>
    </xdr:sp>
    <xdr:clientData/>
  </xdr:twoCellAnchor>
  <xdr:twoCellAnchor>
    <xdr:from>
      <xdr:col>118</xdr:col>
      <xdr:colOff>133350</xdr:colOff>
      <xdr:row>86</xdr:row>
      <xdr:rowOff>85725</xdr:rowOff>
    </xdr:from>
    <xdr:to>
      <xdr:col>119</xdr:col>
      <xdr:colOff>19050</xdr:colOff>
      <xdr:row>86</xdr:row>
      <xdr:rowOff>85725</xdr:rowOff>
    </xdr:to>
    <xdr:sp macro="" textlink="">
      <xdr:nvSpPr>
        <xdr:cNvPr id="29138668" name="Line 7">
          <a:extLst>
            <a:ext uri="{FF2B5EF4-FFF2-40B4-BE49-F238E27FC236}">
              <a16:creationId xmlns:a16="http://schemas.microsoft.com/office/drawing/2014/main" id="{00000000-0008-0000-0F00-0000EC9EBC01}"/>
            </a:ext>
          </a:extLst>
        </xdr:cNvPr>
        <xdr:cNvSpPr>
          <a:spLocks noChangeShapeType="1"/>
        </xdr:cNvSpPr>
      </xdr:nvSpPr>
      <xdr:spPr bwMode="auto">
        <a:xfrm>
          <a:off x="8420100" y="16544925"/>
          <a:ext cx="28575" cy="0"/>
        </a:xfrm>
        <a:prstGeom prst="line">
          <a:avLst/>
        </a:prstGeom>
        <a:noFill/>
        <a:ln w="76200">
          <a:solidFill>
            <a:srgbClr val="FFFF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0</xdr:colOff>
      <xdr:row>31</xdr:row>
      <xdr:rowOff>19050</xdr:rowOff>
    </xdr:from>
    <xdr:to>
      <xdr:col>1</xdr:col>
      <xdr:colOff>0</xdr:colOff>
      <xdr:row>32</xdr:row>
      <xdr:rowOff>238125</xdr:rowOff>
    </xdr:to>
    <xdr:sp macro="" textlink="">
      <xdr:nvSpPr>
        <xdr:cNvPr id="29138669" name="Line 2">
          <a:extLst>
            <a:ext uri="{FF2B5EF4-FFF2-40B4-BE49-F238E27FC236}">
              <a16:creationId xmlns:a16="http://schemas.microsoft.com/office/drawing/2014/main" id="{00000000-0008-0000-0F00-0000ED9EBC01}"/>
            </a:ext>
          </a:extLst>
        </xdr:cNvPr>
        <xdr:cNvSpPr>
          <a:spLocks noChangeShapeType="1"/>
        </xdr:cNvSpPr>
      </xdr:nvSpPr>
      <xdr:spPr bwMode="auto">
        <a:xfrm>
          <a:off x="0" y="7962900"/>
          <a:ext cx="2047875" cy="371475"/>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35326</xdr:colOff>
      <xdr:row>23</xdr:row>
      <xdr:rowOff>76969</xdr:rowOff>
    </xdr:from>
    <xdr:to>
      <xdr:col>39</xdr:col>
      <xdr:colOff>22954</xdr:colOff>
      <xdr:row>24</xdr:row>
      <xdr:rowOff>194733</xdr:rowOff>
    </xdr:to>
    <xdr:cxnSp macro="">
      <xdr:nvCxnSpPr>
        <xdr:cNvPr id="12" name="11 Conector recto de flecha">
          <a:extLst>
            <a:ext uri="{FF2B5EF4-FFF2-40B4-BE49-F238E27FC236}">
              <a16:creationId xmlns:a16="http://schemas.microsoft.com/office/drawing/2014/main" id="{00000000-0008-0000-0F00-00000C000000}"/>
            </a:ext>
          </a:extLst>
        </xdr:cNvPr>
        <xdr:cNvCxnSpPr/>
      </xdr:nvCxnSpPr>
      <xdr:spPr>
        <a:xfrm flipH="1">
          <a:off x="2247243" y="5855469"/>
          <a:ext cx="1839711" cy="392931"/>
        </a:xfrm>
        <a:prstGeom prst="straightConnector1">
          <a:avLst/>
        </a:prstGeom>
        <a:ln w="19050">
          <a:tailEnd type="arrow"/>
        </a:ln>
        <a:scene3d>
          <a:camera prst="orthographicFront">
            <a:rot lat="0" lon="0" rev="1800000"/>
          </a:camera>
          <a:lightRig rig="threePt" dir="t"/>
        </a:scene3d>
      </xdr:spPr>
      <xdr:style>
        <a:lnRef idx="1">
          <a:schemeClr val="dk1"/>
        </a:lnRef>
        <a:fillRef idx="0">
          <a:schemeClr val="dk1"/>
        </a:fillRef>
        <a:effectRef idx="0">
          <a:schemeClr val="dk1"/>
        </a:effectRef>
        <a:fontRef idx="minor">
          <a:schemeClr val="tx1"/>
        </a:fontRef>
      </xdr:style>
    </xdr:cxnSp>
    <xdr:clientData/>
  </xdr:twoCellAnchor>
  <xdr:twoCellAnchor editAs="oneCell">
    <xdr:from>
      <xdr:col>0</xdr:col>
      <xdr:colOff>0</xdr:colOff>
      <xdr:row>12</xdr:row>
      <xdr:rowOff>19050</xdr:rowOff>
    </xdr:from>
    <xdr:to>
      <xdr:col>130</xdr:col>
      <xdr:colOff>266700</xdr:colOff>
      <xdr:row>29</xdr:row>
      <xdr:rowOff>257175</xdr:rowOff>
    </xdr:to>
    <xdr:pic>
      <xdr:nvPicPr>
        <xdr:cNvPr id="29138671" name="Imagen 1">
          <a:extLst>
            <a:ext uri="{FF2B5EF4-FFF2-40B4-BE49-F238E27FC236}">
              <a16:creationId xmlns:a16="http://schemas.microsoft.com/office/drawing/2014/main" id="{00000000-0008-0000-0F00-0000EF9EBC0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l="33298" t="29277" r="28052" b="30675"/>
        <a:stretch>
          <a:fillRect/>
        </a:stretch>
      </xdr:blipFill>
      <xdr:spPr bwMode="auto">
        <a:xfrm>
          <a:off x="0" y="2781300"/>
          <a:ext cx="10267950" cy="493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38100</xdr:colOff>
      <xdr:row>26</xdr:row>
      <xdr:rowOff>238125</xdr:rowOff>
    </xdr:from>
    <xdr:to>
      <xdr:col>23</xdr:col>
      <xdr:colOff>9525</xdr:colOff>
      <xdr:row>28</xdr:row>
      <xdr:rowOff>152400</xdr:rowOff>
    </xdr:to>
    <xdr:cxnSp macro="">
      <xdr:nvCxnSpPr>
        <xdr:cNvPr id="3" name="Conector recto de flecha 2"/>
        <xdr:cNvCxnSpPr/>
      </xdr:nvCxnSpPr>
      <xdr:spPr bwMode="auto">
        <a:xfrm flipH="1">
          <a:off x="2562225" y="6867525"/>
          <a:ext cx="542925" cy="466725"/>
        </a:xfrm>
        <a:prstGeom prst="straightConnector1">
          <a:avLst/>
        </a:prstGeom>
        <a:ln w="19050">
          <a:headEnd type="none" w="med" len="med"/>
          <a:tailEnd type="triangle"/>
        </a:ln>
      </xdr:spPr>
      <xdr:style>
        <a:lnRef idx="1">
          <a:schemeClr val="dk1"/>
        </a:lnRef>
        <a:fillRef idx="0">
          <a:schemeClr val="dk1"/>
        </a:fillRef>
        <a:effectRef idx="0">
          <a:schemeClr val="dk1"/>
        </a:effectRef>
        <a:fontRef idx="minor">
          <a:schemeClr val="tx1"/>
        </a:fontRef>
      </xdr:style>
    </xdr:cxnSp>
    <xdr:clientData/>
  </xdr:twoCellAnchor>
  <xdr:oneCellAnchor>
    <xdr:from>
      <xdr:col>12</xdr:col>
      <xdr:colOff>19051</xdr:colOff>
      <xdr:row>27</xdr:row>
      <xdr:rowOff>123826</xdr:rowOff>
    </xdr:from>
    <xdr:ext cx="670825" cy="264560"/>
    <xdr:sp macro="" textlink="">
      <xdr:nvSpPr>
        <xdr:cNvPr id="4" name="CuadroTexto 3"/>
        <xdr:cNvSpPr txBox="1"/>
      </xdr:nvSpPr>
      <xdr:spPr>
        <a:xfrm rot="19121767">
          <a:off x="2590801" y="7029451"/>
          <a:ext cx="67082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t>GUAMO</a:t>
          </a:r>
        </a:p>
      </xdr:txBody>
    </xdr:sp>
    <xdr:clientData/>
  </xdr:oneCellAnchor>
  <xdr:twoCellAnchor>
    <xdr:from>
      <xdr:col>0</xdr:col>
      <xdr:colOff>85725</xdr:colOff>
      <xdr:row>14</xdr:row>
      <xdr:rowOff>95250</xdr:rowOff>
    </xdr:from>
    <xdr:to>
      <xdr:col>0</xdr:col>
      <xdr:colOff>561976</xdr:colOff>
      <xdr:row>15</xdr:row>
      <xdr:rowOff>0</xdr:rowOff>
    </xdr:to>
    <xdr:cxnSp macro="">
      <xdr:nvCxnSpPr>
        <xdr:cNvPr id="13" name="Conector recto de flecha 12"/>
        <xdr:cNvCxnSpPr/>
      </xdr:nvCxnSpPr>
      <xdr:spPr bwMode="auto">
        <a:xfrm flipH="1" flipV="1">
          <a:off x="85725" y="3409950"/>
          <a:ext cx="476251" cy="180975"/>
        </a:xfrm>
        <a:prstGeom prst="straightConnector1">
          <a:avLst/>
        </a:prstGeom>
        <a:ln w="19050">
          <a:headEnd type="none" w="med" len="med"/>
          <a:tailEnd type="triangle"/>
        </a:ln>
      </xdr:spPr>
      <xdr:style>
        <a:lnRef idx="1">
          <a:schemeClr val="dk1"/>
        </a:lnRef>
        <a:fillRef idx="0">
          <a:schemeClr val="dk1"/>
        </a:fillRef>
        <a:effectRef idx="0">
          <a:schemeClr val="dk1"/>
        </a:effectRef>
        <a:fontRef idx="minor">
          <a:schemeClr val="tx1"/>
        </a:fontRef>
      </xdr:style>
    </xdr:cxnSp>
    <xdr:clientData/>
  </xdr:twoCellAnchor>
  <xdr:oneCellAnchor>
    <xdr:from>
      <xdr:col>0</xdr:col>
      <xdr:colOff>114881</xdr:colOff>
      <xdr:row>13</xdr:row>
      <xdr:rowOff>262020</xdr:rowOff>
    </xdr:from>
    <xdr:ext cx="742734" cy="264560"/>
    <xdr:sp macro="" textlink="">
      <xdr:nvSpPr>
        <xdr:cNvPr id="16" name="CuadroTexto 15"/>
        <xdr:cNvSpPr txBox="1"/>
      </xdr:nvSpPr>
      <xdr:spPr>
        <a:xfrm rot="1285440">
          <a:off x="114881" y="3300495"/>
          <a:ext cx="742734"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100" b="1"/>
            <a:t>IBAGUE</a:t>
          </a:r>
        </a:p>
      </xdr:txBody>
    </xdr:sp>
    <xdr:clientData/>
  </xdr:oneCellAnchor>
  <xdr:twoCellAnchor>
    <xdr:from>
      <xdr:col>117</xdr:col>
      <xdr:colOff>133350</xdr:colOff>
      <xdr:row>13</xdr:row>
      <xdr:rowOff>47625</xdr:rowOff>
    </xdr:from>
    <xdr:to>
      <xdr:col>121</xdr:col>
      <xdr:colOff>47625</xdr:colOff>
      <xdr:row>14</xdr:row>
      <xdr:rowOff>257176</xdr:rowOff>
    </xdr:to>
    <xdr:cxnSp macro="">
      <xdr:nvCxnSpPr>
        <xdr:cNvPr id="17" name="Conector recto de flecha 16"/>
        <xdr:cNvCxnSpPr/>
      </xdr:nvCxnSpPr>
      <xdr:spPr bwMode="auto">
        <a:xfrm flipV="1">
          <a:off x="8277225" y="3086100"/>
          <a:ext cx="485775" cy="485776"/>
        </a:xfrm>
        <a:prstGeom prst="straightConnector1">
          <a:avLst/>
        </a:prstGeom>
        <a:ln w="19050">
          <a:headEnd type="none" w="med" len="med"/>
          <a:tailEnd type="triangle"/>
        </a:ln>
      </xdr:spPr>
      <xdr:style>
        <a:lnRef idx="1">
          <a:schemeClr val="dk1"/>
        </a:lnRef>
        <a:fillRef idx="0">
          <a:schemeClr val="dk1"/>
        </a:fillRef>
        <a:effectRef idx="0">
          <a:schemeClr val="dk1"/>
        </a:effectRef>
        <a:fontRef idx="minor">
          <a:schemeClr val="tx1"/>
        </a:fontRef>
      </xdr:style>
    </xdr:cxnSp>
    <xdr:clientData/>
  </xdr:twoCellAnchor>
  <xdr:oneCellAnchor>
    <xdr:from>
      <xdr:col>118</xdr:col>
      <xdr:colOff>15772</xdr:colOff>
      <xdr:row>13</xdr:row>
      <xdr:rowOff>171451</xdr:rowOff>
    </xdr:from>
    <xdr:ext cx="810735" cy="264560"/>
    <xdr:sp macro="" textlink="">
      <xdr:nvSpPr>
        <xdr:cNvPr id="20" name="CuadroTexto 19"/>
        <xdr:cNvSpPr txBox="1"/>
      </xdr:nvSpPr>
      <xdr:spPr>
        <a:xfrm rot="19121767">
          <a:off x="8302522" y="3209926"/>
          <a:ext cx="81073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t>GIRARDOT</a:t>
          </a:r>
        </a:p>
      </xdr:txBody>
    </xdr:sp>
    <xdr:clientData/>
  </xdr:oneCellAnchor>
</xdr:wsDr>
</file>

<file path=xl/drawings/drawing14.xml><?xml version="1.0" encoding="utf-8"?>
<xdr:wsDr xmlns:xdr="http://schemas.openxmlformats.org/drawingml/2006/spreadsheetDrawing" xmlns:a="http://schemas.openxmlformats.org/drawingml/2006/main">
  <xdr:twoCellAnchor>
    <xdr:from>
      <xdr:col>0</xdr:col>
      <xdr:colOff>0</xdr:colOff>
      <xdr:row>29</xdr:row>
      <xdr:rowOff>19050</xdr:rowOff>
    </xdr:from>
    <xdr:to>
      <xdr:col>1</xdr:col>
      <xdr:colOff>0</xdr:colOff>
      <xdr:row>30</xdr:row>
      <xdr:rowOff>238125</xdr:rowOff>
    </xdr:to>
    <xdr:sp macro="" textlink="">
      <xdr:nvSpPr>
        <xdr:cNvPr id="29139874" name="Line 1">
          <a:extLst>
            <a:ext uri="{FF2B5EF4-FFF2-40B4-BE49-F238E27FC236}">
              <a16:creationId xmlns:a16="http://schemas.microsoft.com/office/drawing/2014/main" id="{00000000-0008-0000-1000-0000A2A3BC01}"/>
            </a:ext>
          </a:extLst>
        </xdr:cNvPr>
        <xdr:cNvSpPr>
          <a:spLocks noChangeShapeType="1"/>
        </xdr:cNvSpPr>
      </xdr:nvSpPr>
      <xdr:spPr bwMode="auto">
        <a:xfrm>
          <a:off x="0" y="7715250"/>
          <a:ext cx="2181225" cy="352425"/>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933450</xdr:colOff>
      <xdr:row>20</xdr:row>
      <xdr:rowOff>9525</xdr:rowOff>
    </xdr:from>
    <xdr:to>
      <xdr:col>0</xdr:col>
      <xdr:colOff>2143125</xdr:colOff>
      <xdr:row>20</xdr:row>
      <xdr:rowOff>180975</xdr:rowOff>
    </xdr:to>
    <xdr:sp macro="" textlink="">
      <xdr:nvSpPr>
        <xdr:cNvPr id="29139875" name="Rectangle 3">
          <a:extLst>
            <a:ext uri="{FF2B5EF4-FFF2-40B4-BE49-F238E27FC236}">
              <a16:creationId xmlns:a16="http://schemas.microsoft.com/office/drawing/2014/main" id="{00000000-0008-0000-1000-0000A3A3BC01}"/>
            </a:ext>
          </a:extLst>
        </xdr:cNvPr>
        <xdr:cNvSpPr>
          <a:spLocks noChangeArrowheads="1"/>
        </xdr:cNvSpPr>
      </xdr:nvSpPr>
      <xdr:spPr bwMode="auto">
        <a:xfrm>
          <a:off x="933450" y="5286375"/>
          <a:ext cx="120967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49</xdr:col>
      <xdr:colOff>38100</xdr:colOff>
      <xdr:row>93</xdr:row>
      <xdr:rowOff>85725</xdr:rowOff>
    </xdr:from>
    <xdr:to>
      <xdr:col>97</xdr:col>
      <xdr:colOff>95250</xdr:colOff>
      <xdr:row>93</xdr:row>
      <xdr:rowOff>85725</xdr:rowOff>
    </xdr:to>
    <xdr:sp macro="" textlink="">
      <xdr:nvSpPr>
        <xdr:cNvPr id="29139877" name="Line 9">
          <a:extLst>
            <a:ext uri="{FF2B5EF4-FFF2-40B4-BE49-F238E27FC236}">
              <a16:creationId xmlns:a16="http://schemas.microsoft.com/office/drawing/2014/main" id="{00000000-0008-0000-1000-0000A5A3BC01}"/>
            </a:ext>
          </a:extLst>
        </xdr:cNvPr>
        <xdr:cNvSpPr>
          <a:spLocks noChangeShapeType="1"/>
        </xdr:cNvSpPr>
      </xdr:nvSpPr>
      <xdr:spPr bwMode="auto">
        <a:xfrm>
          <a:off x="4505325" y="17992725"/>
          <a:ext cx="4238625" cy="0"/>
        </a:xfrm>
        <a:prstGeom prst="line">
          <a:avLst/>
        </a:prstGeom>
        <a:noFill/>
        <a:ln w="57150">
          <a:solidFill>
            <a:srgbClr val="99CC00"/>
          </a:solidFill>
          <a:round/>
          <a:headEnd/>
          <a:tailEnd/>
        </a:ln>
        <a:extLst>
          <a:ext uri="{909E8E84-426E-40DD-AFC4-6F175D3DCCD1}">
            <a14:hiddenFill xmlns:a14="http://schemas.microsoft.com/office/drawing/2010/main">
              <a:noFill/>
            </a14:hiddenFill>
          </a:ext>
        </a:extLst>
      </xdr:spPr>
    </xdr:sp>
    <xdr:clientData/>
  </xdr:twoCellAnchor>
  <xdr:twoCellAnchor>
    <xdr:from>
      <xdr:col>54</xdr:col>
      <xdr:colOff>38100</xdr:colOff>
      <xdr:row>96</xdr:row>
      <xdr:rowOff>47625</xdr:rowOff>
    </xdr:from>
    <xdr:to>
      <xdr:col>98</xdr:col>
      <xdr:colOff>0</xdr:colOff>
      <xdr:row>96</xdr:row>
      <xdr:rowOff>47625</xdr:rowOff>
    </xdr:to>
    <xdr:sp macro="" textlink="">
      <xdr:nvSpPr>
        <xdr:cNvPr id="29139878" name="Line 10">
          <a:extLst>
            <a:ext uri="{FF2B5EF4-FFF2-40B4-BE49-F238E27FC236}">
              <a16:creationId xmlns:a16="http://schemas.microsoft.com/office/drawing/2014/main" id="{00000000-0008-0000-1000-0000A6A3BC01}"/>
            </a:ext>
          </a:extLst>
        </xdr:cNvPr>
        <xdr:cNvSpPr>
          <a:spLocks noChangeShapeType="1"/>
        </xdr:cNvSpPr>
      </xdr:nvSpPr>
      <xdr:spPr bwMode="auto">
        <a:xfrm>
          <a:off x="4743450" y="18526125"/>
          <a:ext cx="4105275" cy="0"/>
        </a:xfrm>
        <a:prstGeom prst="line">
          <a:avLst/>
        </a:prstGeom>
        <a:noFill/>
        <a:ln w="57150">
          <a:solidFill>
            <a:srgbClr val="99CC00"/>
          </a:solidFill>
          <a:round/>
          <a:headEnd/>
          <a:tailEnd/>
        </a:ln>
        <a:extLst>
          <a:ext uri="{909E8E84-426E-40DD-AFC4-6F175D3DCCD1}">
            <a14:hiddenFill xmlns:a14="http://schemas.microsoft.com/office/drawing/2010/main">
              <a:noFill/>
            </a14:hiddenFill>
          </a:ext>
        </a:extLst>
      </xdr:spPr>
    </xdr:sp>
    <xdr:clientData/>
  </xdr:twoCellAnchor>
  <xdr:twoCellAnchor>
    <xdr:from>
      <xdr:col>49</xdr:col>
      <xdr:colOff>38100</xdr:colOff>
      <xdr:row>98</xdr:row>
      <xdr:rowOff>142875</xdr:rowOff>
    </xdr:from>
    <xdr:to>
      <xdr:col>97</xdr:col>
      <xdr:colOff>95250</xdr:colOff>
      <xdr:row>98</xdr:row>
      <xdr:rowOff>142875</xdr:rowOff>
    </xdr:to>
    <xdr:sp macro="" textlink="">
      <xdr:nvSpPr>
        <xdr:cNvPr id="29139879" name="Line 11">
          <a:extLst>
            <a:ext uri="{FF2B5EF4-FFF2-40B4-BE49-F238E27FC236}">
              <a16:creationId xmlns:a16="http://schemas.microsoft.com/office/drawing/2014/main" id="{00000000-0008-0000-1000-0000A7A3BC01}"/>
            </a:ext>
          </a:extLst>
        </xdr:cNvPr>
        <xdr:cNvSpPr>
          <a:spLocks noChangeShapeType="1"/>
        </xdr:cNvSpPr>
      </xdr:nvSpPr>
      <xdr:spPr bwMode="auto">
        <a:xfrm>
          <a:off x="4505325" y="19002375"/>
          <a:ext cx="4238625" cy="0"/>
        </a:xfrm>
        <a:prstGeom prst="line">
          <a:avLst/>
        </a:prstGeom>
        <a:noFill/>
        <a:ln w="57150">
          <a:solidFill>
            <a:srgbClr val="008000"/>
          </a:solidFill>
          <a:round/>
          <a:headEnd/>
          <a:tailEnd/>
        </a:ln>
        <a:extLst>
          <a:ext uri="{909E8E84-426E-40DD-AFC4-6F175D3DCCD1}">
            <a14:hiddenFill xmlns:a14="http://schemas.microsoft.com/office/drawing/2010/main">
              <a:noFill/>
            </a14:hiddenFill>
          </a:ext>
        </a:extLst>
      </xdr:spPr>
    </xdr:sp>
    <xdr:clientData/>
  </xdr:twoCellAnchor>
  <xdr:twoCellAnchor>
    <xdr:from>
      <xdr:col>57</xdr:col>
      <xdr:colOff>38100</xdr:colOff>
      <xdr:row>97</xdr:row>
      <xdr:rowOff>38100</xdr:rowOff>
    </xdr:from>
    <xdr:to>
      <xdr:col>98</xdr:col>
      <xdr:colOff>333375</xdr:colOff>
      <xdr:row>97</xdr:row>
      <xdr:rowOff>38100</xdr:rowOff>
    </xdr:to>
    <xdr:sp macro="" textlink="">
      <xdr:nvSpPr>
        <xdr:cNvPr id="29139880" name="Line 12">
          <a:extLst>
            <a:ext uri="{FF2B5EF4-FFF2-40B4-BE49-F238E27FC236}">
              <a16:creationId xmlns:a16="http://schemas.microsoft.com/office/drawing/2014/main" id="{00000000-0008-0000-1000-0000A8A3BC01}"/>
            </a:ext>
          </a:extLst>
        </xdr:cNvPr>
        <xdr:cNvSpPr>
          <a:spLocks noChangeShapeType="1"/>
        </xdr:cNvSpPr>
      </xdr:nvSpPr>
      <xdr:spPr bwMode="auto">
        <a:xfrm>
          <a:off x="4886325" y="18707100"/>
          <a:ext cx="4295775" cy="0"/>
        </a:xfrm>
        <a:prstGeom prst="line">
          <a:avLst/>
        </a:prstGeom>
        <a:noFill/>
        <a:ln w="57150">
          <a:solidFill>
            <a:srgbClr val="008000"/>
          </a:solidFill>
          <a:round/>
          <a:headEnd/>
          <a:tailEnd/>
        </a:ln>
        <a:extLst>
          <a:ext uri="{909E8E84-426E-40DD-AFC4-6F175D3DCCD1}">
            <a14:hiddenFill xmlns:a14="http://schemas.microsoft.com/office/drawing/2010/main">
              <a:noFill/>
            </a14:hiddenFill>
          </a:ext>
        </a:extLst>
      </xdr:spPr>
    </xdr:sp>
    <xdr:clientData/>
  </xdr:twoCellAnchor>
  <xdr:twoCellAnchor>
    <xdr:from>
      <xdr:col>51</xdr:col>
      <xdr:colOff>38100</xdr:colOff>
      <xdr:row>98</xdr:row>
      <xdr:rowOff>142875</xdr:rowOff>
    </xdr:from>
    <xdr:to>
      <xdr:col>98</xdr:col>
      <xdr:colOff>47625</xdr:colOff>
      <xdr:row>98</xdr:row>
      <xdr:rowOff>142875</xdr:rowOff>
    </xdr:to>
    <xdr:sp macro="" textlink="">
      <xdr:nvSpPr>
        <xdr:cNvPr id="29139881" name="Line 13">
          <a:extLst>
            <a:ext uri="{FF2B5EF4-FFF2-40B4-BE49-F238E27FC236}">
              <a16:creationId xmlns:a16="http://schemas.microsoft.com/office/drawing/2014/main" id="{00000000-0008-0000-1000-0000A9A3BC01}"/>
            </a:ext>
          </a:extLst>
        </xdr:cNvPr>
        <xdr:cNvSpPr>
          <a:spLocks noChangeShapeType="1"/>
        </xdr:cNvSpPr>
      </xdr:nvSpPr>
      <xdr:spPr bwMode="auto">
        <a:xfrm>
          <a:off x="4600575" y="19002375"/>
          <a:ext cx="4295775" cy="0"/>
        </a:xfrm>
        <a:prstGeom prst="line">
          <a:avLst/>
        </a:prstGeom>
        <a:noFill/>
        <a:ln w="57150">
          <a:solidFill>
            <a:srgbClr val="008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0</xdr:colOff>
      <xdr:row>29</xdr:row>
      <xdr:rowOff>19050</xdr:rowOff>
    </xdr:from>
    <xdr:to>
      <xdr:col>1</xdr:col>
      <xdr:colOff>0</xdr:colOff>
      <xdr:row>30</xdr:row>
      <xdr:rowOff>238125</xdr:rowOff>
    </xdr:to>
    <xdr:sp macro="" textlink="">
      <xdr:nvSpPr>
        <xdr:cNvPr id="29139882" name="Line 1">
          <a:extLst>
            <a:ext uri="{FF2B5EF4-FFF2-40B4-BE49-F238E27FC236}">
              <a16:creationId xmlns:a16="http://schemas.microsoft.com/office/drawing/2014/main" id="{00000000-0008-0000-1000-0000AAA3BC01}"/>
            </a:ext>
          </a:extLst>
        </xdr:cNvPr>
        <xdr:cNvSpPr>
          <a:spLocks noChangeShapeType="1"/>
        </xdr:cNvSpPr>
      </xdr:nvSpPr>
      <xdr:spPr bwMode="auto">
        <a:xfrm>
          <a:off x="0" y="7715250"/>
          <a:ext cx="2181225" cy="352425"/>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editAs="oneCell">
    <xdr:from>
      <xdr:col>0</xdr:col>
      <xdr:colOff>38100</xdr:colOff>
      <xdr:row>10</xdr:row>
      <xdr:rowOff>47625</xdr:rowOff>
    </xdr:from>
    <xdr:to>
      <xdr:col>97</xdr:col>
      <xdr:colOff>161925</xdr:colOff>
      <xdr:row>27</xdr:row>
      <xdr:rowOff>238125</xdr:rowOff>
    </xdr:to>
    <xdr:pic>
      <xdr:nvPicPr>
        <xdr:cNvPr id="11" name="Imagen 10"/>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8100" y="2562225"/>
          <a:ext cx="8772525" cy="4886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445598</xdr:colOff>
      <xdr:row>12</xdr:row>
      <xdr:rowOff>230676</xdr:rowOff>
    </xdr:from>
    <xdr:ext cx="264560" cy="793807"/>
    <xdr:sp macro="" textlink="">
      <xdr:nvSpPr>
        <xdr:cNvPr id="2" name="CuadroTexto 1"/>
        <xdr:cNvSpPr txBox="1"/>
      </xdr:nvSpPr>
      <xdr:spPr>
        <a:xfrm rot="18336655">
          <a:off x="180974" y="3562350"/>
          <a:ext cx="793807"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t>PR 0+0000</a:t>
          </a:r>
        </a:p>
      </xdr:txBody>
    </xdr:sp>
    <xdr:clientData/>
  </xdr:oneCellAnchor>
</xdr:wsDr>
</file>

<file path=xl/drawings/drawing15.xml><?xml version="1.0" encoding="utf-8"?>
<xdr:wsDr xmlns:xdr="http://schemas.openxmlformats.org/drawingml/2006/spreadsheetDrawing" xmlns:a="http://schemas.openxmlformats.org/drawingml/2006/main">
  <xdr:twoCellAnchor>
    <xdr:from>
      <xdr:col>2</xdr:col>
      <xdr:colOff>95250</xdr:colOff>
      <xdr:row>14</xdr:row>
      <xdr:rowOff>0</xdr:rowOff>
    </xdr:from>
    <xdr:to>
      <xdr:col>2</xdr:col>
      <xdr:colOff>2057400</xdr:colOff>
      <xdr:row>14</xdr:row>
      <xdr:rowOff>0</xdr:rowOff>
    </xdr:to>
    <xdr:graphicFrame macro="">
      <xdr:nvGraphicFramePr>
        <xdr:cNvPr id="31647276" name="Chart 4">
          <a:extLst>
            <a:ext uri="{FF2B5EF4-FFF2-40B4-BE49-F238E27FC236}">
              <a16:creationId xmlns:a16="http://schemas.microsoft.com/office/drawing/2014/main" id="{00000000-0008-0000-1100-00002CE6E2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0</xdr:colOff>
      <xdr:row>49</xdr:row>
      <xdr:rowOff>0</xdr:rowOff>
    </xdr:from>
    <xdr:to>
      <xdr:col>2</xdr:col>
      <xdr:colOff>0</xdr:colOff>
      <xdr:row>49</xdr:row>
      <xdr:rowOff>0</xdr:rowOff>
    </xdr:to>
    <xdr:graphicFrame macro="">
      <xdr:nvGraphicFramePr>
        <xdr:cNvPr id="31647277" name="Chart 5">
          <a:extLst>
            <a:ext uri="{FF2B5EF4-FFF2-40B4-BE49-F238E27FC236}">
              <a16:creationId xmlns:a16="http://schemas.microsoft.com/office/drawing/2014/main" id="{00000000-0008-0000-1100-00002DE6E2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0</xdr:colOff>
      <xdr:row>14</xdr:row>
      <xdr:rowOff>0</xdr:rowOff>
    </xdr:from>
    <xdr:to>
      <xdr:col>2</xdr:col>
      <xdr:colOff>0</xdr:colOff>
      <xdr:row>14</xdr:row>
      <xdr:rowOff>0</xdr:rowOff>
    </xdr:to>
    <xdr:graphicFrame macro="">
      <xdr:nvGraphicFramePr>
        <xdr:cNvPr id="31647278" name="Chart 6">
          <a:extLst>
            <a:ext uri="{FF2B5EF4-FFF2-40B4-BE49-F238E27FC236}">
              <a16:creationId xmlns:a16="http://schemas.microsoft.com/office/drawing/2014/main" id="{00000000-0008-0000-1100-00002EE6E2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xdr:col>
      <xdr:colOff>123825</xdr:colOff>
      <xdr:row>49</xdr:row>
      <xdr:rowOff>0</xdr:rowOff>
    </xdr:from>
    <xdr:to>
      <xdr:col>2</xdr:col>
      <xdr:colOff>2057400</xdr:colOff>
      <xdr:row>49</xdr:row>
      <xdr:rowOff>0</xdr:rowOff>
    </xdr:to>
    <xdr:graphicFrame macro="">
      <xdr:nvGraphicFramePr>
        <xdr:cNvPr id="31647279" name="Chart 7">
          <a:extLst>
            <a:ext uri="{FF2B5EF4-FFF2-40B4-BE49-F238E27FC236}">
              <a16:creationId xmlns:a16="http://schemas.microsoft.com/office/drawing/2014/main" id="{00000000-0008-0000-1100-00002FE6E2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xdr:col>
      <xdr:colOff>0</xdr:colOff>
      <xdr:row>14</xdr:row>
      <xdr:rowOff>0</xdr:rowOff>
    </xdr:from>
    <xdr:to>
      <xdr:col>2</xdr:col>
      <xdr:colOff>0</xdr:colOff>
      <xdr:row>14</xdr:row>
      <xdr:rowOff>0</xdr:rowOff>
    </xdr:to>
    <xdr:graphicFrame macro="">
      <xdr:nvGraphicFramePr>
        <xdr:cNvPr id="31647280" name="Chart 10">
          <a:extLst>
            <a:ext uri="{FF2B5EF4-FFF2-40B4-BE49-F238E27FC236}">
              <a16:creationId xmlns:a16="http://schemas.microsoft.com/office/drawing/2014/main" id="{00000000-0008-0000-1100-000030E6E2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xdr:col>
      <xdr:colOff>0</xdr:colOff>
      <xdr:row>14</xdr:row>
      <xdr:rowOff>0</xdr:rowOff>
    </xdr:from>
    <xdr:to>
      <xdr:col>2</xdr:col>
      <xdr:colOff>2057400</xdr:colOff>
      <xdr:row>14</xdr:row>
      <xdr:rowOff>0</xdr:rowOff>
    </xdr:to>
    <xdr:graphicFrame macro="">
      <xdr:nvGraphicFramePr>
        <xdr:cNvPr id="31647281" name="Chart 11">
          <a:extLst>
            <a:ext uri="{FF2B5EF4-FFF2-40B4-BE49-F238E27FC236}">
              <a16:creationId xmlns:a16="http://schemas.microsoft.com/office/drawing/2014/main" id="{00000000-0008-0000-1100-000031E6E2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2</xdr:col>
      <xdr:colOff>95250</xdr:colOff>
      <xdr:row>14</xdr:row>
      <xdr:rowOff>0</xdr:rowOff>
    </xdr:from>
    <xdr:to>
      <xdr:col>2</xdr:col>
      <xdr:colOff>2057400</xdr:colOff>
      <xdr:row>14</xdr:row>
      <xdr:rowOff>0</xdr:rowOff>
    </xdr:to>
    <xdr:graphicFrame macro="">
      <xdr:nvGraphicFramePr>
        <xdr:cNvPr id="31647282" name="Chart 4">
          <a:extLst>
            <a:ext uri="{FF2B5EF4-FFF2-40B4-BE49-F238E27FC236}">
              <a16:creationId xmlns:a16="http://schemas.microsoft.com/office/drawing/2014/main" id="{00000000-0008-0000-1100-000032E6E2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xdr:col>
      <xdr:colOff>0</xdr:colOff>
      <xdr:row>49</xdr:row>
      <xdr:rowOff>0</xdr:rowOff>
    </xdr:from>
    <xdr:to>
      <xdr:col>2</xdr:col>
      <xdr:colOff>0</xdr:colOff>
      <xdr:row>49</xdr:row>
      <xdr:rowOff>0</xdr:rowOff>
    </xdr:to>
    <xdr:graphicFrame macro="">
      <xdr:nvGraphicFramePr>
        <xdr:cNvPr id="31647283" name="Chart 5">
          <a:extLst>
            <a:ext uri="{FF2B5EF4-FFF2-40B4-BE49-F238E27FC236}">
              <a16:creationId xmlns:a16="http://schemas.microsoft.com/office/drawing/2014/main" id="{00000000-0008-0000-1100-000033E6E2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1</xdr:col>
      <xdr:colOff>0</xdr:colOff>
      <xdr:row>14</xdr:row>
      <xdr:rowOff>0</xdr:rowOff>
    </xdr:from>
    <xdr:to>
      <xdr:col>2</xdr:col>
      <xdr:colOff>0</xdr:colOff>
      <xdr:row>14</xdr:row>
      <xdr:rowOff>0</xdr:rowOff>
    </xdr:to>
    <xdr:graphicFrame macro="">
      <xdr:nvGraphicFramePr>
        <xdr:cNvPr id="31647284" name="Chart 6">
          <a:extLst>
            <a:ext uri="{FF2B5EF4-FFF2-40B4-BE49-F238E27FC236}">
              <a16:creationId xmlns:a16="http://schemas.microsoft.com/office/drawing/2014/main" id="{00000000-0008-0000-1100-000034E6E2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2</xdr:col>
      <xdr:colOff>123825</xdr:colOff>
      <xdr:row>49</xdr:row>
      <xdr:rowOff>0</xdr:rowOff>
    </xdr:from>
    <xdr:to>
      <xdr:col>2</xdr:col>
      <xdr:colOff>2057400</xdr:colOff>
      <xdr:row>49</xdr:row>
      <xdr:rowOff>0</xdr:rowOff>
    </xdr:to>
    <xdr:graphicFrame macro="">
      <xdr:nvGraphicFramePr>
        <xdr:cNvPr id="31647285" name="Chart 7">
          <a:extLst>
            <a:ext uri="{FF2B5EF4-FFF2-40B4-BE49-F238E27FC236}">
              <a16:creationId xmlns:a16="http://schemas.microsoft.com/office/drawing/2014/main" id="{00000000-0008-0000-1100-000035E6E2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1</xdr:col>
      <xdr:colOff>0</xdr:colOff>
      <xdr:row>14</xdr:row>
      <xdr:rowOff>0</xdr:rowOff>
    </xdr:from>
    <xdr:to>
      <xdr:col>2</xdr:col>
      <xdr:colOff>0</xdr:colOff>
      <xdr:row>14</xdr:row>
      <xdr:rowOff>0</xdr:rowOff>
    </xdr:to>
    <xdr:graphicFrame macro="">
      <xdr:nvGraphicFramePr>
        <xdr:cNvPr id="31647286" name="Chart 10">
          <a:extLst>
            <a:ext uri="{FF2B5EF4-FFF2-40B4-BE49-F238E27FC236}">
              <a16:creationId xmlns:a16="http://schemas.microsoft.com/office/drawing/2014/main" id="{00000000-0008-0000-1100-000036E6E2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2</xdr:col>
      <xdr:colOff>0</xdr:colOff>
      <xdr:row>14</xdr:row>
      <xdr:rowOff>0</xdr:rowOff>
    </xdr:from>
    <xdr:to>
      <xdr:col>2</xdr:col>
      <xdr:colOff>2057400</xdr:colOff>
      <xdr:row>14</xdr:row>
      <xdr:rowOff>0</xdr:rowOff>
    </xdr:to>
    <xdr:graphicFrame macro="">
      <xdr:nvGraphicFramePr>
        <xdr:cNvPr id="31647287" name="Chart 11">
          <a:extLst>
            <a:ext uri="{FF2B5EF4-FFF2-40B4-BE49-F238E27FC236}">
              <a16:creationId xmlns:a16="http://schemas.microsoft.com/office/drawing/2014/main" id="{00000000-0008-0000-1100-000037E6E2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1</xdr:col>
      <xdr:colOff>0</xdr:colOff>
      <xdr:row>14</xdr:row>
      <xdr:rowOff>38100</xdr:rowOff>
    </xdr:from>
    <xdr:to>
      <xdr:col>1</xdr:col>
      <xdr:colOff>2019300</xdr:colOff>
      <xdr:row>20</xdr:row>
      <xdr:rowOff>142875</xdr:rowOff>
    </xdr:to>
    <xdr:graphicFrame macro="">
      <xdr:nvGraphicFramePr>
        <xdr:cNvPr id="31647288" name="38 Gráfico">
          <a:extLst>
            <a:ext uri="{FF2B5EF4-FFF2-40B4-BE49-F238E27FC236}">
              <a16:creationId xmlns:a16="http://schemas.microsoft.com/office/drawing/2014/main" id="{00000000-0008-0000-1100-000038E6E2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xdr:from>
      <xdr:col>2</xdr:col>
      <xdr:colOff>47625</xdr:colOff>
      <xdr:row>21</xdr:row>
      <xdr:rowOff>19050</xdr:rowOff>
    </xdr:from>
    <xdr:to>
      <xdr:col>3</xdr:col>
      <xdr:colOff>0</xdr:colOff>
      <xdr:row>27</xdr:row>
      <xdr:rowOff>142875</xdr:rowOff>
    </xdr:to>
    <xdr:graphicFrame macro="">
      <xdr:nvGraphicFramePr>
        <xdr:cNvPr id="31647289" name="41 Gráfico">
          <a:extLst>
            <a:ext uri="{FF2B5EF4-FFF2-40B4-BE49-F238E27FC236}">
              <a16:creationId xmlns:a16="http://schemas.microsoft.com/office/drawing/2014/main" id="{00000000-0008-0000-1100-000039E6E2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twoCellAnchor>
    <xdr:from>
      <xdr:col>0</xdr:col>
      <xdr:colOff>1543050</xdr:colOff>
      <xdr:row>35</xdr:row>
      <xdr:rowOff>9525</xdr:rowOff>
    </xdr:from>
    <xdr:to>
      <xdr:col>1</xdr:col>
      <xdr:colOff>2009775</xdr:colOff>
      <xdr:row>41</xdr:row>
      <xdr:rowOff>133350</xdr:rowOff>
    </xdr:to>
    <xdr:graphicFrame macro="">
      <xdr:nvGraphicFramePr>
        <xdr:cNvPr id="31647290" name="43 Gráfico">
          <a:extLst>
            <a:ext uri="{FF2B5EF4-FFF2-40B4-BE49-F238E27FC236}">
              <a16:creationId xmlns:a16="http://schemas.microsoft.com/office/drawing/2014/main" id="{00000000-0008-0000-1100-00003AE6E2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5"/>
        </a:graphicData>
      </a:graphic>
    </xdr:graphicFrame>
    <xdr:clientData/>
  </xdr:twoCellAnchor>
  <xdr:twoCellAnchor>
    <xdr:from>
      <xdr:col>0</xdr:col>
      <xdr:colOff>1533525</xdr:colOff>
      <xdr:row>28</xdr:row>
      <xdr:rowOff>28575</xdr:rowOff>
    </xdr:from>
    <xdr:to>
      <xdr:col>1</xdr:col>
      <xdr:colOff>2009775</xdr:colOff>
      <xdr:row>35</xdr:row>
      <xdr:rowOff>9525</xdr:rowOff>
    </xdr:to>
    <xdr:graphicFrame macro="">
      <xdr:nvGraphicFramePr>
        <xdr:cNvPr id="31647291" name="44 Gráfico">
          <a:extLst>
            <a:ext uri="{FF2B5EF4-FFF2-40B4-BE49-F238E27FC236}">
              <a16:creationId xmlns:a16="http://schemas.microsoft.com/office/drawing/2014/main" id="{00000000-0008-0000-1100-00003BE6E2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xdr:from>
      <xdr:col>2</xdr:col>
      <xdr:colOff>38100</xdr:colOff>
      <xdr:row>28</xdr:row>
      <xdr:rowOff>19050</xdr:rowOff>
    </xdr:from>
    <xdr:to>
      <xdr:col>2</xdr:col>
      <xdr:colOff>2038350</xdr:colOff>
      <xdr:row>34</xdr:row>
      <xdr:rowOff>161925</xdr:rowOff>
    </xdr:to>
    <xdr:graphicFrame macro="">
      <xdr:nvGraphicFramePr>
        <xdr:cNvPr id="31647292" name="45 Gráfico">
          <a:extLst>
            <a:ext uri="{FF2B5EF4-FFF2-40B4-BE49-F238E27FC236}">
              <a16:creationId xmlns:a16="http://schemas.microsoft.com/office/drawing/2014/main" id="{00000000-0008-0000-1100-00003CE6E2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xdr:from>
      <xdr:col>1</xdr:col>
      <xdr:colOff>47625</xdr:colOff>
      <xdr:row>42</xdr:row>
      <xdr:rowOff>9525</xdr:rowOff>
    </xdr:from>
    <xdr:to>
      <xdr:col>2</xdr:col>
      <xdr:colOff>9525</xdr:colOff>
      <xdr:row>48</xdr:row>
      <xdr:rowOff>133350</xdr:rowOff>
    </xdr:to>
    <xdr:graphicFrame macro="">
      <xdr:nvGraphicFramePr>
        <xdr:cNvPr id="31647293" name="47 Gráfico">
          <a:extLst>
            <a:ext uri="{FF2B5EF4-FFF2-40B4-BE49-F238E27FC236}">
              <a16:creationId xmlns:a16="http://schemas.microsoft.com/office/drawing/2014/main" id="{00000000-0008-0000-1100-00003DE6E2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twoCellAnchor>
    <xdr:from>
      <xdr:col>0</xdr:col>
      <xdr:colOff>981075</xdr:colOff>
      <xdr:row>52</xdr:row>
      <xdr:rowOff>0</xdr:rowOff>
    </xdr:from>
    <xdr:to>
      <xdr:col>1</xdr:col>
      <xdr:colOff>0</xdr:colOff>
      <xdr:row>53</xdr:row>
      <xdr:rowOff>0</xdr:rowOff>
    </xdr:to>
    <xdr:sp macro="" textlink="">
      <xdr:nvSpPr>
        <xdr:cNvPr id="31647294" name="Rectangle 1">
          <a:extLst>
            <a:ext uri="{FF2B5EF4-FFF2-40B4-BE49-F238E27FC236}">
              <a16:creationId xmlns:a16="http://schemas.microsoft.com/office/drawing/2014/main" id="{00000000-0008-0000-1100-00003EE6E201}"/>
            </a:ext>
          </a:extLst>
        </xdr:cNvPr>
        <xdr:cNvSpPr>
          <a:spLocks noChangeArrowheads="1"/>
        </xdr:cNvSpPr>
      </xdr:nvSpPr>
      <xdr:spPr bwMode="auto">
        <a:xfrm>
          <a:off x="981075" y="8448675"/>
          <a:ext cx="561975" cy="161925"/>
        </a:xfrm>
        <a:prstGeom prst="rect">
          <a:avLst/>
        </a:prstGeom>
        <a:solidFill>
          <a:srgbClr val="00FF00"/>
        </a:solidFill>
        <a:ln w="9525">
          <a:solidFill>
            <a:srgbClr val="000000"/>
          </a:solidFill>
          <a:miter lim="800000"/>
          <a:headEnd/>
          <a:tailEnd/>
        </a:ln>
      </xdr:spPr>
    </xdr:sp>
    <xdr:clientData/>
  </xdr:twoCellAnchor>
  <xdr:twoCellAnchor>
    <xdr:from>
      <xdr:col>0</xdr:col>
      <xdr:colOff>981075</xdr:colOff>
      <xdr:row>53</xdr:row>
      <xdr:rowOff>0</xdr:rowOff>
    </xdr:from>
    <xdr:to>
      <xdr:col>1</xdr:col>
      <xdr:colOff>0</xdr:colOff>
      <xdr:row>54</xdr:row>
      <xdr:rowOff>0</xdr:rowOff>
    </xdr:to>
    <xdr:sp macro="" textlink="">
      <xdr:nvSpPr>
        <xdr:cNvPr id="31647295" name="Rectangle 2">
          <a:extLst>
            <a:ext uri="{FF2B5EF4-FFF2-40B4-BE49-F238E27FC236}">
              <a16:creationId xmlns:a16="http://schemas.microsoft.com/office/drawing/2014/main" id="{00000000-0008-0000-1100-00003FE6E201}"/>
            </a:ext>
          </a:extLst>
        </xdr:cNvPr>
        <xdr:cNvSpPr>
          <a:spLocks noChangeArrowheads="1"/>
        </xdr:cNvSpPr>
      </xdr:nvSpPr>
      <xdr:spPr bwMode="auto">
        <a:xfrm>
          <a:off x="981075" y="8610600"/>
          <a:ext cx="561975" cy="161925"/>
        </a:xfrm>
        <a:prstGeom prst="rect">
          <a:avLst/>
        </a:prstGeom>
        <a:solidFill>
          <a:srgbClr val="FFFF00"/>
        </a:solidFill>
        <a:ln w="9525">
          <a:solidFill>
            <a:srgbClr val="000000"/>
          </a:solidFill>
          <a:miter lim="800000"/>
          <a:headEnd/>
          <a:tailEnd/>
        </a:ln>
      </xdr:spPr>
    </xdr:sp>
    <xdr:clientData/>
  </xdr:twoCellAnchor>
  <xdr:twoCellAnchor>
    <xdr:from>
      <xdr:col>0</xdr:col>
      <xdr:colOff>981075</xdr:colOff>
      <xdr:row>54</xdr:row>
      <xdr:rowOff>0</xdr:rowOff>
    </xdr:from>
    <xdr:to>
      <xdr:col>1</xdr:col>
      <xdr:colOff>0</xdr:colOff>
      <xdr:row>55</xdr:row>
      <xdr:rowOff>0</xdr:rowOff>
    </xdr:to>
    <xdr:sp macro="" textlink="">
      <xdr:nvSpPr>
        <xdr:cNvPr id="31647296" name="Rectangle 3">
          <a:extLst>
            <a:ext uri="{FF2B5EF4-FFF2-40B4-BE49-F238E27FC236}">
              <a16:creationId xmlns:a16="http://schemas.microsoft.com/office/drawing/2014/main" id="{00000000-0008-0000-1100-000040E6E201}"/>
            </a:ext>
          </a:extLst>
        </xdr:cNvPr>
        <xdr:cNvSpPr>
          <a:spLocks noChangeArrowheads="1"/>
        </xdr:cNvSpPr>
      </xdr:nvSpPr>
      <xdr:spPr bwMode="auto">
        <a:xfrm>
          <a:off x="981075" y="8772525"/>
          <a:ext cx="561975" cy="161925"/>
        </a:xfrm>
        <a:prstGeom prst="rect">
          <a:avLst/>
        </a:prstGeom>
        <a:solidFill>
          <a:srgbClr val="CC9CCC"/>
        </a:solidFill>
        <a:ln w="9525">
          <a:solidFill>
            <a:srgbClr val="000000"/>
          </a:solidFill>
          <a:miter lim="800000"/>
          <a:headEnd/>
          <a:tailEnd/>
        </a:ln>
      </xdr:spPr>
    </xdr:sp>
    <xdr:clientData/>
  </xdr:twoCellAnchor>
  <xdr:twoCellAnchor>
    <xdr:from>
      <xdr:col>0</xdr:col>
      <xdr:colOff>981075</xdr:colOff>
      <xdr:row>51</xdr:row>
      <xdr:rowOff>0</xdr:rowOff>
    </xdr:from>
    <xdr:to>
      <xdr:col>1</xdr:col>
      <xdr:colOff>0</xdr:colOff>
      <xdr:row>52</xdr:row>
      <xdr:rowOff>0</xdr:rowOff>
    </xdr:to>
    <xdr:sp macro="" textlink="">
      <xdr:nvSpPr>
        <xdr:cNvPr id="31647297" name="Rectangle 4">
          <a:extLst>
            <a:ext uri="{FF2B5EF4-FFF2-40B4-BE49-F238E27FC236}">
              <a16:creationId xmlns:a16="http://schemas.microsoft.com/office/drawing/2014/main" id="{00000000-0008-0000-1100-000041E6E201}"/>
            </a:ext>
          </a:extLst>
        </xdr:cNvPr>
        <xdr:cNvSpPr>
          <a:spLocks noChangeArrowheads="1"/>
        </xdr:cNvSpPr>
      </xdr:nvSpPr>
      <xdr:spPr bwMode="auto">
        <a:xfrm>
          <a:off x="981075" y="8296275"/>
          <a:ext cx="561975" cy="152400"/>
        </a:xfrm>
        <a:prstGeom prst="rect">
          <a:avLst/>
        </a:prstGeom>
        <a:solidFill>
          <a:srgbClr val="A6CAF0"/>
        </a:solidFill>
        <a:ln w="9525">
          <a:solidFill>
            <a:srgbClr val="000000"/>
          </a:solidFill>
          <a:miter lim="800000"/>
          <a:headEnd/>
          <a:tailEnd/>
        </a:ln>
      </xdr:spPr>
    </xdr:sp>
    <xdr:clientData/>
  </xdr:twoCellAnchor>
  <xdr:twoCellAnchor>
    <xdr:from>
      <xdr:col>0</xdr:col>
      <xdr:colOff>981075</xdr:colOff>
      <xdr:row>55</xdr:row>
      <xdr:rowOff>0</xdr:rowOff>
    </xdr:from>
    <xdr:to>
      <xdr:col>1</xdr:col>
      <xdr:colOff>0</xdr:colOff>
      <xdr:row>56</xdr:row>
      <xdr:rowOff>0</xdr:rowOff>
    </xdr:to>
    <xdr:sp macro="" textlink="">
      <xdr:nvSpPr>
        <xdr:cNvPr id="31647298" name="Rectangle 5">
          <a:extLst>
            <a:ext uri="{FF2B5EF4-FFF2-40B4-BE49-F238E27FC236}">
              <a16:creationId xmlns:a16="http://schemas.microsoft.com/office/drawing/2014/main" id="{00000000-0008-0000-1100-000042E6E201}"/>
            </a:ext>
          </a:extLst>
        </xdr:cNvPr>
        <xdr:cNvSpPr>
          <a:spLocks noChangeArrowheads="1"/>
        </xdr:cNvSpPr>
      </xdr:nvSpPr>
      <xdr:spPr bwMode="auto">
        <a:xfrm>
          <a:off x="981075" y="8934450"/>
          <a:ext cx="561975" cy="161925"/>
        </a:xfrm>
        <a:prstGeom prst="rect">
          <a:avLst/>
        </a:prstGeom>
        <a:solidFill>
          <a:srgbClr val="FF0000"/>
        </a:solidFill>
        <a:ln w="9525">
          <a:solidFill>
            <a:srgbClr val="000000"/>
          </a:solidFill>
          <a:miter lim="800000"/>
          <a:headEnd/>
          <a:tailEnd/>
        </a:ln>
      </xdr:spPr>
    </xdr:sp>
    <xdr:clientData/>
  </xdr:twoCellAnchor>
  <xdr:twoCellAnchor>
    <xdr:from>
      <xdr:col>2</xdr:col>
      <xdr:colOff>0</xdr:colOff>
      <xdr:row>14</xdr:row>
      <xdr:rowOff>28575</xdr:rowOff>
    </xdr:from>
    <xdr:to>
      <xdr:col>2</xdr:col>
      <xdr:colOff>2019300</xdr:colOff>
      <xdr:row>20</xdr:row>
      <xdr:rowOff>133350</xdr:rowOff>
    </xdr:to>
    <xdr:graphicFrame macro="">
      <xdr:nvGraphicFramePr>
        <xdr:cNvPr id="31647299" name="38 Gráfico">
          <a:extLst>
            <a:ext uri="{FF2B5EF4-FFF2-40B4-BE49-F238E27FC236}">
              <a16:creationId xmlns:a16="http://schemas.microsoft.com/office/drawing/2014/main" id="{00000000-0008-0000-1100-000043E6E2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twoCellAnchor>
    <xdr:from>
      <xdr:col>2</xdr:col>
      <xdr:colOff>28575</xdr:colOff>
      <xdr:row>35</xdr:row>
      <xdr:rowOff>9525</xdr:rowOff>
    </xdr:from>
    <xdr:to>
      <xdr:col>2</xdr:col>
      <xdr:colOff>2028825</xdr:colOff>
      <xdr:row>41</xdr:row>
      <xdr:rowOff>142875</xdr:rowOff>
    </xdr:to>
    <xdr:graphicFrame macro="">
      <xdr:nvGraphicFramePr>
        <xdr:cNvPr id="31647300" name="45 Gráfico">
          <a:extLst>
            <a:ext uri="{FF2B5EF4-FFF2-40B4-BE49-F238E27FC236}">
              <a16:creationId xmlns:a16="http://schemas.microsoft.com/office/drawing/2014/main" id="{00000000-0008-0000-1100-000044E6E2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0"/>
        </a:graphicData>
      </a:graphic>
    </xdr:graphicFrame>
    <xdr:clientData/>
  </xdr:twoCellAnchor>
  <xdr:twoCellAnchor>
    <xdr:from>
      <xdr:col>2</xdr:col>
      <xdr:colOff>0</xdr:colOff>
      <xdr:row>42</xdr:row>
      <xdr:rowOff>9525</xdr:rowOff>
    </xdr:from>
    <xdr:to>
      <xdr:col>2</xdr:col>
      <xdr:colOff>2000250</xdr:colOff>
      <xdr:row>48</xdr:row>
      <xdr:rowOff>142875</xdr:rowOff>
    </xdr:to>
    <xdr:graphicFrame macro="">
      <xdr:nvGraphicFramePr>
        <xdr:cNvPr id="31647301" name="45 Gráfico">
          <a:extLst>
            <a:ext uri="{FF2B5EF4-FFF2-40B4-BE49-F238E27FC236}">
              <a16:creationId xmlns:a16="http://schemas.microsoft.com/office/drawing/2014/main" id="{00000000-0008-0000-1100-000045E6E2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1"/>
        </a:graphicData>
      </a:graphic>
    </xdr:graphicFrame>
    <xdr:clientData/>
  </xdr:twoCellAnchor>
  <xdr:twoCellAnchor>
    <xdr:from>
      <xdr:col>2</xdr:col>
      <xdr:colOff>38100</xdr:colOff>
      <xdr:row>42</xdr:row>
      <xdr:rowOff>0</xdr:rowOff>
    </xdr:from>
    <xdr:to>
      <xdr:col>2</xdr:col>
      <xdr:colOff>2038350</xdr:colOff>
      <xdr:row>48</xdr:row>
      <xdr:rowOff>123825</xdr:rowOff>
    </xdr:to>
    <xdr:graphicFrame macro="">
      <xdr:nvGraphicFramePr>
        <xdr:cNvPr id="31647302" name="45 Gráfico">
          <a:extLst>
            <a:ext uri="{FF2B5EF4-FFF2-40B4-BE49-F238E27FC236}">
              <a16:creationId xmlns:a16="http://schemas.microsoft.com/office/drawing/2014/main" id="{00000000-0008-0000-1100-000046E6E2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2"/>
        </a:graphicData>
      </a:graphic>
    </xdr:graphicFrame>
    <xdr:clientData/>
  </xdr:twoCellAnchor>
  <xdr:twoCellAnchor>
    <xdr:from>
      <xdr:col>0</xdr:col>
      <xdr:colOff>1543050</xdr:colOff>
      <xdr:row>21</xdr:row>
      <xdr:rowOff>0</xdr:rowOff>
    </xdr:from>
    <xdr:to>
      <xdr:col>1</xdr:col>
      <xdr:colOff>2009775</xdr:colOff>
      <xdr:row>27</xdr:row>
      <xdr:rowOff>123825</xdr:rowOff>
    </xdr:to>
    <xdr:graphicFrame macro="">
      <xdr:nvGraphicFramePr>
        <xdr:cNvPr id="31647303" name="41 Gráfico">
          <a:extLst>
            <a:ext uri="{FF2B5EF4-FFF2-40B4-BE49-F238E27FC236}">
              <a16:creationId xmlns:a16="http://schemas.microsoft.com/office/drawing/2014/main" id="{00000000-0008-0000-1100-000047E6E2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3"/>
        </a:graphicData>
      </a:graphic>
    </xdr:graphicFrame>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19050</xdr:colOff>
          <xdr:row>0</xdr:row>
          <xdr:rowOff>19050</xdr:rowOff>
        </xdr:from>
        <xdr:to>
          <xdr:col>1</xdr:col>
          <xdr:colOff>485775</xdr:colOff>
          <xdr:row>5</xdr:row>
          <xdr:rowOff>0</xdr:rowOff>
        </xdr:to>
        <xdr:sp macro="" textlink="">
          <xdr:nvSpPr>
            <xdr:cNvPr id="9218" name="Imagen 2" hidden="1">
              <a:extLst>
                <a:ext uri="{63B3BB69-23CF-44E3-9099-C40C66FF867C}">
                  <a14:compatExt spid="_x0000_s9218"/>
                </a:ext>
                <a:ext uri="{FF2B5EF4-FFF2-40B4-BE49-F238E27FC236}">
                  <a16:creationId xmlns:a16="http://schemas.microsoft.com/office/drawing/2014/main" id="{00000000-0008-0000-1200-0000022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1">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0</xdr:col>
      <xdr:colOff>0</xdr:colOff>
      <xdr:row>9</xdr:row>
      <xdr:rowOff>28576</xdr:rowOff>
    </xdr:from>
    <xdr:to>
      <xdr:col>7</xdr:col>
      <xdr:colOff>752475</xdr:colOff>
      <xdr:row>43</xdr:row>
      <xdr:rowOff>142876</xdr:rowOff>
    </xdr:to>
    <xdr:pic>
      <xdr:nvPicPr>
        <xdr:cNvPr id="36" name="Imagen 3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806576"/>
          <a:ext cx="6292850" cy="5511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xdr:colOff>
      <xdr:row>46</xdr:row>
      <xdr:rowOff>38099</xdr:rowOff>
    </xdr:from>
    <xdr:to>
      <xdr:col>7</xdr:col>
      <xdr:colOff>762000</xdr:colOff>
      <xdr:row>62</xdr:row>
      <xdr:rowOff>581024</xdr:rowOff>
    </xdr:to>
    <xdr:pic>
      <xdr:nvPicPr>
        <xdr:cNvPr id="37" name="Imagen 36"/>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8575" y="7820024"/>
          <a:ext cx="6276975" cy="4581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399480</xdr:colOff>
      <xdr:row>37</xdr:row>
      <xdr:rowOff>110020</xdr:rowOff>
    </xdr:from>
    <xdr:ext cx="248851" cy="743024"/>
    <xdr:sp macro="" textlink="">
      <xdr:nvSpPr>
        <xdr:cNvPr id="2" name="CuadroTexto 1"/>
        <xdr:cNvSpPr txBox="1"/>
      </xdr:nvSpPr>
      <xdr:spPr>
        <a:xfrm rot="16200000">
          <a:off x="152394" y="6580106"/>
          <a:ext cx="743024" cy="24885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000" b="1"/>
            <a:t>PR 1+0000</a:t>
          </a:r>
        </a:p>
      </xdr:txBody>
    </xdr:sp>
    <xdr:clientData/>
  </xdr:oneCellAnchor>
  <xdr:oneCellAnchor>
    <xdr:from>
      <xdr:col>6</xdr:col>
      <xdr:colOff>700910</xdr:colOff>
      <xdr:row>10</xdr:row>
      <xdr:rowOff>41193</xdr:rowOff>
    </xdr:from>
    <xdr:ext cx="808042" cy="248851"/>
    <xdr:sp macro="" textlink="">
      <xdr:nvSpPr>
        <xdr:cNvPr id="8" name="CuadroTexto 7"/>
        <xdr:cNvSpPr txBox="1"/>
      </xdr:nvSpPr>
      <xdr:spPr>
        <a:xfrm>
          <a:off x="5479285" y="1977943"/>
          <a:ext cx="808042" cy="24885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000" b="1"/>
            <a:t>PR 47+0514</a:t>
          </a:r>
        </a:p>
      </xdr:txBody>
    </xdr:sp>
    <xdr:clientData/>
  </xdr:oneCellAnchor>
  <xdr:oneCellAnchor>
    <xdr:from>
      <xdr:col>2</xdr:col>
      <xdr:colOff>662809</xdr:colOff>
      <xdr:row>27</xdr:row>
      <xdr:rowOff>130093</xdr:rowOff>
    </xdr:from>
    <xdr:ext cx="905248" cy="248851"/>
    <xdr:sp macro="" textlink="">
      <xdr:nvSpPr>
        <xdr:cNvPr id="9" name="CuadroTexto 8"/>
        <xdr:cNvSpPr txBox="1"/>
      </xdr:nvSpPr>
      <xdr:spPr>
        <a:xfrm>
          <a:off x="2242372" y="4765593"/>
          <a:ext cx="905248" cy="24885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000" b="1"/>
            <a:t>PR 27+0000 - </a:t>
          </a:r>
        </a:p>
      </xdr:txBody>
    </xdr:sp>
    <xdr:clientData/>
  </xdr:oneCellAnchor>
  <xdr:oneCellAnchor>
    <xdr:from>
      <xdr:col>4</xdr:col>
      <xdr:colOff>386584</xdr:colOff>
      <xdr:row>19</xdr:row>
      <xdr:rowOff>91993</xdr:rowOff>
    </xdr:from>
    <xdr:ext cx="1384738" cy="248851"/>
    <xdr:sp macro="" textlink="">
      <xdr:nvSpPr>
        <xdr:cNvPr id="10" name="CuadroTexto 9"/>
        <xdr:cNvSpPr txBox="1"/>
      </xdr:nvSpPr>
      <xdr:spPr>
        <a:xfrm>
          <a:off x="3640959" y="3457493"/>
          <a:ext cx="1384738" cy="24885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000" b="1"/>
            <a:t>PR 41+0000 - POCARA </a:t>
          </a:r>
        </a:p>
      </xdr:txBody>
    </xdr:sp>
    <xdr:clientData/>
  </xdr:oneCellAnchor>
  <xdr:twoCellAnchor>
    <xdr:from>
      <xdr:col>6</xdr:col>
      <xdr:colOff>142875</xdr:colOff>
      <xdr:row>20</xdr:row>
      <xdr:rowOff>52389</xdr:rowOff>
    </xdr:from>
    <xdr:to>
      <xdr:col>6</xdr:col>
      <xdr:colOff>345036</xdr:colOff>
      <xdr:row>20</xdr:row>
      <xdr:rowOff>65607</xdr:rowOff>
    </xdr:to>
    <xdr:cxnSp macro="">
      <xdr:nvCxnSpPr>
        <xdr:cNvPr id="11" name="Conector recto de flecha 10"/>
        <xdr:cNvCxnSpPr/>
      </xdr:nvCxnSpPr>
      <xdr:spPr bwMode="auto">
        <a:xfrm flipV="1">
          <a:off x="4921250" y="3576639"/>
          <a:ext cx="202161" cy="13218"/>
        </a:xfrm>
        <a:prstGeom prst="straightConnector1">
          <a:avLst/>
        </a:prstGeom>
        <a:ln w="12700">
          <a:headEnd type="none" w="med" len="med"/>
          <a:tailEnd type="triangle"/>
        </a:ln>
      </xdr:spPr>
      <xdr:style>
        <a:lnRef idx="1">
          <a:schemeClr val="dk1"/>
        </a:lnRef>
        <a:fillRef idx="0">
          <a:schemeClr val="dk1"/>
        </a:fillRef>
        <a:effectRef idx="0">
          <a:schemeClr val="dk1"/>
        </a:effectRef>
        <a:fontRef idx="minor">
          <a:schemeClr val="tx1"/>
        </a:fontRef>
      </xdr:style>
    </xdr:cxnSp>
    <xdr:clientData/>
  </xdr:twoCellAnchor>
  <xdr:oneCellAnchor>
    <xdr:from>
      <xdr:col>0</xdr:col>
      <xdr:colOff>465140</xdr:colOff>
      <xdr:row>61</xdr:row>
      <xdr:rowOff>446089</xdr:rowOff>
    </xdr:from>
    <xdr:ext cx="248851" cy="743024"/>
    <xdr:sp macro="" textlink="">
      <xdr:nvSpPr>
        <xdr:cNvPr id="12" name="CuadroTexto 11"/>
        <xdr:cNvSpPr txBox="1"/>
      </xdr:nvSpPr>
      <xdr:spPr>
        <a:xfrm rot="16200000">
          <a:off x="218054" y="11797738"/>
          <a:ext cx="743024" cy="24885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000" b="1"/>
            <a:t>PR 0+0000</a:t>
          </a:r>
        </a:p>
      </xdr:txBody>
    </xdr:sp>
    <xdr:clientData/>
  </xdr:oneCellAnchor>
  <xdr:oneCellAnchor>
    <xdr:from>
      <xdr:col>7</xdr:col>
      <xdr:colOff>252418</xdr:colOff>
      <xdr:row>50</xdr:row>
      <xdr:rowOff>105609</xdr:rowOff>
    </xdr:from>
    <xdr:ext cx="248851" cy="808042"/>
    <xdr:sp macro="" textlink="">
      <xdr:nvSpPr>
        <xdr:cNvPr id="13" name="CuadroTexto 12"/>
        <xdr:cNvSpPr txBox="1"/>
      </xdr:nvSpPr>
      <xdr:spPr>
        <a:xfrm rot="18614382">
          <a:off x="5513198" y="8671954"/>
          <a:ext cx="808042" cy="24885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000" b="1"/>
            <a:t>PR 36+0253</a:t>
          </a:r>
        </a:p>
      </xdr:txBody>
    </xdr:sp>
    <xdr:clientData/>
  </xdr:oneCellAnchor>
  <xdr:oneCellAnchor>
    <xdr:from>
      <xdr:col>2</xdr:col>
      <xdr:colOff>749173</xdr:colOff>
      <xdr:row>60</xdr:row>
      <xdr:rowOff>265909</xdr:rowOff>
    </xdr:from>
    <xdr:ext cx="1827103" cy="217560"/>
    <xdr:sp macro="" textlink="">
      <xdr:nvSpPr>
        <xdr:cNvPr id="14" name="CuadroTexto 13"/>
        <xdr:cNvSpPr txBox="1"/>
      </xdr:nvSpPr>
      <xdr:spPr>
        <a:xfrm rot="989302">
          <a:off x="2328736" y="10814847"/>
          <a:ext cx="1827103" cy="217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800" b="1"/>
            <a:t>PR 15+0000 - ALTO DE LOS BIZCOCHOS</a:t>
          </a:r>
        </a:p>
      </xdr:txBody>
    </xdr:sp>
    <xdr:clientData/>
  </xdr:oneCellAnchor>
  <xdr:oneCellAnchor>
    <xdr:from>
      <xdr:col>4</xdr:col>
      <xdr:colOff>26682</xdr:colOff>
      <xdr:row>59</xdr:row>
      <xdr:rowOff>380364</xdr:rowOff>
    </xdr:from>
    <xdr:ext cx="1726860" cy="374077"/>
    <xdr:sp macro="" textlink="">
      <xdr:nvSpPr>
        <xdr:cNvPr id="15" name="CuadroTexto 14"/>
        <xdr:cNvSpPr txBox="1"/>
      </xdr:nvSpPr>
      <xdr:spPr>
        <a:xfrm rot="1593927">
          <a:off x="3281057" y="10500677"/>
          <a:ext cx="1726860" cy="37407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r>
            <a:rPr lang="es-CO" sz="900" b="1"/>
            <a:t>PR 20+0000 -CORREGIMIENTO CUCUANA</a:t>
          </a:r>
        </a:p>
      </xdr:txBody>
    </xdr:sp>
    <xdr:clientData/>
  </xdr:oneCellAnchor>
  <xdr:twoCellAnchor editAs="oneCell">
    <xdr:from>
      <xdr:col>0</xdr:col>
      <xdr:colOff>47625</xdr:colOff>
      <xdr:row>65</xdr:row>
      <xdr:rowOff>31751</xdr:rowOff>
    </xdr:from>
    <xdr:to>
      <xdr:col>7</xdr:col>
      <xdr:colOff>746125</xdr:colOff>
      <xdr:row>81</xdr:row>
      <xdr:rowOff>1</xdr:rowOff>
    </xdr:to>
    <xdr:pic>
      <xdr:nvPicPr>
        <xdr:cNvPr id="3" name="Imagen 2"/>
        <xdr:cNvPicPr>
          <a:picLocks noChangeAspect="1"/>
        </xdr:cNvPicPr>
      </xdr:nvPicPr>
      <xdr:blipFill>
        <a:blip xmlns:r="http://schemas.openxmlformats.org/officeDocument/2006/relationships" r:embed="rId3"/>
        <a:stretch>
          <a:fillRect/>
        </a:stretch>
      </xdr:blipFill>
      <xdr:spPr>
        <a:xfrm>
          <a:off x="47625" y="12636501"/>
          <a:ext cx="6238875" cy="4159250"/>
        </a:xfrm>
        <a:prstGeom prst="rect">
          <a:avLst/>
        </a:prstGeom>
      </xdr:spPr>
    </xdr:pic>
    <xdr:clientData/>
  </xdr:twoCellAnchor>
  <xdr:twoCellAnchor editAs="oneCell">
    <xdr:from>
      <xdr:col>0</xdr:col>
      <xdr:colOff>39687</xdr:colOff>
      <xdr:row>83</xdr:row>
      <xdr:rowOff>47625</xdr:rowOff>
    </xdr:from>
    <xdr:to>
      <xdr:col>7</xdr:col>
      <xdr:colOff>730250</xdr:colOff>
      <xdr:row>113</xdr:row>
      <xdr:rowOff>134937</xdr:rowOff>
    </xdr:to>
    <xdr:pic>
      <xdr:nvPicPr>
        <xdr:cNvPr id="5" name="Imagen 4"/>
        <xdr:cNvPicPr>
          <a:picLocks noChangeAspect="1"/>
        </xdr:cNvPicPr>
      </xdr:nvPicPr>
      <xdr:blipFill>
        <a:blip xmlns:r="http://schemas.openxmlformats.org/officeDocument/2006/relationships" r:embed="rId4"/>
        <a:stretch>
          <a:fillRect/>
        </a:stretch>
      </xdr:blipFill>
      <xdr:spPr>
        <a:xfrm>
          <a:off x="39687" y="17327563"/>
          <a:ext cx="6230938" cy="4849812"/>
        </a:xfrm>
        <a:prstGeom prst="rect">
          <a:avLst/>
        </a:prstGeom>
      </xdr:spPr>
    </xdr:pic>
    <xdr:clientData/>
  </xdr:twoCellAnchor>
  <xdr:twoCellAnchor editAs="oneCell">
    <xdr:from>
      <xdr:col>0</xdr:col>
      <xdr:colOff>23813</xdr:colOff>
      <xdr:row>116</xdr:row>
      <xdr:rowOff>31750</xdr:rowOff>
    </xdr:from>
    <xdr:to>
      <xdr:col>7</xdr:col>
      <xdr:colOff>762001</xdr:colOff>
      <xdr:row>141</xdr:row>
      <xdr:rowOff>111125</xdr:rowOff>
    </xdr:to>
    <xdr:pic>
      <xdr:nvPicPr>
        <xdr:cNvPr id="6" name="Imagen 5"/>
        <xdr:cNvPicPr>
          <a:picLocks noChangeAspect="1"/>
        </xdr:cNvPicPr>
      </xdr:nvPicPr>
      <xdr:blipFill>
        <a:blip xmlns:r="http://schemas.openxmlformats.org/officeDocument/2006/relationships" r:embed="rId5"/>
        <a:stretch>
          <a:fillRect/>
        </a:stretch>
      </xdr:blipFill>
      <xdr:spPr>
        <a:xfrm>
          <a:off x="23813" y="22455188"/>
          <a:ext cx="6278563" cy="404812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oneCellAnchor>
    <xdr:from>
      <xdr:col>7</xdr:col>
      <xdr:colOff>714375</xdr:colOff>
      <xdr:row>28</xdr:row>
      <xdr:rowOff>0</xdr:rowOff>
    </xdr:from>
    <xdr:ext cx="184731" cy="264560"/>
    <xdr:sp macro="" textlink="">
      <xdr:nvSpPr>
        <xdr:cNvPr id="2" name="CuadroTexto 1"/>
        <xdr:cNvSpPr txBox="1"/>
      </xdr:nvSpPr>
      <xdr:spPr>
        <a:xfrm>
          <a:off x="9953625" y="9582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wsDr>
</file>

<file path=xl/drawings/drawing18.xml><?xml version="1.0" encoding="utf-8"?>
<xdr:wsDr xmlns:xdr="http://schemas.openxmlformats.org/drawingml/2006/spreadsheetDrawing" xmlns:a="http://schemas.openxmlformats.org/drawingml/2006/main">
  <xdr:twoCellAnchor>
    <xdr:from>
      <xdr:col>1</xdr:col>
      <xdr:colOff>762000</xdr:colOff>
      <xdr:row>8</xdr:row>
      <xdr:rowOff>0</xdr:rowOff>
    </xdr:from>
    <xdr:to>
      <xdr:col>5</xdr:col>
      <xdr:colOff>895350</xdr:colOff>
      <xdr:row>8</xdr:row>
      <xdr:rowOff>0</xdr:rowOff>
    </xdr:to>
    <xdr:sp macro="" textlink="">
      <xdr:nvSpPr>
        <xdr:cNvPr id="29165754" name="Line 5">
          <a:extLst>
            <a:ext uri="{FF2B5EF4-FFF2-40B4-BE49-F238E27FC236}">
              <a16:creationId xmlns:a16="http://schemas.microsoft.com/office/drawing/2014/main" id="{00000000-0008-0000-1A00-0000BA08BD01}"/>
            </a:ext>
          </a:extLst>
        </xdr:cNvPr>
        <xdr:cNvSpPr>
          <a:spLocks noChangeShapeType="1"/>
        </xdr:cNvSpPr>
      </xdr:nvSpPr>
      <xdr:spPr bwMode="auto">
        <a:xfrm>
          <a:off x="1647825" y="2019300"/>
          <a:ext cx="3400425" cy="0"/>
        </a:xfrm>
        <a:prstGeom prst="line">
          <a:avLst/>
        </a:prstGeom>
        <a:noFill/>
        <a:ln w="12700">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7</xdr:col>
      <xdr:colOff>0</xdr:colOff>
      <xdr:row>7</xdr:row>
      <xdr:rowOff>476250</xdr:rowOff>
    </xdr:from>
    <xdr:to>
      <xdr:col>9</xdr:col>
      <xdr:colOff>9525</xdr:colOff>
      <xdr:row>8</xdr:row>
      <xdr:rowOff>9525</xdr:rowOff>
    </xdr:to>
    <xdr:sp macro="" textlink="">
      <xdr:nvSpPr>
        <xdr:cNvPr id="29165755" name="Line 6">
          <a:extLst>
            <a:ext uri="{FF2B5EF4-FFF2-40B4-BE49-F238E27FC236}">
              <a16:creationId xmlns:a16="http://schemas.microsoft.com/office/drawing/2014/main" id="{00000000-0008-0000-1A00-0000BB08BD01}"/>
            </a:ext>
          </a:extLst>
        </xdr:cNvPr>
        <xdr:cNvSpPr>
          <a:spLocks noChangeShapeType="1"/>
        </xdr:cNvSpPr>
      </xdr:nvSpPr>
      <xdr:spPr bwMode="auto">
        <a:xfrm flipV="1">
          <a:off x="7458075" y="2009775"/>
          <a:ext cx="3133725" cy="19050"/>
        </a:xfrm>
        <a:prstGeom prst="line">
          <a:avLst/>
        </a:prstGeom>
        <a:noFill/>
        <a:ln w="12700">
          <a:solidFill>
            <a:srgbClr val="000000"/>
          </a:solidFill>
          <a:round/>
          <a:headEnd/>
          <a:tailEnd/>
        </a:ln>
        <a:extLst>
          <a:ext uri="{909E8E84-426E-40DD-AFC4-6F175D3DCCD1}">
            <a14:hiddenFill xmlns:a14="http://schemas.microsoft.com/office/drawing/2010/main">
              <a:noFill/>
            </a14:hiddenFill>
          </a:ext>
        </a:extLst>
      </xdr:spPr>
    </xdr:sp>
    <xdr:clientData/>
  </xdr:twoCellAnchor>
</xdr:wsDr>
</file>

<file path=xl/drawings/drawing19.xml><?xml version="1.0" encoding="utf-8"?>
<xdr:wsDr xmlns:xdr="http://schemas.openxmlformats.org/drawingml/2006/spreadsheetDrawing" xmlns:a="http://schemas.openxmlformats.org/drawingml/2006/main">
  <xdr:twoCellAnchor>
    <xdr:from>
      <xdr:col>6</xdr:col>
      <xdr:colOff>133350</xdr:colOff>
      <xdr:row>29</xdr:row>
      <xdr:rowOff>123825</xdr:rowOff>
    </xdr:from>
    <xdr:to>
      <xdr:col>6</xdr:col>
      <xdr:colOff>266700</xdr:colOff>
      <xdr:row>29</xdr:row>
      <xdr:rowOff>209550</xdr:rowOff>
    </xdr:to>
    <xdr:sp macro="" textlink="">
      <xdr:nvSpPr>
        <xdr:cNvPr id="32144750" name="Oval 13">
          <a:extLst>
            <a:ext uri="{FF2B5EF4-FFF2-40B4-BE49-F238E27FC236}">
              <a16:creationId xmlns:a16="http://schemas.microsoft.com/office/drawing/2014/main" id="{00000000-0008-0000-1B00-00006E7DEA01}"/>
            </a:ext>
          </a:extLst>
        </xdr:cNvPr>
        <xdr:cNvSpPr>
          <a:spLocks noChangeArrowheads="1"/>
        </xdr:cNvSpPr>
      </xdr:nvSpPr>
      <xdr:spPr bwMode="auto">
        <a:xfrm>
          <a:off x="5353050" y="12401550"/>
          <a:ext cx="133350" cy="85725"/>
        </a:xfrm>
        <a:prstGeom prst="ellipse">
          <a:avLst/>
        </a:prstGeom>
        <a:solidFill>
          <a:srgbClr val="FFFF00"/>
        </a:solidFill>
        <a:ln w="9525">
          <a:solidFill>
            <a:srgbClr val="000000"/>
          </a:solidFill>
          <a:round/>
          <a:headEnd/>
          <a:tailEnd/>
        </a:ln>
      </xdr:spPr>
    </xdr:sp>
    <xdr:clientData/>
  </xdr:twoCellAnchor>
  <xdr:twoCellAnchor>
    <xdr:from>
      <xdr:col>5</xdr:col>
      <xdr:colOff>200025</xdr:colOff>
      <xdr:row>29</xdr:row>
      <xdr:rowOff>114300</xdr:rowOff>
    </xdr:from>
    <xdr:to>
      <xdr:col>5</xdr:col>
      <xdr:colOff>352425</xdr:colOff>
      <xdr:row>29</xdr:row>
      <xdr:rowOff>190500</xdr:rowOff>
    </xdr:to>
    <xdr:sp macro="" textlink="">
      <xdr:nvSpPr>
        <xdr:cNvPr id="32144751" name="Oval 17">
          <a:extLst>
            <a:ext uri="{FF2B5EF4-FFF2-40B4-BE49-F238E27FC236}">
              <a16:creationId xmlns:a16="http://schemas.microsoft.com/office/drawing/2014/main" id="{00000000-0008-0000-1B00-00006F7DEA01}"/>
            </a:ext>
          </a:extLst>
        </xdr:cNvPr>
        <xdr:cNvSpPr>
          <a:spLocks noChangeArrowheads="1"/>
        </xdr:cNvSpPr>
      </xdr:nvSpPr>
      <xdr:spPr bwMode="auto">
        <a:xfrm>
          <a:off x="3962400" y="12392025"/>
          <a:ext cx="152400" cy="76200"/>
        </a:xfrm>
        <a:prstGeom prst="ellipse">
          <a:avLst/>
        </a:prstGeom>
        <a:solidFill>
          <a:srgbClr val="00FF00"/>
        </a:solidFill>
        <a:ln w="9525">
          <a:solidFill>
            <a:srgbClr val="000000"/>
          </a:solidFill>
          <a:round/>
          <a:headEnd/>
          <a:tailEnd/>
        </a:ln>
      </xdr:spPr>
    </xdr:sp>
    <xdr:clientData/>
  </xdr:twoCellAnchor>
  <xdr:twoCellAnchor>
    <xdr:from>
      <xdr:col>9</xdr:col>
      <xdr:colOff>219075</xdr:colOff>
      <xdr:row>29</xdr:row>
      <xdr:rowOff>123825</xdr:rowOff>
    </xdr:from>
    <xdr:to>
      <xdr:col>9</xdr:col>
      <xdr:colOff>352425</xdr:colOff>
      <xdr:row>29</xdr:row>
      <xdr:rowOff>209550</xdr:rowOff>
    </xdr:to>
    <xdr:sp macro="" textlink="">
      <xdr:nvSpPr>
        <xdr:cNvPr id="32144752" name="Oval 18">
          <a:extLst>
            <a:ext uri="{FF2B5EF4-FFF2-40B4-BE49-F238E27FC236}">
              <a16:creationId xmlns:a16="http://schemas.microsoft.com/office/drawing/2014/main" id="{00000000-0008-0000-1B00-0000707DEA01}"/>
            </a:ext>
          </a:extLst>
        </xdr:cNvPr>
        <xdr:cNvSpPr>
          <a:spLocks noChangeArrowheads="1"/>
        </xdr:cNvSpPr>
      </xdr:nvSpPr>
      <xdr:spPr bwMode="auto">
        <a:xfrm>
          <a:off x="6953250" y="12401550"/>
          <a:ext cx="133350" cy="85725"/>
        </a:xfrm>
        <a:prstGeom prst="ellipse">
          <a:avLst/>
        </a:prstGeom>
        <a:solidFill>
          <a:srgbClr val="FF0000"/>
        </a:solidFill>
        <a:ln w="9525">
          <a:solidFill>
            <a:srgbClr val="000000"/>
          </a:solidFill>
          <a:round/>
          <a:headEnd/>
          <a:tailEnd/>
        </a:ln>
      </xdr:spPr>
    </xdr:sp>
    <xdr:clientData/>
  </xdr:twoCellAnchor>
  <xdr:twoCellAnchor>
    <xdr:from>
      <xdr:col>9</xdr:col>
      <xdr:colOff>142875</xdr:colOff>
      <xdr:row>23</xdr:row>
      <xdr:rowOff>0</xdr:rowOff>
    </xdr:from>
    <xdr:to>
      <xdr:col>9</xdr:col>
      <xdr:colOff>342900</xdr:colOff>
      <xdr:row>23</xdr:row>
      <xdr:rowOff>0</xdr:rowOff>
    </xdr:to>
    <xdr:sp macro="" textlink="">
      <xdr:nvSpPr>
        <xdr:cNvPr id="32144753" name="Oval 17">
          <a:extLst>
            <a:ext uri="{FF2B5EF4-FFF2-40B4-BE49-F238E27FC236}">
              <a16:creationId xmlns:a16="http://schemas.microsoft.com/office/drawing/2014/main" id="{00000000-0008-0000-1B00-0000717DEA01}"/>
            </a:ext>
          </a:extLst>
        </xdr:cNvPr>
        <xdr:cNvSpPr>
          <a:spLocks noChangeArrowheads="1"/>
        </xdr:cNvSpPr>
      </xdr:nvSpPr>
      <xdr:spPr bwMode="auto">
        <a:xfrm>
          <a:off x="6877050" y="10829925"/>
          <a:ext cx="200025" cy="0"/>
        </a:xfrm>
        <a:prstGeom prst="ellipse">
          <a:avLst/>
        </a:prstGeom>
        <a:solidFill>
          <a:srgbClr val="008000"/>
        </a:solidFill>
        <a:ln w="9525">
          <a:solidFill>
            <a:srgbClr val="008000"/>
          </a:solidFill>
          <a:round/>
          <a:headEnd/>
          <a:tailEnd/>
        </a:ln>
      </xdr:spPr>
    </xdr:sp>
    <xdr:clientData/>
  </xdr:twoCellAnchor>
  <xdr:twoCellAnchor>
    <xdr:from>
      <xdr:col>10</xdr:col>
      <xdr:colOff>142875</xdr:colOff>
      <xdr:row>23</xdr:row>
      <xdr:rowOff>0</xdr:rowOff>
    </xdr:from>
    <xdr:to>
      <xdr:col>10</xdr:col>
      <xdr:colOff>342900</xdr:colOff>
      <xdr:row>23</xdr:row>
      <xdr:rowOff>0</xdr:rowOff>
    </xdr:to>
    <xdr:sp macro="" textlink="">
      <xdr:nvSpPr>
        <xdr:cNvPr id="32144754" name="Oval 18">
          <a:extLst>
            <a:ext uri="{FF2B5EF4-FFF2-40B4-BE49-F238E27FC236}">
              <a16:creationId xmlns:a16="http://schemas.microsoft.com/office/drawing/2014/main" id="{00000000-0008-0000-1B00-0000727DEA01}"/>
            </a:ext>
          </a:extLst>
        </xdr:cNvPr>
        <xdr:cNvSpPr>
          <a:spLocks noChangeArrowheads="1"/>
        </xdr:cNvSpPr>
      </xdr:nvSpPr>
      <xdr:spPr bwMode="auto">
        <a:xfrm>
          <a:off x="7410450" y="10829925"/>
          <a:ext cx="200025" cy="0"/>
        </a:xfrm>
        <a:prstGeom prst="ellipse">
          <a:avLst/>
        </a:prstGeom>
        <a:solidFill>
          <a:srgbClr val="008000"/>
        </a:solidFill>
        <a:ln w="9525">
          <a:solidFill>
            <a:srgbClr val="008000"/>
          </a:solidFill>
          <a:round/>
          <a:headEnd/>
          <a:tailEnd/>
        </a:ln>
      </xdr:spPr>
    </xdr:sp>
    <xdr:clientData/>
  </xdr:twoCellAnchor>
  <xdr:twoCellAnchor>
    <xdr:from>
      <xdr:col>11</xdr:col>
      <xdr:colOff>142875</xdr:colOff>
      <xdr:row>23</xdr:row>
      <xdr:rowOff>0</xdr:rowOff>
    </xdr:from>
    <xdr:to>
      <xdr:col>11</xdr:col>
      <xdr:colOff>342900</xdr:colOff>
      <xdr:row>23</xdr:row>
      <xdr:rowOff>0</xdr:rowOff>
    </xdr:to>
    <xdr:sp macro="" textlink="">
      <xdr:nvSpPr>
        <xdr:cNvPr id="32144755" name="Oval 19">
          <a:extLst>
            <a:ext uri="{FF2B5EF4-FFF2-40B4-BE49-F238E27FC236}">
              <a16:creationId xmlns:a16="http://schemas.microsoft.com/office/drawing/2014/main" id="{00000000-0008-0000-1B00-0000737DEA01}"/>
            </a:ext>
          </a:extLst>
        </xdr:cNvPr>
        <xdr:cNvSpPr>
          <a:spLocks noChangeArrowheads="1"/>
        </xdr:cNvSpPr>
      </xdr:nvSpPr>
      <xdr:spPr bwMode="auto">
        <a:xfrm>
          <a:off x="7829550" y="10829925"/>
          <a:ext cx="200025" cy="0"/>
        </a:xfrm>
        <a:prstGeom prst="ellipse">
          <a:avLst/>
        </a:prstGeom>
        <a:solidFill>
          <a:srgbClr val="008000"/>
        </a:solidFill>
        <a:ln w="9525">
          <a:solidFill>
            <a:srgbClr val="008000"/>
          </a:solidFill>
          <a:round/>
          <a:headEnd/>
          <a:tailEnd/>
        </a:ln>
      </xdr:spPr>
    </xdr:sp>
    <xdr:clientData/>
  </xdr:twoCellAnchor>
  <xdr:twoCellAnchor>
    <xdr:from>
      <xdr:col>10</xdr:col>
      <xdr:colOff>142875</xdr:colOff>
      <xdr:row>18</xdr:row>
      <xdr:rowOff>0</xdr:rowOff>
    </xdr:from>
    <xdr:to>
      <xdr:col>10</xdr:col>
      <xdr:colOff>342900</xdr:colOff>
      <xdr:row>18</xdr:row>
      <xdr:rowOff>0</xdr:rowOff>
    </xdr:to>
    <xdr:sp macro="" textlink="">
      <xdr:nvSpPr>
        <xdr:cNvPr id="32144756" name="Oval 40">
          <a:extLst>
            <a:ext uri="{FF2B5EF4-FFF2-40B4-BE49-F238E27FC236}">
              <a16:creationId xmlns:a16="http://schemas.microsoft.com/office/drawing/2014/main" id="{00000000-0008-0000-1B00-0000747DEA01}"/>
            </a:ext>
          </a:extLst>
        </xdr:cNvPr>
        <xdr:cNvSpPr>
          <a:spLocks noChangeArrowheads="1"/>
        </xdr:cNvSpPr>
      </xdr:nvSpPr>
      <xdr:spPr bwMode="auto">
        <a:xfrm>
          <a:off x="7410450" y="8220075"/>
          <a:ext cx="200025" cy="0"/>
        </a:xfrm>
        <a:prstGeom prst="ellipse">
          <a:avLst/>
        </a:prstGeom>
        <a:solidFill>
          <a:srgbClr val="FFFF00"/>
        </a:solidFill>
        <a:ln>
          <a:noFill/>
        </a:ln>
        <a:extLst>
          <a:ext uri="{91240B29-F687-4F45-9708-019B960494DF}">
            <a14:hiddenLine xmlns:a14="http://schemas.microsoft.com/office/drawing/2010/main" w="9525">
              <a:solidFill>
                <a:srgbClr val="000000"/>
              </a:solidFill>
              <a:round/>
              <a:headEnd/>
              <a:tailEnd/>
            </a14:hiddenLine>
          </a:ext>
        </a:extLst>
      </xdr:spPr>
    </xdr:sp>
    <xdr:clientData/>
  </xdr:twoCellAnchor>
  <xdr:twoCellAnchor>
    <xdr:from>
      <xdr:col>9</xdr:col>
      <xdr:colOff>142875</xdr:colOff>
      <xdr:row>23</xdr:row>
      <xdr:rowOff>0</xdr:rowOff>
    </xdr:from>
    <xdr:to>
      <xdr:col>9</xdr:col>
      <xdr:colOff>342900</xdr:colOff>
      <xdr:row>23</xdr:row>
      <xdr:rowOff>0</xdr:rowOff>
    </xdr:to>
    <xdr:sp macro="" textlink="">
      <xdr:nvSpPr>
        <xdr:cNvPr id="32144757" name="Oval 17">
          <a:extLst>
            <a:ext uri="{FF2B5EF4-FFF2-40B4-BE49-F238E27FC236}">
              <a16:creationId xmlns:a16="http://schemas.microsoft.com/office/drawing/2014/main" id="{00000000-0008-0000-1B00-0000757DEA01}"/>
            </a:ext>
          </a:extLst>
        </xdr:cNvPr>
        <xdr:cNvSpPr>
          <a:spLocks noChangeArrowheads="1"/>
        </xdr:cNvSpPr>
      </xdr:nvSpPr>
      <xdr:spPr bwMode="auto">
        <a:xfrm>
          <a:off x="6877050" y="10829925"/>
          <a:ext cx="200025" cy="0"/>
        </a:xfrm>
        <a:prstGeom prst="ellipse">
          <a:avLst/>
        </a:prstGeom>
        <a:solidFill>
          <a:srgbClr val="008000"/>
        </a:solidFill>
        <a:ln w="9525">
          <a:solidFill>
            <a:srgbClr val="008000"/>
          </a:solidFill>
          <a:round/>
          <a:headEnd/>
          <a:tailEnd/>
        </a:ln>
      </xdr:spPr>
    </xdr:sp>
    <xdr:clientData/>
  </xdr:twoCellAnchor>
  <xdr:twoCellAnchor>
    <xdr:from>
      <xdr:col>10</xdr:col>
      <xdr:colOff>142875</xdr:colOff>
      <xdr:row>23</xdr:row>
      <xdr:rowOff>0</xdr:rowOff>
    </xdr:from>
    <xdr:to>
      <xdr:col>10</xdr:col>
      <xdr:colOff>342900</xdr:colOff>
      <xdr:row>23</xdr:row>
      <xdr:rowOff>0</xdr:rowOff>
    </xdr:to>
    <xdr:sp macro="" textlink="">
      <xdr:nvSpPr>
        <xdr:cNvPr id="32144758" name="Oval 18">
          <a:extLst>
            <a:ext uri="{FF2B5EF4-FFF2-40B4-BE49-F238E27FC236}">
              <a16:creationId xmlns:a16="http://schemas.microsoft.com/office/drawing/2014/main" id="{00000000-0008-0000-1B00-0000767DEA01}"/>
            </a:ext>
          </a:extLst>
        </xdr:cNvPr>
        <xdr:cNvSpPr>
          <a:spLocks noChangeArrowheads="1"/>
        </xdr:cNvSpPr>
      </xdr:nvSpPr>
      <xdr:spPr bwMode="auto">
        <a:xfrm>
          <a:off x="7410450" y="10829925"/>
          <a:ext cx="200025" cy="0"/>
        </a:xfrm>
        <a:prstGeom prst="ellipse">
          <a:avLst/>
        </a:prstGeom>
        <a:solidFill>
          <a:srgbClr val="008000"/>
        </a:solidFill>
        <a:ln w="9525">
          <a:solidFill>
            <a:srgbClr val="008000"/>
          </a:solidFill>
          <a:round/>
          <a:headEnd/>
          <a:tailEnd/>
        </a:ln>
      </xdr:spPr>
    </xdr:sp>
    <xdr:clientData/>
  </xdr:twoCellAnchor>
  <xdr:twoCellAnchor>
    <xdr:from>
      <xdr:col>11</xdr:col>
      <xdr:colOff>142875</xdr:colOff>
      <xdr:row>23</xdr:row>
      <xdr:rowOff>0</xdr:rowOff>
    </xdr:from>
    <xdr:to>
      <xdr:col>11</xdr:col>
      <xdr:colOff>342900</xdr:colOff>
      <xdr:row>23</xdr:row>
      <xdr:rowOff>0</xdr:rowOff>
    </xdr:to>
    <xdr:sp macro="" textlink="">
      <xdr:nvSpPr>
        <xdr:cNvPr id="32144759" name="Oval 19">
          <a:extLst>
            <a:ext uri="{FF2B5EF4-FFF2-40B4-BE49-F238E27FC236}">
              <a16:creationId xmlns:a16="http://schemas.microsoft.com/office/drawing/2014/main" id="{00000000-0008-0000-1B00-0000777DEA01}"/>
            </a:ext>
          </a:extLst>
        </xdr:cNvPr>
        <xdr:cNvSpPr>
          <a:spLocks noChangeArrowheads="1"/>
        </xdr:cNvSpPr>
      </xdr:nvSpPr>
      <xdr:spPr bwMode="auto">
        <a:xfrm>
          <a:off x="7829550" y="10829925"/>
          <a:ext cx="200025" cy="0"/>
        </a:xfrm>
        <a:prstGeom prst="ellipse">
          <a:avLst/>
        </a:prstGeom>
        <a:solidFill>
          <a:srgbClr val="008000"/>
        </a:solidFill>
        <a:ln w="9525">
          <a:solidFill>
            <a:srgbClr val="008000"/>
          </a:solidFill>
          <a:round/>
          <a:headEnd/>
          <a:tailEnd/>
        </a:ln>
      </xdr:spPr>
    </xdr:sp>
    <xdr:clientData/>
  </xdr:twoCellAnchor>
  <xdr:twoCellAnchor>
    <xdr:from>
      <xdr:col>10</xdr:col>
      <xdr:colOff>142875</xdr:colOff>
      <xdr:row>18</xdr:row>
      <xdr:rowOff>0</xdr:rowOff>
    </xdr:from>
    <xdr:to>
      <xdr:col>10</xdr:col>
      <xdr:colOff>342900</xdr:colOff>
      <xdr:row>18</xdr:row>
      <xdr:rowOff>0</xdr:rowOff>
    </xdr:to>
    <xdr:sp macro="" textlink="">
      <xdr:nvSpPr>
        <xdr:cNvPr id="32144760" name="Oval 40">
          <a:extLst>
            <a:ext uri="{FF2B5EF4-FFF2-40B4-BE49-F238E27FC236}">
              <a16:creationId xmlns:a16="http://schemas.microsoft.com/office/drawing/2014/main" id="{00000000-0008-0000-1B00-0000787DEA01}"/>
            </a:ext>
          </a:extLst>
        </xdr:cNvPr>
        <xdr:cNvSpPr>
          <a:spLocks noChangeArrowheads="1"/>
        </xdr:cNvSpPr>
      </xdr:nvSpPr>
      <xdr:spPr bwMode="auto">
        <a:xfrm>
          <a:off x="7410450" y="8220075"/>
          <a:ext cx="200025" cy="0"/>
        </a:xfrm>
        <a:prstGeom prst="ellipse">
          <a:avLst/>
        </a:prstGeom>
        <a:solidFill>
          <a:srgbClr val="FFFF00"/>
        </a:solidFill>
        <a:ln>
          <a:noFill/>
        </a:ln>
        <a:extLst>
          <a:ext uri="{91240B29-F687-4F45-9708-019B960494DF}">
            <a14:hiddenLine xmlns:a14="http://schemas.microsoft.com/office/drawing/2010/main" w="9525">
              <a:solidFill>
                <a:srgbClr val="000000"/>
              </a:solidFill>
              <a:round/>
              <a:headEnd/>
              <a:tailEnd/>
            </a14:hiddenLine>
          </a:ext>
        </a:extLst>
      </xdr:spPr>
    </xdr:sp>
    <xdr:clientData/>
  </xdr:twoCellAnchor>
  <xdr:twoCellAnchor>
    <xdr:from>
      <xdr:col>9</xdr:col>
      <xdr:colOff>200025</xdr:colOff>
      <xdr:row>11</xdr:row>
      <xdr:rowOff>371475</xdr:rowOff>
    </xdr:from>
    <xdr:to>
      <xdr:col>9</xdr:col>
      <xdr:colOff>304800</xdr:colOff>
      <xdr:row>11</xdr:row>
      <xdr:rowOff>476250</xdr:rowOff>
    </xdr:to>
    <xdr:sp macro="" textlink="">
      <xdr:nvSpPr>
        <xdr:cNvPr id="32144761" name="2 Elipse">
          <a:extLst>
            <a:ext uri="{FF2B5EF4-FFF2-40B4-BE49-F238E27FC236}">
              <a16:creationId xmlns:a16="http://schemas.microsoft.com/office/drawing/2014/main" id="{00000000-0008-0000-1B00-0000797DEA01}"/>
            </a:ext>
          </a:extLst>
        </xdr:cNvPr>
        <xdr:cNvSpPr>
          <a:spLocks noChangeArrowheads="1"/>
        </xdr:cNvSpPr>
      </xdr:nvSpPr>
      <xdr:spPr bwMode="auto">
        <a:xfrm>
          <a:off x="6934200" y="2914650"/>
          <a:ext cx="104775" cy="104775"/>
        </a:xfrm>
        <a:prstGeom prst="ellipse">
          <a:avLst/>
        </a:prstGeom>
        <a:solidFill>
          <a:srgbClr val="00FF00"/>
        </a:solidFill>
        <a:ln w="76200">
          <a:solidFill>
            <a:srgbClr val="00FF00"/>
          </a:solidFill>
          <a:round/>
          <a:headEnd/>
          <a:tailEnd/>
        </a:ln>
      </xdr:spPr>
    </xdr:sp>
    <xdr:clientData/>
  </xdr:twoCellAnchor>
  <xdr:twoCellAnchor>
    <xdr:from>
      <xdr:col>10</xdr:col>
      <xdr:colOff>142875</xdr:colOff>
      <xdr:row>11</xdr:row>
      <xdr:rowOff>371475</xdr:rowOff>
    </xdr:from>
    <xdr:to>
      <xdr:col>10</xdr:col>
      <xdr:colOff>247650</xdr:colOff>
      <xdr:row>11</xdr:row>
      <xdr:rowOff>476250</xdr:rowOff>
    </xdr:to>
    <xdr:sp macro="" textlink="">
      <xdr:nvSpPr>
        <xdr:cNvPr id="32144762" name="125 Elipse">
          <a:extLst>
            <a:ext uri="{FF2B5EF4-FFF2-40B4-BE49-F238E27FC236}">
              <a16:creationId xmlns:a16="http://schemas.microsoft.com/office/drawing/2014/main" id="{00000000-0008-0000-1B00-00007A7DEA01}"/>
            </a:ext>
          </a:extLst>
        </xdr:cNvPr>
        <xdr:cNvSpPr>
          <a:spLocks noChangeArrowheads="1"/>
        </xdr:cNvSpPr>
      </xdr:nvSpPr>
      <xdr:spPr bwMode="auto">
        <a:xfrm>
          <a:off x="7410450" y="2914650"/>
          <a:ext cx="104775" cy="104775"/>
        </a:xfrm>
        <a:prstGeom prst="ellipse">
          <a:avLst/>
        </a:prstGeom>
        <a:solidFill>
          <a:srgbClr val="00FF00"/>
        </a:solidFill>
        <a:ln w="76200">
          <a:solidFill>
            <a:srgbClr val="00FF00"/>
          </a:solidFill>
          <a:round/>
          <a:headEnd/>
          <a:tailEnd/>
        </a:ln>
      </xdr:spPr>
    </xdr:sp>
    <xdr:clientData/>
  </xdr:twoCellAnchor>
  <xdr:twoCellAnchor>
    <xdr:from>
      <xdr:col>9</xdr:col>
      <xdr:colOff>200025</xdr:colOff>
      <xdr:row>12</xdr:row>
      <xdr:rowOff>409575</xdr:rowOff>
    </xdr:from>
    <xdr:to>
      <xdr:col>9</xdr:col>
      <xdr:colOff>304800</xdr:colOff>
      <xdr:row>12</xdr:row>
      <xdr:rowOff>514350</xdr:rowOff>
    </xdr:to>
    <xdr:sp macro="" textlink="">
      <xdr:nvSpPr>
        <xdr:cNvPr id="32144763" name="126 Elipse">
          <a:extLst>
            <a:ext uri="{FF2B5EF4-FFF2-40B4-BE49-F238E27FC236}">
              <a16:creationId xmlns:a16="http://schemas.microsoft.com/office/drawing/2014/main" id="{00000000-0008-0000-1B00-00007B7DEA01}"/>
            </a:ext>
          </a:extLst>
        </xdr:cNvPr>
        <xdr:cNvSpPr>
          <a:spLocks noChangeArrowheads="1"/>
        </xdr:cNvSpPr>
      </xdr:nvSpPr>
      <xdr:spPr bwMode="auto">
        <a:xfrm>
          <a:off x="6934200" y="3829050"/>
          <a:ext cx="104775" cy="104775"/>
        </a:xfrm>
        <a:prstGeom prst="ellipse">
          <a:avLst/>
        </a:prstGeom>
        <a:solidFill>
          <a:srgbClr val="00FF00"/>
        </a:solidFill>
        <a:ln w="76200">
          <a:solidFill>
            <a:srgbClr val="00FF00"/>
          </a:solidFill>
          <a:round/>
          <a:headEnd/>
          <a:tailEnd/>
        </a:ln>
      </xdr:spPr>
    </xdr:sp>
    <xdr:clientData/>
  </xdr:twoCellAnchor>
  <xdr:twoCellAnchor>
    <xdr:from>
      <xdr:col>10</xdr:col>
      <xdr:colOff>142875</xdr:colOff>
      <xdr:row>12</xdr:row>
      <xdr:rowOff>409575</xdr:rowOff>
    </xdr:from>
    <xdr:to>
      <xdr:col>10</xdr:col>
      <xdr:colOff>247650</xdr:colOff>
      <xdr:row>12</xdr:row>
      <xdr:rowOff>514350</xdr:rowOff>
    </xdr:to>
    <xdr:sp macro="" textlink="">
      <xdr:nvSpPr>
        <xdr:cNvPr id="32144764" name="127 Elipse">
          <a:extLst>
            <a:ext uri="{FF2B5EF4-FFF2-40B4-BE49-F238E27FC236}">
              <a16:creationId xmlns:a16="http://schemas.microsoft.com/office/drawing/2014/main" id="{00000000-0008-0000-1B00-00007C7DEA01}"/>
            </a:ext>
          </a:extLst>
        </xdr:cNvPr>
        <xdr:cNvSpPr>
          <a:spLocks noChangeArrowheads="1"/>
        </xdr:cNvSpPr>
      </xdr:nvSpPr>
      <xdr:spPr bwMode="auto">
        <a:xfrm>
          <a:off x="7410450" y="3829050"/>
          <a:ext cx="104775" cy="104775"/>
        </a:xfrm>
        <a:prstGeom prst="ellipse">
          <a:avLst/>
        </a:prstGeom>
        <a:solidFill>
          <a:srgbClr val="00FF00"/>
        </a:solidFill>
        <a:ln w="76200">
          <a:solidFill>
            <a:srgbClr val="00FF00"/>
          </a:solidFill>
          <a:round/>
          <a:headEnd/>
          <a:tailEnd/>
        </a:ln>
      </xdr:spPr>
    </xdr:sp>
    <xdr:clientData/>
  </xdr:twoCellAnchor>
  <xdr:twoCellAnchor>
    <xdr:from>
      <xdr:col>9</xdr:col>
      <xdr:colOff>200025</xdr:colOff>
      <xdr:row>13</xdr:row>
      <xdr:rowOff>371475</xdr:rowOff>
    </xdr:from>
    <xdr:to>
      <xdr:col>9</xdr:col>
      <xdr:colOff>304800</xdr:colOff>
      <xdr:row>13</xdr:row>
      <xdr:rowOff>476250</xdr:rowOff>
    </xdr:to>
    <xdr:sp macro="" textlink="">
      <xdr:nvSpPr>
        <xdr:cNvPr id="32144765" name="130 Elipse">
          <a:extLst>
            <a:ext uri="{FF2B5EF4-FFF2-40B4-BE49-F238E27FC236}">
              <a16:creationId xmlns:a16="http://schemas.microsoft.com/office/drawing/2014/main" id="{00000000-0008-0000-1B00-00007D7DEA01}"/>
            </a:ext>
          </a:extLst>
        </xdr:cNvPr>
        <xdr:cNvSpPr>
          <a:spLocks noChangeArrowheads="1"/>
        </xdr:cNvSpPr>
      </xdr:nvSpPr>
      <xdr:spPr bwMode="auto">
        <a:xfrm>
          <a:off x="6934200" y="4848225"/>
          <a:ext cx="104775" cy="104775"/>
        </a:xfrm>
        <a:prstGeom prst="ellipse">
          <a:avLst/>
        </a:prstGeom>
        <a:solidFill>
          <a:srgbClr val="FFFF00"/>
        </a:solidFill>
        <a:ln w="76200">
          <a:solidFill>
            <a:srgbClr val="FFFF00"/>
          </a:solidFill>
          <a:round/>
          <a:headEnd/>
          <a:tailEnd/>
        </a:ln>
      </xdr:spPr>
    </xdr:sp>
    <xdr:clientData/>
  </xdr:twoCellAnchor>
  <xdr:twoCellAnchor>
    <xdr:from>
      <xdr:col>11</xdr:col>
      <xdr:colOff>247650</xdr:colOff>
      <xdr:row>13</xdr:row>
      <xdr:rowOff>371475</xdr:rowOff>
    </xdr:from>
    <xdr:to>
      <xdr:col>11</xdr:col>
      <xdr:colOff>352425</xdr:colOff>
      <xdr:row>13</xdr:row>
      <xdr:rowOff>476250</xdr:rowOff>
    </xdr:to>
    <xdr:sp macro="" textlink="">
      <xdr:nvSpPr>
        <xdr:cNvPr id="32144766" name="132 Elipse">
          <a:extLst>
            <a:ext uri="{FF2B5EF4-FFF2-40B4-BE49-F238E27FC236}">
              <a16:creationId xmlns:a16="http://schemas.microsoft.com/office/drawing/2014/main" id="{00000000-0008-0000-1B00-00007E7DEA01}"/>
            </a:ext>
          </a:extLst>
        </xdr:cNvPr>
        <xdr:cNvSpPr>
          <a:spLocks noChangeArrowheads="1"/>
        </xdr:cNvSpPr>
      </xdr:nvSpPr>
      <xdr:spPr bwMode="auto">
        <a:xfrm>
          <a:off x="7934325" y="4848225"/>
          <a:ext cx="104775" cy="104775"/>
        </a:xfrm>
        <a:prstGeom prst="ellipse">
          <a:avLst/>
        </a:prstGeom>
        <a:solidFill>
          <a:srgbClr val="00FF00"/>
        </a:solidFill>
        <a:ln w="76200">
          <a:solidFill>
            <a:srgbClr val="00FF00"/>
          </a:solidFill>
          <a:round/>
          <a:headEnd/>
          <a:tailEnd/>
        </a:ln>
      </xdr:spPr>
    </xdr:sp>
    <xdr:clientData/>
  </xdr:twoCellAnchor>
  <xdr:twoCellAnchor>
    <xdr:from>
      <xdr:col>10</xdr:col>
      <xdr:colOff>161925</xdr:colOff>
      <xdr:row>14</xdr:row>
      <xdr:rowOff>323850</xdr:rowOff>
    </xdr:from>
    <xdr:to>
      <xdr:col>10</xdr:col>
      <xdr:colOff>266700</xdr:colOff>
      <xdr:row>14</xdr:row>
      <xdr:rowOff>428625</xdr:rowOff>
    </xdr:to>
    <xdr:sp macro="" textlink="">
      <xdr:nvSpPr>
        <xdr:cNvPr id="32144767" name="133 Elipse">
          <a:extLst>
            <a:ext uri="{FF2B5EF4-FFF2-40B4-BE49-F238E27FC236}">
              <a16:creationId xmlns:a16="http://schemas.microsoft.com/office/drawing/2014/main" id="{00000000-0008-0000-1B00-00007F7DEA01}"/>
            </a:ext>
          </a:extLst>
        </xdr:cNvPr>
        <xdr:cNvSpPr>
          <a:spLocks noChangeArrowheads="1"/>
        </xdr:cNvSpPr>
      </xdr:nvSpPr>
      <xdr:spPr bwMode="auto">
        <a:xfrm>
          <a:off x="7429500" y="5781675"/>
          <a:ext cx="104775" cy="104775"/>
        </a:xfrm>
        <a:prstGeom prst="ellipse">
          <a:avLst/>
        </a:prstGeom>
        <a:solidFill>
          <a:srgbClr val="00FF00"/>
        </a:solidFill>
        <a:ln w="76200">
          <a:solidFill>
            <a:srgbClr val="00FF00"/>
          </a:solidFill>
          <a:round/>
          <a:headEnd/>
          <a:tailEnd/>
        </a:ln>
      </xdr:spPr>
    </xdr:sp>
    <xdr:clientData/>
  </xdr:twoCellAnchor>
  <xdr:twoCellAnchor>
    <xdr:from>
      <xdr:col>9</xdr:col>
      <xdr:colOff>209550</xdr:colOff>
      <xdr:row>15</xdr:row>
      <xdr:rowOff>285750</xdr:rowOff>
    </xdr:from>
    <xdr:to>
      <xdr:col>9</xdr:col>
      <xdr:colOff>314325</xdr:colOff>
      <xdr:row>15</xdr:row>
      <xdr:rowOff>390525</xdr:rowOff>
    </xdr:to>
    <xdr:sp macro="" textlink="">
      <xdr:nvSpPr>
        <xdr:cNvPr id="32144768" name="135 Elipse">
          <a:extLst>
            <a:ext uri="{FF2B5EF4-FFF2-40B4-BE49-F238E27FC236}">
              <a16:creationId xmlns:a16="http://schemas.microsoft.com/office/drawing/2014/main" id="{00000000-0008-0000-1B00-0000807DEA01}"/>
            </a:ext>
          </a:extLst>
        </xdr:cNvPr>
        <xdr:cNvSpPr>
          <a:spLocks noChangeArrowheads="1"/>
        </xdr:cNvSpPr>
      </xdr:nvSpPr>
      <xdr:spPr bwMode="auto">
        <a:xfrm>
          <a:off x="6943725" y="6562725"/>
          <a:ext cx="104775" cy="104775"/>
        </a:xfrm>
        <a:prstGeom prst="ellipse">
          <a:avLst/>
        </a:prstGeom>
        <a:solidFill>
          <a:srgbClr val="00FF00"/>
        </a:solidFill>
        <a:ln w="76200">
          <a:solidFill>
            <a:srgbClr val="00FF00"/>
          </a:solidFill>
          <a:round/>
          <a:headEnd/>
          <a:tailEnd/>
        </a:ln>
      </xdr:spPr>
    </xdr:sp>
    <xdr:clientData/>
  </xdr:twoCellAnchor>
  <xdr:twoCellAnchor>
    <xdr:from>
      <xdr:col>10</xdr:col>
      <xdr:colOff>171450</xdr:colOff>
      <xdr:row>15</xdr:row>
      <xdr:rowOff>295275</xdr:rowOff>
    </xdr:from>
    <xdr:to>
      <xdr:col>10</xdr:col>
      <xdr:colOff>276225</xdr:colOff>
      <xdr:row>15</xdr:row>
      <xdr:rowOff>400050</xdr:rowOff>
    </xdr:to>
    <xdr:sp macro="" textlink="">
      <xdr:nvSpPr>
        <xdr:cNvPr id="32144769" name="136 Elipse">
          <a:extLst>
            <a:ext uri="{FF2B5EF4-FFF2-40B4-BE49-F238E27FC236}">
              <a16:creationId xmlns:a16="http://schemas.microsoft.com/office/drawing/2014/main" id="{00000000-0008-0000-1B00-0000817DEA01}"/>
            </a:ext>
          </a:extLst>
        </xdr:cNvPr>
        <xdr:cNvSpPr>
          <a:spLocks noChangeArrowheads="1"/>
        </xdr:cNvSpPr>
      </xdr:nvSpPr>
      <xdr:spPr bwMode="auto">
        <a:xfrm>
          <a:off x="7439025" y="6572250"/>
          <a:ext cx="104775" cy="104775"/>
        </a:xfrm>
        <a:prstGeom prst="ellipse">
          <a:avLst/>
        </a:prstGeom>
        <a:solidFill>
          <a:srgbClr val="00FF00"/>
        </a:solidFill>
        <a:ln w="76200">
          <a:solidFill>
            <a:srgbClr val="00FF00"/>
          </a:solidFill>
          <a:round/>
          <a:headEnd/>
          <a:tailEnd/>
        </a:ln>
      </xdr:spPr>
    </xdr:sp>
    <xdr:clientData/>
  </xdr:twoCellAnchor>
  <xdr:twoCellAnchor>
    <xdr:from>
      <xdr:col>11</xdr:col>
      <xdr:colOff>238125</xdr:colOff>
      <xdr:row>15</xdr:row>
      <xdr:rowOff>285750</xdr:rowOff>
    </xdr:from>
    <xdr:to>
      <xdr:col>11</xdr:col>
      <xdr:colOff>342900</xdr:colOff>
      <xdr:row>15</xdr:row>
      <xdr:rowOff>390525</xdr:rowOff>
    </xdr:to>
    <xdr:sp macro="" textlink="">
      <xdr:nvSpPr>
        <xdr:cNvPr id="32144770" name="137 Elipse">
          <a:extLst>
            <a:ext uri="{FF2B5EF4-FFF2-40B4-BE49-F238E27FC236}">
              <a16:creationId xmlns:a16="http://schemas.microsoft.com/office/drawing/2014/main" id="{00000000-0008-0000-1B00-0000827DEA01}"/>
            </a:ext>
          </a:extLst>
        </xdr:cNvPr>
        <xdr:cNvSpPr>
          <a:spLocks noChangeArrowheads="1"/>
        </xdr:cNvSpPr>
      </xdr:nvSpPr>
      <xdr:spPr bwMode="auto">
        <a:xfrm>
          <a:off x="7924800" y="6562725"/>
          <a:ext cx="104775" cy="104775"/>
        </a:xfrm>
        <a:prstGeom prst="ellipse">
          <a:avLst/>
        </a:prstGeom>
        <a:solidFill>
          <a:srgbClr val="00FF00"/>
        </a:solidFill>
        <a:ln w="76200">
          <a:solidFill>
            <a:srgbClr val="00FF00"/>
          </a:solidFill>
          <a:round/>
          <a:headEnd/>
          <a:tailEnd/>
        </a:ln>
      </xdr:spPr>
    </xdr:sp>
    <xdr:clientData/>
  </xdr:twoCellAnchor>
  <xdr:twoCellAnchor>
    <xdr:from>
      <xdr:col>9</xdr:col>
      <xdr:colOff>200025</xdr:colOff>
      <xdr:row>18</xdr:row>
      <xdr:rowOff>66675</xdr:rowOff>
    </xdr:from>
    <xdr:to>
      <xdr:col>9</xdr:col>
      <xdr:colOff>304800</xdr:colOff>
      <xdr:row>18</xdr:row>
      <xdr:rowOff>171450</xdr:rowOff>
    </xdr:to>
    <xdr:sp macro="" textlink="">
      <xdr:nvSpPr>
        <xdr:cNvPr id="32144771" name="140 Elipse">
          <a:extLst>
            <a:ext uri="{FF2B5EF4-FFF2-40B4-BE49-F238E27FC236}">
              <a16:creationId xmlns:a16="http://schemas.microsoft.com/office/drawing/2014/main" id="{00000000-0008-0000-1B00-0000837DEA01}"/>
            </a:ext>
          </a:extLst>
        </xdr:cNvPr>
        <xdr:cNvSpPr>
          <a:spLocks noChangeArrowheads="1"/>
        </xdr:cNvSpPr>
      </xdr:nvSpPr>
      <xdr:spPr bwMode="auto">
        <a:xfrm>
          <a:off x="6934200" y="8286750"/>
          <a:ext cx="104775" cy="104775"/>
        </a:xfrm>
        <a:prstGeom prst="ellipse">
          <a:avLst/>
        </a:prstGeom>
        <a:solidFill>
          <a:srgbClr val="008000"/>
        </a:solidFill>
        <a:ln w="76200">
          <a:solidFill>
            <a:srgbClr val="008000"/>
          </a:solidFill>
          <a:round/>
          <a:headEnd/>
          <a:tailEnd/>
        </a:ln>
      </xdr:spPr>
    </xdr:sp>
    <xdr:clientData/>
  </xdr:twoCellAnchor>
  <xdr:twoCellAnchor>
    <xdr:from>
      <xdr:col>10</xdr:col>
      <xdr:colOff>142875</xdr:colOff>
      <xdr:row>18</xdr:row>
      <xdr:rowOff>66675</xdr:rowOff>
    </xdr:from>
    <xdr:to>
      <xdr:col>10</xdr:col>
      <xdr:colOff>247650</xdr:colOff>
      <xdr:row>18</xdr:row>
      <xdr:rowOff>171450</xdr:rowOff>
    </xdr:to>
    <xdr:sp macro="" textlink="">
      <xdr:nvSpPr>
        <xdr:cNvPr id="32144772" name="141 Elipse">
          <a:extLst>
            <a:ext uri="{FF2B5EF4-FFF2-40B4-BE49-F238E27FC236}">
              <a16:creationId xmlns:a16="http://schemas.microsoft.com/office/drawing/2014/main" id="{00000000-0008-0000-1B00-0000847DEA01}"/>
            </a:ext>
          </a:extLst>
        </xdr:cNvPr>
        <xdr:cNvSpPr>
          <a:spLocks noChangeArrowheads="1"/>
        </xdr:cNvSpPr>
      </xdr:nvSpPr>
      <xdr:spPr bwMode="auto">
        <a:xfrm>
          <a:off x="7410450" y="8286750"/>
          <a:ext cx="104775" cy="104775"/>
        </a:xfrm>
        <a:prstGeom prst="ellipse">
          <a:avLst/>
        </a:prstGeom>
        <a:solidFill>
          <a:srgbClr val="008000"/>
        </a:solidFill>
        <a:ln w="76200">
          <a:solidFill>
            <a:srgbClr val="008000"/>
          </a:solidFill>
          <a:round/>
          <a:headEnd/>
          <a:tailEnd/>
        </a:ln>
      </xdr:spPr>
    </xdr:sp>
    <xdr:clientData/>
  </xdr:twoCellAnchor>
  <xdr:twoCellAnchor>
    <xdr:from>
      <xdr:col>9</xdr:col>
      <xdr:colOff>200025</xdr:colOff>
      <xdr:row>18</xdr:row>
      <xdr:rowOff>66675</xdr:rowOff>
    </xdr:from>
    <xdr:to>
      <xdr:col>9</xdr:col>
      <xdr:colOff>304800</xdr:colOff>
      <xdr:row>18</xdr:row>
      <xdr:rowOff>171450</xdr:rowOff>
    </xdr:to>
    <xdr:sp macro="" textlink="">
      <xdr:nvSpPr>
        <xdr:cNvPr id="32144773" name="142 Elipse">
          <a:extLst>
            <a:ext uri="{FF2B5EF4-FFF2-40B4-BE49-F238E27FC236}">
              <a16:creationId xmlns:a16="http://schemas.microsoft.com/office/drawing/2014/main" id="{00000000-0008-0000-1B00-0000857DEA01}"/>
            </a:ext>
          </a:extLst>
        </xdr:cNvPr>
        <xdr:cNvSpPr>
          <a:spLocks noChangeArrowheads="1"/>
        </xdr:cNvSpPr>
      </xdr:nvSpPr>
      <xdr:spPr bwMode="auto">
        <a:xfrm>
          <a:off x="6934200" y="8286750"/>
          <a:ext cx="104775" cy="104775"/>
        </a:xfrm>
        <a:prstGeom prst="ellipse">
          <a:avLst/>
        </a:prstGeom>
        <a:solidFill>
          <a:srgbClr val="00FF00"/>
        </a:solidFill>
        <a:ln w="76200">
          <a:solidFill>
            <a:srgbClr val="00FF00"/>
          </a:solidFill>
          <a:round/>
          <a:headEnd/>
          <a:tailEnd/>
        </a:ln>
      </xdr:spPr>
    </xdr:sp>
    <xdr:clientData/>
  </xdr:twoCellAnchor>
  <xdr:twoCellAnchor>
    <xdr:from>
      <xdr:col>10</xdr:col>
      <xdr:colOff>142875</xdr:colOff>
      <xdr:row>18</xdr:row>
      <xdr:rowOff>66675</xdr:rowOff>
    </xdr:from>
    <xdr:to>
      <xdr:col>10</xdr:col>
      <xdr:colOff>247650</xdr:colOff>
      <xdr:row>18</xdr:row>
      <xdr:rowOff>171450</xdr:rowOff>
    </xdr:to>
    <xdr:sp macro="" textlink="">
      <xdr:nvSpPr>
        <xdr:cNvPr id="32144774" name="143 Elipse">
          <a:extLst>
            <a:ext uri="{FF2B5EF4-FFF2-40B4-BE49-F238E27FC236}">
              <a16:creationId xmlns:a16="http://schemas.microsoft.com/office/drawing/2014/main" id="{00000000-0008-0000-1B00-0000867DEA01}"/>
            </a:ext>
          </a:extLst>
        </xdr:cNvPr>
        <xdr:cNvSpPr>
          <a:spLocks noChangeArrowheads="1"/>
        </xdr:cNvSpPr>
      </xdr:nvSpPr>
      <xdr:spPr bwMode="auto">
        <a:xfrm>
          <a:off x="7410450" y="8286750"/>
          <a:ext cx="104775" cy="104775"/>
        </a:xfrm>
        <a:prstGeom prst="ellipse">
          <a:avLst/>
        </a:prstGeom>
        <a:solidFill>
          <a:srgbClr val="FFFF00"/>
        </a:solidFill>
        <a:ln w="76200">
          <a:solidFill>
            <a:srgbClr val="FFFF00"/>
          </a:solidFill>
          <a:round/>
          <a:headEnd/>
          <a:tailEnd/>
        </a:ln>
      </xdr:spPr>
    </xdr:sp>
    <xdr:clientData/>
  </xdr:twoCellAnchor>
  <xdr:twoCellAnchor>
    <xdr:from>
      <xdr:col>9</xdr:col>
      <xdr:colOff>200025</xdr:colOff>
      <xdr:row>19</xdr:row>
      <xdr:rowOff>152400</xdr:rowOff>
    </xdr:from>
    <xdr:to>
      <xdr:col>9</xdr:col>
      <xdr:colOff>304800</xdr:colOff>
      <xdr:row>19</xdr:row>
      <xdr:rowOff>257175</xdr:rowOff>
    </xdr:to>
    <xdr:sp macro="" textlink="">
      <xdr:nvSpPr>
        <xdr:cNvPr id="32144775" name="146 Elipse">
          <a:extLst>
            <a:ext uri="{FF2B5EF4-FFF2-40B4-BE49-F238E27FC236}">
              <a16:creationId xmlns:a16="http://schemas.microsoft.com/office/drawing/2014/main" id="{00000000-0008-0000-1B00-0000877DEA01}"/>
            </a:ext>
          </a:extLst>
        </xdr:cNvPr>
        <xdr:cNvSpPr>
          <a:spLocks noChangeArrowheads="1"/>
        </xdr:cNvSpPr>
      </xdr:nvSpPr>
      <xdr:spPr bwMode="auto">
        <a:xfrm>
          <a:off x="6934200" y="8982075"/>
          <a:ext cx="104775" cy="104775"/>
        </a:xfrm>
        <a:prstGeom prst="ellipse">
          <a:avLst/>
        </a:prstGeom>
        <a:solidFill>
          <a:srgbClr val="FFFF00"/>
        </a:solidFill>
        <a:ln w="76200">
          <a:solidFill>
            <a:srgbClr val="FFFF00"/>
          </a:solidFill>
          <a:round/>
          <a:headEnd/>
          <a:tailEnd/>
        </a:ln>
      </xdr:spPr>
    </xdr:sp>
    <xdr:clientData/>
  </xdr:twoCellAnchor>
  <xdr:twoCellAnchor>
    <xdr:from>
      <xdr:col>10</xdr:col>
      <xdr:colOff>142875</xdr:colOff>
      <xdr:row>19</xdr:row>
      <xdr:rowOff>152400</xdr:rowOff>
    </xdr:from>
    <xdr:to>
      <xdr:col>10</xdr:col>
      <xdr:colOff>247650</xdr:colOff>
      <xdr:row>19</xdr:row>
      <xdr:rowOff>257175</xdr:rowOff>
    </xdr:to>
    <xdr:sp macro="" textlink="">
      <xdr:nvSpPr>
        <xdr:cNvPr id="32144776" name="147 Elipse">
          <a:extLst>
            <a:ext uri="{FF2B5EF4-FFF2-40B4-BE49-F238E27FC236}">
              <a16:creationId xmlns:a16="http://schemas.microsoft.com/office/drawing/2014/main" id="{00000000-0008-0000-1B00-0000887DEA01}"/>
            </a:ext>
          </a:extLst>
        </xdr:cNvPr>
        <xdr:cNvSpPr>
          <a:spLocks noChangeArrowheads="1"/>
        </xdr:cNvSpPr>
      </xdr:nvSpPr>
      <xdr:spPr bwMode="auto">
        <a:xfrm>
          <a:off x="7410450" y="8982075"/>
          <a:ext cx="104775" cy="104775"/>
        </a:xfrm>
        <a:prstGeom prst="ellipse">
          <a:avLst/>
        </a:prstGeom>
        <a:solidFill>
          <a:srgbClr val="00FF00"/>
        </a:solidFill>
        <a:ln w="76200">
          <a:solidFill>
            <a:srgbClr val="00FF00"/>
          </a:solidFill>
          <a:round/>
          <a:headEnd/>
          <a:tailEnd/>
        </a:ln>
      </xdr:spPr>
    </xdr:sp>
    <xdr:clientData/>
  </xdr:twoCellAnchor>
  <xdr:twoCellAnchor>
    <xdr:from>
      <xdr:col>9</xdr:col>
      <xdr:colOff>200025</xdr:colOff>
      <xdr:row>20</xdr:row>
      <xdr:rowOff>66675</xdr:rowOff>
    </xdr:from>
    <xdr:to>
      <xdr:col>9</xdr:col>
      <xdr:colOff>304800</xdr:colOff>
      <xdr:row>20</xdr:row>
      <xdr:rowOff>171450</xdr:rowOff>
    </xdr:to>
    <xdr:sp macro="" textlink="">
      <xdr:nvSpPr>
        <xdr:cNvPr id="32144777" name="148 Elipse">
          <a:extLst>
            <a:ext uri="{FF2B5EF4-FFF2-40B4-BE49-F238E27FC236}">
              <a16:creationId xmlns:a16="http://schemas.microsoft.com/office/drawing/2014/main" id="{00000000-0008-0000-1B00-0000897DEA01}"/>
            </a:ext>
          </a:extLst>
        </xdr:cNvPr>
        <xdr:cNvSpPr>
          <a:spLocks noChangeArrowheads="1"/>
        </xdr:cNvSpPr>
      </xdr:nvSpPr>
      <xdr:spPr bwMode="auto">
        <a:xfrm>
          <a:off x="6934200" y="9334500"/>
          <a:ext cx="104775" cy="104775"/>
        </a:xfrm>
        <a:prstGeom prst="ellipse">
          <a:avLst/>
        </a:prstGeom>
        <a:solidFill>
          <a:srgbClr val="008000"/>
        </a:solidFill>
        <a:ln w="76200">
          <a:solidFill>
            <a:srgbClr val="008000"/>
          </a:solidFill>
          <a:round/>
          <a:headEnd/>
          <a:tailEnd/>
        </a:ln>
      </xdr:spPr>
    </xdr:sp>
    <xdr:clientData/>
  </xdr:twoCellAnchor>
  <xdr:twoCellAnchor>
    <xdr:from>
      <xdr:col>10</xdr:col>
      <xdr:colOff>142875</xdr:colOff>
      <xdr:row>20</xdr:row>
      <xdr:rowOff>66675</xdr:rowOff>
    </xdr:from>
    <xdr:to>
      <xdr:col>10</xdr:col>
      <xdr:colOff>247650</xdr:colOff>
      <xdr:row>20</xdr:row>
      <xdr:rowOff>171450</xdr:rowOff>
    </xdr:to>
    <xdr:sp macro="" textlink="">
      <xdr:nvSpPr>
        <xdr:cNvPr id="32144778" name="149 Elipse">
          <a:extLst>
            <a:ext uri="{FF2B5EF4-FFF2-40B4-BE49-F238E27FC236}">
              <a16:creationId xmlns:a16="http://schemas.microsoft.com/office/drawing/2014/main" id="{00000000-0008-0000-1B00-00008A7DEA01}"/>
            </a:ext>
          </a:extLst>
        </xdr:cNvPr>
        <xdr:cNvSpPr>
          <a:spLocks noChangeArrowheads="1"/>
        </xdr:cNvSpPr>
      </xdr:nvSpPr>
      <xdr:spPr bwMode="auto">
        <a:xfrm>
          <a:off x="7410450" y="9334500"/>
          <a:ext cx="104775" cy="104775"/>
        </a:xfrm>
        <a:prstGeom prst="ellipse">
          <a:avLst/>
        </a:prstGeom>
        <a:solidFill>
          <a:srgbClr val="008000"/>
        </a:solidFill>
        <a:ln w="76200">
          <a:solidFill>
            <a:srgbClr val="008000"/>
          </a:solidFill>
          <a:round/>
          <a:headEnd/>
          <a:tailEnd/>
        </a:ln>
      </xdr:spPr>
    </xdr:sp>
    <xdr:clientData/>
  </xdr:twoCellAnchor>
  <xdr:twoCellAnchor>
    <xdr:from>
      <xdr:col>9</xdr:col>
      <xdr:colOff>200025</xdr:colOff>
      <xdr:row>20</xdr:row>
      <xdr:rowOff>66675</xdr:rowOff>
    </xdr:from>
    <xdr:to>
      <xdr:col>9</xdr:col>
      <xdr:colOff>304800</xdr:colOff>
      <xdr:row>20</xdr:row>
      <xdr:rowOff>171450</xdr:rowOff>
    </xdr:to>
    <xdr:sp macro="" textlink="">
      <xdr:nvSpPr>
        <xdr:cNvPr id="32144779" name="150 Elipse">
          <a:extLst>
            <a:ext uri="{FF2B5EF4-FFF2-40B4-BE49-F238E27FC236}">
              <a16:creationId xmlns:a16="http://schemas.microsoft.com/office/drawing/2014/main" id="{00000000-0008-0000-1B00-00008B7DEA01}"/>
            </a:ext>
          </a:extLst>
        </xdr:cNvPr>
        <xdr:cNvSpPr>
          <a:spLocks noChangeArrowheads="1"/>
        </xdr:cNvSpPr>
      </xdr:nvSpPr>
      <xdr:spPr bwMode="auto">
        <a:xfrm>
          <a:off x="6934200" y="9334500"/>
          <a:ext cx="104775" cy="104775"/>
        </a:xfrm>
        <a:prstGeom prst="ellipse">
          <a:avLst/>
        </a:prstGeom>
        <a:solidFill>
          <a:srgbClr val="FFFF00"/>
        </a:solidFill>
        <a:ln w="76200">
          <a:solidFill>
            <a:srgbClr val="FFFF00"/>
          </a:solidFill>
          <a:round/>
          <a:headEnd/>
          <a:tailEnd/>
        </a:ln>
      </xdr:spPr>
    </xdr:sp>
    <xdr:clientData/>
  </xdr:twoCellAnchor>
  <xdr:twoCellAnchor>
    <xdr:from>
      <xdr:col>10</xdr:col>
      <xdr:colOff>142875</xdr:colOff>
      <xdr:row>20</xdr:row>
      <xdr:rowOff>66675</xdr:rowOff>
    </xdr:from>
    <xdr:to>
      <xdr:col>10</xdr:col>
      <xdr:colOff>247650</xdr:colOff>
      <xdr:row>20</xdr:row>
      <xdr:rowOff>171450</xdr:rowOff>
    </xdr:to>
    <xdr:sp macro="" textlink="">
      <xdr:nvSpPr>
        <xdr:cNvPr id="32144780" name="151 Elipse">
          <a:extLst>
            <a:ext uri="{FF2B5EF4-FFF2-40B4-BE49-F238E27FC236}">
              <a16:creationId xmlns:a16="http://schemas.microsoft.com/office/drawing/2014/main" id="{00000000-0008-0000-1B00-00008C7DEA01}"/>
            </a:ext>
          </a:extLst>
        </xdr:cNvPr>
        <xdr:cNvSpPr>
          <a:spLocks noChangeArrowheads="1"/>
        </xdr:cNvSpPr>
      </xdr:nvSpPr>
      <xdr:spPr bwMode="auto">
        <a:xfrm>
          <a:off x="7410450" y="9334500"/>
          <a:ext cx="104775" cy="104775"/>
        </a:xfrm>
        <a:prstGeom prst="ellipse">
          <a:avLst/>
        </a:prstGeom>
        <a:solidFill>
          <a:srgbClr val="00FF00"/>
        </a:solidFill>
        <a:ln w="76200">
          <a:solidFill>
            <a:srgbClr val="00FF00"/>
          </a:solidFill>
          <a:round/>
          <a:headEnd/>
          <a:tailEnd/>
        </a:ln>
      </xdr:spPr>
    </xdr:sp>
    <xdr:clientData/>
  </xdr:twoCellAnchor>
  <xdr:twoCellAnchor>
    <xdr:from>
      <xdr:col>9</xdr:col>
      <xdr:colOff>190500</xdr:colOff>
      <xdr:row>21</xdr:row>
      <xdr:rowOff>247650</xdr:rowOff>
    </xdr:from>
    <xdr:to>
      <xdr:col>9</xdr:col>
      <xdr:colOff>295275</xdr:colOff>
      <xdr:row>21</xdr:row>
      <xdr:rowOff>352425</xdr:rowOff>
    </xdr:to>
    <xdr:sp macro="" textlink="">
      <xdr:nvSpPr>
        <xdr:cNvPr id="32144781" name="154 Elipse">
          <a:extLst>
            <a:ext uri="{FF2B5EF4-FFF2-40B4-BE49-F238E27FC236}">
              <a16:creationId xmlns:a16="http://schemas.microsoft.com/office/drawing/2014/main" id="{00000000-0008-0000-1B00-00008D7DEA01}"/>
            </a:ext>
          </a:extLst>
        </xdr:cNvPr>
        <xdr:cNvSpPr>
          <a:spLocks noChangeArrowheads="1"/>
        </xdr:cNvSpPr>
      </xdr:nvSpPr>
      <xdr:spPr bwMode="auto">
        <a:xfrm>
          <a:off x="6924675" y="10267950"/>
          <a:ext cx="104775" cy="104775"/>
        </a:xfrm>
        <a:prstGeom prst="ellipse">
          <a:avLst/>
        </a:prstGeom>
        <a:solidFill>
          <a:srgbClr val="FF0000"/>
        </a:solidFill>
        <a:ln w="76200">
          <a:solidFill>
            <a:srgbClr val="FF0000"/>
          </a:solidFill>
          <a:round/>
          <a:headEnd/>
          <a:tailEnd/>
        </a:ln>
      </xdr:spPr>
    </xdr:sp>
    <xdr:clientData/>
  </xdr:twoCellAnchor>
  <xdr:twoCellAnchor>
    <xdr:from>
      <xdr:col>10</xdr:col>
      <xdr:colOff>152400</xdr:colOff>
      <xdr:row>21</xdr:row>
      <xdr:rowOff>247650</xdr:rowOff>
    </xdr:from>
    <xdr:to>
      <xdr:col>10</xdr:col>
      <xdr:colOff>257175</xdr:colOff>
      <xdr:row>21</xdr:row>
      <xdr:rowOff>352425</xdr:rowOff>
    </xdr:to>
    <xdr:sp macro="" textlink="">
      <xdr:nvSpPr>
        <xdr:cNvPr id="32144782" name="155 Elipse">
          <a:extLst>
            <a:ext uri="{FF2B5EF4-FFF2-40B4-BE49-F238E27FC236}">
              <a16:creationId xmlns:a16="http://schemas.microsoft.com/office/drawing/2014/main" id="{00000000-0008-0000-1B00-00008E7DEA01}"/>
            </a:ext>
          </a:extLst>
        </xdr:cNvPr>
        <xdr:cNvSpPr>
          <a:spLocks noChangeArrowheads="1"/>
        </xdr:cNvSpPr>
      </xdr:nvSpPr>
      <xdr:spPr bwMode="auto">
        <a:xfrm>
          <a:off x="7419975" y="10267950"/>
          <a:ext cx="104775" cy="104775"/>
        </a:xfrm>
        <a:prstGeom prst="ellipse">
          <a:avLst/>
        </a:prstGeom>
        <a:solidFill>
          <a:srgbClr val="FF0000"/>
        </a:solidFill>
        <a:ln w="76200">
          <a:solidFill>
            <a:srgbClr val="FF0000"/>
          </a:solidFill>
          <a:round/>
          <a:headEnd/>
          <a:tailEnd/>
        </a:ln>
      </xdr:spPr>
    </xdr:sp>
    <xdr:clientData/>
  </xdr:twoCellAnchor>
  <xdr:twoCellAnchor>
    <xdr:from>
      <xdr:col>9</xdr:col>
      <xdr:colOff>200025</xdr:colOff>
      <xdr:row>22</xdr:row>
      <xdr:rowOff>66675</xdr:rowOff>
    </xdr:from>
    <xdr:to>
      <xdr:col>9</xdr:col>
      <xdr:colOff>304800</xdr:colOff>
      <xdr:row>22</xdr:row>
      <xdr:rowOff>171450</xdr:rowOff>
    </xdr:to>
    <xdr:sp macro="" textlink="">
      <xdr:nvSpPr>
        <xdr:cNvPr id="32144783" name="156 Elipse">
          <a:extLst>
            <a:ext uri="{FF2B5EF4-FFF2-40B4-BE49-F238E27FC236}">
              <a16:creationId xmlns:a16="http://schemas.microsoft.com/office/drawing/2014/main" id="{00000000-0008-0000-1B00-00008F7DEA01}"/>
            </a:ext>
          </a:extLst>
        </xdr:cNvPr>
        <xdr:cNvSpPr>
          <a:spLocks noChangeArrowheads="1"/>
        </xdr:cNvSpPr>
      </xdr:nvSpPr>
      <xdr:spPr bwMode="auto">
        <a:xfrm>
          <a:off x="6934200" y="10668000"/>
          <a:ext cx="104775" cy="104775"/>
        </a:xfrm>
        <a:prstGeom prst="ellipse">
          <a:avLst/>
        </a:prstGeom>
        <a:solidFill>
          <a:srgbClr val="008000"/>
        </a:solidFill>
        <a:ln w="76200">
          <a:solidFill>
            <a:srgbClr val="008000"/>
          </a:solidFill>
          <a:round/>
          <a:headEnd/>
          <a:tailEnd/>
        </a:ln>
      </xdr:spPr>
    </xdr:sp>
    <xdr:clientData/>
  </xdr:twoCellAnchor>
  <xdr:twoCellAnchor>
    <xdr:from>
      <xdr:col>10</xdr:col>
      <xdr:colOff>142875</xdr:colOff>
      <xdr:row>22</xdr:row>
      <xdr:rowOff>66675</xdr:rowOff>
    </xdr:from>
    <xdr:to>
      <xdr:col>10</xdr:col>
      <xdr:colOff>247650</xdr:colOff>
      <xdr:row>22</xdr:row>
      <xdr:rowOff>171450</xdr:rowOff>
    </xdr:to>
    <xdr:sp macro="" textlink="">
      <xdr:nvSpPr>
        <xdr:cNvPr id="32144784" name="157 Elipse">
          <a:extLst>
            <a:ext uri="{FF2B5EF4-FFF2-40B4-BE49-F238E27FC236}">
              <a16:creationId xmlns:a16="http://schemas.microsoft.com/office/drawing/2014/main" id="{00000000-0008-0000-1B00-0000907DEA01}"/>
            </a:ext>
          </a:extLst>
        </xdr:cNvPr>
        <xdr:cNvSpPr>
          <a:spLocks noChangeArrowheads="1"/>
        </xdr:cNvSpPr>
      </xdr:nvSpPr>
      <xdr:spPr bwMode="auto">
        <a:xfrm>
          <a:off x="7410450" y="10668000"/>
          <a:ext cx="104775" cy="104775"/>
        </a:xfrm>
        <a:prstGeom prst="ellipse">
          <a:avLst/>
        </a:prstGeom>
        <a:solidFill>
          <a:srgbClr val="008000"/>
        </a:solidFill>
        <a:ln w="76200">
          <a:solidFill>
            <a:srgbClr val="008000"/>
          </a:solidFill>
          <a:round/>
          <a:headEnd/>
          <a:tailEnd/>
        </a:ln>
      </xdr:spPr>
    </xdr:sp>
    <xdr:clientData/>
  </xdr:twoCellAnchor>
  <xdr:twoCellAnchor>
    <xdr:from>
      <xdr:col>9</xdr:col>
      <xdr:colOff>200025</xdr:colOff>
      <xdr:row>22</xdr:row>
      <xdr:rowOff>66675</xdr:rowOff>
    </xdr:from>
    <xdr:to>
      <xdr:col>9</xdr:col>
      <xdr:colOff>304800</xdr:colOff>
      <xdr:row>22</xdr:row>
      <xdr:rowOff>171450</xdr:rowOff>
    </xdr:to>
    <xdr:sp macro="" textlink="">
      <xdr:nvSpPr>
        <xdr:cNvPr id="32144785" name="158 Elipse">
          <a:extLst>
            <a:ext uri="{FF2B5EF4-FFF2-40B4-BE49-F238E27FC236}">
              <a16:creationId xmlns:a16="http://schemas.microsoft.com/office/drawing/2014/main" id="{00000000-0008-0000-1B00-0000917DEA01}"/>
            </a:ext>
          </a:extLst>
        </xdr:cNvPr>
        <xdr:cNvSpPr>
          <a:spLocks noChangeArrowheads="1"/>
        </xdr:cNvSpPr>
      </xdr:nvSpPr>
      <xdr:spPr bwMode="auto">
        <a:xfrm>
          <a:off x="6934200" y="10668000"/>
          <a:ext cx="104775" cy="104775"/>
        </a:xfrm>
        <a:prstGeom prst="ellipse">
          <a:avLst/>
        </a:prstGeom>
        <a:solidFill>
          <a:srgbClr val="00FF00"/>
        </a:solidFill>
        <a:ln w="76200">
          <a:solidFill>
            <a:srgbClr val="00FF00"/>
          </a:solidFill>
          <a:round/>
          <a:headEnd/>
          <a:tailEnd/>
        </a:ln>
      </xdr:spPr>
    </xdr:sp>
    <xdr:clientData/>
  </xdr:twoCellAnchor>
  <xdr:twoCellAnchor>
    <xdr:from>
      <xdr:col>10</xdr:col>
      <xdr:colOff>142875</xdr:colOff>
      <xdr:row>22</xdr:row>
      <xdr:rowOff>66675</xdr:rowOff>
    </xdr:from>
    <xdr:to>
      <xdr:col>10</xdr:col>
      <xdr:colOff>247650</xdr:colOff>
      <xdr:row>22</xdr:row>
      <xdr:rowOff>171450</xdr:rowOff>
    </xdr:to>
    <xdr:sp macro="" textlink="">
      <xdr:nvSpPr>
        <xdr:cNvPr id="32144786" name="159 Elipse">
          <a:extLst>
            <a:ext uri="{FF2B5EF4-FFF2-40B4-BE49-F238E27FC236}">
              <a16:creationId xmlns:a16="http://schemas.microsoft.com/office/drawing/2014/main" id="{00000000-0008-0000-1B00-0000927DEA01}"/>
            </a:ext>
          </a:extLst>
        </xdr:cNvPr>
        <xdr:cNvSpPr>
          <a:spLocks noChangeArrowheads="1"/>
        </xdr:cNvSpPr>
      </xdr:nvSpPr>
      <xdr:spPr bwMode="auto">
        <a:xfrm>
          <a:off x="7410450" y="10668000"/>
          <a:ext cx="104775" cy="104775"/>
        </a:xfrm>
        <a:prstGeom prst="ellipse">
          <a:avLst/>
        </a:prstGeom>
        <a:solidFill>
          <a:srgbClr val="00FF00"/>
        </a:solidFill>
        <a:ln w="76200">
          <a:solidFill>
            <a:srgbClr val="00FF00"/>
          </a:solidFill>
          <a:round/>
          <a:headEnd/>
          <a:tailEnd/>
        </a:ln>
      </xdr:spPr>
    </xdr:sp>
    <xdr:clientData/>
  </xdr:twoCellAnchor>
  <xdr:twoCellAnchor>
    <xdr:from>
      <xdr:col>9</xdr:col>
      <xdr:colOff>200025</xdr:colOff>
      <xdr:row>23</xdr:row>
      <xdr:rowOff>66675</xdr:rowOff>
    </xdr:from>
    <xdr:to>
      <xdr:col>9</xdr:col>
      <xdr:colOff>304800</xdr:colOff>
      <xdr:row>23</xdr:row>
      <xdr:rowOff>171450</xdr:rowOff>
    </xdr:to>
    <xdr:sp macro="" textlink="">
      <xdr:nvSpPr>
        <xdr:cNvPr id="32144787" name="160 Elipse">
          <a:extLst>
            <a:ext uri="{FF2B5EF4-FFF2-40B4-BE49-F238E27FC236}">
              <a16:creationId xmlns:a16="http://schemas.microsoft.com/office/drawing/2014/main" id="{00000000-0008-0000-1B00-0000937DEA01}"/>
            </a:ext>
          </a:extLst>
        </xdr:cNvPr>
        <xdr:cNvSpPr>
          <a:spLocks noChangeArrowheads="1"/>
        </xdr:cNvSpPr>
      </xdr:nvSpPr>
      <xdr:spPr bwMode="auto">
        <a:xfrm>
          <a:off x="6934200" y="10896600"/>
          <a:ext cx="104775" cy="104775"/>
        </a:xfrm>
        <a:prstGeom prst="ellipse">
          <a:avLst/>
        </a:prstGeom>
        <a:solidFill>
          <a:srgbClr val="008000"/>
        </a:solidFill>
        <a:ln w="76200">
          <a:solidFill>
            <a:srgbClr val="008000"/>
          </a:solidFill>
          <a:round/>
          <a:headEnd/>
          <a:tailEnd/>
        </a:ln>
      </xdr:spPr>
    </xdr:sp>
    <xdr:clientData/>
  </xdr:twoCellAnchor>
  <xdr:twoCellAnchor>
    <xdr:from>
      <xdr:col>10</xdr:col>
      <xdr:colOff>142875</xdr:colOff>
      <xdr:row>23</xdr:row>
      <xdr:rowOff>66675</xdr:rowOff>
    </xdr:from>
    <xdr:to>
      <xdr:col>10</xdr:col>
      <xdr:colOff>247650</xdr:colOff>
      <xdr:row>23</xdr:row>
      <xdr:rowOff>171450</xdr:rowOff>
    </xdr:to>
    <xdr:sp macro="" textlink="">
      <xdr:nvSpPr>
        <xdr:cNvPr id="32144788" name="161 Elipse">
          <a:extLst>
            <a:ext uri="{FF2B5EF4-FFF2-40B4-BE49-F238E27FC236}">
              <a16:creationId xmlns:a16="http://schemas.microsoft.com/office/drawing/2014/main" id="{00000000-0008-0000-1B00-0000947DEA01}"/>
            </a:ext>
          </a:extLst>
        </xdr:cNvPr>
        <xdr:cNvSpPr>
          <a:spLocks noChangeArrowheads="1"/>
        </xdr:cNvSpPr>
      </xdr:nvSpPr>
      <xdr:spPr bwMode="auto">
        <a:xfrm>
          <a:off x="7410450" y="10896600"/>
          <a:ext cx="104775" cy="104775"/>
        </a:xfrm>
        <a:prstGeom prst="ellipse">
          <a:avLst/>
        </a:prstGeom>
        <a:solidFill>
          <a:srgbClr val="008000"/>
        </a:solidFill>
        <a:ln w="76200">
          <a:solidFill>
            <a:srgbClr val="008000"/>
          </a:solidFill>
          <a:round/>
          <a:headEnd/>
          <a:tailEnd/>
        </a:ln>
      </xdr:spPr>
    </xdr:sp>
    <xdr:clientData/>
  </xdr:twoCellAnchor>
  <xdr:twoCellAnchor>
    <xdr:from>
      <xdr:col>9</xdr:col>
      <xdr:colOff>200025</xdr:colOff>
      <xdr:row>23</xdr:row>
      <xdr:rowOff>66675</xdr:rowOff>
    </xdr:from>
    <xdr:to>
      <xdr:col>9</xdr:col>
      <xdr:colOff>304800</xdr:colOff>
      <xdr:row>23</xdr:row>
      <xdr:rowOff>171450</xdr:rowOff>
    </xdr:to>
    <xdr:sp macro="" textlink="">
      <xdr:nvSpPr>
        <xdr:cNvPr id="32144789" name="162 Elipse">
          <a:extLst>
            <a:ext uri="{FF2B5EF4-FFF2-40B4-BE49-F238E27FC236}">
              <a16:creationId xmlns:a16="http://schemas.microsoft.com/office/drawing/2014/main" id="{00000000-0008-0000-1B00-0000957DEA01}"/>
            </a:ext>
          </a:extLst>
        </xdr:cNvPr>
        <xdr:cNvSpPr>
          <a:spLocks noChangeArrowheads="1"/>
        </xdr:cNvSpPr>
      </xdr:nvSpPr>
      <xdr:spPr bwMode="auto">
        <a:xfrm>
          <a:off x="6934200" y="10896600"/>
          <a:ext cx="104775" cy="104775"/>
        </a:xfrm>
        <a:prstGeom prst="ellipse">
          <a:avLst/>
        </a:prstGeom>
        <a:solidFill>
          <a:srgbClr val="00FF00"/>
        </a:solidFill>
        <a:ln w="76200">
          <a:solidFill>
            <a:srgbClr val="00FF00"/>
          </a:solidFill>
          <a:round/>
          <a:headEnd/>
          <a:tailEnd/>
        </a:ln>
      </xdr:spPr>
    </xdr:sp>
    <xdr:clientData/>
  </xdr:twoCellAnchor>
  <xdr:twoCellAnchor>
    <xdr:from>
      <xdr:col>10</xdr:col>
      <xdr:colOff>142875</xdr:colOff>
      <xdr:row>23</xdr:row>
      <xdr:rowOff>66675</xdr:rowOff>
    </xdr:from>
    <xdr:to>
      <xdr:col>10</xdr:col>
      <xdr:colOff>247650</xdr:colOff>
      <xdr:row>23</xdr:row>
      <xdr:rowOff>171450</xdr:rowOff>
    </xdr:to>
    <xdr:sp macro="" textlink="">
      <xdr:nvSpPr>
        <xdr:cNvPr id="32144790" name="163 Elipse">
          <a:extLst>
            <a:ext uri="{FF2B5EF4-FFF2-40B4-BE49-F238E27FC236}">
              <a16:creationId xmlns:a16="http://schemas.microsoft.com/office/drawing/2014/main" id="{00000000-0008-0000-1B00-0000967DEA01}"/>
            </a:ext>
          </a:extLst>
        </xdr:cNvPr>
        <xdr:cNvSpPr>
          <a:spLocks noChangeArrowheads="1"/>
        </xdr:cNvSpPr>
      </xdr:nvSpPr>
      <xdr:spPr bwMode="auto">
        <a:xfrm>
          <a:off x="7410450" y="10896600"/>
          <a:ext cx="104775" cy="104775"/>
        </a:xfrm>
        <a:prstGeom prst="ellipse">
          <a:avLst/>
        </a:prstGeom>
        <a:solidFill>
          <a:srgbClr val="00FF00"/>
        </a:solidFill>
        <a:ln w="76200">
          <a:solidFill>
            <a:srgbClr val="00FF00"/>
          </a:solidFill>
          <a:round/>
          <a:headEnd/>
          <a:tailEnd/>
        </a:ln>
      </xdr:spPr>
    </xdr:sp>
    <xdr:clientData/>
  </xdr:twoCellAnchor>
  <xdr:twoCellAnchor>
    <xdr:from>
      <xdr:col>9</xdr:col>
      <xdr:colOff>200025</xdr:colOff>
      <xdr:row>24</xdr:row>
      <xdr:rowOff>66675</xdr:rowOff>
    </xdr:from>
    <xdr:to>
      <xdr:col>9</xdr:col>
      <xdr:colOff>304800</xdr:colOff>
      <xdr:row>24</xdr:row>
      <xdr:rowOff>171450</xdr:rowOff>
    </xdr:to>
    <xdr:sp macro="" textlink="">
      <xdr:nvSpPr>
        <xdr:cNvPr id="32144791" name="164 Elipse">
          <a:extLst>
            <a:ext uri="{FF2B5EF4-FFF2-40B4-BE49-F238E27FC236}">
              <a16:creationId xmlns:a16="http://schemas.microsoft.com/office/drawing/2014/main" id="{00000000-0008-0000-1B00-0000977DEA01}"/>
            </a:ext>
          </a:extLst>
        </xdr:cNvPr>
        <xdr:cNvSpPr>
          <a:spLocks noChangeArrowheads="1"/>
        </xdr:cNvSpPr>
      </xdr:nvSpPr>
      <xdr:spPr bwMode="auto">
        <a:xfrm>
          <a:off x="6934200" y="11125200"/>
          <a:ext cx="104775" cy="104775"/>
        </a:xfrm>
        <a:prstGeom prst="ellipse">
          <a:avLst/>
        </a:prstGeom>
        <a:solidFill>
          <a:srgbClr val="008000"/>
        </a:solidFill>
        <a:ln w="76200">
          <a:solidFill>
            <a:srgbClr val="008000"/>
          </a:solidFill>
          <a:round/>
          <a:headEnd/>
          <a:tailEnd/>
        </a:ln>
      </xdr:spPr>
    </xdr:sp>
    <xdr:clientData/>
  </xdr:twoCellAnchor>
  <xdr:twoCellAnchor>
    <xdr:from>
      <xdr:col>10</xdr:col>
      <xdr:colOff>142875</xdr:colOff>
      <xdr:row>24</xdr:row>
      <xdr:rowOff>66675</xdr:rowOff>
    </xdr:from>
    <xdr:to>
      <xdr:col>10</xdr:col>
      <xdr:colOff>247650</xdr:colOff>
      <xdr:row>24</xdr:row>
      <xdr:rowOff>171450</xdr:rowOff>
    </xdr:to>
    <xdr:sp macro="" textlink="">
      <xdr:nvSpPr>
        <xdr:cNvPr id="32144792" name="165 Elipse">
          <a:extLst>
            <a:ext uri="{FF2B5EF4-FFF2-40B4-BE49-F238E27FC236}">
              <a16:creationId xmlns:a16="http://schemas.microsoft.com/office/drawing/2014/main" id="{00000000-0008-0000-1B00-0000987DEA01}"/>
            </a:ext>
          </a:extLst>
        </xdr:cNvPr>
        <xdr:cNvSpPr>
          <a:spLocks noChangeArrowheads="1"/>
        </xdr:cNvSpPr>
      </xdr:nvSpPr>
      <xdr:spPr bwMode="auto">
        <a:xfrm>
          <a:off x="7410450" y="11125200"/>
          <a:ext cx="104775" cy="104775"/>
        </a:xfrm>
        <a:prstGeom prst="ellipse">
          <a:avLst/>
        </a:prstGeom>
        <a:solidFill>
          <a:srgbClr val="008000"/>
        </a:solidFill>
        <a:ln w="76200">
          <a:solidFill>
            <a:srgbClr val="008000"/>
          </a:solidFill>
          <a:round/>
          <a:headEnd/>
          <a:tailEnd/>
        </a:ln>
      </xdr:spPr>
    </xdr:sp>
    <xdr:clientData/>
  </xdr:twoCellAnchor>
  <xdr:twoCellAnchor>
    <xdr:from>
      <xdr:col>9</xdr:col>
      <xdr:colOff>200025</xdr:colOff>
      <xdr:row>24</xdr:row>
      <xdr:rowOff>66675</xdr:rowOff>
    </xdr:from>
    <xdr:to>
      <xdr:col>9</xdr:col>
      <xdr:colOff>304800</xdr:colOff>
      <xdr:row>24</xdr:row>
      <xdr:rowOff>171450</xdr:rowOff>
    </xdr:to>
    <xdr:sp macro="" textlink="">
      <xdr:nvSpPr>
        <xdr:cNvPr id="32144793" name="166 Elipse">
          <a:extLst>
            <a:ext uri="{FF2B5EF4-FFF2-40B4-BE49-F238E27FC236}">
              <a16:creationId xmlns:a16="http://schemas.microsoft.com/office/drawing/2014/main" id="{00000000-0008-0000-1B00-0000997DEA01}"/>
            </a:ext>
          </a:extLst>
        </xdr:cNvPr>
        <xdr:cNvSpPr>
          <a:spLocks noChangeArrowheads="1"/>
        </xdr:cNvSpPr>
      </xdr:nvSpPr>
      <xdr:spPr bwMode="auto">
        <a:xfrm>
          <a:off x="6934200" y="11125200"/>
          <a:ext cx="104775" cy="104775"/>
        </a:xfrm>
        <a:prstGeom prst="ellipse">
          <a:avLst/>
        </a:prstGeom>
        <a:solidFill>
          <a:srgbClr val="00FF00"/>
        </a:solidFill>
        <a:ln w="76200">
          <a:solidFill>
            <a:srgbClr val="00FF00"/>
          </a:solidFill>
          <a:round/>
          <a:headEnd/>
          <a:tailEnd/>
        </a:ln>
      </xdr:spPr>
    </xdr:sp>
    <xdr:clientData/>
  </xdr:twoCellAnchor>
  <xdr:twoCellAnchor>
    <xdr:from>
      <xdr:col>10</xdr:col>
      <xdr:colOff>142875</xdr:colOff>
      <xdr:row>24</xdr:row>
      <xdr:rowOff>66675</xdr:rowOff>
    </xdr:from>
    <xdr:to>
      <xdr:col>10</xdr:col>
      <xdr:colOff>247650</xdr:colOff>
      <xdr:row>24</xdr:row>
      <xdr:rowOff>171450</xdr:rowOff>
    </xdr:to>
    <xdr:sp macro="" textlink="">
      <xdr:nvSpPr>
        <xdr:cNvPr id="32144794" name="167 Elipse">
          <a:extLst>
            <a:ext uri="{FF2B5EF4-FFF2-40B4-BE49-F238E27FC236}">
              <a16:creationId xmlns:a16="http://schemas.microsoft.com/office/drawing/2014/main" id="{00000000-0008-0000-1B00-00009A7DEA01}"/>
            </a:ext>
          </a:extLst>
        </xdr:cNvPr>
        <xdr:cNvSpPr>
          <a:spLocks noChangeArrowheads="1"/>
        </xdr:cNvSpPr>
      </xdr:nvSpPr>
      <xdr:spPr bwMode="auto">
        <a:xfrm>
          <a:off x="7410450" y="11125200"/>
          <a:ext cx="104775" cy="104775"/>
        </a:xfrm>
        <a:prstGeom prst="ellipse">
          <a:avLst/>
        </a:prstGeom>
        <a:solidFill>
          <a:srgbClr val="00FF00"/>
        </a:solidFill>
        <a:ln w="76200">
          <a:solidFill>
            <a:srgbClr val="00FF00"/>
          </a:solidFill>
          <a:round/>
          <a:headEnd/>
          <a:tailEnd/>
        </a:ln>
      </xdr:spPr>
    </xdr:sp>
    <xdr:clientData/>
  </xdr:twoCellAnchor>
  <xdr:twoCellAnchor>
    <xdr:from>
      <xdr:col>9</xdr:col>
      <xdr:colOff>200025</xdr:colOff>
      <xdr:row>25</xdr:row>
      <xdr:rowOff>171450</xdr:rowOff>
    </xdr:from>
    <xdr:to>
      <xdr:col>9</xdr:col>
      <xdr:colOff>304800</xdr:colOff>
      <xdr:row>25</xdr:row>
      <xdr:rowOff>276225</xdr:rowOff>
    </xdr:to>
    <xdr:sp macro="" textlink="">
      <xdr:nvSpPr>
        <xdr:cNvPr id="32144795" name="170 Elipse">
          <a:extLst>
            <a:ext uri="{FF2B5EF4-FFF2-40B4-BE49-F238E27FC236}">
              <a16:creationId xmlns:a16="http://schemas.microsoft.com/office/drawing/2014/main" id="{00000000-0008-0000-1B00-00009B7DEA01}"/>
            </a:ext>
          </a:extLst>
        </xdr:cNvPr>
        <xdr:cNvSpPr>
          <a:spLocks noChangeArrowheads="1"/>
        </xdr:cNvSpPr>
      </xdr:nvSpPr>
      <xdr:spPr bwMode="auto">
        <a:xfrm>
          <a:off x="6934200" y="11458575"/>
          <a:ext cx="104775" cy="104775"/>
        </a:xfrm>
        <a:prstGeom prst="ellipse">
          <a:avLst/>
        </a:prstGeom>
        <a:solidFill>
          <a:srgbClr val="00FF00"/>
        </a:solidFill>
        <a:ln w="76200">
          <a:solidFill>
            <a:srgbClr val="00FF00"/>
          </a:solidFill>
          <a:round/>
          <a:headEnd/>
          <a:tailEnd/>
        </a:ln>
      </xdr:spPr>
    </xdr:sp>
    <xdr:clientData/>
  </xdr:twoCellAnchor>
  <xdr:twoCellAnchor>
    <xdr:from>
      <xdr:col>9</xdr:col>
      <xdr:colOff>200025</xdr:colOff>
      <xdr:row>26</xdr:row>
      <xdr:rowOff>66675</xdr:rowOff>
    </xdr:from>
    <xdr:to>
      <xdr:col>9</xdr:col>
      <xdr:colOff>304800</xdr:colOff>
      <xdr:row>26</xdr:row>
      <xdr:rowOff>171450</xdr:rowOff>
    </xdr:to>
    <xdr:sp macro="" textlink="">
      <xdr:nvSpPr>
        <xdr:cNvPr id="32144796" name="172 Elipse">
          <a:extLst>
            <a:ext uri="{FF2B5EF4-FFF2-40B4-BE49-F238E27FC236}">
              <a16:creationId xmlns:a16="http://schemas.microsoft.com/office/drawing/2014/main" id="{00000000-0008-0000-1B00-00009C7DEA01}"/>
            </a:ext>
          </a:extLst>
        </xdr:cNvPr>
        <xdr:cNvSpPr>
          <a:spLocks noChangeArrowheads="1"/>
        </xdr:cNvSpPr>
      </xdr:nvSpPr>
      <xdr:spPr bwMode="auto">
        <a:xfrm>
          <a:off x="6934200" y="11791950"/>
          <a:ext cx="104775" cy="104775"/>
        </a:xfrm>
        <a:prstGeom prst="ellipse">
          <a:avLst/>
        </a:prstGeom>
        <a:solidFill>
          <a:srgbClr val="008000"/>
        </a:solidFill>
        <a:ln w="76200">
          <a:solidFill>
            <a:srgbClr val="008000"/>
          </a:solidFill>
          <a:round/>
          <a:headEnd/>
          <a:tailEnd/>
        </a:ln>
      </xdr:spPr>
    </xdr:sp>
    <xdr:clientData/>
  </xdr:twoCellAnchor>
  <xdr:twoCellAnchor>
    <xdr:from>
      <xdr:col>10</xdr:col>
      <xdr:colOff>142875</xdr:colOff>
      <xdr:row>26</xdr:row>
      <xdr:rowOff>66675</xdr:rowOff>
    </xdr:from>
    <xdr:to>
      <xdr:col>10</xdr:col>
      <xdr:colOff>247650</xdr:colOff>
      <xdr:row>26</xdr:row>
      <xdr:rowOff>171450</xdr:rowOff>
    </xdr:to>
    <xdr:sp macro="" textlink="">
      <xdr:nvSpPr>
        <xdr:cNvPr id="32144797" name="173 Elipse">
          <a:extLst>
            <a:ext uri="{FF2B5EF4-FFF2-40B4-BE49-F238E27FC236}">
              <a16:creationId xmlns:a16="http://schemas.microsoft.com/office/drawing/2014/main" id="{00000000-0008-0000-1B00-00009D7DEA01}"/>
            </a:ext>
          </a:extLst>
        </xdr:cNvPr>
        <xdr:cNvSpPr>
          <a:spLocks noChangeArrowheads="1"/>
        </xdr:cNvSpPr>
      </xdr:nvSpPr>
      <xdr:spPr bwMode="auto">
        <a:xfrm>
          <a:off x="7410450" y="11791950"/>
          <a:ext cx="104775" cy="104775"/>
        </a:xfrm>
        <a:prstGeom prst="ellipse">
          <a:avLst/>
        </a:prstGeom>
        <a:solidFill>
          <a:srgbClr val="008000"/>
        </a:solidFill>
        <a:ln w="76200">
          <a:solidFill>
            <a:srgbClr val="008000"/>
          </a:solidFill>
          <a:round/>
          <a:headEnd/>
          <a:tailEnd/>
        </a:ln>
      </xdr:spPr>
    </xdr:sp>
    <xdr:clientData/>
  </xdr:twoCellAnchor>
  <xdr:twoCellAnchor>
    <xdr:from>
      <xdr:col>9</xdr:col>
      <xdr:colOff>200025</xdr:colOff>
      <xdr:row>26</xdr:row>
      <xdr:rowOff>66675</xdr:rowOff>
    </xdr:from>
    <xdr:to>
      <xdr:col>9</xdr:col>
      <xdr:colOff>304800</xdr:colOff>
      <xdr:row>26</xdr:row>
      <xdr:rowOff>171450</xdr:rowOff>
    </xdr:to>
    <xdr:sp macro="" textlink="">
      <xdr:nvSpPr>
        <xdr:cNvPr id="32144798" name="174 Elipse">
          <a:extLst>
            <a:ext uri="{FF2B5EF4-FFF2-40B4-BE49-F238E27FC236}">
              <a16:creationId xmlns:a16="http://schemas.microsoft.com/office/drawing/2014/main" id="{00000000-0008-0000-1B00-00009E7DEA01}"/>
            </a:ext>
          </a:extLst>
        </xdr:cNvPr>
        <xdr:cNvSpPr>
          <a:spLocks noChangeArrowheads="1"/>
        </xdr:cNvSpPr>
      </xdr:nvSpPr>
      <xdr:spPr bwMode="auto">
        <a:xfrm>
          <a:off x="6934200" y="11791950"/>
          <a:ext cx="104775" cy="104775"/>
        </a:xfrm>
        <a:prstGeom prst="ellipse">
          <a:avLst/>
        </a:prstGeom>
        <a:solidFill>
          <a:srgbClr val="00FF00"/>
        </a:solidFill>
        <a:ln w="76200">
          <a:solidFill>
            <a:srgbClr val="00FF00"/>
          </a:solidFill>
          <a:round/>
          <a:headEnd/>
          <a:tailEnd/>
        </a:ln>
      </xdr:spPr>
    </xdr:sp>
    <xdr:clientData/>
  </xdr:twoCellAnchor>
  <xdr:twoCellAnchor>
    <xdr:from>
      <xdr:col>10</xdr:col>
      <xdr:colOff>142875</xdr:colOff>
      <xdr:row>26</xdr:row>
      <xdr:rowOff>66675</xdr:rowOff>
    </xdr:from>
    <xdr:to>
      <xdr:col>10</xdr:col>
      <xdr:colOff>247650</xdr:colOff>
      <xdr:row>26</xdr:row>
      <xdr:rowOff>171450</xdr:rowOff>
    </xdr:to>
    <xdr:sp macro="" textlink="">
      <xdr:nvSpPr>
        <xdr:cNvPr id="32144799" name="175 Elipse">
          <a:extLst>
            <a:ext uri="{FF2B5EF4-FFF2-40B4-BE49-F238E27FC236}">
              <a16:creationId xmlns:a16="http://schemas.microsoft.com/office/drawing/2014/main" id="{00000000-0008-0000-1B00-00009F7DEA01}"/>
            </a:ext>
          </a:extLst>
        </xdr:cNvPr>
        <xdr:cNvSpPr>
          <a:spLocks noChangeArrowheads="1"/>
        </xdr:cNvSpPr>
      </xdr:nvSpPr>
      <xdr:spPr bwMode="auto">
        <a:xfrm>
          <a:off x="7410450" y="11791950"/>
          <a:ext cx="104775" cy="104775"/>
        </a:xfrm>
        <a:prstGeom prst="ellipse">
          <a:avLst/>
        </a:prstGeom>
        <a:solidFill>
          <a:srgbClr val="00FF00"/>
        </a:solidFill>
        <a:ln w="76200">
          <a:solidFill>
            <a:srgbClr val="00FF00"/>
          </a:solidFill>
          <a:round/>
          <a:headEnd/>
          <a:tailEnd/>
        </a:ln>
      </xdr:spPr>
    </xdr:sp>
    <xdr:clientData/>
  </xdr:twoCellAnchor>
  <xdr:twoCellAnchor>
    <xdr:from>
      <xdr:col>11</xdr:col>
      <xdr:colOff>247650</xdr:colOff>
      <xdr:row>19</xdr:row>
      <xdr:rowOff>152400</xdr:rowOff>
    </xdr:from>
    <xdr:to>
      <xdr:col>11</xdr:col>
      <xdr:colOff>352425</xdr:colOff>
      <xdr:row>19</xdr:row>
      <xdr:rowOff>257175</xdr:rowOff>
    </xdr:to>
    <xdr:sp macro="" textlink="">
      <xdr:nvSpPr>
        <xdr:cNvPr id="32144800" name="176 Elipse">
          <a:extLst>
            <a:ext uri="{FF2B5EF4-FFF2-40B4-BE49-F238E27FC236}">
              <a16:creationId xmlns:a16="http://schemas.microsoft.com/office/drawing/2014/main" id="{00000000-0008-0000-1B00-0000A07DEA01}"/>
            </a:ext>
          </a:extLst>
        </xdr:cNvPr>
        <xdr:cNvSpPr>
          <a:spLocks noChangeArrowheads="1"/>
        </xdr:cNvSpPr>
      </xdr:nvSpPr>
      <xdr:spPr bwMode="auto">
        <a:xfrm>
          <a:off x="7934325" y="8982075"/>
          <a:ext cx="104775" cy="104775"/>
        </a:xfrm>
        <a:prstGeom prst="ellipse">
          <a:avLst/>
        </a:prstGeom>
        <a:solidFill>
          <a:srgbClr val="00FF00"/>
        </a:solidFill>
        <a:ln w="76200">
          <a:solidFill>
            <a:srgbClr val="00FF00"/>
          </a:solidFill>
          <a:round/>
          <a:headEnd/>
          <a:tailEnd/>
        </a:ln>
      </xdr:spPr>
    </xdr:sp>
    <xdr:clientData/>
  </xdr:twoCellAnchor>
  <xdr:twoCellAnchor>
    <xdr:from>
      <xdr:col>11</xdr:col>
      <xdr:colOff>247650</xdr:colOff>
      <xdr:row>20</xdr:row>
      <xdr:rowOff>66675</xdr:rowOff>
    </xdr:from>
    <xdr:to>
      <xdr:col>11</xdr:col>
      <xdr:colOff>352425</xdr:colOff>
      <xdr:row>20</xdr:row>
      <xdr:rowOff>171450</xdr:rowOff>
    </xdr:to>
    <xdr:sp macro="" textlink="">
      <xdr:nvSpPr>
        <xdr:cNvPr id="32144801" name="177 Elipse">
          <a:extLst>
            <a:ext uri="{FF2B5EF4-FFF2-40B4-BE49-F238E27FC236}">
              <a16:creationId xmlns:a16="http://schemas.microsoft.com/office/drawing/2014/main" id="{00000000-0008-0000-1B00-0000A17DEA01}"/>
            </a:ext>
          </a:extLst>
        </xdr:cNvPr>
        <xdr:cNvSpPr>
          <a:spLocks noChangeArrowheads="1"/>
        </xdr:cNvSpPr>
      </xdr:nvSpPr>
      <xdr:spPr bwMode="auto">
        <a:xfrm>
          <a:off x="7934325" y="9334500"/>
          <a:ext cx="104775" cy="104775"/>
        </a:xfrm>
        <a:prstGeom prst="ellipse">
          <a:avLst/>
        </a:prstGeom>
        <a:solidFill>
          <a:srgbClr val="00FF00"/>
        </a:solidFill>
        <a:ln w="76200">
          <a:solidFill>
            <a:srgbClr val="00FF00"/>
          </a:solidFill>
          <a:round/>
          <a:headEnd/>
          <a:tailEnd/>
        </a:ln>
      </xdr:spPr>
    </xdr:sp>
    <xdr:clientData/>
  </xdr:twoCellAnchor>
  <xdr:twoCellAnchor>
    <xdr:from>
      <xdr:col>11</xdr:col>
      <xdr:colOff>238125</xdr:colOff>
      <xdr:row>21</xdr:row>
      <xdr:rowOff>247650</xdr:rowOff>
    </xdr:from>
    <xdr:to>
      <xdr:col>11</xdr:col>
      <xdr:colOff>342900</xdr:colOff>
      <xdr:row>21</xdr:row>
      <xdr:rowOff>352425</xdr:rowOff>
    </xdr:to>
    <xdr:sp macro="" textlink="">
      <xdr:nvSpPr>
        <xdr:cNvPr id="32144802" name="178 Elipse">
          <a:extLst>
            <a:ext uri="{FF2B5EF4-FFF2-40B4-BE49-F238E27FC236}">
              <a16:creationId xmlns:a16="http://schemas.microsoft.com/office/drawing/2014/main" id="{00000000-0008-0000-1B00-0000A27DEA01}"/>
            </a:ext>
          </a:extLst>
        </xdr:cNvPr>
        <xdr:cNvSpPr>
          <a:spLocks noChangeArrowheads="1"/>
        </xdr:cNvSpPr>
      </xdr:nvSpPr>
      <xdr:spPr bwMode="auto">
        <a:xfrm>
          <a:off x="7924800" y="10267950"/>
          <a:ext cx="104775" cy="104775"/>
        </a:xfrm>
        <a:prstGeom prst="ellipse">
          <a:avLst/>
        </a:prstGeom>
        <a:solidFill>
          <a:srgbClr val="FF0000"/>
        </a:solidFill>
        <a:ln w="76200">
          <a:solidFill>
            <a:srgbClr val="FF0000"/>
          </a:solidFill>
          <a:round/>
          <a:headEnd/>
          <a:tailEnd/>
        </a:ln>
      </xdr:spPr>
    </xdr:sp>
    <xdr:clientData/>
  </xdr:twoCellAnchor>
  <xdr:twoCellAnchor>
    <xdr:from>
      <xdr:col>11</xdr:col>
      <xdr:colOff>247650</xdr:colOff>
      <xdr:row>23</xdr:row>
      <xdr:rowOff>66675</xdr:rowOff>
    </xdr:from>
    <xdr:to>
      <xdr:col>11</xdr:col>
      <xdr:colOff>352425</xdr:colOff>
      <xdr:row>23</xdr:row>
      <xdr:rowOff>171450</xdr:rowOff>
    </xdr:to>
    <xdr:sp macro="" textlink="">
      <xdr:nvSpPr>
        <xdr:cNvPr id="32144803" name="179 Elipse">
          <a:extLst>
            <a:ext uri="{FF2B5EF4-FFF2-40B4-BE49-F238E27FC236}">
              <a16:creationId xmlns:a16="http://schemas.microsoft.com/office/drawing/2014/main" id="{00000000-0008-0000-1B00-0000A37DEA01}"/>
            </a:ext>
          </a:extLst>
        </xdr:cNvPr>
        <xdr:cNvSpPr>
          <a:spLocks noChangeArrowheads="1"/>
        </xdr:cNvSpPr>
      </xdr:nvSpPr>
      <xdr:spPr bwMode="auto">
        <a:xfrm>
          <a:off x="7934325" y="10896600"/>
          <a:ext cx="104775" cy="104775"/>
        </a:xfrm>
        <a:prstGeom prst="ellipse">
          <a:avLst/>
        </a:prstGeom>
        <a:solidFill>
          <a:srgbClr val="00FF00"/>
        </a:solidFill>
        <a:ln w="76200">
          <a:solidFill>
            <a:srgbClr val="00FF00"/>
          </a:solidFill>
          <a:round/>
          <a:headEnd/>
          <a:tailEnd/>
        </a:ln>
      </xdr:spPr>
    </xdr:sp>
    <xdr:clientData/>
  </xdr:twoCellAnchor>
  <xdr:twoCellAnchor>
    <xdr:from>
      <xdr:col>11</xdr:col>
      <xdr:colOff>247650</xdr:colOff>
      <xdr:row>24</xdr:row>
      <xdr:rowOff>66675</xdr:rowOff>
    </xdr:from>
    <xdr:to>
      <xdr:col>11</xdr:col>
      <xdr:colOff>352425</xdr:colOff>
      <xdr:row>24</xdr:row>
      <xdr:rowOff>171450</xdr:rowOff>
    </xdr:to>
    <xdr:sp macro="" textlink="">
      <xdr:nvSpPr>
        <xdr:cNvPr id="32144804" name="180 Elipse">
          <a:extLst>
            <a:ext uri="{FF2B5EF4-FFF2-40B4-BE49-F238E27FC236}">
              <a16:creationId xmlns:a16="http://schemas.microsoft.com/office/drawing/2014/main" id="{00000000-0008-0000-1B00-0000A47DEA01}"/>
            </a:ext>
          </a:extLst>
        </xdr:cNvPr>
        <xdr:cNvSpPr>
          <a:spLocks noChangeArrowheads="1"/>
        </xdr:cNvSpPr>
      </xdr:nvSpPr>
      <xdr:spPr bwMode="auto">
        <a:xfrm>
          <a:off x="7934325" y="11125200"/>
          <a:ext cx="104775" cy="104775"/>
        </a:xfrm>
        <a:prstGeom prst="ellipse">
          <a:avLst/>
        </a:prstGeom>
        <a:solidFill>
          <a:srgbClr val="00FF00"/>
        </a:solidFill>
        <a:ln w="76200">
          <a:solidFill>
            <a:srgbClr val="00FF00"/>
          </a:solidFill>
          <a:round/>
          <a:headEnd/>
          <a:tailEnd/>
        </a:ln>
      </xdr:spPr>
    </xdr:sp>
    <xdr:clientData/>
  </xdr:twoCellAnchor>
  <xdr:twoCellAnchor>
    <xdr:from>
      <xdr:col>11</xdr:col>
      <xdr:colOff>247650</xdr:colOff>
      <xdr:row>25</xdr:row>
      <xdr:rowOff>171450</xdr:rowOff>
    </xdr:from>
    <xdr:to>
      <xdr:col>11</xdr:col>
      <xdr:colOff>352425</xdr:colOff>
      <xdr:row>25</xdr:row>
      <xdr:rowOff>276225</xdr:rowOff>
    </xdr:to>
    <xdr:sp macro="" textlink="">
      <xdr:nvSpPr>
        <xdr:cNvPr id="32144805" name="181 Elipse">
          <a:extLst>
            <a:ext uri="{FF2B5EF4-FFF2-40B4-BE49-F238E27FC236}">
              <a16:creationId xmlns:a16="http://schemas.microsoft.com/office/drawing/2014/main" id="{00000000-0008-0000-1B00-0000A57DEA01}"/>
            </a:ext>
          </a:extLst>
        </xdr:cNvPr>
        <xdr:cNvSpPr>
          <a:spLocks noChangeArrowheads="1"/>
        </xdr:cNvSpPr>
      </xdr:nvSpPr>
      <xdr:spPr bwMode="auto">
        <a:xfrm>
          <a:off x="7934325" y="11458575"/>
          <a:ext cx="104775" cy="104775"/>
        </a:xfrm>
        <a:prstGeom prst="ellipse">
          <a:avLst/>
        </a:prstGeom>
        <a:solidFill>
          <a:srgbClr val="00FF00"/>
        </a:solidFill>
        <a:ln w="76200">
          <a:solidFill>
            <a:srgbClr val="00FF00"/>
          </a:solidFill>
          <a:round/>
          <a:headEnd/>
          <a:tailEnd/>
        </a:ln>
      </xdr:spPr>
    </xdr:sp>
    <xdr:clientData/>
  </xdr:twoCellAnchor>
  <xdr:twoCellAnchor>
    <xdr:from>
      <xdr:col>11</xdr:col>
      <xdr:colOff>247650</xdr:colOff>
      <xdr:row>26</xdr:row>
      <xdr:rowOff>66675</xdr:rowOff>
    </xdr:from>
    <xdr:to>
      <xdr:col>11</xdr:col>
      <xdr:colOff>352425</xdr:colOff>
      <xdr:row>26</xdr:row>
      <xdr:rowOff>171450</xdr:rowOff>
    </xdr:to>
    <xdr:sp macro="" textlink="">
      <xdr:nvSpPr>
        <xdr:cNvPr id="32144806" name="182 Elipse">
          <a:extLst>
            <a:ext uri="{FF2B5EF4-FFF2-40B4-BE49-F238E27FC236}">
              <a16:creationId xmlns:a16="http://schemas.microsoft.com/office/drawing/2014/main" id="{00000000-0008-0000-1B00-0000A67DEA01}"/>
            </a:ext>
          </a:extLst>
        </xdr:cNvPr>
        <xdr:cNvSpPr>
          <a:spLocks noChangeArrowheads="1"/>
        </xdr:cNvSpPr>
      </xdr:nvSpPr>
      <xdr:spPr bwMode="auto">
        <a:xfrm>
          <a:off x="7934325" y="11791950"/>
          <a:ext cx="104775" cy="104775"/>
        </a:xfrm>
        <a:prstGeom prst="ellipse">
          <a:avLst/>
        </a:prstGeom>
        <a:solidFill>
          <a:srgbClr val="00FF00"/>
        </a:solidFill>
        <a:ln w="76200">
          <a:solidFill>
            <a:srgbClr val="00FF00"/>
          </a:solidFill>
          <a:round/>
          <a:headEnd/>
          <a:tailEnd/>
        </a:ln>
      </xdr:spPr>
    </xdr:sp>
    <xdr:clientData/>
  </xdr:twoCellAnchor>
  <xdr:twoCellAnchor>
    <xdr:from>
      <xdr:col>9</xdr:col>
      <xdr:colOff>209550</xdr:colOff>
      <xdr:row>16</xdr:row>
      <xdr:rowOff>171450</xdr:rowOff>
    </xdr:from>
    <xdr:to>
      <xdr:col>9</xdr:col>
      <xdr:colOff>314325</xdr:colOff>
      <xdr:row>16</xdr:row>
      <xdr:rowOff>276225</xdr:rowOff>
    </xdr:to>
    <xdr:sp macro="" textlink="">
      <xdr:nvSpPr>
        <xdr:cNvPr id="32144807" name="183 Elipse">
          <a:extLst>
            <a:ext uri="{FF2B5EF4-FFF2-40B4-BE49-F238E27FC236}">
              <a16:creationId xmlns:a16="http://schemas.microsoft.com/office/drawing/2014/main" id="{00000000-0008-0000-1B00-0000A77DEA01}"/>
            </a:ext>
          </a:extLst>
        </xdr:cNvPr>
        <xdr:cNvSpPr>
          <a:spLocks noChangeArrowheads="1"/>
        </xdr:cNvSpPr>
      </xdr:nvSpPr>
      <xdr:spPr bwMode="auto">
        <a:xfrm>
          <a:off x="6943725" y="7210425"/>
          <a:ext cx="104775" cy="104775"/>
        </a:xfrm>
        <a:prstGeom prst="ellipse">
          <a:avLst/>
        </a:prstGeom>
        <a:solidFill>
          <a:srgbClr val="00FF00"/>
        </a:solidFill>
        <a:ln w="76200">
          <a:solidFill>
            <a:srgbClr val="00FF00"/>
          </a:solidFill>
          <a:round/>
          <a:headEnd/>
          <a:tailEnd/>
        </a:ln>
      </xdr:spPr>
    </xdr:sp>
    <xdr:clientData/>
  </xdr:twoCellAnchor>
  <xdr:twoCellAnchor>
    <xdr:from>
      <xdr:col>10</xdr:col>
      <xdr:colOff>152400</xdr:colOff>
      <xdr:row>16</xdr:row>
      <xdr:rowOff>171450</xdr:rowOff>
    </xdr:from>
    <xdr:to>
      <xdr:col>10</xdr:col>
      <xdr:colOff>257175</xdr:colOff>
      <xdr:row>16</xdr:row>
      <xdr:rowOff>276225</xdr:rowOff>
    </xdr:to>
    <xdr:sp macro="" textlink="">
      <xdr:nvSpPr>
        <xdr:cNvPr id="32144808" name="184 Elipse">
          <a:extLst>
            <a:ext uri="{FF2B5EF4-FFF2-40B4-BE49-F238E27FC236}">
              <a16:creationId xmlns:a16="http://schemas.microsoft.com/office/drawing/2014/main" id="{00000000-0008-0000-1B00-0000A87DEA01}"/>
            </a:ext>
          </a:extLst>
        </xdr:cNvPr>
        <xdr:cNvSpPr>
          <a:spLocks noChangeArrowheads="1"/>
        </xdr:cNvSpPr>
      </xdr:nvSpPr>
      <xdr:spPr bwMode="auto">
        <a:xfrm>
          <a:off x="7419975" y="7210425"/>
          <a:ext cx="104775" cy="104775"/>
        </a:xfrm>
        <a:prstGeom prst="ellipse">
          <a:avLst/>
        </a:prstGeom>
        <a:solidFill>
          <a:srgbClr val="00FF00"/>
        </a:solidFill>
        <a:ln w="76200">
          <a:solidFill>
            <a:srgbClr val="00FF00"/>
          </a:solidFill>
          <a:round/>
          <a:headEnd/>
          <a:tailEnd/>
        </a:ln>
      </xdr:spPr>
    </xdr:sp>
    <xdr:clientData/>
  </xdr:twoCellAnchor>
  <xdr:twoCellAnchor>
    <xdr:from>
      <xdr:col>11</xdr:col>
      <xdr:colOff>247650</xdr:colOff>
      <xdr:row>11</xdr:row>
      <xdr:rowOff>371475</xdr:rowOff>
    </xdr:from>
    <xdr:to>
      <xdr:col>11</xdr:col>
      <xdr:colOff>352425</xdr:colOff>
      <xdr:row>11</xdr:row>
      <xdr:rowOff>476250</xdr:rowOff>
    </xdr:to>
    <xdr:sp macro="" textlink="">
      <xdr:nvSpPr>
        <xdr:cNvPr id="32144809" name="132 Elipse">
          <a:extLst>
            <a:ext uri="{FF2B5EF4-FFF2-40B4-BE49-F238E27FC236}">
              <a16:creationId xmlns:a16="http://schemas.microsoft.com/office/drawing/2014/main" id="{00000000-0008-0000-1B00-0000A97DEA01}"/>
            </a:ext>
          </a:extLst>
        </xdr:cNvPr>
        <xdr:cNvSpPr>
          <a:spLocks noChangeArrowheads="1"/>
        </xdr:cNvSpPr>
      </xdr:nvSpPr>
      <xdr:spPr bwMode="auto">
        <a:xfrm>
          <a:off x="7934325" y="2914650"/>
          <a:ext cx="104775" cy="104775"/>
        </a:xfrm>
        <a:prstGeom prst="ellipse">
          <a:avLst/>
        </a:prstGeom>
        <a:solidFill>
          <a:srgbClr val="00FF00"/>
        </a:solidFill>
        <a:ln w="76200">
          <a:solidFill>
            <a:srgbClr val="00FF00"/>
          </a:solidFill>
          <a:round/>
          <a:headEnd/>
          <a:tailEnd/>
        </a:ln>
      </xdr:spPr>
    </xdr:sp>
    <xdr:clientData/>
  </xdr:twoCellAnchor>
  <xdr:twoCellAnchor>
    <xdr:from>
      <xdr:col>11</xdr:col>
      <xdr:colOff>247650</xdr:colOff>
      <xdr:row>12</xdr:row>
      <xdr:rowOff>409575</xdr:rowOff>
    </xdr:from>
    <xdr:to>
      <xdr:col>11</xdr:col>
      <xdr:colOff>352425</xdr:colOff>
      <xdr:row>12</xdr:row>
      <xdr:rowOff>514350</xdr:rowOff>
    </xdr:to>
    <xdr:sp macro="" textlink="">
      <xdr:nvSpPr>
        <xdr:cNvPr id="32144810" name="132 Elipse">
          <a:extLst>
            <a:ext uri="{FF2B5EF4-FFF2-40B4-BE49-F238E27FC236}">
              <a16:creationId xmlns:a16="http://schemas.microsoft.com/office/drawing/2014/main" id="{00000000-0008-0000-1B00-0000AA7DEA01}"/>
            </a:ext>
          </a:extLst>
        </xdr:cNvPr>
        <xdr:cNvSpPr>
          <a:spLocks noChangeArrowheads="1"/>
        </xdr:cNvSpPr>
      </xdr:nvSpPr>
      <xdr:spPr bwMode="auto">
        <a:xfrm>
          <a:off x="7934325" y="3829050"/>
          <a:ext cx="104775" cy="104775"/>
        </a:xfrm>
        <a:prstGeom prst="ellipse">
          <a:avLst/>
        </a:prstGeom>
        <a:solidFill>
          <a:srgbClr val="00FF00"/>
        </a:solidFill>
        <a:ln w="76200">
          <a:solidFill>
            <a:srgbClr val="00FF00"/>
          </a:solidFill>
          <a:round/>
          <a:headEnd/>
          <a:tailEnd/>
        </a:ln>
      </xdr:spPr>
    </xdr:sp>
    <xdr:clientData/>
  </xdr:twoCellAnchor>
  <xdr:twoCellAnchor>
    <xdr:from>
      <xdr:col>11</xdr:col>
      <xdr:colOff>247650</xdr:colOff>
      <xdr:row>14</xdr:row>
      <xdr:rowOff>323850</xdr:rowOff>
    </xdr:from>
    <xdr:to>
      <xdr:col>11</xdr:col>
      <xdr:colOff>352425</xdr:colOff>
      <xdr:row>14</xdr:row>
      <xdr:rowOff>428625</xdr:rowOff>
    </xdr:to>
    <xdr:sp macro="" textlink="">
      <xdr:nvSpPr>
        <xdr:cNvPr id="32144811" name="132 Elipse">
          <a:extLst>
            <a:ext uri="{FF2B5EF4-FFF2-40B4-BE49-F238E27FC236}">
              <a16:creationId xmlns:a16="http://schemas.microsoft.com/office/drawing/2014/main" id="{00000000-0008-0000-1B00-0000AB7DEA01}"/>
            </a:ext>
          </a:extLst>
        </xdr:cNvPr>
        <xdr:cNvSpPr>
          <a:spLocks noChangeArrowheads="1"/>
        </xdr:cNvSpPr>
      </xdr:nvSpPr>
      <xdr:spPr bwMode="auto">
        <a:xfrm>
          <a:off x="7934325" y="5781675"/>
          <a:ext cx="104775" cy="104775"/>
        </a:xfrm>
        <a:prstGeom prst="ellipse">
          <a:avLst/>
        </a:prstGeom>
        <a:solidFill>
          <a:srgbClr val="00FF00"/>
        </a:solidFill>
        <a:ln w="76200">
          <a:solidFill>
            <a:srgbClr val="00FF00"/>
          </a:solidFill>
          <a:round/>
          <a:headEnd/>
          <a:tailEnd/>
        </a:ln>
      </xdr:spPr>
    </xdr:sp>
    <xdr:clientData/>
  </xdr:twoCellAnchor>
  <xdr:twoCellAnchor>
    <xdr:from>
      <xdr:col>11</xdr:col>
      <xdr:colOff>247650</xdr:colOff>
      <xdr:row>22</xdr:row>
      <xdr:rowOff>66675</xdr:rowOff>
    </xdr:from>
    <xdr:to>
      <xdr:col>11</xdr:col>
      <xdr:colOff>352425</xdr:colOff>
      <xdr:row>22</xdr:row>
      <xdr:rowOff>171450</xdr:rowOff>
    </xdr:to>
    <xdr:sp macro="" textlink="">
      <xdr:nvSpPr>
        <xdr:cNvPr id="32144812" name="178 Elipse">
          <a:extLst>
            <a:ext uri="{FF2B5EF4-FFF2-40B4-BE49-F238E27FC236}">
              <a16:creationId xmlns:a16="http://schemas.microsoft.com/office/drawing/2014/main" id="{00000000-0008-0000-1B00-0000AC7DEA01}"/>
            </a:ext>
          </a:extLst>
        </xdr:cNvPr>
        <xdr:cNvSpPr>
          <a:spLocks noChangeArrowheads="1"/>
        </xdr:cNvSpPr>
      </xdr:nvSpPr>
      <xdr:spPr bwMode="auto">
        <a:xfrm>
          <a:off x="7934325" y="10668000"/>
          <a:ext cx="104775" cy="104775"/>
        </a:xfrm>
        <a:prstGeom prst="ellipse">
          <a:avLst/>
        </a:prstGeom>
        <a:solidFill>
          <a:srgbClr val="00FF00"/>
        </a:solidFill>
        <a:ln w="76200">
          <a:solidFill>
            <a:srgbClr val="00FF00"/>
          </a:solidFill>
          <a:round/>
          <a:headEnd/>
          <a:tailEnd/>
        </a:ln>
      </xdr:spPr>
    </xdr:sp>
    <xdr:clientData/>
  </xdr:twoCellAnchor>
  <xdr:twoCellAnchor>
    <xdr:from>
      <xdr:col>10</xdr:col>
      <xdr:colOff>161925</xdr:colOff>
      <xdr:row>17</xdr:row>
      <xdr:rowOff>285750</xdr:rowOff>
    </xdr:from>
    <xdr:to>
      <xdr:col>10</xdr:col>
      <xdr:colOff>266700</xdr:colOff>
      <xdr:row>17</xdr:row>
      <xdr:rowOff>390525</xdr:rowOff>
    </xdr:to>
    <xdr:sp macro="" textlink="">
      <xdr:nvSpPr>
        <xdr:cNvPr id="32144813" name="143 Elipse">
          <a:extLst>
            <a:ext uri="{FF2B5EF4-FFF2-40B4-BE49-F238E27FC236}">
              <a16:creationId xmlns:a16="http://schemas.microsoft.com/office/drawing/2014/main" id="{00000000-0008-0000-1B00-0000AD7DEA01}"/>
            </a:ext>
          </a:extLst>
        </xdr:cNvPr>
        <xdr:cNvSpPr>
          <a:spLocks noChangeArrowheads="1"/>
        </xdr:cNvSpPr>
      </xdr:nvSpPr>
      <xdr:spPr bwMode="auto">
        <a:xfrm>
          <a:off x="7429500" y="7781925"/>
          <a:ext cx="104775" cy="104775"/>
        </a:xfrm>
        <a:prstGeom prst="ellipse">
          <a:avLst/>
        </a:prstGeom>
        <a:solidFill>
          <a:srgbClr val="00FF00"/>
        </a:solidFill>
        <a:ln w="76200">
          <a:solidFill>
            <a:srgbClr val="00FF00"/>
          </a:solidFill>
          <a:round/>
          <a:headEnd/>
          <a:tailEnd/>
        </a:ln>
      </xdr:spPr>
    </xdr:sp>
    <xdr:clientData/>
  </xdr:twoCellAnchor>
  <xdr:twoCellAnchor>
    <xdr:from>
      <xdr:col>9</xdr:col>
      <xdr:colOff>219075</xdr:colOff>
      <xdr:row>17</xdr:row>
      <xdr:rowOff>285750</xdr:rowOff>
    </xdr:from>
    <xdr:to>
      <xdr:col>9</xdr:col>
      <xdr:colOff>323850</xdr:colOff>
      <xdr:row>17</xdr:row>
      <xdr:rowOff>390525</xdr:rowOff>
    </xdr:to>
    <xdr:sp macro="" textlink="">
      <xdr:nvSpPr>
        <xdr:cNvPr id="32144814" name="142 Elipse">
          <a:extLst>
            <a:ext uri="{FF2B5EF4-FFF2-40B4-BE49-F238E27FC236}">
              <a16:creationId xmlns:a16="http://schemas.microsoft.com/office/drawing/2014/main" id="{00000000-0008-0000-1B00-0000AE7DEA01}"/>
            </a:ext>
          </a:extLst>
        </xdr:cNvPr>
        <xdr:cNvSpPr>
          <a:spLocks noChangeArrowheads="1"/>
        </xdr:cNvSpPr>
      </xdr:nvSpPr>
      <xdr:spPr bwMode="auto">
        <a:xfrm>
          <a:off x="6953250" y="7781925"/>
          <a:ext cx="104775" cy="104775"/>
        </a:xfrm>
        <a:prstGeom prst="ellipse">
          <a:avLst/>
        </a:prstGeom>
        <a:solidFill>
          <a:srgbClr val="00FF00"/>
        </a:solidFill>
        <a:ln w="76200">
          <a:solidFill>
            <a:srgbClr val="00FF00"/>
          </a:solidFill>
          <a:round/>
          <a:headEnd/>
          <a:tailEnd/>
        </a:ln>
      </xdr:spPr>
    </xdr:sp>
    <xdr:clientData/>
  </xdr:twoCellAnchor>
  <xdr:twoCellAnchor>
    <xdr:from>
      <xdr:col>11</xdr:col>
      <xdr:colOff>238125</xdr:colOff>
      <xdr:row>18</xdr:row>
      <xdr:rowOff>66675</xdr:rowOff>
    </xdr:from>
    <xdr:to>
      <xdr:col>11</xdr:col>
      <xdr:colOff>342900</xdr:colOff>
      <xdr:row>18</xdr:row>
      <xdr:rowOff>171450</xdr:rowOff>
    </xdr:to>
    <xdr:sp macro="" textlink="">
      <xdr:nvSpPr>
        <xdr:cNvPr id="32144815" name="137 Elipse">
          <a:extLst>
            <a:ext uri="{FF2B5EF4-FFF2-40B4-BE49-F238E27FC236}">
              <a16:creationId xmlns:a16="http://schemas.microsoft.com/office/drawing/2014/main" id="{00000000-0008-0000-1B00-0000AF7DEA01}"/>
            </a:ext>
          </a:extLst>
        </xdr:cNvPr>
        <xdr:cNvSpPr>
          <a:spLocks noChangeArrowheads="1"/>
        </xdr:cNvSpPr>
      </xdr:nvSpPr>
      <xdr:spPr bwMode="auto">
        <a:xfrm>
          <a:off x="7924800" y="8286750"/>
          <a:ext cx="104775" cy="104775"/>
        </a:xfrm>
        <a:prstGeom prst="ellipse">
          <a:avLst/>
        </a:prstGeom>
        <a:solidFill>
          <a:srgbClr val="00FF00"/>
        </a:solidFill>
        <a:ln w="76200">
          <a:solidFill>
            <a:srgbClr val="00FF00"/>
          </a:solidFill>
          <a:round/>
          <a:headEnd/>
          <a:tailEnd/>
        </a:ln>
      </xdr:spPr>
    </xdr:sp>
    <xdr:clientData/>
  </xdr:twoCellAnchor>
  <xdr:twoCellAnchor>
    <xdr:from>
      <xdr:col>10</xdr:col>
      <xdr:colOff>161925</xdr:colOff>
      <xdr:row>13</xdr:row>
      <xdr:rowOff>361950</xdr:rowOff>
    </xdr:from>
    <xdr:to>
      <xdr:col>10</xdr:col>
      <xdr:colOff>266700</xdr:colOff>
      <xdr:row>13</xdr:row>
      <xdr:rowOff>466725</xdr:rowOff>
    </xdr:to>
    <xdr:sp macro="" textlink="">
      <xdr:nvSpPr>
        <xdr:cNvPr id="32144816" name="132 Elipse">
          <a:extLst>
            <a:ext uri="{FF2B5EF4-FFF2-40B4-BE49-F238E27FC236}">
              <a16:creationId xmlns:a16="http://schemas.microsoft.com/office/drawing/2014/main" id="{00000000-0008-0000-1B00-0000B07DEA01}"/>
            </a:ext>
          </a:extLst>
        </xdr:cNvPr>
        <xdr:cNvSpPr>
          <a:spLocks noChangeArrowheads="1"/>
        </xdr:cNvSpPr>
      </xdr:nvSpPr>
      <xdr:spPr bwMode="auto">
        <a:xfrm>
          <a:off x="7429500" y="4838700"/>
          <a:ext cx="104775" cy="104775"/>
        </a:xfrm>
        <a:prstGeom prst="ellipse">
          <a:avLst/>
        </a:prstGeom>
        <a:solidFill>
          <a:srgbClr val="00FF00"/>
        </a:solidFill>
        <a:ln w="76200">
          <a:solidFill>
            <a:srgbClr val="00FF00"/>
          </a:solidFill>
          <a:round/>
          <a:headEnd/>
          <a:tailEnd/>
        </a:ln>
      </xdr:spPr>
    </xdr:sp>
    <xdr:clientData/>
  </xdr:twoCellAnchor>
  <xdr:twoCellAnchor>
    <xdr:from>
      <xdr:col>9</xdr:col>
      <xdr:colOff>200025</xdr:colOff>
      <xdr:row>14</xdr:row>
      <xdr:rowOff>314325</xdr:rowOff>
    </xdr:from>
    <xdr:to>
      <xdr:col>9</xdr:col>
      <xdr:colOff>304800</xdr:colOff>
      <xdr:row>14</xdr:row>
      <xdr:rowOff>419100</xdr:rowOff>
    </xdr:to>
    <xdr:sp macro="" textlink="">
      <xdr:nvSpPr>
        <xdr:cNvPr id="32144817" name="132 Elipse">
          <a:extLst>
            <a:ext uri="{FF2B5EF4-FFF2-40B4-BE49-F238E27FC236}">
              <a16:creationId xmlns:a16="http://schemas.microsoft.com/office/drawing/2014/main" id="{00000000-0008-0000-1B00-0000B17DEA01}"/>
            </a:ext>
          </a:extLst>
        </xdr:cNvPr>
        <xdr:cNvSpPr>
          <a:spLocks noChangeArrowheads="1"/>
        </xdr:cNvSpPr>
      </xdr:nvSpPr>
      <xdr:spPr bwMode="auto">
        <a:xfrm>
          <a:off x="6934200" y="5772150"/>
          <a:ext cx="104775" cy="104775"/>
        </a:xfrm>
        <a:prstGeom prst="ellipse">
          <a:avLst/>
        </a:prstGeom>
        <a:solidFill>
          <a:srgbClr val="00FF00"/>
        </a:solidFill>
        <a:ln w="76200">
          <a:solidFill>
            <a:srgbClr val="00FF00"/>
          </a:solidFill>
          <a:round/>
          <a:headEnd/>
          <a:tailEnd/>
        </a:ln>
      </xdr:spPr>
    </xdr:sp>
    <xdr:clientData/>
  </xdr:twoCellAnchor>
  <xdr:twoCellAnchor>
    <xdr:from>
      <xdr:col>11</xdr:col>
      <xdr:colOff>238125</xdr:colOff>
      <xdr:row>16</xdr:row>
      <xdr:rowOff>161925</xdr:rowOff>
    </xdr:from>
    <xdr:to>
      <xdr:col>11</xdr:col>
      <xdr:colOff>342900</xdr:colOff>
      <xdr:row>16</xdr:row>
      <xdr:rowOff>266700</xdr:rowOff>
    </xdr:to>
    <xdr:sp macro="" textlink="">
      <xdr:nvSpPr>
        <xdr:cNvPr id="32144818" name="132 Elipse">
          <a:extLst>
            <a:ext uri="{FF2B5EF4-FFF2-40B4-BE49-F238E27FC236}">
              <a16:creationId xmlns:a16="http://schemas.microsoft.com/office/drawing/2014/main" id="{00000000-0008-0000-1B00-0000B27DEA01}"/>
            </a:ext>
          </a:extLst>
        </xdr:cNvPr>
        <xdr:cNvSpPr>
          <a:spLocks noChangeArrowheads="1"/>
        </xdr:cNvSpPr>
      </xdr:nvSpPr>
      <xdr:spPr bwMode="auto">
        <a:xfrm>
          <a:off x="7924800" y="7200900"/>
          <a:ext cx="104775" cy="104775"/>
        </a:xfrm>
        <a:prstGeom prst="ellipse">
          <a:avLst/>
        </a:prstGeom>
        <a:solidFill>
          <a:srgbClr val="00FF00"/>
        </a:solidFill>
        <a:ln w="76200">
          <a:solidFill>
            <a:srgbClr val="00FF00"/>
          </a:solidFill>
          <a:round/>
          <a:headEnd/>
          <a:tailEnd/>
        </a:ln>
      </xdr:spPr>
    </xdr:sp>
    <xdr:clientData/>
  </xdr:twoCellAnchor>
  <xdr:twoCellAnchor>
    <xdr:from>
      <xdr:col>11</xdr:col>
      <xdr:colOff>219075</xdr:colOff>
      <xdr:row>17</xdr:row>
      <xdr:rowOff>285750</xdr:rowOff>
    </xdr:from>
    <xdr:to>
      <xdr:col>11</xdr:col>
      <xdr:colOff>323850</xdr:colOff>
      <xdr:row>17</xdr:row>
      <xdr:rowOff>390525</xdr:rowOff>
    </xdr:to>
    <xdr:sp macro="" textlink="">
      <xdr:nvSpPr>
        <xdr:cNvPr id="32144819" name="132 Elipse">
          <a:extLst>
            <a:ext uri="{FF2B5EF4-FFF2-40B4-BE49-F238E27FC236}">
              <a16:creationId xmlns:a16="http://schemas.microsoft.com/office/drawing/2014/main" id="{00000000-0008-0000-1B00-0000B37DEA01}"/>
            </a:ext>
          </a:extLst>
        </xdr:cNvPr>
        <xdr:cNvSpPr>
          <a:spLocks noChangeArrowheads="1"/>
        </xdr:cNvSpPr>
      </xdr:nvSpPr>
      <xdr:spPr bwMode="auto">
        <a:xfrm>
          <a:off x="7905750" y="7781925"/>
          <a:ext cx="104775" cy="104775"/>
        </a:xfrm>
        <a:prstGeom prst="ellipse">
          <a:avLst/>
        </a:prstGeom>
        <a:solidFill>
          <a:srgbClr val="00FF00"/>
        </a:solidFill>
        <a:ln w="76200">
          <a:solidFill>
            <a:srgbClr val="00FF00"/>
          </a:solidFill>
          <a:round/>
          <a:headEnd/>
          <a:tailEnd/>
        </a:ln>
      </xdr:spPr>
    </xdr:sp>
    <xdr:clientData/>
  </xdr:twoCellAnchor>
  <xdr:twoCellAnchor>
    <xdr:from>
      <xdr:col>10</xdr:col>
      <xdr:colOff>148164</xdr:colOff>
      <xdr:row>25</xdr:row>
      <xdr:rowOff>169334</xdr:rowOff>
    </xdr:from>
    <xdr:to>
      <xdr:col>10</xdr:col>
      <xdr:colOff>252939</xdr:colOff>
      <xdr:row>25</xdr:row>
      <xdr:rowOff>274109</xdr:rowOff>
    </xdr:to>
    <xdr:sp macro="" textlink="">
      <xdr:nvSpPr>
        <xdr:cNvPr id="72" name="167 Elipse">
          <a:extLst>
            <a:ext uri="{FF2B5EF4-FFF2-40B4-BE49-F238E27FC236}">
              <a16:creationId xmlns:a16="http://schemas.microsoft.com/office/drawing/2014/main" id="{00000000-0008-0000-1B00-000048000000}"/>
            </a:ext>
          </a:extLst>
        </xdr:cNvPr>
        <xdr:cNvSpPr>
          <a:spLocks noChangeArrowheads="1"/>
        </xdr:cNvSpPr>
      </xdr:nvSpPr>
      <xdr:spPr bwMode="auto">
        <a:xfrm>
          <a:off x="7429497" y="11461751"/>
          <a:ext cx="104775" cy="104775"/>
        </a:xfrm>
        <a:prstGeom prst="ellipse">
          <a:avLst/>
        </a:prstGeom>
        <a:solidFill>
          <a:srgbClr val="00FF00"/>
        </a:solidFill>
        <a:ln w="76200">
          <a:solidFill>
            <a:srgbClr val="00FF00"/>
          </a:solidFill>
          <a:round/>
          <a:headEnd/>
          <a:tailEnd/>
        </a:ln>
      </xdr:spPr>
    </xdr:sp>
    <xdr:clientData/>
  </xdr:twoCellAnchor>
</xdr:wsDr>
</file>

<file path=xl/drawings/drawing20.xml><?xml version="1.0" encoding="utf-8"?>
<xdr:wsDr xmlns:xdr="http://schemas.openxmlformats.org/drawingml/2006/spreadsheetDrawing" xmlns:a="http://schemas.openxmlformats.org/drawingml/2006/main">
  <xdr:twoCellAnchor>
    <xdr:from>
      <xdr:col>3</xdr:col>
      <xdr:colOff>1228725</xdr:colOff>
      <xdr:row>33</xdr:row>
      <xdr:rowOff>85725</xdr:rowOff>
    </xdr:from>
    <xdr:to>
      <xdr:col>4</xdr:col>
      <xdr:colOff>152400</xdr:colOff>
      <xdr:row>33</xdr:row>
      <xdr:rowOff>161925</xdr:rowOff>
    </xdr:to>
    <xdr:sp macro="" textlink="">
      <xdr:nvSpPr>
        <xdr:cNvPr id="31941584" name="Oval 2">
          <a:extLst>
            <a:ext uri="{FF2B5EF4-FFF2-40B4-BE49-F238E27FC236}">
              <a16:creationId xmlns:a16="http://schemas.microsoft.com/office/drawing/2014/main" id="{00000000-0008-0000-1D00-0000D063E701}"/>
            </a:ext>
          </a:extLst>
        </xdr:cNvPr>
        <xdr:cNvSpPr>
          <a:spLocks noChangeArrowheads="1"/>
        </xdr:cNvSpPr>
      </xdr:nvSpPr>
      <xdr:spPr bwMode="auto">
        <a:xfrm>
          <a:off x="2828925" y="7772400"/>
          <a:ext cx="314325" cy="76200"/>
        </a:xfrm>
        <a:prstGeom prst="ellipse">
          <a:avLst/>
        </a:prstGeom>
        <a:solidFill>
          <a:srgbClr val="FFFF00"/>
        </a:solidFill>
        <a:ln w="9525">
          <a:solidFill>
            <a:srgbClr val="FFFF00"/>
          </a:solidFill>
          <a:round/>
          <a:headEnd/>
          <a:tailEnd/>
        </a:ln>
      </xdr:spPr>
    </xdr:sp>
    <xdr:clientData/>
  </xdr:twoCellAnchor>
  <xdr:twoCellAnchor>
    <xdr:from>
      <xdr:col>2</xdr:col>
      <xdr:colOff>390525</xdr:colOff>
      <xdr:row>33</xdr:row>
      <xdr:rowOff>85725</xdr:rowOff>
    </xdr:from>
    <xdr:to>
      <xdr:col>2</xdr:col>
      <xdr:colOff>552450</xdr:colOff>
      <xdr:row>33</xdr:row>
      <xdr:rowOff>161925</xdr:rowOff>
    </xdr:to>
    <xdr:sp macro="" textlink="">
      <xdr:nvSpPr>
        <xdr:cNvPr id="31941585" name="Oval 3">
          <a:extLst>
            <a:ext uri="{FF2B5EF4-FFF2-40B4-BE49-F238E27FC236}">
              <a16:creationId xmlns:a16="http://schemas.microsoft.com/office/drawing/2014/main" id="{00000000-0008-0000-1D00-0000D163E701}"/>
            </a:ext>
          </a:extLst>
        </xdr:cNvPr>
        <xdr:cNvSpPr>
          <a:spLocks noChangeArrowheads="1"/>
        </xdr:cNvSpPr>
      </xdr:nvSpPr>
      <xdr:spPr bwMode="auto">
        <a:xfrm>
          <a:off x="1400175" y="7772400"/>
          <a:ext cx="161925" cy="76200"/>
        </a:xfrm>
        <a:prstGeom prst="ellipse">
          <a:avLst/>
        </a:prstGeom>
        <a:solidFill>
          <a:srgbClr val="00FF00"/>
        </a:solidFill>
        <a:ln w="9525">
          <a:solidFill>
            <a:srgbClr val="00FF00"/>
          </a:solidFill>
          <a:round/>
          <a:headEnd/>
          <a:tailEnd/>
        </a:ln>
      </xdr:spPr>
    </xdr:sp>
    <xdr:clientData/>
  </xdr:twoCellAnchor>
  <xdr:twoCellAnchor>
    <xdr:from>
      <xdr:col>7</xdr:col>
      <xdr:colOff>85725</xdr:colOff>
      <xdr:row>33</xdr:row>
      <xdr:rowOff>76200</xdr:rowOff>
    </xdr:from>
    <xdr:to>
      <xdr:col>7</xdr:col>
      <xdr:colOff>266700</xdr:colOff>
      <xdr:row>33</xdr:row>
      <xdr:rowOff>152400</xdr:rowOff>
    </xdr:to>
    <xdr:sp macro="" textlink="">
      <xdr:nvSpPr>
        <xdr:cNvPr id="4" name="Oval 4">
          <a:extLst>
            <a:ext uri="{FF2B5EF4-FFF2-40B4-BE49-F238E27FC236}">
              <a16:creationId xmlns:a16="http://schemas.microsoft.com/office/drawing/2014/main" id="{00000000-0008-0000-1D00-000004000000}"/>
            </a:ext>
          </a:extLst>
        </xdr:cNvPr>
        <xdr:cNvSpPr>
          <a:spLocks noChangeArrowheads="1"/>
        </xdr:cNvSpPr>
      </xdr:nvSpPr>
      <xdr:spPr bwMode="auto">
        <a:xfrm>
          <a:off x="4772025" y="6972300"/>
          <a:ext cx="180975" cy="76200"/>
        </a:xfrm>
        <a:prstGeom prst="ellipse">
          <a:avLst/>
        </a:prstGeom>
        <a:solidFill>
          <a:srgbClr val="FF0000"/>
        </a:solidFill>
        <a:ln w="9525">
          <a:solidFill>
            <a:srgbClr val="FF0000"/>
          </a:solidFill>
          <a:round/>
          <a:headEnd/>
          <a:tailEnd/>
        </a:ln>
        <a:effectLst/>
      </xdr:spPr>
      <xdr:txBody>
        <a:bodyPr vertOverflow="clip" wrap="square" lIns="27432" tIns="22860" rIns="0" bIns="0" anchor="t" upright="1"/>
        <a:lstStyle/>
        <a:p>
          <a:pPr algn="l" rtl="0">
            <a:defRPr sz="1000"/>
          </a:pPr>
          <a:r>
            <a:rPr lang="es-AR" sz="1000" b="0" i="0" strike="noStrike">
              <a:solidFill>
                <a:srgbClr val="000000"/>
              </a:solidFill>
              <a:latin typeface="Arial"/>
              <a:cs typeface="Arial"/>
            </a:rPr>
            <a:t>w</a:t>
          </a:r>
        </a:p>
      </xdr:txBody>
    </xdr:sp>
    <xdr:clientData/>
  </xdr:twoCellAnchor>
  <xdr:twoCellAnchor>
    <xdr:from>
      <xdr:col>7</xdr:col>
      <xdr:colOff>219075</xdr:colOff>
      <xdr:row>12</xdr:row>
      <xdr:rowOff>133350</xdr:rowOff>
    </xdr:from>
    <xdr:to>
      <xdr:col>7</xdr:col>
      <xdr:colOff>304800</xdr:colOff>
      <xdr:row>12</xdr:row>
      <xdr:rowOff>219075</xdr:rowOff>
    </xdr:to>
    <xdr:sp macro="" textlink="">
      <xdr:nvSpPr>
        <xdr:cNvPr id="31941587" name="1020 Elipse">
          <a:extLst>
            <a:ext uri="{FF2B5EF4-FFF2-40B4-BE49-F238E27FC236}">
              <a16:creationId xmlns:a16="http://schemas.microsoft.com/office/drawing/2014/main" id="{00000000-0008-0000-1D00-0000D363E701}"/>
            </a:ext>
          </a:extLst>
        </xdr:cNvPr>
        <xdr:cNvSpPr>
          <a:spLocks noChangeArrowheads="1"/>
        </xdr:cNvSpPr>
      </xdr:nvSpPr>
      <xdr:spPr bwMode="auto">
        <a:xfrm>
          <a:off x="5438775" y="2686050"/>
          <a:ext cx="85725" cy="85725"/>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12</xdr:row>
      <xdr:rowOff>133350</xdr:rowOff>
    </xdr:from>
    <xdr:to>
      <xdr:col>8</xdr:col>
      <xdr:colOff>304800</xdr:colOff>
      <xdr:row>12</xdr:row>
      <xdr:rowOff>219075</xdr:rowOff>
    </xdr:to>
    <xdr:sp macro="" textlink="">
      <xdr:nvSpPr>
        <xdr:cNvPr id="31941588" name="1020 Elipse">
          <a:extLst>
            <a:ext uri="{FF2B5EF4-FFF2-40B4-BE49-F238E27FC236}">
              <a16:creationId xmlns:a16="http://schemas.microsoft.com/office/drawing/2014/main" id="{00000000-0008-0000-1D00-0000D463E701}"/>
            </a:ext>
          </a:extLst>
        </xdr:cNvPr>
        <xdr:cNvSpPr>
          <a:spLocks noChangeArrowheads="1"/>
        </xdr:cNvSpPr>
      </xdr:nvSpPr>
      <xdr:spPr bwMode="auto">
        <a:xfrm>
          <a:off x="6153150" y="2686050"/>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13</xdr:row>
      <xdr:rowOff>76200</xdr:rowOff>
    </xdr:from>
    <xdr:to>
      <xdr:col>7</xdr:col>
      <xdr:colOff>304800</xdr:colOff>
      <xdr:row>13</xdr:row>
      <xdr:rowOff>161925</xdr:rowOff>
    </xdr:to>
    <xdr:sp macro="" textlink="">
      <xdr:nvSpPr>
        <xdr:cNvPr id="31941589" name="1020 Elipse">
          <a:extLst>
            <a:ext uri="{FF2B5EF4-FFF2-40B4-BE49-F238E27FC236}">
              <a16:creationId xmlns:a16="http://schemas.microsoft.com/office/drawing/2014/main" id="{00000000-0008-0000-1D00-0000D563E701}"/>
            </a:ext>
          </a:extLst>
        </xdr:cNvPr>
        <xdr:cNvSpPr>
          <a:spLocks noChangeArrowheads="1"/>
        </xdr:cNvSpPr>
      </xdr:nvSpPr>
      <xdr:spPr bwMode="auto">
        <a:xfrm>
          <a:off x="5438775" y="2962275"/>
          <a:ext cx="85725" cy="85725"/>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13</xdr:row>
      <xdr:rowOff>76200</xdr:rowOff>
    </xdr:from>
    <xdr:to>
      <xdr:col>8</xdr:col>
      <xdr:colOff>304800</xdr:colOff>
      <xdr:row>13</xdr:row>
      <xdr:rowOff>161925</xdr:rowOff>
    </xdr:to>
    <xdr:sp macro="" textlink="">
      <xdr:nvSpPr>
        <xdr:cNvPr id="31941590" name="1020 Elipse">
          <a:extLst>
            <a:ext uri="{FF2B5EF4-FFF2-40B4-BE49-F238E27FC236}">
              <a16:creationId xmlns:a16="http://schemas.microsoft.com/office/drawing/2014/main" id="{00000000-0008-0000-1D00-0000D663E701}"/>
            </a:ext>
          </a:extLst>
        </xdr:cNvPr>
        <xdr:cNvSpPr>
          <a:spLocks noChangeArrowheads="1"/>
        </xdr:cNvSpPr>
      </xdr:nvSpPr>
      <xdr:spPr bwMode="auto">
        <a:xfrm>
          <a:off x="6153150" y="2962275"/>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13</xdr:row>
      <xdr:rowOff>76200</xdr:rowOff>
    </xdr:from>
    <xdr:to>
      <xdr:col>7</xdr:col>
      <xdr:colOff>304800</xdr:colOff>
      <xdr:row>13</xdr:row>
      <xdr:rowOff>161925</xdr:rowOff>
    </xdr:to>
    <xdr:sp macro="" textlink="">
      <xdr:nvSpPr>
        <xdr:cNvPr id="31941591" name="1020 Elipse">
          <a:extLst>
            <a:ext uri="{FF2B5EF4-FFF2-40B4-BE49-F238E27FC236}">
              <a16:creationId xmlns:a16="http://schemas.microsoft.com/office/drawing/2014/main" id="{00000000-0008-0000-1D00-0000D763E701}"/>
            </a:ext>
          </a:extLst>
        </xdr:cNvPr>
        <xdr:cNvSpPr>
          <a:spLocks noChangeArrowheads="1"/>
        </xdr:cNvSpPr>
      </xdr:nvSpPr>
      <xdr:spPr bwMode="auto">
        <a:xfrm>
          <a:off x="5438775" y="2962275"/>
          <a:ext cx="85725" cy="85725"/>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13</xdr:row>
      <xdr:rowOff>76200</xdr:rowOff>
    </xdr:from>
    <xdr:to>
      <xdr:col>8</xdr:col>
      <xdr:colOff>304800</xdr:colOff>
      <xdr:row>13</xdr:row>
      <xdr:rowOff>161925</xdr:rowOff>
    </xdr:to>
    <xdr:sp macro="" textlink="">
      <xdr:nvSpPr>
        <xdr:cNvPr id="31941592" name="1020 Elipse">
          <a:extLst>
            <a:ext uri="{FF2B5EF4-FFF2-40B4-BE49-F238E27FC236}">
              <a16:creationId xmlns:a16="http://schemas.microsoft.com/office/drawing/2014/main" id="{00000000-0008-0000-1D00-0000D863E701}"/>
            </a:ext>
          </a:extLst>
        </xdr:cNvPr>
        <xdr:cNvSpPr>
          <a:spLocks noChangeArrowheads="1"/>
        </xdr:cNvSpPr>
      </xdr:nvSpPr>
      <xdr:spPr bwMode="auto">
        <a:xfrm>
          <a:off x="6153150" y="2962275"/>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14</xdr:row>
      <xdr:rowOff>76200</xdr:rowOff>
    </xdr:from>
    <xdr:to>
      <xdr:col>7</xdr:col>
      <xdr:colOff>304800</xdr:colOff>
      <xdr:row>14</xdr:row>
      <xdr:rowOff>161925</xdr:rowOff>
    </xdr:to>
    <xdr:sp macro="" textlink="">
      <xdr:nvSpPr>
        <xdr:cNvPr id="31941593" name="1020 Elipse">
          <a:extLst>
            <a:ext uri="{FF2B5EF4-FFF2-40B4-BE49-F238E27FC236}">
              <a16:creationId xmlns:a16="http://schemas.microsoft.com/office/drawing/2014/main" id="{00000000-0008-0000-1D00-0000D963E701}"/>
            </a:ext>
          </a:extLst>
        </xdr:cNvPr>
        <xdr:cNvSpPr>
          <a:spLocks noChangeArrowheads="1"/>
        </xdr:cNvSpPr>
      </xdr:nvSpPr>
      <xdr:spPr bwMode="auto">
        <a:xfrm>
          <a:off x="5438775" y="3190875"/>
          <a:ext cx="85725" cy="85725"/>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14</xdr:row>
      <xdr:rowOff>76200</xdr:rowOff>
    </xdr:from>
    <xdr:to>
      <xdr:col>8</xdr:col>
      <xdr:colOff>304800</xdr:colOff>
      <xdr:row>14</xdr:row>
      <xdr:rowOff>161925</xdr:rowOff>
    </xdr:to>
    <xdr:sp macro="" textlink="">
      <xdr:nvSpPr>
        <xdr:cNvPr id="31941594" name="1020 Elipse">
          <a:extLst>
            <a:ext uri="{FF2B5EF4-FFF2-40B4-BE49-F238E27FC236}">
              <a16:creationId xmlns:a16="http://schemas.microsoft.com/office/drawing/2014/main" id="{00000000-0008-0000-1D00-0000DA63E701}"/>
            </a:ext>
          </a:extLst>
        </xdr:cNvPr>
        <xdr:cNvSpPr>
          <a:spLocks noChangeArrowheads="1"/>
        </xdr:cNvSpPr>
      </xdr:nvSpPr>
      <xdr:spPr bwMode="auto">
        <a:xfrm>
          <a:off x="6153150" y="3190875"/>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14</xdr:row>
      <xdr:rowOff>76200</xdr:rowOff>
    </xdr:from>
    <xdr:to>
      <xdr:col>7</xdr:col>
      <xdr:colOff>304800</xdr:colOff>
      <xdr:row>14</xdr:row>
      <xdr:rowOff>161925</xdr:rowOff>
    </xdr:to>
    <xdr:sp macro="" textlink="">
      <xdr:nvSpPr>
        <xdr:cNvPr id="31941595" name="1020 Elipse">
          <a:extLst>
            <a:ext uri="{FF2B5EF4-FFF2-40B4-BE49-F238E27FC236}">
              <a16:creationId xmlns:a16="http://schemas.microsoft.com/office/drawing/2014/main" id="{00000000-0008-0000-1D00-0000DB63E701}"/>
            </a:ext>
          </a:extLst>
        </xdr:cNvPr>
        <xdr:cNvSpPr>
          <a:spLocks noChangeArrowheads="1"/>
        </xdr:cNvSpPr>
      </xdr:nvSpPr>
      <xdr:spPr bwMode="auto">
        <a:xfrm>
          <a:off x="5438775" y="3190875"/>
          <a:ext cx="85725" cy="85725"/>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14</xdr:row>
      <xdr:rowOff>76200</xdr:rowOff>
    </xdr:from>
    <xdr:to>
      <xdr:col>8</xdr:col>
      <xdr:colOff>304800</xdr:colOff>
      <xdr:row>14</xdr:row>
      <xdr:rowOff>161925</xdr:rowOff>
    </xdr:to>
    <xdr:sp macro="" textlink="">
      <xdr:nvSpPr>
        <xdr:cNvPr id="31941596" name="1020 Elipse">
          <a:extLst>
            <a:ext uri="{FF2B5EF4-FFF2-40B4-BE49-F238E27FC236}">
              <a16:creationId xmlns:a16="http://schemas.microsoft.com/office/drawing/2014/main" id="{00000000-0008-0000-1D00-0000DC63E701}"/>
            </a:ext>
          </a:extLst>
        </xdr:cNvPr>
        <xdr:cNvSpPr>
          <a:spLocks noChangeArrowheads="1"/>
        </xdr:cNvSpPr>
      </xdr:nvSpPr>
      <xdr:spPr bwMode="auto">
        <a:xfrm>
          <a:off x="6153150" y="3190875"/>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15</xdr:row>
      <xdr:rowOff>76200</xdr:rowOff>
    </xdr:from>
    <xdr:to>
      <xdr:col>7</xdr:col>
      <xdr:colOff>304800</xdr:colOff>
      <xdr:row>15</xdr:row>
      <xdr:rowOff>161925</xdr:rowOff>
    </xdr:to>
    <xdr:sp macro="" textlink="">
      <xdr:nvSpPr>
        <xdr:cNvPr id="31941597" name="1020 Elipse">
          <a:extLst>
            <a:ext uri="{FF2B5EF4-FFF2-40B4-BE49-F238E27FC236}">
              <a16:creationId xmlns:a16="http://schemas.microsoft.com/office/drawing/2014/main" id="{00000000-0008-0000-1D00-0000DD63E701}"/>
            </a:ext>
          </a:extLst>
        </xdr:cNvPr>
        <xdr:cNvSpPr>
          <a:spLocks noChangeArrowheads="1"/>
        </xdr:cNvSpPr>
      </xdr:nvSpPr>
      <xdr:spPr bwMode="auto">
        <a:xfrm>
          <a:off x="5438775" y="3495675"/>
          <a:ext cx="85725" cy="85725"/>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15</xdr:row>
      <xdr:rowOff>76200</xdr:rowOff>
    </xdr:from>
    <xdr:to>
      <xdr:col>8</xdr:col>
      <xdr:colOff>304800</xdr:colOff>
      <xdr:row>15</xdr:row>
      <xdr:rowOff>161925</xdr:rowOff>
    </xdr:to>
    <xdr:sp macro="" textlink="">
      <xdr:nvSpPr>
        <xdr:cNvPr id="31941598" name="1020 Elipse">
          <a:extLst>
            <a:ext uri="{FF2B5EF4-FFF2-40B4-BE49-F238E27FC236}">
              <a16:creationId xmlns:a16="http://schemas.microsoft.com/office/drawing/2014/main" id="{00000000-0008-0000-1D00-0000DE63E701}"/>
            </a:ext>
          </a:extLst>
        </xdr:cNvPr>
        <xdr:cNvSpPr>
          <a:spLocks noChangeArrowheads="1"/>
        </xdr:cNvSpPr>
      </xdr:nvSpPr>
      <xdr:spPr bwMode="auto">
        <a:xfrm>
          <a:off x="6153150" y="3495675"/>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15</xdr:row>
      <xdr:rowOff>76200</xdr:rowOff>
    </xdr:from>
    <xdr:to>
      <xdr:col>7</xdr:col>
      <xdr:colOff>304800</xdr:colOff>
      <xdr:row>15</xdr:row>
      <xdr:rowOff>161925</xdr:rowOff>
    </xdr:to>
    <xdr:sp macro="" textlink="">
      <xdr:nvSpPr>
        <xdr:cNvPr id="31941599" name="1020 Elipse">
          <a:extLst>
            <a:ext uri="{FF2B5EF4-FFF2-40B4-BE49-F238E27FC236}">
              <a16:creationId xmlns:a16="http://schemas.microsoft.com/office/drawing/2014/main" id="{00000000-0008-0000-1D00-0000DF63E701}"/>
            </a:ext>
          </a:extLst>
        </xdr:cNvPr>
        <xdr:cNvSpPr>
          <a:spLocks noChangeArrowheads="1"/>
        </xdr:cNvSpPr>
      </xdr:nvSpPr>
      <xdr:spPr bwMode="auto">
        <a:xfrm>
          <a:off x="5438775" y="3495675"/>
          <a:ext cx="85725" cy="85725"/>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15</xdr:row>
      <xdr:rowOff>76200</xdr:rowOff>
    </xdr:from>
    <xdr:to>
      <xdr:col>8</xdr:col>
      <xdr:colOff>304800</xdr:colOff>
      <xdr:row>15</xdr:row>
      <xdr:rowOff>161925</xdr:rowOff>
    </xdr:to>
    <xdr:sp macro="" textlink="">
      <xdr:nvSpPr>
        <xdr:cNvPr id="31941600" name="1020 Elipse">
          <a:extLst>
            <a:ext uri="{FF2B5EF4-FFF2-40B4-BE49-F238E27FC236}">
              <a16:creationId xmlns:a16="http://schemas.microsoft.com/office/drawing/2014/main" id="{00000000-0008-0000-1D00-0000E063E701}"/>
            </a:ext>
          </a:extLst>
        </xdr:cNvPr>
        <xdr:cNvSpPr>
          <a:spLocks noChangeArrowheads="1"/>
        </xdr:cNvSpPr>
      </xdr:nvSpPr>
      <xdr:spPr bwMode="auto">
        <a:xfrm>
          <a:off x="6153150" y="3495675"/>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16</xdr:row>
      <xdr:rowOff>76200</xdr:rowOff>
    </xdr:from>
    <xdr:to>
      <xdr:col>7</xdr:col>
      <xdr:colOff>304800</xdr:colOff>
      <xdr:row>16</xdr:row>
      <xdr:rowOff>161925</xdr:rowOff>
    </xdr:to>
    <xdr:sp macro="" textlink="">
      <xdr:nvSpPr>
        <xdr:cNvPr id="31941601" name="1020 Elipse">
          <a:extLst>
            <a:ext uri="{FF2B5EF4-FFF2-40B4-BE49-F238E27FC236}">
              <a16:creationId xmlns:a16="http://schemas.microsoft.com/office/drawing/2014/main" id="{00000000-0008-0000-1D00-0000E163E701}"/>
            </a:ext>
          </a:extLst>
        </xdr:cNvPr>
        <xdr:cNvSpPr>
          <a:spLocks noChangeArrowheads="1"/>
        </xdr:cNvSpPr>
      </xdr:nvSpPr>
      <xdr:spPr bwMode="auto">
        <a:xfrm>
          <a:off x="5438775" y="3648075"/>
          <a:ext cx="85725" cy="0"/>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16</xdr:row>
      <xdr:rowOff>76200</xdr:rowOff>
    </xdr:from>
    <xdr:to>
      <xdr:col>8</xdr:col>
      <xdr:colOff>304800</xdr:colOff>
      <xdr:row>16</xdr:row>
      <xdr:rowOff>161925</xdr:rowOff>
    </xdr:to>
    <xdr:sp macro="" textlink="">
      <xdr:nvSpPr>
        <xdr:cNvPr id="31941602" name="1020 Elipse">
          <a:extLst>
            <a:ext uri="{FF2B5EF4-FFF2-40B4-BE49-F238E27FC236}">
              <a16:creationId xmlns:a16="http://schemas.microsoft.com/office/drawing/2014/main" id="{00000000-0008-0000-1D00-0000E263E701}"/>
            </a:ext>
          </a:extLst>
        </xdr:cNvPr>
        <xdr:cNvSpPr>
          <a:spLocks noChangeArrowheads="1"/>
        </xdr:cNvSpPr>
      </xdr:nvSpPr>
      <xdr:spPr bwMode="auto">
        <a:xfrm>
          <a:off x="6153150" y="3648075"/>
          <a:ext cx="85725" cy="0"/>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16</xdr:row>
      <xdr:rowOff>76200</xdr:rowOff>
    </xdr:from>
    <xdr:to>
      <xdr:col>7</xdr:col>
      <xdr:colOff>304800</xdr:colOff>
      <xdr:row>16</xdr:row>
      <xdr:rowOff>161925</xdr:rowOff>
    </xdr:to>
    <xdr:sp macro="" textlink="">
      <xdr:nvSpPr>
        <xdr:cNvPr id="31941603" name="1020 Elipse">
          <a:extLst>
            <a:ext uri="{FF2B5EF4-FFF2-40B4-BE49-F238E27FC236}">
              <a16:creationId xmlns:a16="http://schemas.microsoft.com/office/drawing/2014/main" id="{00000000-0008-0000-1D00-0000E363E701}"/>
            </a:ext>
          </a:extLst>
        </xdr:cNvPr>
        <xdr:cNvSpPr>
          <a:spLocks noChangeArrowheads="1"/>
        </xdr:cNvSpPr>
      </xdr:nvSpPr>
      <xdr:spPr bwMode="auto">
        <a:xfrm>
          <a:off x="5438775" y="3648075"/>
          <a:ext cx="85725" cy="0"/>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16</xdr:row>
      <xdr:rowOff>76200</xdr:rowOff>
    </xdr:from>
    <xdr:to>
      <xdr:col>8</xdr:col>
      <xdr:colOff>304800</xdr:colOff>
      <xdr:row>16</xdr:row>
      <xdr:rowOff>161925</xdr:rowOff>
    </xdr:to>
    <xdr:sp macro="" textlink="">
      <xdr:nvSpPr>
        <xdr:cNvPr id="31941604" name="1020 Elipse">
          <a:extLst>
            <a:ext uri="{FF2B5EF4-FFF2-40B4-BE49-F238E27FC236}">
              <a16:creationId xmlns:a16="http://schemas.microsoft.com/office/drawing/2014/main" id="{00000000-0008-0000-1D00-0000E463E701}"/>
            </a:ext>
          </a:extLst>
        </xdr:cNvPr>
        <xdr:cNvSpPr>
          <a:spLocks noChangeArrowheads="1"/>
        </xdr:cNvSpPr>
      </xdr:nvSpPr>
      <xdr:spPr bwMode="auto">
        <a:xfrm>
          <a:off x="6153150" y="3648075"/>
          <a:ext cx="85725" cy="0"/>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17</xdr:row>
      <xdr:rowOff>76200</xdr:rowOff>
    </xdr:from>
    <xdr:to>
      <xdr:col>7</xdr:col>
      <xdr:colOff>304800</xdr:colOff>
      <xdr:row>17</xdr:row>
      <xdr:rowOff>161925</xdr:rowOff>
    </xdr:to>
    <xdr:sp macro="" textlink="">
      <xdr:nvSpPr>
        <xdr:cNvPr id="31941605" name="1020 Elipse">
          <a:extLst>
            <a:ext uri="{FF2B5EF4-FFF2-40B4-BE49-F238E27FC236}">
              <a16:creationId xmlns:a16="http://schemas.microsoft.com/office/drawing/2014/main" id="{00000000-0008-0000-1D00-0000E563E701}"/>
            </a:ext>
          </a:extLst>
        </xdr:cNvPr>
        <xdr:cNvSpPr>
          <a:spLocks noChangeArrowheads="1"/>
        </xdr:cNvSpPr>
      </xdr:nvSpPr>
      <xdr:spPr bwMode="auto">
        <a:xfrm>
          <a:off x="5438775" y="3648075"/>
          <a:ext cx="85725" cy="0"/>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17</xdr:row>
      <xdr:rowOff>76200</xdr:rowOff>
    </xdr:from>
    <xdr:to>
      <xdr:col>8</xdr:col>
      <xdr:colOff>304800</xdr:colOff>
      <xdr:row>17</xdr:row>
      <xdr:rowOff>161925</xdr:rowOff>
    </xdr:to>
    <xdr:sp macro="" textlink="">
      <xdr:nvSpPr>
        <xdr:cNvPr id="31941606" name="1020 Elipse">
          <a:extLst>
            <a:ext uri="{FF2B5EF4-FFF2-40B4-BE49-F238E27FC236}">
              <a16:creationId xmlns:a16="http://schemas.microsoft.com/office/drawing/2014/main" id="{00000000-0008-0000-1D00-0000E663E701}"/>
            </a:ext>
          </a:extLst>
        </xdr:cNvPr>
        <xdr:cNvSpPr>
          <a:spLocks noChangeArrowheads="1"/>
        </xdr:cNvSpPr>
      </xdr:nvSpPr>
      <xdr:spPr bwMode="auto">
        <a:xfrm>
          <a:off x="6153150" y="3648075"/>
          <a:ext cx="85725" cy="0"/>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17</xdr:row>
      <xdr:rowOff>76200</xdr:rowOff>
    </xdr:from>
    <xdr:to>
      <xdr:col>7</xdr:col>
      <xdr:colOff>304800</xdr:colOff>
      <xdr:row>17</xdr:row>
      <xdr:rowOff>161925</xdr:rowOff>
    </xdr:to>
    <xdr:sp macro="" textlink="">
      <xdr:nvSpPr>
        <xdr:cNvPr id="31941607" name="1020 Elipse">
          <a:extLst>
            <a:ext uri="{FF2B5EF4-FFF2-40B4-BE49-F238E27FC236}">
              <a16:creationId xmlns:a16="http://schemas.microsoft.com/office/drawing/2014/main" id="{00000000-0008-0000-1D00-0000E763E701}"/>
            </a:ext>
          </a:extLst>
        </xdr:cNvPr>
        <xdr:cNvSpPr>
          <a:spLocks noChangeArrowheads="1"/>
        </xdr:cNvSpPr>
      </xdr:nvSpPr>
      <xdr:spPr bwMode="auto">
        <a:xfrm>
          <a:off x="5438775" y="3648075"/>
          <a:ext cx="85725" cy="0"/>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17</xdr:row>
      <xdr:rowOff>76200</xdr:rowOff>
    </xdr:from>
    <xdr:to>
      <xdr:col>8</xdr:col>
      <xdr:colOff>304800</xdr:colOff>
      <xdr:row>17</xdr:row>
      <xdr:rowOff>161925</xdr:rowOff>
    </xdr:to>
    <xdr:sp macro="" textlink="">
      <xdr:nvSpPr>
        <xdr:cNvPr id="31941608" name="1020 Elipse">
          <a:extLst>
            <a:ext uri="{FF2B5EF4-FFF2-40B4-BE49-F238E27FC236}">
              <a16:creationId xmlns:a16="http://schemas.microsoft.com/office/drawing/2014/main" id="{00000000-0008-0000-1D00-0000E863E701}"/>
            </a:ext>
          </a:extLst>
        </xdr:cNvPr>
        <xdr:cNvSpPr>
          <a:spLocks noChangeArrowheads="1"/>
        </xdr:cNvSpPr>
      </xdr:nvSpPr>
      <xdr:spPr bwMode="auto">
        <a:xfrm>
          <a:off x="6153150" y="3648075"/>
          <a:ext cx="85725" cy="0"/>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18</xdr:row>
      <xdr:rowOff>76200</xdr:rowOff>
    </xdr:from>
    <xdr:to>
      <xdr:col>7</xdr:col>
      <xdr:colOff>304800</xdr:colOff>
      <xdr:row>18</xdr:row>
      <xdr:rowOff>161925</xdr:rowOff>
    </xdr:to>
    <xdr:sp macro="" textlink="">
      <xdr:nvSpPr>
        <xdr:cNvPr id="31941609" name="1020 Elipse">
          <a:extLst>
            <a:ext uri="{FF2B5EF4-FFF2-40B4-BE49-F238E27FC236}">
              <a16:creationId xmlns:a16="http://schemas.microsoft.com/office/drawing/2014/main" id="{00000000-0008-0000-1D00-0000E963E701}"/>
            </a:ext>
          </a:extLst>
        </xdr:cNvPr>
        <xdr:cNvSpPr>
          <a:spLocks noChangeArrowheads="1"/>
        </xdr:cNvSpPr>
      </xdr:nvSpPr>
      <xdr:spPr bwMode="auto">
        <a:xfrm>
          <a:off x="5438775" y="3648075"/>
          <a:ext cx="85725" cy="0"/>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18</xdr:row>
      <xdr:rowOff>76200</xdr:rowOff>
    </xdr:from>
    <xdr:to>
      <xdr:col>8</xdr:col>
      <xdr:colOff>304800</xdr:colOff>
      <xdr:row>18</xdr:row>
      <xdr:rowOff>161925</xdr:rowOff>
    </xdr:to>
    <xdr:sp macro="" textlink="">
      <xdr:nvSpPr>
        <xdr:cNvPr id="31941610" name="1020 Elipse">
          <a:extLst>
            <a:ext uri="{FF2B5EF4-FFF2-40B4-BE49-F238E27FC236}">
              <a16:creationId xmlns:a16="http://schemas.microsoft.com/office/drawing/2014/main" id="{00000000-0008-0000-1D00-0000EA63E701}"/>
            </a:ext>
          </a:extLst>
        </xdr:cNvPr>
        <xdr:cNvSpPr>
          <a:spLocks noChangeArrowheads="1"/>
        </xdr:cNvSpPr>
      </xdr:nvSpPr>
      <xdr:spPr bwMode="auto">
        <a:xfrm>
          <a:off x="6153150" y="3648075"/>
          <a:ext cx="85725" cy="0"/>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18</xdr:row>
      <xdr:rowOff>76200</xdr:rowOff>
    </xdr:from>
    <xdr:to>
      <xdr:col>7</xdr:col>
      <xdr:colOff>304800</xdr:colOff>
      <xdr:row>18</xdr:row>
      <xdr:rowOff>161925</xdr:rowOff>
    </xdr:to>
    <xdr:sp macro="" textlink="">
      <xdr:nvSpPr>
        <xdr:cNvPr id="31941611" name="1020 Elipse">
          <a:extLst>
            <a:ext uri="{FF2B5EF4-FFF2-40B4-BE49-F238E27FC236}">
              <a16:creationId xmlns:a16="http://schemas.microsoft.com/office/drawing/2014/main" id="{00000000-0008-0000-1D00-0000EB63E701}"/>
            </a:ext>
          </a:extLst>
        </xdr:cNvPr>
        <xdr:cNvSpPr>
          <a:spLocks noChangeArrowheads="1"/>
        </xdr:cNvSpPr>
      </xdr:nvSpPr>
      <xdr:spPr bwMode="auto">
        <a:xfrm>
          <a:off x="5438775" y="3648075"/>
          <a:ext cx="85725" cy="0"/>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18</xdr:row>
      <xdr:rowOff>76200</xdr:rowOff>
    </xdr:from>
    <xdr:to>
      <xdr:col>8</xdr:col>
      <xdr:colOff>304800</xdr:colOff>
      <xdr:row>18</xdr:row>
      <xdr:rowOff>161925</xdr:rowOff>
    </xdr:to>
    <xdr:sp macro="" textlink="">
      <xdr:nvSpPr>
        <xdr:cNvPr id="31941612" name="1020 Elipse">
          <a:extLst>
            <a:ext uri="{FF2B5EF4-FFF2-40B4-BE49-F238E27FC236}">
              <a16:creationId xmlns:a16="http://schemas.microsoft.com/office/drawing/2014/main" id="{00000000-0008-0000-1D00-0000EC63E701}"/>
            </a:ext>
          </a:extLst>
        </xdr:cNvPr>
        <xdr:cNvSpPr>
          <a:spLocks noChangeArrowheads="1"/>
        </xdr:cNvSpPr>
      </xdr:nvSpPr>
      <xdr:spPr bwMode="auto">
        <a:xfrm>
          <a:off x="6153150" y="3648075"/>
          <a:ext cx="85725" cy="0"/>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19</xdr:row>
      <xdr:rowOff>76200</xdr:rowOff>
    </xdr:from>
    <xdr:to>
      <xdr:col>8</xdr:col>
      <xdr:colOff>304800</xdr:colOff>
      <xdr:row>19</xdr:row>
      <xdr:rowOff>161925</xdr:rowOff>
    </xdr:to>
    <xdr:sp macro="" textlink="">
      <xdr:nvSpPr>
        <xdr:cNvPr id="31941613" name="1020 Elipse">
          <a:extLst>
            <a:ext uri="{FF2B5EF4-FFF2-40B4-BE49-F238E27FC236}">
              <a16:creationId xmlns:a16="http://schemas.microsoft.com/office/drawing/2014/main" id="{00000000-0008-0000-1D00-0000ED63E701}"/>
            </a:ext>
          </a:extLst>
        </xdr:cNvPr>
        <xdr:cNvSpPr>
          <a:spLocks noChangeArrowheads="1"/>
        </xdr:cNvSpPr>
      </xdr:nvSpPr>
      <xdr:spPr bwMode="auto">
        <a:xfrm>
          <a:off x="6153150" y="3724275"/>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190500</xdr:colOff>
      <xdr:row>19</xdr:row>
      <xdr:rowOff>76200</xdr:rowOff>
    </xdr:from>
    <xdr:to>
      <xdr:col>7</xdr:col>
      <xdr:colOff>276225</xdr:colOff>
      <xdr:row>19</xdr:row>
      <xdr:rowOff>161925</xdr:rowOff>
    </xdr:to>
    <xdr:sp macro="" textlink="">
      <xdr:nvSpPr>
        <xdr:cNvPr id="31941614" name="1020 Elipse">
          <a:extLst>
            <a:ext uri="{FF2B5EF4-FFF2-40B4-BE49-F238E27FC236}">
              <a16:creationId xmlns:a16="http://schemas.microsoft.com/office/drawing/2014/main" id="{00000000-0008-0000-1D00-0000EE63E701}"/>
            </a:ext>
          </a:extLst>
        </xdr:cNvPr>
        <xdr:cNvSpPr>
          <a:spLocks noChangeArrowheads="1"/>
        </xdr:cNvSpPr>
      </xdr:nvSpPr>
      <xdr:spPr bwMode="auto">
        <a:xfrm>
          <a:off x="5410200" y="3724275"/>
          <a:ext cx="85725" cy="85725"/>
        </a:xfrm>
        <a:prstGeom prst="ellipse">
          <a:avLst/>
        </a:prstGeom>
        <a:solidFill>
          <a:srgbClr val="FFFF00"/>
        </a:solidFill>
        <a:ln w="76200">
          <a:solidFill>
            <a:srgbClr val="FFFF00"/>
          </a:solidFill>
          <a:round/>
          <a:headEnd/>
          <a:tailEnd/>
        </a:ln>
      </xdr:spPr>
    </xdr:sp>
    <xdr:clientData/>
  </xdr:twoCellAnchor>
  <xdr:twoCellAnchor>
    <xdr:from>
      <xdr:col>8</xdr:col>
      <xdr:colOff>219075</xdr:colOff>
      <xdr:row>19</xdr:row>
      <xdr:rowOff>76200</xdr:rowOff>
    </xdr:from>
    <xdr:to>
      <xdr:col>8</xdr:col>
      <xdr:colOff>304800</xdr:colOff>
      <xdr:row>19</xdr:row>
      <xdr:rowOff>161925</xdr:rowOff>
    </xdr:to>
    <xdr:sp macro="" textlink="">
      <xdr:nvSpPr>
        <xdr:cNvPr id="31941615" name="1020 Elipse">
          <a:extLst>
            <a:ext uri="{FF2B5EF4-FFF2-40B4-BE49-F238E27FC236}">
              <a16:creationId xmlns:a16="http://schemas.microsoft.com/office/drawing/2014/main" id="{00000000-0008-0000-1D00-0000EF63E701}"/>
            </a:ext>
          </a:extLst>
        </xdr:cNvPr>
        <xdr:cNvSpPr>
          <a:spLocks noChangeArrowheads="1"/>
        </xdr:cNvSpPr>
      </xdr:nvSpPr>
      <xdr:spPr bwMode="auto">
        <a:xfrm>
          <a:off x="6153150" y="3724275"/>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20</xdr:row>
      <xdr:rowOff>76200</xdr:rowOff>
    </xdr:from>
    <xdr:to>
      <xdr:col>7</xdr:col>
      <xdr:colOff>304800</xdr:colOff>
      <xdr:row>20</xdr:row>
      <xdr:rowOff>161925</xdr:rowOff>
    </xdr:to>
    <xdr:sp macro="" textlink="">
      <xdr:nvSpPr>
        <xdr:cNvPr id="31941616" name="1020 Elipse">
          <a:extLst>
            <a:ext uri="{FF2B5EF4-FFF2-40B4-BE49-F238E27FC236}">
              <a16:creationId xmlns:a16="http://schemas.microsoft.com/office/drawing/2014/main" id="{00000000-0008-0000-1D00-0000F063E701}"/>
            </a:ext>
          </a:extLst>
        </xdr:cNvPr>
        <xdr:cNvSpPr>
          <a:spLocks noChangeArrowheads="1"/>
        </xdr:cNvSpPr>
      </xdr:nvSpPr>
      <xdr:spPr bwMode="auto">
        <a:xfrm>
          <a:off x="5438775" y="3962400"/>
          <a:ext cx="85725" cy="85725"/>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20</xdr:row>
      <xdr:rowOff>76200</xdr:rowOff>
    </xdr:from>
    <xdr:to>
      <xdr:col>8</xdr:col>
      <xdr:colOff>304800</xdr:colOff>
      <xdr:row>20</xdr:row>
      <xdr:rowOff>161925</xdr:rowOff>
    </xdr:to>
    <xdr:sp macro="" textlink="">
      <xdr:nvSpPr>
        <xdr:cNvPr id="31941617" name="1020 Elipse">
          <a:extLst>
            <a:ext uri="{FF2B5EF4-FFF2-40B4-BE49-F238E27FC236}">
              <a16:creationId xmlns:a16="http://schemas.microsoft.com/office/drawing/2014/main" id="{00000000-0008-0000-1D00-0000F163E701}"/>
            </a:ext>
          </a:extLst>
        </xdr:cNvPr>
        <xdr:cNvSpPr>
          <a:spLocks noChangeArrowheads="1"/>
        </xdr:cNvSpPr>
      </xdr:nvSpPr>
      <xdr:spPr bwMode="auto">
        <a:xfrm>
          <a:off x="6153150" y="3962400"/>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20</xdr:row>
      <xdr:rowOff>76200</xdr:rowOff>
    </xdr:from>
    <xdr:to>
      <xdr:col>7</xdr:col>
      <xdr:colOff>304800</xdr:colOff>
      <xdr:row>20</xdr:row>
      <xdr:rowOff>161925</xdr:rowOff>
    </xdr:to>
    <xdr:sp macro="" textlink="">
      <xdr:nvSpPr>
        <xdr:cNvPr id="31941618" name="1020 Elipse">
          <a:extLst>
            <a:ext uri="{FF2B5EF4-FFF2-40B4-BE49-F238E27FC236}">
              <a16:creationId xmlns:a16="http://schemas.microsoft.com/office/drawing/2014/main" id="{00000000-0008-0000-1D00-0000F263E701}"/>
            </a:ext>
          </a:extLst>
        </xdr:cNvPr>
        <xdr:cNvSpPr>
          <a:spLocks noChangeArrowheads="1"/>
        </xdr:cNvSpPr>
      </xdr:nvSpPr>
      <xdr:spPr bwMode="auto">
        <a:xfrm>
          <a:off x="5438775" y="3962400"/>
          <a:ext cx="85725" cy="85725"/>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20</xdr:row>
      <xdr:rowOff>76200</xdr:rowOff>
    </xdr:from>
    <xdr:to>
      <xdr:col>8</xdr:col>
      <xdr:colOff>304800</xdr:colOff>
      <xdr:row>20</xdr:row>
      <xdr:rowOff>161925</xdr:rowOff>
    </xdr:to>
    <xdr:sp macro="" textlink="">
      <xdr:nvSpPr>
        <xdr:cNvPr id="31941619" name="1020 Elipse">
          <a:extLst>
            <a:ext uri="{FF2B5EF4-FFF2-40B4-BE49-F238E27FC236}">
              <a16:creationId xmlns:a16="http://schemas.microsoft.com/office/drawing/2014/main" id="{00000000-0008-0000-1D00-0000F363E701}"/>
            </a:ext>
          </a:extLst>
        </xdr:cNvPr>
        <xdr:cNvSpPr>
          <a:spLocks noChangeArrowheads="1"/>
        </xdr:cNvSpPr>
      </xdr:nvSpPr>
      <xdr:spPr bwMode="auto">
        <a:xfrm>
          <a:off x="6153150" y="3962400"/>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21</xdr:row>
      <xdr:rowOff>76200</xdr:rowOff>
    </xdr:from>
    <xdr:to>
      <xdr:col>7</xdr:col>
      <xdr:colOff>304800</xdr:colOff>
      <xdr:row>21</xdr:row>
      <xdr:rowOff>161925</xdr:rowOff>
    </xdr:to>
    <xdr:sp macro="" textlink="">
      <xdr:nvSpPr>
        <xdr:cNvPr id="31941620" name="1020 Elipse">
          <a:extLst>
            <a:ext uri="{FF2B5EF4-FFF2-40B4-BE49-F238E27FC236}">
              <a16:creationId xmlns:a16="http://schemas.microsoft.com/office/drawing/2014/main" id="{00000000-0008-0000-1D00-0000F463E701}"/>
            </a:ext>
          </a:extLst>
        </xdr:cNvPr>
        <xdr:cNvSpPr>
          <a:spLocks noChangeArrowheads="1"/>
        </xdr:cNvSpPr>
      </xdr:nvSpPr>
      <xdr:spPr bwMode="auto">
        <a:xfrm>
          <a:off x="5438775" y="4229100"/>
          <a:ext cx="85725" cy="85725"/>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21</xdr:row>
      <xdr:rowOff>76200</xdr:rowOff>
    </xdr:from>
    <xdr:to>
      <xdr:col>8</xdr:col>
      <xdr:colOff>304800</xdr:colOff>
      <xdr:row>21</xdr:row>
      <xdr:rowOff>161925</xdr:rowOff>
    </xdr:to>
    <xdr:sp macro="" textlink="">
      <xdr:nvSpPr>
        <xdr:cNvPr id="31941621" name="1020 Elipse">
          <a:extLst>
            <a:ext uri="{FF2B5EF4-FFF2-40B4-BE49-F238E27FC236}">
              <a16:creationId xmlns:a16="http://schemas.microsoft.com/office/drawing/2014/main" id="{00000000-0008-0000-1D00-0000F563E701}"/>
            </a:ext>
          </a:extLst>
        </xdr:cNvPr>
        <xdr:cNvSpPr>
          <a:spLocks noChangeArrowheads="1"/>
        </xdr:cNvSpPr>
      </xdr:nvSpPr>
      <xdr:spPr bwMode="auto">
        <a:xfrm>
          <a:off x="6153150" y="4229100"/>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21</xdr:row>
      <xdr:rowOff>76200</xdr:rowOff>
    </xdr:from>
    <xdr:to>
      <xdr:col>7</xdr:col>
      <xdr:colOff>304800</xdr:colOff>
      <xdr:row>21</xdr:row>
      <xdr:rowOff>161925</xdr:rowOff>
    </xdr:to>
    <xdr:sp macro="" textlink="">
      <xdr:nvSpPr>
        <xdr:cNvPr id="31941622" name="1020 Elipse">
          <a:extLst>
            <a:ext uri="{FF2B5EF4-FFF2-40B4-BE49-F238E27FC236}">
              <a16:creationId xmlns:a16="http://schemas.microsoft.com/office/drawing/2014/main" id="{00000000-0008-0000-1D00-0000F663E701}"/>
            </a:ext>
          </a:extLst>
        </xdr:cNvPr>
        <xdr:cNvSpPr>
          <a:spLocks noChangeArrowheads="1"/>
        </xdr:cNvSpPr>
      </xdr:nvSpPr>
      <xdr:spPr bwMode="auto">
        <a:xfrm>
          <a:off x="5438775" y="4229100"/>
          <a:ext cx="85725" cy="85725"/>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21</xdr:row>
      <xdr:rowOff>76200</xdr:rowOff>
    </xdr:from>
    <xdr:to>
      <xdr:col>8</xdr:col>
      <xdr:colOff>304800</xdr:colOff>
      <xdr:row>21</xdr:row>
      <xdr:rowOff>161925</xdr:rowOff>
    </xdr:to>
    <xdr:sp macro="" textlink="">
      <xdr:nvSpPr>
        <xdr:cNvPr id="31941623" name="1020 Elipse">
          <a:extLst>
            <a:ext uri="{FF2B5EF4-FFF2-40B4-BE49-F238E27FC236}">
              <a16:creationId xmlns:a16="http://schemas.microsoft.com/office/drawing/2014/main" id="{00000000-0008-0000-1D00-0000F763E701}"/>
            </a:ext>
          </a:extLst>
        </xdr:cNvPr>
        <xdr:cNvSpPr>
          <a:spLocks noChangeArrowheads="1"/>
        </xdr:cNvSpPr>
      </xdr:nvSpPr>
      <xdr:spPr bwMode="auto">
        <a:xfrm>
          <a:off x="6153150" y="4229100"/>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22</xdr:row>
      <xdr:rowOff>76200</xdr:rowOff>
    </xdr:from>
    <xdr:to>
      <xdr:col>7</xdr:col>
      <xdr:colOff>304800</xdr:colOff>
      <xdr:row>22</xdr:row>
      <xdr:rowOff>161925</xdr:rowOff>
    </xdr:to>
    <xdr:sp macro="" textlink="">
      <xdr:nvSpPr>
        <xdr:cNvPr id="31941624" name="1020 Elipse">
          <a:extLst>
            <a:ext uri="{FF2B5EF4-FFF2-40B4-BE49-F238E27FC236}">
              <a16:creationId xmlns:a16="http://schemas.microsoft.com/office/drawing/2014/main" id="{00000000-0008-0000-1D00-0000F863E701}"/>
            </a:ext>
          </a:extLst>
        </xdr:cNvPr>
        <xdr:cNvSpPr>
          <a:spLocks noChangeArrowheads="1"/>
        </xdr:cNvSpPr>
      </xdr:nvSpPr>
      <xdr:spPr bwMode="auto">
        <a:xfrm>
          <a:off x="5438775" y="4381500"/>
          <a:ext cx="85725" cy="0"/>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22</xdr:row>
      <xdr:rowOff>76200</xdr:rowOff>
    </xdr:from>
    <xdr:to>
      <xdr:col>8</xdr:col>
      <xdr:colOff>304800</xdr:colOff>
      <xdr:row>22</xdr:row>
      <xdr:rowOff>161925</xdr:rowOff>
    </xdr:to>
    <xdr:sp macro="" textlink="">
      <xdr:nvSpPr>
        <xdr:cNvPr id="31941625" name="1020 Elipse">
          <a:extLst>
            <a:ext uri="{FF2B5EF4-FFF2-40B4-BE49-F238E27FC236}">
              <a16:creationId xmlns:a16="http://schemas.microsoft.com/office/drawing/2014/main" id="{00000000-0008-0000-1D00-0000F963E701}"/>
            </a:ext>
          </a:extLst>
        </xdr:cNvPr>
        <xdr:cNvSpPr>
          <a:spLocks noChangeArrowheads="1"/>
        </xdr:cNvSpPr>
      </xdr:nvSpPr>
      <xdr:spPr bwMode="auto">
        <a:xfrm>
          <a:off x="6153150" y="4381500"/>
          <a:ext cx="85725" cy="0"/>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22</xdr:row>
      <xdr:rowOff>76200</xdr:rowOff>
    </xdr:from>
    <xdr:to>
      <xdr:col>7</xdr:col>
      <xdr:colOff>304800</xdr:colOff>
      <xdr:row>22</xdr:row>
      <xdr:rowOff>161925</xdr:rowOff>
    </xdr:to>
    <xdr:sp macro="" textlink="">
      <xdr:nvSpPr>
        <xdr:cNvPr id="31941626" name="1020 Elipse">
          <a:extLst>
            <a:ext uri="{FF2B5EF4-FFF2-40B4-BE49-F238E27FC236}">
              <a16:creationId xmlns:a16="http://schemas.microsoft.com/office/drawing/2014/main" id="{00000000-0008-0000-1D00-0000FA63E701}"/>
            </a:ext>
          </a:extLst>
        </xdr:cNvPr>
        <xdr:cNvSpPr>
          <a:spLocks noChangeArrowheads="1"/>
        </xdr:cNvSpPr>
      </xdr:nvSpPr>
      <xdr:spPr bwMode="auto">
        <a:xfrm>
          <a:off x="5438775" y="4381500"/>
          <a:ext cx="85725" cy="0"/>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22</xdr:row>
      <xdr:rowOff>76200</xdr:rowOff>
    </xdr:from>
    <xdr:to>
      <xdr:col>8</xdr:col>
      <xdr:colOff>304800</xdr:colOff>
      <xdr:row>22</xdr:row>
      <xdr:rowOff>161925</xdr:rowOff>
    </xdr:to>
    <xdr:sp macro="" textlink="">
      <xdr:nvSpPr>
        <xdr:cNvPr id="31941627" name="1020 Elipse">
          <a:extLst>
            <a:ext uri="{FF2B5EF4-FFF2-40B4-BE49-F238E27FC236}">
              <a16:creationId xmlns:a16="http://schemas.microsoft.com/office/drawing/2014/main" id="{00000000-0008-0000-1D00-0000FB63E701}"/>
            </a:ext>
          </a:extLst>
        </xdr:cNvPr>
        <xdr:cNvSpPr>
          <a:spLocks noChangeArrowheads="1"/>
        </xdr:cNvSpPr>
      </xdr:nvSpPr>
      <xdr:spPr bwMode="auto">
        <a:xfrm>
          <a:off x="6153150" y="4381500"/>
          <a:ext cx="85725" cy="0"/>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23</xdr:row>
      <xdr:rowOff>76200</xdr:rowOff>
    </xdr:from>
    <xdr:to>
      <xdr:col>7</xdr:col>
      <xdr:colOff>304800</xdr:colOff>
      <xdr:row>23</xdr:row>
      <xdr:rowOff>161925</xdr:rowOff>
    </xdr:to>
    <xdr:sp macro="" textlink="">
      <xdr:nvSpPr>
        <xdr:cNvPr id="31941628" name="1020 Elipse">
          <a:extLst>
            <a:ext uri="{FF2B5EF4-FFF2-40B4-BE49-F238E27FC236}">
              <a16:creationId xmlns:a16="http://schemas.microsoft.com/office/drawing/2014/main" id="{00000000-0008-0000-1D00-0000FC63E701}"/>
            </a:ext>
          </a:extLst>
        </xdr:cNvPr>
        <xdr:cNvSpPr>
          <a:spLocks noChangeArrowheads="1"/>
        </xdr:cNvSpPr>
      </xdr:nvSpPr>
      <xdr:spPr bwMode="auto">
        <a:xfrm>
          <a:off x="5438775" y="4457700"/>
          <a:ext cx="85725" cy="85725"/>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23</xdr:row>
      <xdr:rowOff>76200</xdr:rowOff>
    </xdr:from>
    <xdr:to>
      <xdr:col>8</xdr:col>
      <xdr:colOff>304800</xdr:colOff>
      <xdr:row>23</xdr:row>
      <xdr:rowOff>161925</xdr:rowOff>
    </xdr:to>
    <xdr:sp macro="" textlink="">
      <xdr:nvSpPr>
        <xdr:cNvPr id="31941629" name="1020 Elipse">
          <a:extLst>
            <a:ext uri="{FF2B5EF4-FFF2-40B4-BE49-F238E27FC236}">
              <a16:creationId xmlns:a16="http://schemas.microsoft.com/office/drawing/2014/main" id="{00000000-0008-0000-1D00-0000FD63E701}"/>
            </a:ext>
          </a:extLst>
        </xdr:cNvPr>
        <xdr:cNvSpPr>
          <a:spLocks noChangeArrowheads="1"/>
        </xdr:cNvSpPr>
      </xdr:nvSpPr>
      <xdr:spPr bwMode="auto">
        <a:xfrm>
          <a:off x="6153150" y="4457700"/>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23</xdr:row>
      <xdr:rowOff>76200</xdr:rowOff>
    </xdr:from>
    <xdr:to>
      <xdr:col>7</xdr:col>
      <xdr:colOff>304800</xdr:colOff>
      <xdr:row>23</xdr:row>
      <xdr:rowOff>161925</xdr:rowOff>
    </xdr:to>
    <xdr:sp macro="" textlink="">
      <xdr:nvSpPr>
        <xdr:cNvPr id="31941630" name="1020 Elipse">
          <a:extLst>
            <a:ext uri="{FF2B5EF4-FFF2-40B4-BE49-F238E27FC236}">
              <a16:creationId xmlns:a16="http://schemas.microsoft.com/office/drawing/2014/main" id="{00000000-0008-0000-1D00-0000FE63E701}"/>
            </a:ext>
          </a:extLst>
        </xdr:cNvPr>
        <xdr:cNvSpPr>
          <a:spLocks noChangeArrowheads="1"/>
        </xdr:cNvSpPr>
      </xdr:nvSpPr>
      <xdr:spPr bwMode="auto">
        <a:xfrm>
          <a:off x="5438775" y="4457700"/>
          <a:ext cx="85725" cy="85725"/>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23</xdr:row>
      <xdr:rowOff>76200</xdr:rowOff>
    </xdr:from>
    <xdr:to>
      <xdr:col>8</xdr:col>
      <xdr:colOff>304800</xdr:colOff>
      <xdr:row>23</xdr:row>
      <xdr:rowOff>161925</xdr:rowOff>
    </xdr:to>
    <xdr:sp macro="" textlink="">
      <xdr:nvSpPr>
        <xdr:cNvPr id="31941631" name="1020 Elipse">
          <a:extLst>
            <a:ext uri="{FF2B5EF4-FFF2-40B4-BE49-F238E27FC236}">
              <a16:creationId xmlns:a16="http://schemas.microsoft.com/office/drawing/2014/main" id="{00000000-0008-0000-1D00-0000FF63E701}"/>
            </a:ext>
          </a:extLst>
        </xdr:cNvPr>
        <xdr:cNvSpPr>
          <a:spLocks noChangeArrowheads="1"/>
        </xdr:cNvSpPr>
      </xdr:nvSpPr>
      <xdr:spPr bwMode="auto">
        <a:xfrm>
          <a:off x="6153150" y="4457700"/>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24</xdr:row>
      <xdr:rowOff>76200</xdr:rowOff>
    </xdr:from>
    <xdr:to>
      <xdr:col>7</xdr:col>
      <xdr:colOff>304800</xdr:colOff>
      <xdr:row>24</xdr:row>
      <xdr:rowOff>161925</xdr:rowOff>
    </xdr:to>
    <xdr:sp macro="" textlink="">
      <xdr:nvSpPr>
        <xdr:cNvPr id="32350208" name="1020 Elipse">
          <a:extLst>
            <a:ext uri="{FF2B5EF4-FFF2-40B4-BE49-F238E27FC236}">
              <a16:creationId xmlns:a16="http://schemas.microsoft.com/office/drawing/2014/main" id="{00000000-0008-0000-1D00-000000A0ED01}"/>
            </a:ext>
          </a:extLst>
        </xdr:cNvPr>
        <xdr:cNvSpPr>
          <a:spLocks noChangeArrowheads="1"/>
        </xdr:cNvSpPr>
      </xdr:nvSpPr>
      <xdr:spPr bwMode="auto">
        <a:xfrm>
          <a:off x="5438775" y="4610100"/>
          <a:ext cx="85725" cy="0"/>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24</xdr:row>
      <xdr:rowOff>76200</xdr:rowOff>
    </xdr:from>
    <xdr:to>
      <xdr:col>8</xdr:col>
      <xdr:colOff>304800</xdr:colOff>
      <xdr:row>24</xdr:row>
      <xdr:rowOff>161925</xdr:rowOff>
    </xdr:to>
    <xdr:sp macro="" textlink="">
      <xdr:nvSpPr>
        <xdr:cNvPr id="32350209" name="1020 Elipse">
          <a:extLst>
            <a:ext uri="{FF2B5EF4-FFF2-40B4-BE49-F238E27FC236}">
              <a16:creationId xmlns:a16="http://schemas.microsoft.com/office/drawing/2014/main" id="{00000000-0008-0000-1D00-000001A0ED01}"/>
            </a:ext>
          </a:extLst>
        </xdr:cNvPr>
        <xdr:cNvSpPr>
          <a:spLocks noChangeArrowheads="1"/>
        </xdr:cNvSpPr>
      </xdr:nvSpPr>
      <xdr:spPr bwMode="auto">
        <a:xfrm>
          <a:off x="6153150" y="4610100"/>
          <a:ext cx="85725" cy="0"/>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24</xdr:row>
      <xdr:rowOff>76200</xdr:rowOff>
    </xdr:from>
    <xdr:to>
      <xdr:col>7</xdr:col>
      <xdr:colOff>304800</xdr:colOff>
      <xdr:row>24</xdr:row>
      <xdr:rowOff>161925</xdr:rowOff>
    </xdr:to>
    <xdr:sp macro="" textlink="">
      <xdr:nvSpPr>
        <xdr:cNvPr id="32350210" name="1020 Elipse">
          <a:extLst>
            <a:ext uri="{FF2B5EF4-FFF2-40B4-BE49-F238E27FC236}">
              <a16:creationId xmlns:a16="http://schemas.microsoft.com/office/drawing/2014/main" id="{00000000-0008-0000-1D00-000002A0ED01}"/>
            </a:ext>
          </a:extLst>
        </xdr:cNvPr>
        <xdr:cNvSpPr>
          <a:spLocks noChangeArrowheads="1"/>
        </xdr:cNvSpPr>
      </xdr:nvSpPr>
      <xdr:spPr bwMode="auto">
        <a:xfrm>
          <a:off x="5438775" y="4610100"/>
          <a:ext cx="85725" cy="0"/>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24</xdr:row>
      <xdr:rowOff>76200</xdr:rowOff>
    </xdr:from>
    <xdr:to>
      <xdr:col>8</xdr:col>
      <xdr:colOff>304800</xdr:colOff>
      <xdr:row>24</xdr:row>
      <xdr:rowOff>161925</xdr:rowOff>
    </xdr:to>
    <xdr:sp macro="" textlink="">
      <xdr:nvSpPr>
        <xdr:cNvPr id="32350211" name="1020 Elipse">
          <a:extLst>
            <a:ext uri="{FF2B5EF4-FFF2-40B4-BE49-F238E27FC236}">
              <a16:creationId xmlns:a16="http://schemas.microsoft.com/office/drawing/2014/main" id="{00000000-0008-0000-1D00-000003A0ED01}"/>
            </a:ext>
          </a:extLst>
        </xdr:cNvPr>
        <xdr:cNvSpPr>
          <a:spLocks noChangeArrowheads="1"/>
        </xdr:cNvSpPr>
      </xdr:nvSpPr>
      <xdr:spPr bwMode="auto">
        <a:xfrm>
          <a:off x="6153150" y="4610100"/>
          <a:ext cx="85725" cy="0"/>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25</xdr:row>
      <xdr:rowOff>76200</xdr:rowOff>
    </xdr:from>
    <xdr:to>
      <xdr:col>7</xdr:col>
      <xdr:colOff>304800</xdr:colOff>
      <xdr:row>25</xdr:row>
      <xdr:rowOff>161925</xdr:rowOff>
    </xdr:to>
    <xdr:sp macro="" textlink="">
      <xdr:nvSpPr>
        <xdr:cNvPr id="32350212" name="1020 Elipse">
          <a:extLst>
            <a:ext uri="{FF2B5EF4-FFF2-40B4-BE49-F238E27FC236}">
              <a16:creationId xmlns:a16="http://schemas.microsoft.com/office/drawing/2014/main" id="{00000000-0008-0000-1D00-000004A0ED01}"/>
            </a:ext>
          </a:extLst>
        </xdr:cNvPr>
        <xdr:cNvSpPr>
          <a:spLocks noChangeArrowheads="1"/>
        </xdr:cNvSpPr>
      </xdr:nvSpPr>
      <xdr:spPr bwMode="auto">
        <a:xfrm>
          <a:off x="5438775" y="4686300"/>
          <a:ext cx="85725" cy="85725"/>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25</xdr:row>
      <xdr:rowOff>76200</xdr:rowOff>
    </xdr:from>
    <xdr:to>
      <xdr:col>8</xdr:col>
      <xdr:colOff>304800</xdr:colOff>
      <xdr:row>25</xdr:row>
      <xdr:rowOff>161925</xdr:rowOff>
    </xdr:to>
    <xdr:sp macro="" textlink="">
      <xdr:nvSpPr>
        <xdr:cNvPr id="32350213" name="1020 Elipse">
          <a:extLst>
            <a:ext uri="{FF2B5EF4-FFF2-40B4-BE49-F238E27FC236}">
              <a16:creationId xmlns:a16="http://schemas.microsoft.com/office/drawing/2014/main" id="{00000000-0008-0000-1D00-000005A0ED01}"/>
            </a:ext>
          </a:extLst>
        </xdr:cNvPr>
        <xdr:cNvSpPr>
          <a:spLocks noChangeArrowheads="1"/>
        </xdr:cNvSpPr>
      </xdr:nvSpPr>
      <xdr:spPr bwMode="auto">
        <a:xfrm>
          <a:off x="6153150" y="4686300"/>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25</xdr:row>
      <xdr:rowOff>76200</xdr:rowOff>
    </xdr:from>
    <xdr:to>
      <xdr:col>7</xdr:col>
      <xdr:colOff>304800</xdr:colOff>
      <xdr:row>25</xdr:row>
      <xdr:rowOff>161925</xdr:rowOff>
    </xdr:to>
    <xdr:sp macro="" textlink="">
      <xdr:nvSpPr>
        <xdr:cNvPr id="32350214" name="1020 Elipse">
          <a:extLst>
            <a:ext uri="{FF2B5EF4-FFF2-40B4-BE49-F238E27FC236}">
              <a16:creationId xmlns:a16="http://schemas.microsoft.com/office/drawing/2014/main" id="{00000000-0008-0000-1D00-000006A0ED01}"/>
            </a:ext>
          </a:extLst>
        </xdr:cNvPr>
        <xdr:cNvSpPr>
          <a:spLocks noChangeArrowheads="1"/>
        </xdr:cNvSpPr>
      </xdr:nvSpPr>
      <xdr:spPr bwMode="auto">
        <a:xfrm>
          <a:off x="5438775" y="4686300"/>
          <a:ext cx="85725" cy="85725"/>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25</xdr:row>
      <xdr:rowOff>76200</xdr:rowOff>
    </xdr:from>
    <xdr:to>
      <xdr:col>8</xdr:col>
      <xdr:colOff>304800</xdr:colOff>
      <xdr:row>25</xdr:row>
      <xdr:rowOff>161925</xdr:rowOff>
    </xdr:to>
    <xdr:sp macro="" textlink="">
      <xdr:nvSpPr>
        <xdr:cNvPr id="32350215" name="1020 Elipse">
          <a:extLst>
            <a:ext uri="{FF2B5EF4-FFF2-40B4-BE49-F238E27FC236}">
              <a16:creationId xmlns:a16="http://schemas.microsoft.com/office/drawing/2014/main" id="{00000000-0008-0000-1D00-000007A0ED01}"/>
            </a:ext>
          </a:extLst>
        </xdr:cNvPr>
        <xdr:cNvSpPr>
          <a:spLocks noChangeArrowheads="1"/>
        </xdr:cNvSpPr>
      </xdr:nvSpPr>
      <xdr:spPr bwMode="auto">
        <a:xfrm>
          <a:off x="6153150" y="4686300"/>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238125</xdr:colOff>
      <xdr:row>27</xdr:row>
      <xdr:rowOff>333375</xdr:rowOff>
    </xdr:from>
    <xdr:to>
      <xdr:col>7</xdr:col>
      <xdr:colOff>323850</xdr:colOff>
      <xdr:row>27</xdr:row>
      <xdr:rowOff>419100</xdr:rowOff>
    </xdr:to>
    <xdr:sp macro="" textlink="">
      <xdr:nvSpPr>
        <xdr:cNvPr id="32350216" name="1020 Elipse">
          <a:extLst>
            <a:ext uri="{FF2B5EF4-FFF2-40B4-BE49-F238E27FC236}">
              <a16:creationId xmlns:a16="http://schemas.microsoft.com/office/drawing/2014/main" id="{00000000-0008-0000-1D00-000008A0ED01}"/>
            </a:ext>
          </a:extLst>
        </xdr:cNvPr>
        <xdr:cNvSpPr>
          <a:spLocks noChangeArrowheads="1"/>
        </xdr:cNvSpPr>
      </xdr:nvSpPr>
      <xdr:spPr bwMode="auto">
        <a:xfrm>
          <a:off x="5457825" y="5705475"/>
          <a:ext cx="85725" cy="85725"/>
        </a:xfrm>
        <a:prstGeom prst="ellipse">
          <a:avLst/>
        </a:prstGeom>
        <a:solidFill>
          <a:srgbClr val="00FF00"/>
        </a:solidFill>
        <a:ln w="76200">
          <a:solidFill>
            <a:srgbClr val="00FF00"/>
          </a:solidFill>
          <a:round/>
          <a:headEnd/>
          <a:tailEnd/>
        </a:ln>
      </xdr:spPr>
    </xdr:sp>
    <xdr:clientData/>
  </xdr:twoCellAnchor>
  <xdr:twoCellAnchor>
    <xdr:from>
      <xdr:col>8</xdr:col>
      <xdr:colOff>190500</xdr:colOff>
      <xdr:row>27</xdr:row>
      <xdr:rowOff>352425</xdr:rowOff>
    </xdr:from>
    <xdr:to>
      <xdr:col>8</xdr:col>
      <xdr:colOff>276225</xdr:colOff>
      <xdr:row>27</xdr:row>
      <xdr:rowOff>438150</xdr:rowOff>
    </xdr:to>
    <xdr:sp macro="" textlink="">
      <xdr:nvSpPr>
        <xdr:cNvPr id="32350217" name="1020 Elipse">
          <a:extLst>
            <a:ext uri="{FF2B5EF4-FFF2-40B4-BE49-F238E27FC236}">
              <a16:creationId xmlns:a16="http://schemas.microsoft.com/office/drawing/2014/main" id="{00000000-0008-0000-1D00-000009A0ED01}"/>
            </a:ext>
          </a:extLst>
        </xdr:cNvPr>
        <xdr:cNvSpPr>
          <a:spLocks noChangeArrowheads="1"/>
        </xdr:cNvSpPr>
      </xdr:nvSpPr>
      <xdr:spPr bwMode="auto">
        <a:xfrm>
          <a:off x="6124575" y="5724525"/>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209550</xdr:colOff>
      <xdr:row>28</xdr:row>
      <xdr:rowOff>285750</xdr:rowOff>
    </xdr:from>
    <xdr:to>
      <xdr:col>7</xdr:col>
      <xdr:colOff>295275</xdr:colOff>
      <xdr:row>28</xdr:row>
      <xdr:rowOff>371475</xdr:rowOff>
    </xdr:to>
    <xdr:sp macro="" textlink="">
      <xdr:nvSpPr>
        <xdr:cNvPr id="32350218" name="1020 Elipse">
          <a:extLst>
            <a:ext uri="{FF2B5EF4-FFF2-40B4-BE49-F238E27FC236}">
              <a16:creationId xmlns:a16="http://schemas.microsoft.com/office/drawing/2014/main" id="{00000000-0008-0000-1D00-00000AA0ED01}"/>
            </a:ext>
          </a:extLst>
        </xdr:cNvPr>
        <xdr:cNvSpPr>
          <a:spLocks noChangeArrowheads="1"/>
        </xdr:cNvSpPr>
      </xdr:nvSpPr>
      <xdr:spPr bwMode="auto">
        <a:xfrm>
          <a:off x="5429250" y="6181725"/>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29</xdr:row>
      <xdr:rowOff>76200</xdr:rowOff>
    </xdr:from>
    <xdr:to>
      <xdr:col>7</xdr:col>
      <xdr:colOff>304800</xdr:colOff>
      <xdr:row>29</xdr:row>
      <xdr:rowOff>161925</xdr:rowOff>
    </xdr:to>
    <xdr:sp macro="" textlink="">
      <xdr:nvSpPr>
        <xdr:cNvPr id="32350219" name="1020 Elipse">
          <a:extLst>
            <a:ext uri="{FF2B5EF4-FFF2-40B4-BE49-F238E27FC236}">
              <a16:creationId xmlns:a16="http://schemas.microsoft.com/office/drawing/2014/main" id="{00000000-0008-0000-1D00-00000BA0ED01}"/>
            </a:ext>
          </a:extLst>
        </xdr:cNvPr>
        <xdr:cNvSpPr>
          <a:spLocks noChangeArrowheads="1"/>
        </xdr:cNvSpPr>
      </xdr:nvSpPr>
      <xdr:spPr bwMode="auto">
        <a:xfrm>
          <a:off x="5438775" y="6581775"/>
          <a:ext cx="85725" cy="85725"/>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29</xdr:row>
      <xdr:rowOff>76200</xdr:rowOff>
    </xdr:from>
    <xdr:to>
      <xdr:col>8</xdr:col>
      <xdr:colOff>304800</xdr:colOff>
      <xdr:row>29</xdr:row>
      <xdr:rowOff>161925</xdr:rowOff>
    </xdr:to>
    <xdr:sp macro="" textlink="">
      <xdr:nvSpPr>
        <xdr:cNvPr id="32350220" name="1020 Elipse">
          <a:extLst>
            <a:ext uri="{FF2B5EF4-FFF2-40B4-BE49-F238E27FC236}">
              <a16:creationId xmlns:a16="http://schemas.microsoft.com/office/drawing/2014/main" id="{00000000-0008-0000-1D00-00000CA0ED01}"/>
            </a:ext>
          </a:extLst>
        </xdr:cNvPr>
        <xdr:cNvSpPr>
          <a:spLocks noChangeArrowheads="1"/>
        </xdr:cNvSpPr>
      </xdr:nvSpPr>
      <xdr:spPr bwMode="auto">
        <a:xfrm>
          <a:off x="6153150" y="6581775"/>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29</xdr:row>
      <xdr:rowOff>76200</xdr:rowOff>
    </xdr:from>
    <xdr:to>
      <xdr:col>7</xdr:col>
      <xdr:colOff>304800</xdr:colOff>
      <xdr:row>29</xdr:row>
      <xdr:rowOff>161925</xdr:rowOff>
    </xdr:to>
    <xdr:sp macro="" textlink="">
      <xdr:nvSpPr>
        <xdr:cNvPr id="32350221" name="1020 Elipse">
          <a:extLst>
            <a:ext uri="{FF2B5EF4-FFF2-40B4-BE49-F238E27FC236}">
              <a16:creationId xmlns:a16="http://schemas.microsoft.com/office/drawing/2014/main" id="{00000000-0008-0000-1D00-00000DA0ED01}"/>
            </a:ext>
          </a:extLst>
        </xdr:cNvPr>
        <xdr:cNvSpPr>
          <a:spLocks noChangeArrowheads="1"/>
        </xdr:cNvSpPr>
      </xdr:nvSpPr>
      <xdr:spPr bwMode="auto">
        <a:xfrm>
          <a:off x="5438775" y="6581775"/>
          <a:ext cx="85725" cy="85725"/>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29</xdr:row>
      <xdr:rowOff>76200</xdr:rowOff>
    </xdr:from>
    <xdr:to>
      <xdr:col>8</xdr:col>
      <xdr:colOff>304800</xdr:colOff>
      <xdr:row>29</xdr:row>
      <xdr:rowOff>161925</xdr:rowOff>
    </xdr:to>
    <xdr:sp macro="" textlink="">
      <xdr:nvSpPr>
        <xdr:cNvPr id="32350222" name="1020 Elipse">
          <a:extLst>
            <a:ext uri="{FF2B5EF4-FFF2-40B4-BE49-F238E27FC236}">
              <a16:creationId xmlns:a16="http://schemas.microsoft.com/office/drawing/2014/main" id="{00000000-0008-0000-1D00-00000EA0ED01}"/>
            </a:ext>
          </a:extLst>
        </xdr:cNvPr>
        <xdr:cNvSpPr>
          <a:spLocks noChangeArrowheads="1"/>
        </xdr:cNvSpPr>
      </xdr:nvSpPr>
      <xdr:spPr bwMode="auto">
        <a:xfrm>
          <a:off x="6153150" y="6581775"/>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30</xdr:row>
      <xdr:rowOff>76200</xdr:rowOff>
    </xdr:from>
    <xdr:to>
      <xdr:col>7</xdr:col>
      <xdr:colOff>304800</xdr:colOff>
      <xdr:row>30</xdr:row>
      <xdr:rowOff>161925</xdr:rowOff>
    </xdr:to>
    <xdr:sp macro="" textlink="">
      <xdr:nvSpPr>
        <xdr:cNvPr id="32350223" name="1020 Elipse">
          <a:extLst>
            <a:ext uri="{FF2B5EF4-FFF2-40B4-BE49-F238E27FC236}">
              <a16:creationId xmlns:a16="http://schemas.microsoft.com/office/drawing/2014/main" id="{00000000-0008-0000-1D00-00000FA0ED01}"/>
            </a:ext>
          </a:extLst>
        </xdr:cNvPr>
        <xdr:cNvSpPr>
          <a:spLocks noChangeArrowheads="1"/>
        </xdr:cNvSpPr>
      </xdr:nvSpPr>
      <xdr:spPr bwMode="auto">
        <a:xfrm>
          <a:off x="5438775" y="6848475"/>
          <a:ext cx="85725" cy="85725"/>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30</xdr:row>
      <xdr:rowOff>76200</xdr:rowOff>
    </xdr:from>
    <xdr:to>
      <xdr:col>8</xdr:col>
      <xdr:colOff>304800</xdr:colOff>
      <xdr:row>30</xdr:row>
      <xdr:rowOff>161925</xdr:rowOff>
    </xdr:to>
    <xdr:sp macro="" textlink="">
      <xdr:nvSpPr>
        <xdr:cNvPr id="32350224" name="1020 Elipse">
          <a:extLst>
            <a:ext uri="{FF2B5EF4-FFF2-40B4-BE49-F238E27FC236}">
              <a16:creationId xmlns:a16="http://schemas.microsoft.com/office/drawing/2014/main" id="{00000000-0008-0000-1D00-000010A0ED01}"/>
            </a:ext>
          </a:extLst>
        </xdr:cNvPr>
        <xdr:cNvSpPr>
          <a:spLocks noChangeArrowheads="1"/>
        </xdr:cNvSpPr>
      </xdr:nvSpPr>
      <xdr:spPr bwMode="auto">
        <a:xfrm>
          <a:off x="6153150" y="6848475"/>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30</xdr:row>
      <xdr:rowOff>76200</xdr:rowOff>
    </xdr:from>
    <xdr:to>
      <xdr:col>7</xdr:col>
      <xdr:colOff>304800</xdr:colOff>
      <xdr:row>30</xdr:row>
      <xdr:rowOff>161925</xdr:rowOff>
    </xdr:to>
    <xdr:sp macro="" textlink="">
      <xdr:nvSpPr>
        <xdr:cNvPr id="32350225" name="1020 Elipse">
          <a:extLst>
            <a:ext uri="{FF2B5EF4-FFF2-40B4-BE49-F238E27FC236}">
              <a16:creationId xmlns:a16="http://schemas.microsoft.com/office/drawing/2014/main" id="{00000000-0008-0000-1D00-000011A0ED01}"/>
            </a:ext>
          </a:extLst>
        </xdr:cNvPr>
        <xdr:cNvSpPr>
          <a:spLocks noChangeArrowheads="1"/>
        </xdr:cNvSpPr>
      </xdr:nvSpPr>
      <xdr:spPr bwMode="auto">
        <a:xfrm>
          <a:off x="5438775" y="6848475"/>
          <a:ext cx="85725" cy="85725"/>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30</xdr:row>
      <xdr:rowOff>76200</xdr:rowOff>
    </xdr:from>
    <xdr:to>
      <xdr:col>8</xdr:col>
      <xdr:colOff>304800</xdr:colOff>
      <xdr:row>30</xdr:row>
      <xdr:rowOff>161925</xdr:rowOff>
    </xdr:to>
    <xdr:sp macro="" textlink="">
      <xdr:nvSpPr>
        <xdr:cNvPr id="32350226" name="1020 Elipse">
          <a:extLst>
            <a:ext uri="{FF2B5EF4-FFF2-40B4-BE49-F238E27FC236}">
              <a16:creationId xmlns:a16="http://schemas.microsoft.com/office/drawing/2014/main" id="{00000000-0008-0000-1D00-000012A0ED01}"/>
            </a:ext>
          </a:extLst>
        </xdr:cNvPr>
        <xdr:cNvSpPr>
          <a:spLocks noChangeArrowheads="1"/>
        </xdr:cNvSpPr>
      </xdr:nvSpPr>
      <xdr:spPr bwMode="auto">
        <a:xfrm>
          <a:off x="6153150" y="6848475"/>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31</xdr:row>
      <xdr:rowOff>76200</xdr:rowOff>
    </xdr:from>
    <xdr:to>
      <xdr:col>7</xdr:col>
      <xdr:colOff>304800</xdr:colOff>
      <xdr:row>31</xdr:row>
      <xdr:rowOff>161925</xdr:rowOff>
    </xdr:to>
    <xdr:sp macro="" textlink="">
      <xdr:nvSpPr>
        <xdr:cNvPr id="32350227" name="1020 Elipse">
          <a:extLst>
            <a:ext uri="{FF2B5EF4-FFF2-40B4-BE49-F238E27FC236}">
              <a16:creationId xmlns:a16="http://schemas.microsoft.com/office/drawing/2014/main" id="{00000000-0008-0000-1D00-000013A0ED01}"/>
            </a:ext>
          </a:extLst>
        </xdr:cNvPr>
        <xdr:cNvSpPr>
          <a:spLocks noChangeArrowheads="1"/>
        </xdr:cNvSpPr>
      </xdr:nvSpPr>
      <xdr:spPr bwMode="auto">
        <a:xfrm>
          <a:off x="5438775" y="7219950"/>
          <a:ext cx="85725" cy="85725"/>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31</xdr:row>
      <xdr:rowOff>76200</xdr:rowOff>
    </xdr:from>
    <xdr:to>
      <xdr:col>8</xdr:col>
      <xdr:colOff>304800</xdr:colOff>
      <xdr:row>31</xdr:row>
      <xdr:rowOff>161925</xdr:rowOff>
    </xdr:to>
    <xdr:sp macro="" textlink="">
      <xdr:nvSpPr>
        <xdr:cNvPr id="32350228" name="1020 Elipse">
          <a:extLst>
            <a:ext uri="{FF2B5EF4-FFF2-40B4-BE49-F238E27FC236}">
              <a16:creationId xmlns:a16="http://schemas.microsoft.com/office/drawing/2014/main" id="{00000000-0008-0000-1D00-000014A0ED01}"/>
            </a:ext>
          </a:extLst>
        </xdr:cNvPr>
        <xdr:cNvSpPr>
          <a:spLocks noChangeArrowheads="1"/>
        </xdr:cNvSpPr>
      </xdr:nvSpPr>
      <xdr:spPr bwMode="auto">
        <a:xfrm>
          <a:off x="6153150" y="7219950"/>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219075</xdr:colOff>
      <xdr:row>31</xdr:row>
      <xdr:rowOff>76200</xdr:rowOff>
    </xdr:from>
    <xdr:to>
      <xdr:col>7</xdr:col>
      <xdr:colOff>304800</xdr:colOff>
      <xdr:row>31</xdr:row>
      <xdr:rowOff>161925</xdr:rowOff>
    </xdr:to>
    <xdr:sp macro="" textlink="">
      <xdr:nvSpPr>
        <xdr:cNvPr id="32350229" name="1020 Elipse">
          <a:extLst>
            <a:ext uri="{FF2B5EF4-FFF2-40B4-BE49-F238E27FC236}">
              <a16:creationId xmlns:a16="http://schemas.microsoft.com/office/drawing/2014/main" id="{00000000-0008-0000-1D00-000015A0ED01}"/>
            </a:ext>
          </a:extLst>
        </xdr:cNvPr>
        <xdr:cNvSpPr>
          <a:spLocks noChangeArrowheads="1"/>
        </xdr:cNvSpPr>
      </xdr:nvSpPr>
      <xdr:spPr bwMode="auto">
        <a:xfrm>
          <a:off x="5438775" y="7219950"/>
          <a:ext cx="85725" cy="85725"/>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31</xdr:row>
      <xdr:rowOff>76200</xdr:rowOff>
    </xdr:from>
    <xdr:to>
      <xdr:col>8</xdr:col>
      <xdr:colOff>304800</xdr:colOff>
      <xdr:row>31</xdr:row>
      <xdr:rowOff>161925</xdr:rowOff>
    </xdr:to>
    <xdr:sp macro="" textlink="">
      <xdr:nvSpPr>
        <xdr:cNvPr id="32350230" name="1020 Elipse">
          <a:extLst>
            <a:ext uri="{FF2B5EF4-FFF2-40B4-BE49-F238E27FC236}">
              <a16:creationId xmlns:a16="http://schemas.microsoft.com/office/drawing/2014/main" id="{00000000-0008-0000-1D00-000016A0ED01}"/>
            </a:ext>
          </a:extLst>
        </xdr:cNvPr>
        <xdr:cNvSpPr>
          <a:spLocks noChangeArrowheads="1"/>
        </xdr:cNvSpPr>
      </xdr:nvSpPr>
      <xdr:spPr bwMode="auto">
        <a:xfrm>
          <a:off x="6153150" y="7219950"/>
          <a:ext cx="85725" cy="85725"/>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32</xdr:row>
      <xdr:rowOff>76200</xdr:rowOff>
    </xdr:from>
    <xdr:to>
      <xdr:col>8</xdr:col>
      <xdr:colOff>304800</xdr:colOff>
      <xdr:row>32</xdr:row>
      <xdr:rowOff>161925</xdr:rowOff>
    </xdr:to>
    <xdr:sp macro="" textlink="">
      <xdr:nvSpPr>
        <xdr:cNvPr id="32350231" name="1020 Elipse">
          <a:extLst>
            <a:ext uri="{FF2B5EF4-FFF2-40B4-BE49-F238E27FC236}">
              <a16:creationId xmlns:a16="http://schemas.microsoft.com/office/drawing/2014/main" id="{00000000-0008-0000-1D00-000017A0ED01}"/>
            </a:ext>
          </a:extLst>
        </xdr:cNvPr>
        <xdr:cNvSpPr>
          <a:spLocks noChangeArrowheads="1"/>
        </xdr:cNvSpPr>
      </xdr:nvSpPr>
      <xdr:spPr bwMode="auto">
        <a:xfrm>
          <a:off x="6153150" y="7534275"/>
          <a:ext cx="85725" cy="85725"/>
        </a:xfrm>
        <a:prstGeom prst="ellipse">
          <a:avLst/>
        </a:prstGeom>
        <a:solidFill>
          <a:srgbClr val="00FF00"/>
        </a:solidFill>
        <a:ln w="76200">
          <a:solidFill>
            <a:srgbClr val="00FF00"/>
          </a:solidFill>
          <a:round/>
          <a:headEnd/>
          <a:tailEnd/>
        </a:ln>
      </xdr:spPr>
    </xdr:sp>
    <xdr:clientData/>
  </xdr:twoCellAnchor>
  <xdr:twoCellAnchor>
    <xdr:from>
      <xdr:col>8</xdr:col>
      <xdr:colOff>219075</xdr:colOff>
      <xdr:row>32</xdr:row>
      <xdr:rowOff>76200</xdr:rowOff>
    </xdr:from>
    <xdr:to>
      <xdr:col>8</xdr:col>
      <xdr:colOff>304800</xdr:colOff>
      <xdr:row>32</xdr:row>
      <xdr:rowOff>161925</xdr:rowOff>
    </xdr:to>
    <xdr:sp macro="" textlink="">
      <xdr:nvSpPr>
        <xdr:cNvPr id="32350232" name="1020 Elipse">
          <a:extLst>
            <a:ext uri="{FF2B5EF4-FFF2-40B4-BE49-F238E27FC236}">
              <a16:creationId xmlns:a16="http://schemas.microsoft.com/office/drawing/2014/main" id="{00000000-0008-0000-1D00-000018A0ED01}"/>
            </a:ext>
          </a:extLst>
        </xdr:cNvPr>
        <xdr:cNvSpPr>
          <a:spLocks noChangeArrowheads="1"/>
        </xdr:cNvSpPr>
      </xdr:nvSpPr>
      <xdr:spPr bwMode="auto">
        <a:xfrm>
          <a:off x="6153150" y="7534275"/>
          <a:ext cx="85725" cy="85725"/>
        </a:xfrm>
        <a:prstGeom prst="ellipse">
          <a:avLst/>
        </a:prstGeom>
        <a:solidFill>
          <a:srgbClr val="00FF00"/>
        </a:solidFill>
        <a:ln w="76200">
          <a:solidFill>
            <a:srgbClr val="00FF00"/>
          </a:solidFill>
          <a:round/>
          <a:headEnd/>
          <a:tailEnd/>
        </a:ln>
      </xdr:spPr>
    </xdr:sp>
    <xdr:clientData/>
  </xdr:twoCellAnchor>
  <xdr:twoCellAnchor>
    <xdr:from>
      <xdr:col>9</xdr:col>
      <xdr:colOff>352425</xdr:colOff>
      <xdr:row>12</xdr:row>
      <xdr:rowOff>142875</xdr:rowOff>
    </xdr:from>
    <xdr:to>
      <xdr:col>9</xdr:col>
      <xdr:colOff>438150</xdr:colOff>
      <xdr:row>12</xdr:row>
      <xdr:rowOff>228600</xdr:rowOff>
    </xdr:to>
    <xdr:sp macro="" textlink="">
      <xdr:nvSpPr>
        <xdr:cNvPr id="32350233" name="1020 Elipse">
          <a:extLst>
            <a:ext uri="{FF2B5EF4-FFF2-40B4-BE49-F238E27FC236}">
              <a16:creationId xmlns:a16="http://schemas.microsoft.com/office/drawing/2014/main" id="{00000000-0008-0000-1D00-000019A0ED01}"/>
            </a:ext>
          </a:extLst>
        </xdr:cNvPr>
        <xdr:cNvSpPr>
          <a:spLocks noChangeArrowheads="1"/>
        </xdr:cNvSpPr>
      </xdr:nvSpPr>
      <xdr:spPr bwMode="auto">
        <a:xfrm>
          <a:off x="6819900" y="2695575"/>
          <a:ext cx="85725" cy="85725"/>
        </a:xfrm>
        <a:prstGeom prst="ellipse">
          <a:avLst/>
        </a:prstGeom>
        <a:solidFill>
          <a:srgbClr val="00FF00"/>
        </a:solidFill>
        <a:ln w="76200">
          <a:solidFill>
            <a:srgbClr val="00FF00"/>
          </a:solidFill>
          <a:round/>
          <a:headEnd/>
          <a:tailEnd/>
        </a:ln>
      </xdr:spPr>
    </xdr:sp>
    <xdr:clientData/>
  </xdr:twoCellAnchor>
  <xdr:twoCellAnchor>
    <xdr:from>
      <xdr:col>9</xdr:col>
      <xdr:colOff>352425</xdr:colOff>
      <xdr:row>26</xdr:row>
      <xdr:rowOff>152400</xdr:rowOff>
    </xdr:from>
    <xdr:to>
      <xdr:col>9</xdr:col>
      <xdr:colOff>438150</xdr:colOff>
      <xdr:row>26</xdr:row>
      <xdr:rowOff>238125</xdr:rowOff>
    </xdr:to>
    <xdr:sp macro="" textlink="">
      <xdr:nvSpPr>
        <xdr:cNvPr id="32350234" name="1020 Elipse">
          <a:extLst>
            <a:ext uri="{FF2B5EF4-FFF2-40B4-BE49-F238E27FC236}">
              <a16:creationId xmlns:a16="http://schemas.microsoft.com/office/drawing/2014/main" id="{00000000-0008-0000-1D00-00001AA0ED01}"/>
            </a:ext>
          </a:extLst>
        </xdr:cNvPr>
        <xdr:cNvSpPr>
          <a:spLocks noChangeArrowheads="1"/>
        </xdr:cNvSpPr>
      </xdr:nvSpPr>
      <xdr:spPr bwMode="auto">
        <a:xfrm>
          <a:off x="6819900" y="5133975"/>
          <a:ext cx="85725" cy="85725"/>
        </a:xfrm>
        <a:prstGeom prst="ellipse">
          <a:avLst/>
        </a:prstGeom>
        <a:solidFill>
          <a:srgbClr val="00FF00"/>
        </a:solidFill>
        <a:ln w="76200">
          <a:solidFill>
            <a:srgbClr val="00FF00"/>
          </a:solidFill>
          <a:round/>
          <a:headEnd/>
          <a:tailEnd/>
        </a:ln>
      </xdr:spPr>
    </xdr:sp>
    <xdr:clientData/>
  </xdr:twoCellAnchor>
  <xdr:twoCellAnchor>
    <xdr:from>
      <xdr:col>9</xdr:col>
      <xdr:colOff>361950</xdr:colOff>
      <xdr:row>27</xdr:row>
      <xdr:rowOff>323850</xdr:rowOff>
    </xdr:from>
    <xdr:to>
      <xdr:col>9</xdr:col>
      <xdr:colOff>447675</xdr:colOff>
      <xdr:row>27</xdr:row>
      <xdr:rowOff>409575</xdr:rowOff>
    </xdr:to>
    <xdr:sp macro="" textlink="">
      <xdr:nvSpPr>
        <xdr:cNvPr id="32350235" name="1020 Elipse">
          <a:extLst>
            <a:ext uri="{FF2B5EF4-FFF2-40B4-BE49-F238E27FC236}">
              <a16:creationId xmlns:a16="http://schemas.microsoft.com/office/drawing/2014/main" id="{00000000-0008-0000-1D00-00001BA0ED01}"/>
            </a:ext>
          </a:extLst>
        </xdr:cNvPr>
        <xdr:cNvSpPr>
          <a:spLocks noChangeArrowheads="1"/>
        </xdr:cNvSpPr>
      </xdr:nvSpPr>
      <xdr:spPr bwMode="auto">
        <a:xfrm>
          <a:off x="6829425" y="5695950"/>
          <a:ext cx="85725" cy="85725"/>
        </a:xfrm>
        <a:prstGeom prst="ellipse">
          <a:avLst/>
        </a:prstGeom>
        <a:solidFill>
          <a:srgbClr val="00FF00"/>
        </a:solidFill>
        <a:ln w="76200">
          <a:solidFill>
            <a:srgbClr val="00FF00"/>
          </a:solidFill>
          <a:round/>
          <a:headEnd/>
          <a:tailEnd/>
        </a:ln>
      </xdr:spPr>
    </xdr:sp>
    <xdr:clientData/>
  </xdr:twoCellAnchor>
  <xdr:twoCellAnchor>
    <xdr:from>
      <xdr:col>9</xdr:col>
      <xdr:colOff>342900</xdr:colOff>
      <xdr:row>28</xdr:row>
      <xdr:rowOff>295275</xdr:rowOff>
    </xdr:from>
    <xdr:to>
      <xdr:col>9</xdr:col>
      <xdr:colOff>428625</xdr:colOff>
      <xdr:row>28</xdr:row>
      <xdr:rowOff>381000</xdr:rowOff>
    </xdr:to>
    <xdr:sp macro="" textlink="">
      <xdr:nvSpPr>
        <xdr:cNvPr id="32350236" name="1020 Elipse">
          <a:extLst>
            <a:ext uri="{FF2B5EF4-FFF2-40B4-BE49-F238E27FC236}">
              <a16:creationId xmlns:a16="http://schemas.microsoft.com/office/drawing/2014/main" id="{00000000-0008-0000-1D00-00001CA0ED01}"/>
            </a:ext>
          </a:extLst>
        </xdr:cNvPr>
        <xdr:cNvSpPr>
          <a:spLocks noChangeArrowheads="1"/>
        </xdr:cNvSpPr>
      </xdr:nvSpPr>
      <xdr:spPr bwMode="auto">
        <a:xfrm>
          <a:off x="6810375" y="6191250"/>
          <a:ext cx="85725" cy="85725"/>
        </a:xfrm>
        <a:prstGeom prst="ellipse">
          <a:avLst/>
        </a:prstGeom>
        <a:solidFill>
          <a:srgbClr val="00FF00"/>
        </a:solidFill>
        <a:ln w="76200">
          <a:solidFill>
            <a:srgbClr val="00FF00"/>
          </a:solidFill>
          <a:round/>
          <a:headEnd/>
          <a:tailEnd/>
        </a:ln>
      </xdr:spPr>
    </xdr:sp>
    <xdr:clientData/>
  </xdr:twoCellAnchor>
  <xdr:twoCellAnchor>
    <xdr:from>
      <xdr:col>9</xdr:col>
      <xdr:colOff>352425</xdr:colOff>
      <xdr:row>29</xdr:row>
      <xdr:rowOff>85725</xdr:rowOff>
    </xdr:from>
    <xdr:to>
      <xdr:col>9</xdr:col>
      <xdr:colOff>438150</xdr:colOff>
      <xdr:row>29</xdr:row>
      <xdr:rowOff>171450</xdr:rowOff>
    </xdr:to>
    <xdr:sp macro="" textlink="">
      <xdr:nvSpPr>
        <xdr:cNvPr id="32350237" name="1020 Elipse">
          <a:extLst>
            <a:ext uri="{FF2B5EF4-FFF2-40B4-BE49-F238E27FC236}">
              <a16:creationId xmlns:a16="http://schemas.microsoft.com/office/drawing/2014/main" id="{00000000-0008-0000-1D00-00001DA0ED01}"/>
            </a:ext>
          </a:extLst>
        </xdr:cNvPr>
        <xdr:cNvSpPr>
          <a:spLocks noChangeArrowheads="1"/>
        </xdr:cNvSpPr>
      </xdr:nvSpPr>
      <xdr:spPr bwMode="auto">
        <a:xfrm>
          <a:off x="6819900" y="6591300"/>
          <a:ext cx="85725" cy="85725"/>
        </a:xfrm>
        <a:prstGeom prst="ellipse">
          <a:avLst/>
        </a:prstGeom>
        <a:solidFill>
          <a:srgbClr val="00FF00"/>
        </a:solidFill>
        <a:ln w="76200">
          <a:solidFill>
            <a:srgbClr val="00FF00"/>
          </a:solidFill>
          <a:round/>
          <a:headEnd/>
          <a:tailEnd/>
        </a:ln>
      </xdr:spPr>
    </xdr:sp>
    <xdr:clientData/>
  </xdr:twoCellAnchor>
  <xdr:twoCellAnchor>
    <xdr:from>
      <xdr:col>9</xdr:col>
      <xdr:colOff>352425</xdr:colOff>
      <xdr:row>30</xdr:row>
      <xdr:rowOff>85725</xdr:rowOff>
    </xdr:from>
    <xdr:to>
      <xdr:col>9</xdr:col>
      <xdr:colOff>438150</xdr:colOff>
      <xdr:row>30</xdr:row>
      <xdr:rowOff>171450</xdr:rowOff>
    </xdr:to>
    <xdr:sp macro="" textlink="">
      <xdr:nvSpPr>
        <xdr:cNvPr id="32350238" name="1020 Elipse">
          <a:extLst>
            <a:ext uri="{FF2B5EF4-FFF2-40B4-BE49-F238E27FC236}">
              <a16:creationId xmlns:a16="http://schemas.microsoft.com/office/drawing/2014/main" id="{00000000-0008-0000-1D00-00001EA0ED01}"/>
            </a:ext>
          </a:extLst>
        </xdr:cNvPr>
        <xdr:cNvSpPr>
          <a:spLocks noChangeArrowheads="1"/>
        </xdr:cNvSpPr>
      </xdr:nvSpPr>
      <xdr:spPr bwMode="auto">
        <a:xfrm>
          <a:off x="6819900" y="6858000"/>
          <a:ext cx="85725" cy="85725"/>
        </a:xfrm>
        <a:prstGeom prst="ellipse">
          <a:avLst/>
        </a:prstGeom>
        <a:solidFill>
          <a:srgbClr val="00FF00"/>
        </a:solidFill>
        <a:ln w="76200">
          <a:solidFill>
            <a:srgbClr val="00FF00"/>
          </a:solidFill>
          <a:round/>
          <a:headEnd/>
          <a:tailEnd/>
        </a:ln>
      </xdr:spPr>
    </xdr:sp>
    <xdr:clientData/>
  </xdr:twoCellAnchor>
  <xdr:twoCellAnchor>
    <xdr:from>
      <xdr:col>9</xdr:col>
      <xdr:colOff>352425</xdr:colOff>
      <xdr:row>32</xdr:row>
      <xdr:rowOff>85725</xdr:rowOff>
    </xdr:from>
    <xdr:to>
      <xdr:col>9</xdr:col>
      <xdr:colOff>438150</xdr:colOff>
      <xdr:row>32</xdr:row>
      <xdr:rowOff>171450</xdr:rowOff>
    </xdr:to>
    <xdr:sp macro="" textlink="">
      <xdr:nvSpPr>
        <xdr:cNvPr id="32350239" name="1020 Elipse">
          <a:extLst>
            <a:ext uri="{FF2B5EF4-FFF2-40B4-BE49-F238E27FC236}">
              <a16:creationId xmlns:a16="http://schemas.microsoft.com/office/drawing/2014/main" id="{00000000-0008-0000-1D00-00001FA0ED01}"/>
            </a:ext>
          </a:extLst>
        </xdr:cNvPr>
        <xdr:cNvSpPr>
          <a:spLocks noChangeArrowheads="1"/>
        </xdr:cNvSpPr>
      </xdr:nvSpPr>
      <xdr:spPr bwMode="auto">
        <a:xfrm>
          <a:off x="6819900" y="7543800"/>
          <a:ext cx="85725" cy="85725"/>
        </a:xfrm>
        <a:prstGeom prst="ellipse">
          <a:avLst/>
        </a:prstGeom>
        <a:solidFill>
          <a:srgbClr val="00FF00"/>
        </a:solidFill>
        <a:ln w="76200">
          <a:solidFill>
            <a:srgbClr val="00FF00"/>
          </a:solidFill>
          <a:round/>
          <a:headEnd/>
          <a:tailEnd/>
        </a:ln>
      </xdr:spPr>
    </xdr:sp>
    <xdr:clientData/>
  </xdr:twoCellAnchor>
  <xdr:twoCellAnchor>
    <xdr:from>
      <xdr:col>9</xdr:col>
      <xdr:colOff>352425</xdr:colOff>
      <xdr:row>31</xdr:row>
      <xdr:rowOff>85725</xdr:rowOff>
    </xdr:from>
    <xdr:to>
      <xdr:col>9</xdr:col>
      <xdr:colOff>438150</xdr:colOff>
      <xdr:row>31</xdr:row>
      <xdr:rowOff>171450</xdr:rowOff>
    </xdr:to>
    <xdr:sp macro="" textlink="">
      <xdr:nvSpPr>
        <xdr:cNvPr id="32350240" name="1020 Elipse">
          <a:extLst>
            <a:ext uri="{FF2B5EF4-FFF2-40B4-BE49-F238E27FC236}">
              <a16:creationId xmlns:a16="http://schemas.microsoft.com/office/drawing/2014/main" id="{00000000-0008-0000-1D00-000020A0ED01}"/>
            </a:ext>
          </a:extLst>
        </xdr:cNvPr>
        <xdr:cNvSpPr>
          <a:spLocks noChangeArrowheads="1"/>
        </xdr:cNvSpPr>
      </xdr:nvSpPr>
      <xdr:spPr bwMode="auto">
        <a:xfrm>
          <a:off x="6819900" y="7229475"/>
          <a:ext cx="85725" cy="85725"/>
        </a:xfrm>
        <a:prstGeom prst="ellipse">
          <a:avLst/>
        </a:prstGeom>
        <a:solidFill>
          <a:srgbClr val="00FF00"/>
        </a:solidFill>
        <a:ln w="76200">
          <a:solidFill>
            <a:srgbClr val="00FF00"/>
          </a:solidFill>
          <a:round/>
          <a:headEnd/>
          <a:tailEnd/>
        </a:ln>
      </xdr:spPr>
    </xdr:sp>
    <xdr:clientData/>
  </xdr:twoCellAnchor>
  <xdr:twoCellAnchor>
    <xdr:from>
      <xdr:col>9</xdr:col>
      <xdr:colOff>342900</xdr:colOff>
      <xdr:row>25</xdr:row>
      <xdr:rowOff>133350</xdr:rowOff>
    </xdr:from>
    <xdr:to>
      <xdr:col>9</xdr:col>
      <xdr:colOff>428625</xdr:colOff>
      <xdr:row>25</xdr:row>
      <xdr:rowOff>219075</xdr:rowOff>
    </xdr:to>
    <xdr:sp macro="" textlink="">
      <xdr:nvSpPr>
        <xdr:cNvPr id="32350241" name="1020 Elipse">
          <a:extLst>
            <a:ext uri="{FF2B5EF4-FFF2-40B4-BE49-F238E27FC236}">
              <a16:creationId xmlns:a16="http://schemas.microsoft.com/office/drawing/2014/main" id="{00000000-0008-0000-1D00-000021A0ED01}"/>
            </a:ext>
          </a:extLst>
        </xdr:cNvPr>
        <xdr:cNvSpPr>
          <a:spLocks noChangeArrowheads="1"/>
        </xdr:cNvSpPr>
      </xdr:nvSpPr>
      <xdr:spPr bwMode="auto">
        <a:xfrm>
          <a:off x="6810375" y="4743450"/>
          <a:ext cx="85725" cy="85725"/>
        </a:xfrm>
        <a:prstGeom prst="ellipse">
          <a:avLst/>
        </a:prstGeom>
        <a:solidFill>
          <a:srgbClr val="00FF00"/>
        </a:solidFill>
        <a:ln w="76200">
          <a:solidFill>
            <a:srgbClr val="00FF00"/>
          </a:solidFill>
          <a:round/>
          <a:headEnd/>
          <a:tailEnd/>
        </a:ln>
      </xdr:spPr>
    </xdr:sp>
    <xdr:clientData/>
  </xdr:twoCellAnchor>
  <xdr:twoCellAnchor>
    <xdr:from>
      <xdr:col>7</xdr:col>
      <xdr:colOff>228600</xdr:colOff>
      <xdr:row>26</xdr:row>
      <xdr:rowOff>133350</xdr:rowOff>
    </xdr:from>
    <xdr:to>
      <xdr:col>7</xdr:col>
      <xdr:colOff>314325</xdr:colOff>
      <xdr:row>26</xdr:row>
      <xdr:rowOff>219075</xdr:rowOff>
    </xdr:to>
    <xdr:sp macro="" textlink="">
      <xdr:nvSpPr>
        <xdr:cNvPr id="32350242" name="1020 Elipse">
          <a:extLst>
            <a:ext uri="{FF2B5EF4-FFF2-40B4-BE49-F238E27FC236}">
              <a16:creationId xmlns:a16="http://schemas.microsoft.com/office/drawing/2014/main" id="{00000000-0008-0000-1D00-000022A0ED01}"/>
            </a:ext>
          </a:extLst>
        </xdr:cNvPr>
        <xdr:cNvSpPr>
          <a:spLocks noChangeArrowheads="1"/>
        </xdr:cNvSpPr>
      </xdr:nvSpPr>
      <xdr:spPr bwMode="auto">
        <a:xfrm>
          <a:off x="5448300" y="5114925"/>
          <a:ext cx="85725" cy="85725"/>
        </a:xfrm>
        <a:prstGeom prst="ellipse">
          <a:avLst/>
        </a:prstGeom>
        <a:solidFill>
          <a:srgbClr val="FFFF00"/>
        </a:solidFill>
        <a:ln w="76200">
          <a:solidFill>
            <a:srgbClr val="FFFF00"/>
          </a:solidFill>
          <a:round/>
          <a:headEnd/>
          <a:tailEnd/>
        </a:ln>
      </xdr:spPr>
    </xdr:sp>
    <xdr:clientData/>
  </xdr:twoCellAnchor>
  <xdr:twoCellAnchor>
    <xdr:from>
      <xdr:col>8</xdr:col>
      <xdr:colOff>190500</xdr:colOff>
      <xdr:row>26</xdr:row>
      <xdr:rowOff>161925</xdr:rowOff>
    </xdr:from>
    <xdr:to>
      <xdr:col>8</xdr:col>
      <xdr:colOff>276225</xdr:colOff>
      <xdr:row>26</xdr:row>
      <xdr:rowOff>247650</xdr:rowOff>
    </xdr:to>
    <xdr:sp macro="" textlink="">
      <xdr:nvSpPr>
        <xdr:cNvPr id="32350243" name="1020 Elipse">
          <a:extLst>
            <a:ext uri="{FF2B5EF4-FFF2-40B4-BE49-F238E27FC236}">
              <a16:creationId xmlns:a16="http://schemas.microsoft.com/office/drawing/2014/main" id="{00000000-0008-0000-1D00-000023A0ED01}"/>
            </a:ext>
          </a:extLst>
        </xdr:cNvPr>
        <xdr:cNvSpPr>
          <a:spLocks noChangeArrowheads="1"/>
        </xdr:cNvSpPr>
      </xdr:nvSpPr>
      <xdr:spPr bwMode="auto">
        <a:xfrm>
          <a:off x="6124575" y="5143500"/>
          <a:ext cx="85725" cy="85725"/>
        </a:xfrm>
        <a:prstGeom prst="ellipse">
          <a:avLst/>
        </a:prstGeom>
        <a:solidFill>
          <a:srgbClr val="FFFF00"/>
        </a:solidFill>
        <a:ln w="76200">
          <a:solidFill>
            <a:srgbClr val="FFFF00"/>
          </a:solidFill>
          <a:round/>
          <a:headEnd/>
          <a:tailEnd/>
        </a:ln>
      </xdr:spPr>
    </xdr:sp>
    <xdr:clientData/>
  </xdr:twoCellAnchor>
  <xdr:twoCellAnchor>
    <xdr:from>
      <xdr:col>8</xdr:col>
      <xdr:colOff>190500</xdr:colOff>
      <xdr:row>28</xdr:row>
      <xdr:rowOff>314325</xdr:rowOff>
    </xdr:from>
    <xdr:to>
      <xdr:col>8</xdr:col>
      <xdr:colOff>276225</xdr:colOff>
      <xdr:row>28</xdr:row>
      <xdr:rowOff>400050</xdr:rowOff>
    </xdr:to>
    <xdr:sp macro="" textlink="">
      <xdr:nvSpPr>
        <xdr:cNvPr id="32350244" name="1020 Elipse">
          <a:extLst>
            <a:ext uri="{FF2B5EF4-FFF2-40B4-BE49-F238E27FC236}">
              <a16:creationId xmlns:a16="http://schemas.microsoft.com/office/drawing/2014/main" id="{00000000-0008-0000-1D00-000024A0ED01}"/>
            </a:ext>
          </a:extLst>
        </xdr:cNvPr>
        <xdr:cNvSpPr>
          <a:spLocks noChangeArrowheads="1"/>
        </xdr:cNvSpPr>
      </xdr:nvSpPr>
      <xdr:spPr bwMode="auto">
        <a:xfrm>
          <a:off x="6124575" y="6210300"/>
          <a:ext cx="85725" cy="85725"/>
        </a:xfrm>
        <a:prstGeom prst="ellipse">
          <a:avLst/>
        </a:prstGeom>
        <a:solidFill>
          <a:srgbClr val="FFFF00"/>
        </a:solidFill>
        <a:ln w="76200">
          <a:solidFill>
            <a:srgbClr val="FFFF00"/>
          </a:solidFill>
          <a:round/>
          <a:headEnd/>
          <a:tailEnd/>
        </a:ln>
      </xdr:spPr>
    </xdr:sp>
    <xdr:clientData/>
  </xdr:twoCellAnchor>
  <xdr:twoCellAnchor>
    <xdr:from>
      <xdr:col>7</xdr:col>
      <xdr:colOff>209550</xdr:colOff>
      <xdr:row>32</xdr:row>
      <xdr:rowOff>76200</xdr:rowOff>
    </xdr:from>
    <xdr:to>
      <xdr:col>7</xdr:col>
      <xdr:colOff>295275</xdr:colOff>
      <xdr:row>32</xdr:row>
      <xdr:rowOff>161925</xdr:rowOff>
    </xdr:to>
    <xdr:sp macro="" textlink="">
      <xdr:nvSpPr>
        <xdr:cNvPr id="32350245" name="1020 Elipse">
          <a:extLst>
            <a:ext uri="{FF2B5EF4-FFF2-40B4-BE49-F238E27FC236}">
              <a16:creationId xmlns:a16="http://schemas.microsoft.com/office/drawing/2014/main" id="{00000000-0008-0000-1D00-000025A0ED01}"/>
            </a:ext>
          </a:extLst>
        </xdr:cNvPr>
        <xdr:cNvSpPr>
          <a:spLocks noChangeArrowheads="1"/>
        </xdr:cNvSpPr>
      </xdr:nvSpPr>
      <xdr:spPr bwMode="auto">
        <a:xfrm>
          <a:off x="5429250" y="7534275"/>
          <a:ext cx="85725" cy="85725"/>
        </a:xfrm>
        <a:prstGeom prst="ellipse">
          <a:avLst/>
        </a:prstGeom>
        <a:solidFill>
          <a:srgbClr val="FFFF00"/>
        </a:solidFill>
        <a:ln w="76200">
          <a:solidFill>
            <a:srgbClr val="FFFF00"/>
          </a:solidFill>
          <a:round/>
          <a:headEnd/>
          <a:tailEnd/>
        </a:ln>
      </xdr:spPr>
    </xdr:sp>
    <xdr:clientData/>
  </xdr:twoCellAnchor>
</xdr:wsDr>
</file>

<file path=xl/drawings/drawing21.xml><?xml version="1.0" encoding="utf-8"?>
<xdr:wsDr xmlns:xdr="http://schemas.openxmlformats.org/drawingml/2006/spreadsheetDrawing" xmlns:a="http://schemas.openxmlformats.org/drawingml/2006/main">
  <xdr:twoCellAnchor>
    <xdr:from>
      <xdr:col>2</xdr:col>
      <xdr:colOff>295275</xdr:colOff>
      <xdr:row>30</xdr:row>
      <xdr:rowOff>66675</xdr:rowOff>
    </xdr:from>
    <xdr:to>
      <xdr:col>2</xdr:col>
      <xdr:colOff>600075</xdr:colOff>
      <xdr:row>30</xdr:row>
      <xdr:rowOff>200025</xdr:rowOff>
    </xdr:to>
    <xdr:sp macro="" textlink="">
      <xdr:nvSpPr>
        <xdr:cNvPr id="29169012" name="Oval 17">
          <a:extLst>
            <a:ext uri="{FF2B5EF4-FFF2-40B4-BE49-F238E27FC236}">
              <a16:creationId xmlns:a16="http://schemas.microsoft.com/office/drawing/2014/main" id="{00000000-0008-0000-1F00-00007415BD01}"/>
            </a:ext>
          </a:extLst>
        </xdr:cNvPr>
        <xdr:cNvSpPr>
          <a:spLocks noChangeArrowheads="1"/>
        </xdr:cNvSpPr>
      </xdr:nvSpPr>
      <xdr:spPr bwMode="auto">
        <a:xfrm>
          <a:off x="1933575" y="6162675"/>
          <a:ext cx="304800" cy="133350"/>
        </a:xfrm>
        <a:prstGeom prst="ellipse">
          <a:avLst/>
        </a:prstGeom>
        <a:solidFill>
          <a:srgbClr val="00FF00"/>
        </a:solidFill>
        <a:ln w="9525">
          <a:solidFill>
            <a:srgbClr val="000000"/>
          </a:solidFill>
          <a:round/>
          <a:headEnd/>
          <a:tailEnd/>
        </a:ln>
      </xdr:spPr>
    </xdr:sp>
    <xdr:clientData/>
  </xdr:twoCellAnchor>
  <xdr:twoCellAnchor>
    <xdr:from>
      <xdr:col>5</xdr:col>
      <xdr:colOff>142875</xdr:colOff>
      <xdr:row>30</xdr:row>
      <xdr:rowOff>57150</xdr:rowOff>
    </xdr:from>
    <xdr:to>
      <xdr:col>5</xdr:col>
      <xdr:colOff>457200</xdr:colOff>
      <xdr:row>30</xdr:row>
      <xdr:rowOff>190500</xdr:rowOff>
    </xdr:to>
    <xdr:sp macro="" textlink="">
      <xdr:nvSpPr>
        <xdr:cNvPr id="29169013" name="Oval 13">
          <a:extLst>
            <a:ext uri="{FF2B5EF4-FFF2-40B4-BE49-F238E27FC236}">
              <a16:creationId xmlns:a16="http://schemas.microsoft.com/office/drawing/2014/main" id="{00000000-0008-0000-1F00-00007515BD01}"/>
            </a:ext>
          </a:extLst>
        </xdr:cNvPr>
        <xdr:cNvSpPr>
          <a:spLocks noChangeArrowheads="1"/>
        </xdr:cNvSpPr>
      </xdr:nvSpPr>
      <xdr:spPr bwMode="auto">
        <a:xfrm>
          <a:off x="4286250" y="6153150"/>
          <a:ext cx="314325" cy="133350"/>
        </a:xfrm>
        <a:prstGeom prst="ellipse">
          <a:avLst/>
        </a:prstGeom>
        <a:solidFill>
          <a:srgbClr val="FFFF00"/>
        </a:solidFill>
        <a:ln w="9525">
          <a:solidFill>
            <a:srgbClr val="000000"/>
          </a:solidFill>
          <a:round/>
          <a:headEnd/>
          <a:tailEnd/>
        </a:ln>
      </xdr:spPr>
    </xdr:sp>
    <xdr:clientData/>
  </xdr:twoCellAnchor>
  <xdr:twoCellAnchor>
    <xdr:from>
      <xdr:col>8</xdr:col>
      <xdr:colOff>200025</xdr:colOff>
      <xdr:row>30</xdr:row>
      <xdr:rowOff>57150</xdr:rowOff>
    </xdr:from>
    <xdr:to>
      <xdr:col>8</xdr:col>
      <xdr:colOff>476250</xdr:colOff>
      <xdr:row>30</xdr:row>
      <xdr:rowOff>190500</xdr:rowOff>
    </xdr:to>
    <xdr:sp macro="" textlink="">
      <xdr:nvSpPr>
        <xdr:cNvPr id="29169014" name="Oval 18">
          <a:extLst>
            <a:ext uri="{FF2B5EF4-FFF2-40B4-BE49-F238E27FC236}">
              <a16:creationId xmlns:a16="http://schemas.microsoft.com/office/drawing/2014/main" id="{00000000-0008-0000-1F00-00007615BD01}"/>
            </a:ext>
          </a:extLst>
        </xdr:cNvPr>
        <xdr:cNvSpPr>
          <a:spLocks noChangeArrowheads="1"/>
        </xdr:cNvSpPr>
      </xdr:nvSpPr>
      <xdr:spPr bwMode="auto">
        <a:xfrm>
          <a:off x="6467475" y="6153150"/>
          <a:ext cx="276225" cy="133350"/>
        </a:xfrm>
        <a:prstGeom prst="ellipse">
          <a:avLst/>
        </a:prstGeom>
        <a:solidFill>
          <a:srgbClr val="FF0000"/>
        </a:solidFill>
        <a:ln w="9525">
          <a:solidFill>
            <a:srgbClr val="000000"/>
          </a:solidFill>
          <a:round/>
          <a:headEnd/>
          <a:tailEnd/>
        </a:ln>
      </xdr:spPr>
    </xdr:sp>
    <xdr:clientData/>
  </xdr:twoCellAnchor>
  <xdr:oneCellAnchor>
    <xdr:from>
      <xdr:col>8</xdr:col>
      <xdr:colOff>536131</xdr:colOff>
      <xdr:row>16</xdr:row>
      <xdr:rowOff>130968</xdr:rowOff>
    </xdr:from>
    <xdr:ext cx="3317447" cy="937629"/>
    <xdr:sp macro="" textlink="">
      <xdr:nvSpPr>
        <xdr:cNvPr id="5" name="4 Rectángulo">
          <a:extLst>
            <a:ext uri="{FF2B5EF4-FFF2-40B4-BE49-F238E27FC236}">
              <a16:creationId xmlns:a16="http://schemas.microsoft.com/office/drawing/2014/main" id="{00000000-0008-0000-1F00-000005000000}"/>
            </a:ext>
          </a:extLst>
        </xdr:cNvPr>
        <xdr:cNvSpPr/>
      </xdr:nvSpPr>
      <xdr:spPr>
        <a:xfrm>
          <a:off x="6803581" y="3950493"/>
          <a:ext cx="3317447" cy="937629"/>
        </a:xfrm>
        <a:prstGeom prst="rect">
          <a:avLst/>
        </a:prstGeom>
        <a:noFill/>
      </xdr:spPr>
      <xdr:txBody>
        <a:bodyPr wrap="none" lIns="91440" tIns="45720" rIns="91440" bIns="45720">
          <a:spAutoFit/>
        </a:bodyPr>
        <a:lstStyle/>
        <a:p>
          <a:pPr algn="ctr"/>
          <a:r>
            <a:rPr lang="es-ES" sz="5400" b="1" cap="none" spc="0">
              <a:ln w="18000">
                <a:solidFill>
                  <a:schemeClr val="accent2">
                    <a:satMod val="140000"/>
                  </a:schemeClr>
                </a:solidFill>
                <a:prstDash val="solid"/>
                <a:miter lim="800000"/>
              </a:ln>
              <a:solidFill>
                <a:srgbClr val="FF0000"/>
              </a:solidFill>
              <a:effectLst>
                <a:outerShdw blurRad="25500" dist="23000" dir="7020000" algn="tl">
                  <a:srgbClr val="000000">
                    <a:alpha val="50000"/>
                  </a:srgbClr>
                </a:outerShdw>
              </a:effectLst>
            </a:rPr>
            <a:t>NO APLICA</a:t>
          </a:r>
        </a:p>
      </xdr:txBody>
    </xdr:sp>
    <xdr:clientData/>
  </xdr:oneCellAnchor>
</xdr:wsDr>
</file>

<file path=xl/drawings/drawing22.xml><?xml version="1.0" encoding="utf-8"?>
<xdr:wsDr xmlns:xdr="http://schemas.openxmlformats.org/drawingml/2006/spreadsheetDrawing" xmlns:a="http://schemas.openxmlformats.org/drawingml/2006/main">
  <xdr:twoCellAnchor>
    <xdr:from>
      <xdr:col>6</xdr:col>
      <xdr:colOff>0</xdr:colOff>
      <xdr:row>30</xdr:row>
      <xdr:rowOff>0</xdr:rowOff>
    </xdr:from>
    <xdr:to>
      <xdr:col>6</xdr:col>
      <xdr:colOff>0</xdr:colOff>
      <xdr:row>30</xdr:row>
      <xdr:rowOff>0</xdr:rowOff>
    </xdr:to>
    <xdr:sp macro="" textlink="">
      <xdr:nvSpPr>
        <xdr:cNvPr id="29169850" name="Oval 18">
          <a:extLst>
            <a:ext uri="{FF2B5EF4-FFF2-40B4-BE49-F238E27FC236}">
              <a16:creationId xmlns:a16="http://schemas.microsoft.com/office/drawing/2014/main" id="{00000000-0008-0000-2000-0000BA18BD01}"/>
            </a:ext>
          </a:extLst>
        </xdr:cNvPr>
        <xdr:cNvSpPr>
          <a:spLocks noChangeArrowheads="1"/>
        </xdr:cNvSpPr>
      </xdr:nvSpPr>
      <xdr:spPr bwMode="auto">
        <a:xfrm>
          <a:off x="4876800" y="5524500"/>
          <a:ext cx="0" cy="0"/>
        </a:xfrm>
        <a:prstGeom prst="ellipse">
          <a:avLst/>
        </a:prstGeom>
        <a:solidFill>
          <a:srgbClr val="FF0000"/>
        </a:solidFill>
        <a:ln w="9525">
          <a:solidFill>
            <a:srgbClr val="000000"/>
          </a:solidFill>
          <a:round/>
          <a:headEnd/>
          <a:tailEnd/>
        </a:ln>
      </xdr:spPr>
    </xdr:sp>
    <xdr:clientData/>
  </xdr:twoCellAnchor>
  <xdr:oneCellAnchor>
    <xdr:from>
      <xdr:col>3</xdr:col>
      <xdr:colOff>300257</xdr:colOff>
      <xdr:row>15</xdr:row>
      <xdr:rowOff>0</xdr:rowOff>
    </xdr:from>
    <xdr:ext cx="3317447" cy="937629"/>
    <xdr:sp macro="" textlink="">
      <xdr:nvSpPr>
        <xdr:cNvPr id="3" name="2 Rectángulo">
          <a:extLst>
            <a:ext uri="{FF2B5EF4-FFF2-40B4-BE49-F238E27FC236}">
              <a16:creationId xmlns:a16="http://schemas.microsoft.com/office/drawing/2014/main" id="{00000000-0008-0000-2000-000003000000}"/>
            </a:ext>
          </a:extLst>
        </xdr:cNvPr>
        <xdr:cNvSpPr/>
      </xdr:nvSpPr>
      <xdr:spPr>
        <a:xfrm>
          <a:off x="2891057" y="2914650"/>
          <a:ext cx="3317447" cy="937629"/>
        </a:xfrm>
        <a:prstGeom prst="rect">
          <a:avLst/>
        </a:prstGeom>
        <a:noFill/>
      </xdr:spPr>
      <xdr:txBody>
        <a:bodyPr wrap="none" lIns="91440" tIns="45720" rIns="91440" bIns="45720">
          <a:spAutoFit/>
        </a:bodyPr>
        <a:lstStyle/>
        <a:p>
          <a:pPr algn="ctr"/>
          <a:r>
            <a:rPr lang="es-ES" sz="5400" b="1" cap="none" spc="0">
              <a:ln w="18000">
                <a:solidFill>
                  <a:schemeClr val="accent2">
                    <a:satMod val="140000"/>
                  </a:schemeClr>
                </a:solidFill>
                <a:prstDash val="solid"/>
                <a:miter lim="800000"/>
              </a:ln>
              <a:solidFill>
                <a:srgbClr val="FF0000"/>
              </a:solidFill>
              <a:effectLst>
                <a:outerShdw blurRad="25500" dist="23000" dir="7020000" algn="tl">
                  <a:srgbClr val="000000">
                    <a:alpha val="50000"/>
                  </a:srgbClr>
                </a:outerShdw>
              </a:effectLst>
            </a:rPr>
            <a:t>NO APLICA</a:t>
          </a:r>
        </a:p>
      </xdr:txBody>
    </xdr:sp>
    <xdr:clientData/>
  </xdr:oneCellAnchor>
</xdr:wsDr>
</file>

<file path=xl/drawings/drawing23.xml><?xml version="1.0" encoding="utf-8"?>
<xdr:wsDr xmlns:xdr="http://schemas.openxmlformats.org/drawingml/2006/spreadsheetDrawing" xmlns:a="http://schemas.openxmlformats.org/drawingml/2006/main">
  <xdr:twoCellAnchor>
    <xdr:from>
      <xdr:col>0</xdr:col>
      <xdr:colOff>628649</xdr:colOff>
      <xdr:row>0</xdr:row>
      <xdr:rowOff>209550</xdr:rowOff>
    </xdr:from>
    <xdr:to>
      <xdr:col>1</xdr:col>
      <xdr:colOff>739296</xdr:colOff>
      <xdr:row>5</xdr:row>
      <xdr:rowOff>85725</xdr:rowOff>
    </xdr:to>
    <xdr:pic>
      <xdr:nvPicPr>
        <xdr:cNvPr id="4543270" name="Picture 1" descr="LOG">
          <a:extLst>
            <a:ext uri="{FF2B5EF4-FFF2-40B4-BE49-F238E27FC236}">
              <a16:creationId xmlns:a16="http://schemas.microsoft.com/office/drawing/2014/main" id="{00000000-0008-0000-2300-0000265345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628649" y="209550"/>
          <a:ext cx="872647"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4.xml><?xml version="1.0" encoding="utf-8"?>
<xdr:wsDr xmlns:xdr="http://schemas.openxmlformats.org/drawingml/2006/spreadsheetDrawing" xmlns:a="http://schemas.openxmlformats.org/drawingml/2006/main">
  <xdr:twoCellAnchor>
    <xdr:from>
      <xdr:col>0</xdr:col>
      <xdr:colOff>514350</xdr:colOff>
      <xdr:row>0</xdr:row>
      <xdr:rowOff>123825</xdr:rowOff>
    </xdr:from>
    <xdr:to>
      <xdr:col>1</xdr:col>
      <xdr:colOff>809625</xdr:colOff>
      <xdr:row>4</xdr:row>
      <xdr:rowOff>153028</xdr:rowOff>
    </xdr:to>
    <xdr:pic>
      <xdr:nvPicPr>
        <xdr:cNvPr id="4544294" name="Picture 1" descr="LOG">
          <a:extLst>
            <a:ext uri="{FF2B5EF4-FFF2-40B4-BE49-F238E27FC236}">
              <a16:creationId xmlns:a16="http://schemas.microsoft.com/office/drawing/2014/main" id="{00000000-0008-0000-2400-0000265745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14350" y="123825"/>
          <a:ext cx="1019175" cy="8959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5.xml><?xml version="1.0" encoding="utf-8"?>
<xdr:wsDr xmlns:xdr="http://schemas.openxmlformats.org/drawingml/2006/spreadsheetDrawing" xmlns:a="http://schemas.openxmlformats.org/drawingml/2006/main">
  <xdr:twoCellAnchor>
    <xdr:from>
      <xdr:col>1</xdr:col>
      <xdr:colOff>419100</xdr:colOff>
      <xdr:row>0</xdr:row>
      <xdr:rowOff>228600</xdr:rowOff>
    </xdr:from>
    <xdr:to>
      <xdr:col>2</xdr:col>
      <xdr:colOff>209550</xdr:colOff>
      <xdr:row>2</xdr:row>
      <xdr:rowOff>19050</xdr:rowOff>
    </xdr:to>
    <xdr:pic>
      <xdr:nvPicPr>
        <xdr:cNvPr id="2" name="Picture 1" descr="LOG">
          <a:extLst>
            <a:ext uri="{FF2B5EF4-FFF2-40B4-BE49-F238E27FC236}">
              <a16:creationId xmlns:a16="http://schemas.microsoft.com/office/drawing/2014/main" id="{00000000-0008-0000-25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43000" y="228600"/>
          <a:ext cx="714375"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561975</xdr:colOff>
      <xdr:row>8</xdr:row>
      <xdr:rowOff>209550</xdr:rowOff>
    </xdr:from>
    <xdr:ext cx="5629275" cy="2346540"/>
    <xdr:sp macro="" textlink="">
      <xdr:nvSpPr>
        <xdr:cNvPr id="3" name="4 Rectángulo">
          <a:extLst>
            <a:ext uri="{FF2B5EF4-FFF2-40B4-BE49-F238E27FC236}">
              <a16:creationId xmlns:a16="http://schemas.microsoft.com/office/drawing/2014/main" id="{00000000-0008-0000-1F00-000005000000}"/>
            </a:ext>
          </a:extLst>
        </xdr:cNvPr>
        <xdr:cNvSpPr/>
      </xdr:nvSpPr>
      <xdr:spPr>
        <a:xfrm>
          <a:off x="2209800" y="1790700"/>
          <a:ext cx="5629275" cy="2346540"/>
        </a:xfrm>
        <a:prstGeom prst="rect">
          <a:avLst/>
        </a:prstGeom>
        <a:noFill/>
      </xdr:spPr>
      <xdr:txBody>
        <a:bodyPr wrap="square" lIns="91440" tIns="45720" rIns="91440" bIns="45720">
          <a:spAutoFit/>
        </a:bodyPr>
        <a:lstStyle/>
        <a:p>
          <a:pPr algn="ctr"/>
          <a:r>
            <a:rPr lang="es-ES" sz="3600" b="1" cap="none" spc="0">
              <a:ln w="18000">
                <a:solidFill>
                  <a:schemeClr val="accent2">
                    <a:satMod val="140000"/>
                  </a:schemeClr>
                </a:solidFill>
                <a:prstDash val="solid"/>
                <a:miter lim="800000"/>
              </a:ln>
              <a:solidFill>
                <a:srgbClr val="FF0000"/>
              </a:solidFill>
              <a:effectLst>
                <a:outerShdw blurRad="25500" dist="23000" dir="7020000" algn="tl">
                  <a:srgbClr val="000000">
                    <a:alpha val="50000"/>
                  </a:srgbClr>
                </a:outerShdw>
              </a:effectLst>
            </a:rPr>
            <a:t>AUTORIDADES DE TRANSITO </a:t>
          </a:r>
          <a:r>
            <a:rPr lang="es-ES" sz="3600" b="1" cap="none" spc="0" baseline="0">
              <a:ln w="18000">
                <a:solidFill>
                  <a:schemeClr val="accent2">
                    <a:satMod val="140000"/>
                  </a:schemeClr>
                </a:solidFill>
                <a:prstDash val="solid"/>
                <a:miter lim="800000"/>
              </a:ln>
              <a:solidFill>
                <a:srgbClr val="FF0000"/>
              </a:solidFill>
              <a:effectLst>
                <a:outerShdw blurRad="25500" dist="23000" dir="7020000" algn="tl">
                  <a:srgbClr val="000000">
                    <a:alpha val="50000"/>
                  </a:srgbClr>
                </a:outerShdw>
              </a:effectLst>
            </a:rPr>
            <a:t> A LA FECHA NO ENTREGAN REPORTES DE ACCIDENTALIDAD</a:t>
          </a:r>
          <a:endParaRPr lang="es-ES" sz="3600" b="1" cap="none" spc="0">
            <a:ln w="18000">
              <a:solidFill>
                <a:schemeClr val="accent2">
                  <a:satMod val="140000"/>
                </a:schemeClr>
              </a:solidFill>
              <a:prstDash val="solid"/>
              <a:miter lim="800000"/>
            </a:ln>
            <a:solidFill>
              <a:srgbClr val="FF0000"/>
            </a:solidFill>
            <a:effectLst>
              <a:outerShdw blurRad="25500" dist="23000" dir="7020000" algn="tl">
                <a:srgbClr val="000000">
                  <a:alpha val="50000"/>
                </a:srgbClr>
              </a:outerShdw>
            </a:effectLst>
          </a:endParaRPr>
        </a:p>
      </xdr:txBody>
    </xdr:sp>
    <xdr:clientData/>
  </xdr:oneCellAnchor>
</xdr:wsDr>
</file>

<file path=xl/drawings/drawing26.xml><?xml version="1.0" encoding="utf-8"?>
<xdr:wsDr xmlns:xdr="http://schemas.openxmlformats.org/drawingml/2006/spreadsheetDrawing" xmlns:a="http://schemas.openxmlformats.org/drawingml/2006/main">
  <xdr:twoCellAnchor>
    <xdr:from>
      <xdr:col>0</xdr:col>
      <xdr:colOff>28575</xdr:colOff>
      <xdr:row>5</xdr:row>
      <xdr:rowOff>152400</xdr:rowOff>
    </xdr:from>
    <xdr:to>
      <xdr:col>3</xdr:col>
      <xdr:colOff>104775</xdr:colOff>
      <xdr:row>6</xdr:row>
      <xdr:rowOff>0</xdr:rowOff>
    </xdr:to>
    <xdr:sp macro="" textlink="">
      <xdr:nvSpPr>
        <xdr:cNvPr id="29683790" name="Line 1">
          <a:extLst>
            <a:ext uri="{FF2B5EF4-FFF2-40B4-BE49-F238E27FC236}">
              <a16:creationId xmlns:a16="http://schemas.microsoft.com/office/drawing/2014/main" id="{00000000-0008-0000-2B00-00004EF0C401}"/>
            </a:ext>
          </a:extLst>
        </xdr:cNvPr>
        <xdr:cNvSpPr>
          <a:spLocks noChangeShapeType="1"/>
        </xdr:cNvSpPr>
      </xdr:nvSpPr>
      <xdr:spPr bwMode="auto">
        <a:xfrm>
          <a:off x="28575" y="1247775"/>
          <a:ext cx="3095625" cy="9525"/>
        </a:xfrm>
        <a:prstGeom prst="line">
          <a:avLst/>
        </a:prstGeom>
        <a:noFill/>
        <a:ln w="12700">
          <a:solidFill>
            <a:srgbClr val="000000"/>
          </a:solidFill>
          <a:round/>
          <a:headEnd/>
          <a:tailEnd/>
        </a:ln>
        <a:extLst>
          <a:ext uri="{909E8E84-426E-40DD-AFC4-6F175D3DCCD1}">
            <a14:hiddenFill xmlns:a14="http://schemas.microsoft.com/office/drawing/2010/main">
              <a:noFill/>
            </a14:hiddenFill>
          </a:ext>
        </a:extLst>
      </xdr:spPr>
    </xdr:sp>
    <xdr:clientData/>
  </xdr:twoCellAnchor>
</xdr:wsDr>
</file>

<file path=xl/drawings/drawing27.xml><?xml version="1.0" encoding="utf-8"?>
<xdr:wsDr xmlns:xdr="http://schemas.openxmlformats.org/drawingml/2006/spreadsheetDrawing" xmlns:a="http://schemas.openxmlformats.org/drawingml/2006/main">
  <xdr:twoCellAnchor>
    <xdr:from>
      <xdr:col>2</xdr:col>
      <xdr:colOff>561975</xdr:colOff>
      <xdr:row>53</xdr:row>
      <xdr:rowOff>19050</xdr:rowOff>
    </xdr:from>
    <xdr:to>
      <xdr:col>3</xdr:col>
      <xdr:colOff>575280</xdr:colOff>
      <xdr:row>56</xdr:row>
      <xdr:rowOff>116946</xdr:rowOff>
    </xdr:to>
    <xdr:sp macro="" textlink="">
      <xdr:nvSpPr>
        <xdr:cNvPr id="91" name="90 CuadroTexto">
          <a:extLst>
            <a:ext uri="{FF2B5EF4-FFF2-40B4-BE49-F238E27FC236}">
              <a16:creationId xmlns:a16="http://schemas.microsoft.com/office/drawing/2014/main" id="{00000000-0008-0000-2D00-00005B000000}"/>
            </a:ext>
          </a:extLst>
        </xdr:cNvPr>
        <xdr:cNvSpPr txBox="1"/>
      </xdr:nvSpPr>
      <xdr:spPr>
        <a:xfrm>
          <a:off x="2085975" y="12669441"/>
          <a:ext cx="775305" cy="28839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s-CO"/>
        </a:p>
      </xdr:txBody>
    </xdr:sp>
    <xdr:clientData/>
  </xdr:twoCellAnchor>
  <xdr:twoCellAnchor editAs="oneCell">
    <xdr:from>
      <xdr:col>1</xdr:col>
      <xdr:colOff>200025</xdr:colOff>
      <xdr:row>19</xdr:row>
      <xdr:rowOff>38100</xdr:rowOff>
    </xdr:from>
    <xdr:to>
      <xdr:col>1</xdr:col>
      <xdr:colOff>390525</xdr:colOff>
      <xdr:row>20</xdr:row>
      <xdr:rowOff>66675</xdr:rowOff>
    </xdr:to>
    <xdr:sp macro="" textlink="">
      <xdr:nvSpPr>
        <xdr:cNvPr id="32246976" name="2 Rectángulo">
          <a:extLst>
            <a:ext uri="{FF2B5EF4-FFF2-40B4-BE49-F238E27FC236}">
              <a16:creationId xmlns:a16="http://schemas.microsoft.com/office/drawing/2014/main" id="{00000000-0008-0000-2D00-0000C00CEC01}"/>
            </a:ext>
          </a:extLst>
        </xdr:cNvPr>
        <xdr:cNvSpPr>
          <a:spLocks noChangeArrowheads="1"/>
        </xdr:cNvSpPr>
      </xdr:nvSpPr>
      <xdr:spPr bwMode="auto">
        <a:xfrm>
          <a:off x="962025" y="3724275"/>
          <a:ext cx="19050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485775</xdr:colOff>
      <xdr:row>33</xdr:row>
      <xdr:rowOff>9525</xdr:rowOff>
    </xdr:from>
    <xdr:to>
      <xdr:col>1</xdr:col>
      <xdr:colOff>666750</xdr:colOff>
      <xdr:row>34</xdr:row>
      <xdr:rowOff>38100</xdr:rowOff>
    </xdr:to>
    <xdr:sp macro="" textlink="">
      <xdr:nvSpPr>
        <xdr:cNvPr id="32246977" name="2 Rectángulo">
          <a:extLst>
            <a:ext uri="{FF2B5EF4-FFF2-40B4-BE49-F238E27FC236}">
              <a16:creationId xmlns:a16="http://schemas.microsoft.com/office/drawing/2014/main" id="{00000000-0008-0000-2D00-0000C10CEC01}"/>
            </a:ext>
          </a:extLst>
        </xdr:cNvPr>
        <xdr:cNvSpPr>
          <a:spLocks noChangeArrowheads="1"/>
        </xdr:cNvSpPr>
      </xdr:nvSpPr>
      <xdr:spPr bwMode="auto">
        <a:xfrm>
          <a:off x="1247775" y="6010275"/>
          <a:ext cx="18097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466725</xdr:colOff>
      <xdr:row>199</xdr:row>
      <xdr:rowOff>28575</xdr:rowOff>
    </xdr:from>
    <xdr:to>
      <xdr:col>1</xdr:col>
      <xdr:colOff>657225</xdr:colOff>
      <xdr:row>200</xdr:row>
      <xdr:rowOff>57150</xdr:rowOff>
    </xdr:to>
    <xdr:sp macro="" textlink="">
      <xdr:nvSpPr>
        <xdr:cNvPr id="32246978" name="2 Rectángulo">
          <a:extLst>
            <a:ext uri="{FF2B5EF4-FFF2-40B4-BE49-F238E27FC236}">
              <a16:creationId xmlns:a16="http://schemas.microsoft.com/office/drawing/2014/main" id="{00000000-0008-0000-2D00-0000C20CEC01}"/>
            </a:ext>
          </a:extLst>
        </xdr:cNvPr>
        <xdr:cNvSpPr>
          <a:spLocks noChangeArrowheads="1"/>
        </xdr:cNvSpPr>
      </xdr:nvSpPr>
      <xdr:spPr bwMode="auto">
        <a:xfrm>
          <a:off x="1228725" y="35223450"/>
          <a:ext cx="19050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139700</xdr:colOff>
      <xdr:row>22</xdr:row>
      <xdr:rowOff>184150</xdr:rowOff>
    </xdr:from>
    <xdr:to>
      <xdr:col>3</xdr:col>
      <xdr:colOff>31750</xdr:colOff>
      <xdr:row>23</xdr:row>
      <xdr:rowOff>0</xdr:rowOff>
    </xdr:to>
    <xdr:sp macro="" textlink="">
      <xdr:nvSpPr>
        <xdr:cNvPr id="3" name="2 CuadroTexto">
          <a:extLst>
            <a:ext uri="{FF2B5EF4-FFF2-40B4-BE49-F238E27FC236}">
              <a16:creationId xmlns:a16="http://schemas.microsoft.com/office/drawing/2014/main" id="{00000000-0008-0000-2D00-000003000000}"/>
            </a:ext>
          </a:extLst>
        </xdr:cNvPr>
        <xdr:cNvSpPr txBox="1"/>
      </xdr:nvSpPr>
      <xdr:spPr>
        <a:xfrm>
          <a:off x="139700" y="4413250"/>
          <a:ext cx="2216150" cy="1905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ES" sz="900"/>
            <a:t>PR 15+200 Vía</a:t>
          </a:r>
          <a:r>
            <a:rPr lang="es-ES" sz="900" baseline="0"/>
            <a:t> Chaparral-Ortega</a:t>
          </a:r>
          <a:endParaRPr lang="es-ES" sz="900"/>
        </a:p>
      </xdr:txBody>
    </xdr:sp>
    <xdr:clientData/>
  </xdr:twoCellAnchor>
  <xdr:twoCellAnchor>
    <xdr:from>
      <xdr:col>0</xdr:col>
      <xdr:colOff>152400</xdr:colOff>
      <xdr:row>35</xdr:row>
      <xdr:rowOff>165100</xdr:rowOff>
    </xdr:from>
    <xdr:to>
      <xdr:col>3</xdr:col>
      <xdr:colOff>25400</xdr:colOff>
      <xdr:row>36</xdr:row>
      <xdr:rowOff>0</xdr:rowOff>
    </xdr:to>
    <xdr:sp macro="" textlink="">
      <xdr:nvSpPr>
        <xdr:cNvPr id="81" name="80 CuadroTexto">
          <a:extLst>
            <a:ext uri="{FF2B5EF4-FFF2-40B4-BE49-F238E27FC236}">
              <a16:creationId xmlns:a16="http://schemas.microsoft.com/office/drawing/2014/main" id="{00000000-0008-0000-2D00-000051000000}"/>
            </a:ext>
          </a:extLst>
        </xdr:cNvPr>
        <xdr:cNvSpPr txBox="1"/>
      </xdr:nvSpPr>
      <xdr:spPr>
        <a:xfrm>
          <a:off x="152400" y="6477000"/>
          <a:ext cx="2197100" cy="1905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ES" sz="900"/>
            <a:t>PR39+0300 Vía</a:t>
          </a:r>
          <a:r>
            <a:rPr lang="es-ES" sz="900" baseline="0"/>
            <a:t> Chaparral-Ortega</a:t>
          </a:r>
          <a:endParaRPr lang="es-ES" sz="900"/>
        </a:p>
      </xdr:txBody>
    </xdr:sp>
    <xdr:clientData/>
  </xdr:twoCellAnchor>
  <xdr:twoCellAnchor editAs="oneCell">
    <xdr:from>
      <xdr:col>4</xdr:col>
      <xdr:colOff>0</xdr:colOff>
      <xdr:row>131</xdr:row>
      <xdr:rowOff>0</xdr:rowOff>
    </xdr:from>
    <xdr:to>
      <xdr:col>4</xdr:col>
      <xdr:colOff>304800</xdr:colOff>
      <xdr:row>132</xdr:row>
      <xdr:rowOff>142875</xdr:rowOff>
    </xdr:to>
    <xdr:sp macro="" textlink="">
      <xdr:nvSpPr>
        <xdr:cNvPr id="51220" name="AutoShape 20" descr="blob:https://web.whatsapp.com/fb637c53-b330-42b4-b63c-8bbdce8ab3fc">
          <a:extLst>
            <a:ext uri="{FF2B5EF4-FFF2-40B4-BE49-F238E27FC236}">
              <a16:creationId xmlns:a16="http://schemas.microsoft.com/office/drawing/2014/main" id="{00000000-0008-0000-2D00-000014C80000}"/>
            </a:ext>
          </a:extLst>
        </xdr:cNvPr>
        <xdr:cNvSpPr>
          <a:spLocks noChangeAspect="1" noChangeArrowheads="1"/>
        </xdr:cNvSpPr>
      </xdr:nvSpPr>
      <xdr:spPr bwMode="auto">
        <a:xfrm>
          <a:off x="3086100" y="21945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3</xdr:col>
      <xdr:colOff>38100</xdr:colOff>
      <xdr:row>11</xdr:row>
      <xdr:rowOff>0</xdr:rowOff>
    </xdr:from>
    <xdr:ext cx="2133600" cy="38100"/>
    <xdr:grpSp>
      <xdr:nvGrpSpPr>
        <xdr:cNvPr id="116" name="Shape 2">
          <a:extLst>
            <a:ext uri="{FF2B5EF4-FFF2-40B4-BE49-F238E27FC236}">
              <a16:creationId xmlns:a16="http://schemas.microsoft.com/office/drawing/2014/main" id="{00000000-0008-0000-2D00-000074000000}"/>
            </a:ext>
          </a:extLst>
        </xdr:cNvPr>
        <xdr:cNvGrpSpPr/>
      </xdr:nvGrpSpPr>
      <xdr:grpSpPr>
        <a:xfrm>
          <a:off x="2990850" y="2111375"/>
          <a:ext cx="2133600" cy="38100"/>
          <a:chOff x="4279200" y="3780000"/>
          <a:chExt cx="2133600" cy="0"/>
        </a:xfrm>
      </xdr:grpSpPr>
      <xdr:cxnSp macro="">
        <xdr:nvCxnSpPr>
          <xdr:cNvPr id="117" name="Shape 70">
            <a:extLst>
              <a:ext uri="{FF2B5EF4-FFF2-40B4-BE49-F238E27FC236}">
                <a16:creationId xmlns:a16="http://schemas.microsoft.com/office/drawing/2014/main" id="{00000000-0008-0000-2D00-000075000000}"/>
              </a:ext>
            </a:extLst>
          </xdr:cNvPr>
          <xdr:cNvCxnSpPr/>
        </xdr:nvCxnSpPr>
        <xdr:spPr>
          <a:xfrm>
            <a:off x="4279200" y="3780000"/>
            <a:ext cx="2133600" cy="0"/>
          </a:xfrm>
          <a:prstGeom prst="straightConnector1">
            <a:avLst/>
          </a:prstGeom>
          <a:noFill/>
          <a:ln w="12700" cap="flat" cmpd="sng">
            <a:solidFill>
              <a:srgbClr val="000000"/>
            </a:solidFill>
            <a:prstDash val="solid"/>
            <a:miter lim="800000"/>
            <a:headEnd type="none" w="med" len="med"/>
            <a:tailEnd type="none" w="med" len="med"/>
          </a:ln>
        </xdr:spPr>
      </xdr:cxnSp>
    </xdr:grpSp>
    <xdr:clientData fLocksWithSheet="0"/>
  </xdr:oneCellAnchor>
  <xdr:twoCellAnchor editAs="oneCell">
    <xdr:from>
      <xdr:col>0</xdr:col>
      <xdr:colOff>158748</xdr:colOff>
      <xdr:row>13</xdr:row>
      <xdr:rowOff>1</xdr:rowOff>
    </xdr:from>
    <xdr:to>
      <xdr:col>3</xdr:col>
      <xdr:colOff>0</xdr:colOff>
      <xdr:row>26</xdr:row>
      <xdr:rowOff>0</xdr:rowOff>
    </xdr:to>
    <xdr:pic>
      <xdr:nvPicPr>
        <xdr:cNvPr id="2" name="Imagen 1"/>
        <xdr:cNvPicPr>
          <a:picLocks noChangeAspect="1"/>
        </xdr:cNvPicPr>
      </xdr:nvPicPr>
      <xdr:blipFill>
        <a:blip xmlns:r="http://schemas.openxmlformats.org/officeDocument/2006/relationships" r:embed="rId1"/>
        <a:stretch>
          <a:fillRect/>
        </a:stretch>
      </xdr:blipFill>
      <xdr:spPr>
        <a:xfrm>
          <a:off x="158748" y="2444751"/>
          <a:ext cx="2794002" cy="2063749"/>
        </a:xfrm>
        <a:prstGeom prst="rect">
          <a:avLst/>
        </a:prstGeom>
      </xdr:spPr>
    </xdr:pic>
    <xdr:clientData/>
  </xdr:twoCellAnchor>
  <xdr:twoCellAnchor editAs="oneCell">
    <xdr:from>
      <xdr:col>3</xdr:col>
      <xdr:colOff>95252</xdr:colOff>
      <xdr:row>13</xdr:row>
      <xdr:rowOff>7938</xdr:rowOff>
    </xdr:from>
    <xdr:to>
      <xdr:col>5</xdr:col>
      <xdr:colOff>849313</xdr:colOff>
      <xdr:row>26</xdr:row>
      <xdr:rowOff>0</xdr:rowOff>
    </xdr:to>
    <xdr:pic>
      <xdr:nvPicPr>
        <xdr:cNvPr id="5" name="Imagen 4"/>
        <xdr:cNvPicPr>
          <a:picLocks noChangeAspect="1"/>
        </xdr:cNvPicPr>
      </xdr:nvPicPr>
      <xdr:blipFill>
        <a:blip xmlns:r="http://schemas.openxmlformats.org/officeDocument/2006/relationships" r:embed="rId2"/>
        <a:stretch>
          <a:fillRect/>
        </a:stretch>
      </xdr:blipFill>
      <xdr:spPr>
        <a:xfrm>
          <a:off x="3048002" y="2452688"/>
          <a:ext cx="2722561" cy="2055812"/>
        </a:xfrm>
        <a:prstGeom prst="rect">
          <a:avLst/>
        </a:prstGeom>
      </xdr:spPr>
    </xdr:pic>
    <xdr:clientData/>
  </xdr:twoCellAnchor>
  <xdr:twoCellAnchor editAs="oneCell">
    <xdr:from>
      <xdr:col>0</xdr:col>
      <xdr:colOff>166687</xdr:colOff>
      <xdr:row>29</xdr:row>
      <xdr:rowOff>15886</xdr:rowOff>
    </xdr:from>
    <xdr:to>
      <xdr:col>2</xdr:col>
      <xdr:colOff>976313</xdr:colOff>
      <xdr:row>42</xdr:row>
      <xdr:rowOff>12</xdr:rowOff>
    </xdr:to>
    <xdr:pic>
      <xdr:nvPicPr>
        <xdr:cNvPr id="6" name="Imagen 5"/>
        <xdr:cNvPicPr>
          <a:picLocks noChangeAspect="1"/>
        </xdr:cNvPicPr>
      </xdr:nvPicPr>
      <xdr:blipFill>
        <a:blip xmlns:r="http://schemas.openxmlformats.org/officeDocument/2006/relationships" r:embed="rId3"/>
        <a:stretch>
          <a:fillRect/>
        </a:stretch>
      </xdr:blipFill>
      <xdr:spPr>
        <a:xfrm>
          <a:off x="166687" y="5000636"/>
          <a:ext cx="2778126" cy="2047876"/>
        </a:xfrm>
        <a:prstGeom prst="rect">
          <a:avLst/>
        </a:prstGeom>
      </xdr:spPr>
    </xdr:pic>
    <xdr:clientData/>
  </xdr:twoCellAnchor>
  <xdr:twoCellAnchor editAs="oneCell">
    <xdr:from>
      <xdr:col>3</xdr:col>
      <xdr:colOff>103185</xdr:colOff>
      <xdr:row>29</xdr:row>
      <xdr:rowOff>15882</xdr:rowOff>
    </xdr:from>
    <xdr:to>
      <xdr:col>5</xdr:col>
      <xdr:colOff>841373</xdr:colOff>
      <xdr:row>41</xdr:row>
      <xdr:rowOff>150819</xdr:rowOff>
    </xdr:to>
    <xdr:pic>
      <xdr:nvPicPr>
        <xdr:cNvPr id="7" name="Imagen 6"/>
        <xdr:cNvPicPr>
          <a:picLocks noChangeAspect="1"/>
        </xdr:cNvPicPr>
      </xdr:nvPicPr>
      <xdr:blipFill>
        <a:blip xmlns:r="http://schemas.openxmlformats.org/officeDocument/2006/relationships" r:embed="rId4"/>
        <a:stretch>
          <a:fillRect/>
        </a:stretch>
      </xdr:blipFill>
      <xdr:spPr>
        <a:xfrm>
          <a:off x="3055935" y="5000632"/>
          <a:ext cx="2706688" cy="2039937"/>
        </a:xfrm>
        <a:prstGeom prst="rect">
          <a:avLst/>
        </a:prstGeom>
      </xdr:spPr>
    </xdr:pic>
    <xdr:clientData/>
  </xdr:twoCellAnchor>
  <xdr:twoCellAnchor editAs="oneCell">
    <xdr:from>
      <xdr:col>0</xdr:col>
      <xdr:colOff>174622</xdr:colOff>
      <xdr:row>45</xdr:row>
      <xdr:rowOff>15887</xdr:rowOff>
    </xdr:from>
    <xdr:to>
      <xdr:col>2</xdr:col>
      <xdr:colOff>968373</xdr:colOff>
      <xdr:row>57</xdr:row>
      <xdr:rowOff>142890</xdr:rowOff>
    </xdr:to>
    <xdr:pic>
      <xdr:nvPicPr>
        <xdr:cNvPr id="8" name="Imagen 7"/>
        <xdr:cNvPicPr>
          <a:picLocks noChangeAspect="1"/>
        </xdr:cNvPicPr>
      </xdr:nvPicPr>
      <xdr:blipFill>
        <a:blip xmlns:r="http://schemas.openxmlformats.org/officeDocument/2006/relationships" r:embed="rId5"/>
        <a:stretch>
          <a:fillRect/>
        </a:stretch>
      </xdr:blipFill>
      <xdr:spPr>
        <a:xfrm>
          <a:off x="174622" y="7540637"/>
          <a:ext cx="2762251" cy="2032003"/>
        </a:xfrm>
        <a:prstGeom prst="rect">
          <a:avLst/>
        </a:prstGeom>
      </xdr:spPr>
    </xdr:pic>
    <xdr:clientData/>
  </xdr:twoCellAnchor>
  <xdr:twoCellAnchor editAs="oneCell">
    <xdr:from>
      <xdr:col>3</xdr:col>
      <xdr:colOff>111122</xdr:colOff>
      <xdr:row>45</xdr:row>
      <xdr:rowOff>15871</xdr:rowOff>
    </xdr:from>
    <xdr:to>
      <xdr:col>5</xdr:col>
      <xdr:colOff>841374</xdr:colOff>
      <xdr:row>57</xdr:row>
      <xdr:rowOff>134944</xdr:rowOff>
    </xdr:to>
    <xdr:pic>
      <xdr:nvPicPr>
        <xdr:cNvPr id="9" name="Imagen 8"/>
        <xdr:cNvPicPr>
          <a:picLocks noChangeAspect="1"/>
        </xdr:cNvPicPr>
      </xdr:nvPicPr>
      <xdr:blipFill>
        <a:blip xmlns:r="http://schemas.openxmlformats.org/officeDocument/2006/relationships" r:embed="rId6"/>
        <a:stretch>
          <a:fillRect/>
        </a:stretch>
      </xdr:blipFill>
      <xdr:spPr>
        <a:xfrm>
          <a:off x="3063872" y="7540621"/>
          <a:ext cx="2698752" cy="2024073"/>
        </a:xfrm>
        <a:prstGeom prst="rect">
          <a:avLst/>
        </a:prstGeom>
      </xdr:spPr>
    </xdr:pic>
    <xdr:clientData/>
  </xdr:twoCellAnchor>
  <xdr:twoCellAnchor editAs="oneCell">
    <xdr:from>
      <xdr:col>0</xdr:col>
      <xdr:colOff>182563</xdr:colOff>
      <xdr:row>61</xdr:row>
      <xdr:rowOff>7949</xdr:rowOff>
    </xdr:from>
    <xdr:to>
      <xdr:col>2</xdr:col>
      <xdr:colOff>960439</xdr:colOff>
      <xdr:row>73</xdr:row>
      <xdr:rowOff>127014</xdr:rowOff>
    </xdr:to>
    <xdr:pic>
      <xdr:nvPicPr>
        <xdr:cNvPr id="10" name="Imagen 9"/>
        <xdr:cNvPicPr>
          <a:picLocks noChangeAspect="1"/>
        </xdr:cNvPicPr>
      </xdr:nvPicPr>
      <xdr:blipFill>
        <a:blip xmlns:r="http://schemas.openxmlformats.org/officeDocument/2006/relationships" r:embed="rId7"/>
        <a:stretch>
          <a:fillRect/>
        </a:stretch>
      </xdr:blipFill>
      <xdr:spPr>
        <a:xfrm>
          <a:off x="182563" y="10072699"/>
          <a:ext cx="2746376" cy="2024065"/>
        </a:xfrm>
        <a:prstGeom prst="rect">
          <a:avLst/>
        </a:prstGeom>
      </xdr:spPr>
    </xdr:pic>
    <xdr:clientData/>
  </xdr:twoCellAnchor>
  <xdr:twoCellAnchor editAs="oneCell">
    <xdr:from>
      <xdr:col>3</xdr:col>
      <xdr:colOff>111127</xdr:colOff>
      <xdr:row>61</xdr:row>
      <xdr:rowOff>15879</xdr:rowOff>
    </xdr:from>
    <xdr:to>
      <xdr:col>5</xdr:col>
      <xdr:colOff>833437</xdr:colOff>
      <xdr:row>73</xdr:row>
      <xdr:rowOff>127008</xdr:rowOff>
    </xdr:to>
    <xdr:pic>
      <xdr:nvPicPr>
        <xdr:cNvPr id="11" name="Imagen 10"/>
        <xdr:cNvPicPr>
          <a:picLocks noChangeAspect="1"/>
        </xdr:cNvPicPr>
      </xdr:nvPicPr>
      <xdr:blipFill>
        <a:blip xmlns:r="http://schemas.openxmlformats.org/officeDocument/2006/relationships" r:embed="rId8"/>
        <a:stretch>
          <a:fillRect/>
        </a:stretch>
      </xdr:blipFill>
      <xdr:spPr>
        <a:xfrm>
          <a:off x="3063877" y="10080629"/>
          <a:ext cx="2690810" cy="2016129"/>
        </a:xfrm>
        <a:prstGeom prst="rect">
          <a:avLst/>
        </a:prstGeom>
      </xdr:spPr>
    </xdr:pic>
    <xdr:clientData/>
  </xdr:twoCellAnchor>
  <xdr:twoCellAnchor editAs="oneCell">
    <xdr:from>
      <xdr:col>0</xdr:col>
      <xdr:colOff>182559</xdr:colOff>
      <xdr:row>78</xdr:row>
      <xdr:rowOff>7947</xdr:rowOff>
    </xdr:from>
    <xdr:to>
      <xdr:col>2</xdr:col>
      <xdr:colOff>944561</xdr:colOff>
      <xdr:row>90</xdr:row>
      <xdr:rowOff>119074</xdr:rowOff>
    </xdr:to>
    <xdr:pic>
      <xdr:nvPicPr>
        <xdr:cNvPr id="12" name="Imagen 11"/>
        <xdr:cNvPicPr>
          <a:picLocks noChangeAspect="1"/>
        </xdr:cNvPicPr>
      </xdr:nvPicPr>
      <xdr:blipFill>
        <a:blip xmlns:r="http://schemas.openxmlformats.org/officeDocument/2006/relationships" r:embed="rId9"/>
        <a:stretch>
          <a:fillRect/>
        </a:stretch>
      </xdr:blipFill>
      <xdr:spPr>
        <a:xfrm>
          <a:off x="182559" y="12771447"/>
          <a:ext cx="2730502" cy="2016127"/>
        </a:xfrm>
        <a:prstGeom prst="rect">
          <a:avLst/>
        </a:prstGeom>
      </xdr:spPr>
    </xdr:pic>
    <xdr:clientData/>
  </xdr:twoCellAnchor>
  <xdr:twoCellAnchor editAs="oneCell">
    <xdr:from>
      <xdr:col>3</xdr:col>
      <xdr:colOff>126997</xdr:colOff>
      <xdr:row>78</xdr:row>
      <xdr:rowOff>7934</xdr:rowOff>
    </xdr:from>
    <xdr:to>
      <xdr:col>5</xdr:col>
      <xdr:colOff>825500</xdr:colOff>
      <xdr:row>90</xdr:row>
      <xdr:rowOff>103189</xdr:rowOff>
    </xdr:to>
    <xdr:pic>
      <xdr:nvPicPr>
        <xdr:cNvPr id="13" name="Imagen 12"/>
        <xdr:cNvPicPr>
          <a:picLocks noChangeAspect="1"/>
        </xdr:cNvPicPr>
      </xdr:nvPicPr>
      <xdr:blipFill>
        <a:blip xmlns:r="http://schemas.openxmlformats.org/officeDocument/2006/relationships" r:embed="rId10"/>
        <a:stretch>
          <a:fillRect/>
        </a:stretch>
      </xdr:blipFill>
      <xdr:spPr>
        <a:xfrm>
          <a:off x="3079747" y="12771434"/>
          <a:ext cx="2667003" cy="2000255"/>
        </a:xfrm>
        <a:prstGeom prst="rect">
          <a:avLst/>
        </a:prstGeom>
      </xdr:spPr>
    </xdr:pic>
    <xdr:clientData/>
  </xdr:twoCellAnchor>
  <xdr:twoCellAnchor editAs="oneCell">
    <xdr:from>
      <xdr:col>0</xdr:col>
      <xdr:colOff>182560</xdr:colOff>
      <xdr:row>94</xdr:row>
      <xdr:rowOff>7942</xdr:rowOff>
    </xdr:from>
    <xdr:to>
      <xdr:col>2</xdr:col>
      <xdr:colOff>936626</xdr:colOff>
      <xdr:row>106</xdr:row>
      <xdr:rowOff>103195</xdr:rowOff>
    </xdr:to>
    <xdr:pic>
      <xdr:nvPicPr>
        <xdr:cNvPr id="14" name="Imagen 13"/>
        <xdr:cNvPicPr>
          <a:picLocks noChangeAspect="1"/>
        </xdr:cNvPicPr>
      </xdr:nvPicPr>
      <xdr:blipFill>
        <a:blip xmlns:r="http://schemas.openxmlformats.org/officeDocument/2006/relationships" r:embed="rId11"/>
        <a:stretch>
          <a:fillRect/>
        </a:stretch>
      </xdr:blipFill>
      <xdr:spPr>
        <a:xfrm>
          <a:off x="182560" y="15311442"/>
          <a:ext cx="2722566" cy="2000253"/>
        </a:xfrm>
        <a:prstGeom prst="rect">
          <a:avLst/>
        </a:prstGeom>
      </xdr:spPr>
    </xdr:pic>
    <xdr:clientData/>
  </xdr:twoCellAnchor>
  <xdr:twoCellAnchor editAs="oneCell">
    <xdr:from>
      <xdr:col>3</xdr:col>
      <xdr:colOff>126999</xdr:colOff>
      <xdr:row>94</xdr:row>
      <xdr:rowOff>15877</xdr:rowOff>
    </xdr:from>
    <xdr:to>
      <xdr:col>5</xdr:col>
      <xdr:colOff>817563</xdr:colOff>
      <xdr:row>106</xdr:row>
      <xdr:rowOff>95256</xdr:rowOff>
    </xdr:to>
    <xdr:pic>
      <xdr:nvPicPr>
        <xdr:cNvPr id="15" name="Imagen 14"/>
        <xdr:cNvPicPr>
          <a:picLocks noChangeAspect="1"/>
        </xdr:cNvPicPr>
      </xdr:nvPicPr>
      <xdr:blipFill>
        <a:blip xmlns:r="http://schemas.openxmlformats.org/officeDocument/2006/relationships" r:embed="rId12"/>
        <a:stretch>
          <a:fillRect/>
        </a:stretch>
      </xdr:blipFill>
      <xdr:spPr>
        <a:xfrm>
          <a:off x="3079749" y="15319377"/>
          <a:ext cx="2659064" cy="1984379"/>
        </a:xfrm>
        <a:prstGeom prst="rect">
          <a:avLst/>
        </a:prstGeom>
      </xdr:spPr>
    </xdr:pic>
    <xdr:clientData/>
  </xdr:twoCellAnchor>
  <xdr:twoCellAnchor editAs="oneCell">
    <xdr:from>
      <xdr:col>0</xdr:col>
      <xdr:colOff>190499</xdr:colOff>
      <xdr:row>109</xdr:row>
      <xdr:rowOff>158749</xdr:rowOff>
    </xdr:from>
    <xdr:to>
      <xdr:col>2</xdr:col>
      <xdr:colOff>928689</xdr:colOff>
      <xdr:row>122</xdr:row>
      <xdr:rowOff>87315</xdr:rowOff>
    </xdr:to>
    <xdr:pic>
      <xdr:nvPicPr>
        <xdr:cNvPr id="16" name="Imagen 15"/>
        <xdr:cNvPicPr>
          <a:picLocks noChangeAspect="1"/>
        </xdr:cNvPicPr>
      </xdr:nvPicPr>
      <xdr:blipFill>
        <a:blip xmlns:r="http://schemas.openxmlformats.org/officeDocument/2006/relationships" r:embed="rId13"/>
        <a:stretch>
          <a:fillRect/>
        </a:stretch>
      </xdr:blipFill>
      <xdr:spPr>
        <a:xfrm>
          <a:off x="190499" y="17843499"/>
          <a:ext cx="2706690" cy="1992316"/>
        </a:xfrm>
        <a:prstGeom prst="rect">
          <a:avLst/>
        </a:prstGeom>
      </xdr:spPr>
    </xdr:pic>
    <xdr:clientData/>
  </xdr:twoCellAnchor>
  <xdr:twoCellAnchor editAs="oneCell">
    <xdr:from>
      <xdr:col>3</xdr:col>
      <xdr:colOff>142874</xdr:colOff>
      <xdr:row>110</xdr:row>
      <xdr:rowOff>7935</xdr:rowOff>
    </xdr:from>
    <xdr:to>
      <xdr:col>5</xdr:col>
      <xdr:colOff>825499</xdr:colOff>
      <xdr:row>122</xdr:row>
      <xdr:rowOff>87312</xdr:rowOff>
    </xdr:to>
    <xdr:pic>
      <xdr:nvPicPr>
        <xdr:cNvPr id="17" name="Imagen 16"/>
        <xdr:cNvPicPr>
          <a:picLocks noChangeAspect="1"/>
        </xdr:cNvPicPr>
      </xdr:nvPicPr>
      <xdr:blipFill>
        <a:blip xmlns:r="http://schemas.openxmlformats.org/officeDocument/2006/relationships" r:embed="rId14"/>
        <a:stretch>
          <a:fillRect/>
        </a:stretch>
      </xdr:blipFill>
      <xdr:spPr>
        <a:xfrm>
          <a:off x="3095624" y="17851435"/>
          <a:ext cx="2651125" cy="1984377"/>
        </a:xfrm>
        <a:prstGeom prst="rect">
          <a:avLst/>
        </a:prstGeom>
      </xdr:spPr>
    </xdr:pic>
    <xdr:clientData/>
  </xdr:twoCellAnchor>
  <xdr:twoCellAnchor editAs="oneCell">
    <xdr:from>
      <xdr:col>0</xdr:col>
      <xdr:colOff>198437</xdr:colOff>
      <xdr:row>126</xdr:row>
      <xdr:rowOff>7945</xdr:rowOff>
    </xdr:from>
    <xdr:to>
      <xdr:col>2</xdr:col>
      <xdr:colOff>920751</xdr:colOff>
      <xdr:row>138</xdr:row>
      <xdr:rowOff>87323</xdr:rowOff>
    </xdr:to>
    <xdr:pic>
      <xdr:nvPicPr>
        <xdr:cNvPr id="18" name="Imagen 17"/>
        <xdr:cNvPicPr>
          <a:picLocks noChangeAspect="1"/>
        </xdr:cNvPicPr>
      </xdr:nvPicPr>
      <xdr:blipFill>
        <a:blip xmlns:r="http://schemas.openxmlformats.org/officeDocument/2006/relationships" r:embed="rId15"/>
        <a:stretch>
          <a:fillRect/>
        </a:stretch>
      </xdr:blipFill>
      <xdr:spPr>
        <a:xfrm>
          <a:off x="198437" y="20391445"/>
          <a:ext cx="2690814" cy="1984378"/>
        </a:xfrm>
        <a:prstGeom prst="rect">
          <a:avLst/>
        </a:prstGeom>
      </xdr:spPr>
    </xdr:pic>
    <xdr:clientData/>
  </xdr:twoCellAnchor>
  <xdr:twoCellAnchor editAs="oneCell">
    <xdr:from>
      <xdr:col>3</xdr:col>
      <xdr:colOff>142873</xdr:colOff>
      <xdr:row>126</xdr:row>
      <xdr:rowOff>7929</xdr:rowOff>
    </xdr:from>
    <xdr:to>
      <xdr:col>5</xdr:col>
      <xdr:colOff>809624</xdr:colOff>
      <xdr:row>138</xdr:row>
      <xdr:rowOff>79370</xdr:rowOff>
    </xdr:to>
    <xdr:pic>
      <xdr:nvPicPr>
        <xdr:cNvPr id="19" name="Imagen 18"/>
        <xdr:cNvPicPr>
          <a:picLocks noChangeAspect="1"/>
        </xdr:cNvPicPr>
      </xdr:nvPicPr>
      <xdr:blipFill>
        <a:blip xmlns:r="http://schemas.openxmlformats.org/officeDocument/2006/relationships" r:embed="rId16"/>
        <a:stretch>
          <a:fillRect/>
        </a:stretch>
      </xdr:blipFill>
      <xdr:spPr>
        <a:xfrm>
          <a:off x="3095623" y="20391429"/>
          <a:ext cx="2635251" cy="1976441"/>
        </a:xfrm>
        <a:prstGeom prst="rect">
          <a:avLst/>
        </a:prstGeom>
      </xdr:spPr>
    </xdr:pic>
    <xdr:clientData/>
  </xdr:twoCellAnchor>
  <xdr:twoCellAnchor editAs="oneCell">
    <xdr:from>
      <xdr:col>0</xdr:col>
      <xdr:colOff>198435</xdr:colOff>
      <xdr:row>143</xdr:row>
      <xdr:rowOff>7934</xdr:rowOff>
    </xdr:from>
    <xdr:to>
      <xdr:col>2</xdr:col>
      <xdr:colOff>928687</xdr:colOff>
      <xdr:row>155</xdr:row>
      <xdr:rowOff>79373</xdr:rowOff>
    </xdr:to>
    <xdr:pic>
      <xdr:nvPicPr>
        <xdr:cNvPr id="20" name="Imagen 19"/>
        <xdr:cNvPicPr>
          <a:picLocks noChangeAspect="1"/>
        </xdr:cNvPicPr>
      </xdr:nvPicPr>
      <xdr:blipFill>
        <a:blip xmlns:r="http://schemas.openxmlformats.org/officeDocument/2006/relationships" r:embed="rId17"/>
        <a:stretch>
          <a:fillRect/>
        </a:stretch>
      </xdr:blipFill>
      <xdr:spPr>
        <a:xfrm>
          <a:off x="198435" y="23090184"/>
          <a:ext cx="2698752" cy="1976439"/>
        </a:xfrm>
        <a:prstGeom prst="rect">
          <a:avLst/>
        </a:prstGeom>
      </xdr:spPr>
    </xdr:pic>
    <xdr:clientData/>
  </xdr:twoCellAnchor>
  <xdr:twoCellAnchor editAs="oneCell">
    <xdr:from>
      <xdr:col>3</xdr:col>
      <xdr:colOff>158745</xdr:colOff>
      <xdr:row>143</xdr:row>
      <xdr:rowOff>7937</xdr:rowOff>
    </xdr:from>
    <xdr:to>
      <xdr:col>5</xdr:col>
      <xdr:colOff>809626</xdr:colOff>
      <xdr:row>155</xdr:row>
      <xdr:rowOff>71439</xdr:rowOff>
    </xdr:to>
    <xdr:pic>
      <xdr:nvPicPr>
        <xdr:cNvPr id="21" name="Imagen 20"/>
        <xdr:cNvPicPr>
          <a:picLocks noChangeAspect="1"/>
        </xdr:cNvPicPr>
      </xdr:nvPicPr>
      <xdr:blipFill>
        <a:blip xmlns:r="http://schemas.openxmlformats.org/officeDocument/2006/relationships" r:embed="rId18"/>
        <a:stretch>
          <a:fillRect/>
        </a:stretch>
      </xdr:blipFill>
      <xdr:spPr>
        <a:xfrm>
          <a:off x="3111495" y="23090187"/>
          <a:ext cx="2619381" cy="1968502"/>
        </a:xfrm>
        <a:prstGeom prst="rect">
          <a:avLst/>
        </a:prstGeom>
      </xdr:spPr>
    </xdr:pic>
    <xdr:clientData/>
  </xdr:twoCellAnchor>
  <xdr:twoCellAnchor editAs="oneCell">
    <xdr:from>
      <xdr:col>0</xdr:col>
      <xdr:colOff>198436</xdr:colOff>
      <xdr:row>159</xdr:row>
      <xdr:rowOff>7935</xdr:rowOff>
    </xdr:from>
    <xdr:to>
      <xdr:col>2</xdr:col>
      <xdr:colOff>904875</xdr:colOff>
      <xdr:row>171</xdr:row>
      <xdr:rowOff>63501</xdr:rowOff>
    </xdr:to>
    <xdr:pic>
      <xdr:nvPicPr>
        <xdr:cNvPr id="22" name="Imagen 21"/>
        <xdr:cNvPicPr>
          <a:picLocks noChangeAspect="1"/>
        </xdr:cNvPicPr>
      </xdr:nvPicPr>
      <xdr:blipFill>
        <a:blip xmlns:r="http://schemas.openxmlformats.org/officeDocument/2006/relationships" r:embed="rId19"/>
        <a:stretch>
          <a:fillRect/>
        </a:stretch>
      </xdr:blipFill>
      <xdr:spPr>
        <a:xfrm>
          <a:off x="198436" y="25630185"/>
          <a:ext cx="2674939" cy="1960566"/>
        </a:xfrm>
        <a:prstGeom prst="rect">
          <a:avLst/>
        </a:prstGeom>
      </xdr:spPr>
    </xdr:pic>
    <xdr:clientData/>
  </xdr:twoCellAnchor>
  <xdr:twoCellAnchor editAs="oneCell">
    <xdr:from>
      <xdr:col>3</xdr:col>
      <xdr:colOff>166686</xdr:colOff>
      <xdr:row>159</xdr:row>
      <xdr:rowOff>7934</xdr:rowOff>
    </xdr:from>
    <xdr:to>
      <xdr:col>5</xdr:col>
      <xdr:colOff>817563</xdr:colOff>
      <xdr:row>171</xdr:row>
      <xdr:rowOff>47625</xdr:rowOff>
    </xdr:to>
    <xdr:pic>
      <xdr:nvPicPr>
        <xdr:cNvPr id="23" name="Imagen 22"/>
        <xdr:cNvPicPr>
          <a:picLocks noChangeAspect="1"/>
        </xdr:cNvPicPr>
      </xdr:nvPicPr>
      <xdr:blipFill>
        <a:blip xmlns:r="http://schemas.openxmlformats.org/officeDocument/2006/relationships" r:embed="rId20"/>
        <a:stretch>
          <a:fillRect/>
        </a:stretch>
      </xdr:blipFill>
      <xdr:spPr>
        <a:xfrm>
          <a:off x="3119436" y="25630184"/>
          <a:ext cx="2619377" cy="1944691"/>
        </a:xfrm>
        <a:prstGeom prst="rect">
          <a:avLst/>
        </a:prstGeom>
      </xdr:spPr>
    </xdr:pic>
    <xdr:clientData/>
  </xdr:twoCellAnchor>
  <xdr:twoCellAnchor editAs="oneCell">
    <xdr:from>
      <xdr:col>0</xdr:col>
      <xdr:colOff>206372</xdr:colOff>
      <xdr:row>175</xdr:row>
      <xdr:rowOff>7951</xdr:rowOff>
    </xdr:from>
    <xdr:to>
      <xdr:col>2</xdr:col>
      <xdr:colOff>920749</xdr:colOff>
      <xdr:row>187</xdr:row>
      <xdr:rowOff>63517</xdr:rowOff>
    </xdr:to>
    <xdr:pic>
      <xdr:nvPicPr>
        <xdr:cNvPr id="4" name="Imagen 3"/>
        <xdr:cNvPicPr>
          <a:picLocks noChangeAspect="1"/>
        </xdr:cNvPicPr>
      </xdr:nvPicPr>
      <xdr:blipFill>
        <a:blip xmlns:r="http://schemas.openxmlformats.org/officeDocument/2006/relationships" r:embed="rId21"/>
        <a:stretch>
          <a:fillRect/>
        </a:stretch>
      </xdr:blipFill>
      <xdr:spPr>
        <a:xfrm>
          <a:off x="206372" y="28170201"/>
          <a:ext cx="2682877" cy="1960566"/>
        </a:xfrm>
        <a:prstGeom prst="rect">
          <a:avLst/>
        </a:prstGeom>
      </xdr:spPr>
    </xdr:pic>
    <xdr:clientData/>
  </xdr:twoCellAnchor>
  <xdr:twoCellAnchor editAs="oneCell">
    <xdr:from>
      <xdr:col>3</xdr:col>
      <xdr:colOff>174621</xdr:colOff>
      <xdr:row>175</xdr:row>
      <xdr:rowOff>12</xdr:rowOff>
    </xdr:from>
    <xdr:to>
      <xdr:col>5</xdr:col>
      <xdr:colOff>833437</xdr:colOff>
      <xdr:row>187</xdr:row>
      <xdr:rowOff>31763</xdr:rowOff>
    </xdr:to>
    <xdr:pic>
      <xdr:nvPicPr>
        <xdr:cNvPr id="24" name="Imagen 23"/>
        <xdr:cNvPicPr>
          <a:picLocks noChangeAspect="1"/>
        </xdr:cNvPicPr>
      </xdr:nvPicPr>
      <xdr:blipFill>
        <a:blip xmlns:r="http://schemas.openxmlformats.org/officeDocument/2006/relationships" r:embed="rId22"/>
        <a:stretch>
          <a:fillRect/>
        </a:stretch>
      </xdr:blipFill>
      <xdr:spPr>
        <a:xfrm>
          <a:off x="3127371" y="28162262"/>
          <a:ext cx="2627316" cy="1936751"/>
        </a:xfrm>
        <a:prstGeom prst="rect">
          <a:avLst/>
        </a:prstGeom>
      </xdr:spPr>
    </xdr:pic>
    <xdr:clientData/>
  </xdr:twoCellAnchor>
  <xdr:twoCellAnchor editAs="oneCell">
    <xdr:from>
      <xdr:col>0</xdr:col>
      <xdr:colOff>206371</xdr:colOff>
      <xdr:row>191</xdr:row>
      <xdr:rowOff>7953</xdr:rowOff>
    </xdr:from>
    <xdr:to>
      <xdr:col>2</xdr:col>
      <xdr:colOff>873124</xdr:colOff>
      <xdr:row>203</xdr:row>
      <xdr:rowOff>39704</xdr:rowOff>
    </xdr:to>
    <xdr:pic>
      <xdr:nvPicPr>
        <xdr:cNvPr id="25" name="Imagen 24"/>
        <xdr:cNvPicPr>
          <a:picLocks noChangeAspect="1"/>
        </xdr:cNvPicPr>
      </xdr:nvPicPr>
      <xdr:blipFill>
        <a:blip xmlns:r="http://schemas.openxmlformats.org/officeDocument/2006/relationships" r:embed="rId23"/>
        <a:stretch>
          <a:fillRect/>
        </a:stretch>
      </xdr:blipFill>
      <xdr:spPr>
        <a:xfrm>
          <a:off x="206371" y="30710203"/>
          <a:ext cx="2635253" cy="1936751"/>
        </a:xfrm>
        <a:prstGeom prst="rect">
          <a:avLst/>
        </a:prstGeom>
      </xdr:spPr>
    </xdr:pic>
    <xdr:clientData/>
  </xdr:twoCellAnchor>
  <xdr:twoCellAnchor editAs="oneCell">
    <xdr:from>
      <xdr:col>3</xdr:col>
      <xdr:colOff>174624</xdr:colOff>
      <xdr:row>191</xdr:row>
      <xdr:rowOff>7957</xdr:rowOff>
    </xdr:from>
    <xdr:to>
      <xdr:col>5</xdr:col>
      <xdr:colOff>793750</xdr:colOff>
      <xdr:row>203</xdr:row>
      <xdr:rowOff>23824</xdr:rowOff>
    </xdr:to>
    <xdr:pic>
      <xdr:nvPicPr>
        <xdr:cNvPr id="26" name="Imagen 25"/>
        <xdr:cNvPicPr>
          <a:picLocks noChangeAspect="1"/>
        </xdr:cNvPicPr>
      </xdr:nvPicPr>
      <xdr:blipFill>
        <a:blip xmlns:r="http://schemas.openxmlformats.org/officeDocument/2006/relationships" r:embed="rId24"/>
        <a:stretch>
          <a:fillRect/>
        </a:stretch>
      </xdr:blipFill>
      <xdr:spPr>
        <a:xfrm>
          <a:off x="3127374" y="30710207"/>
          <a:ext cx="2587626" cy="1920867"/>
        </a:xfrm>
        <a:prstGeom prst="rect">
          <a:avLst/>
        </a:prstGeom>
      </xdr:spPr>
    </xdr:pic>
    <xdr:clientData/>
  </xdr:twoCellAnchor>
  <xdr:twoCellAnchor editAs="oneCell">
    <xdr:from>
      <xdr:col>0</xdr:col>
      <xdr:colOff>214312</xdr:colOff>
      <xdr:row>208</xdr:row>
      <xdr:rowOff>7948</xdr:rowOff>
    </xdr:from>
    <xdr:to>
      <xdr:col>2</xdr:col>
      <xdr:colOff>865189</xdr:colOff>
      <xdr:row>220</xdr:row>
      <xdr:rowOff>31765</xdr:rowOff>
    </xdr:to>
    <xdr:pic>
      <xdr:nvPicPr>
        <xdr:cNvPr id="27" name="Imagen 26"/>
        <xdr:cNvPicPr>
          <a:picLocks noChangeAspect="1"/>
        </xdr:cNvPicPr>
      </xdr:nvPicPr>
      <xdr:blipFill>
        <a:blip xmlns:r="http://schemas.openxmlformats.org/officeDocument/2006/relationships" r:embed="rId25"/>
        <a:stretch>
          <a:fillRect/>
        </a:stretch>
      </xdr:blipFill>
      <xdr:spPr>
        <a:xfrm>
          <a:off x="214312" y="33408948"/>
          <a:ext cx="2619377" cy="1928817"/>
        </a:xfrm>
        <a:prstGeom prst="rect">
          <a:avLst/>
        </a:prstGeom>
      </xdr:spPr>
    </xdr:pic>
    <xdr:clientData/>
  </xdr:twoCellAnchor>
  <xdr:twoCellAnchor editAs="oneCell">
    <xdr:from>
      <xdr:col>3</xdr:col>
      <xdr:colOff>182553</xdr:colOff>
      <xdr:row>208</xdr:row>
      <xdr:rowOff>7938</xdr:rowOff>
    </xdr:from>
    <xdr:to>
      <xdr:col>5</xdr:col>
      <xdr:colOff>793748</xdr:colOff>
      <xdr:row>220</xdr:row>
      <xdr:rowOff>15880</xdr:rowOff>
    </xdr:to>
    <xdr:pic>
      <xdr:nvPicPr>
        <xdr:cNvPr id="28" name="Imagen 27"/>
        <xdr:cNvPicPr>
          <a:picLocks noChangeAspect="1"/>
        </xdr:cNvPicPr>
      </xdr:nvPicPr>
      <xdr:blipFill>
        <a:blip xmlns:r="http://schemas.openxmlformats.org/officeDocument/2006/relationships" r:embed="rId26"/>
        <a:stretch>
          <a:fillRect/>
        </a:stretch>
      </xdr:blipFill>
      <xdr:spPr>
        <a:xfrm>
          <a:off x="3135303" y="33408938"/>
          <a:ext cx="2579695" cy="1912942"/>
        </a:xfrm>
        <a:prstGeom prst="rect">
          <a:avLst/>
        </a:prstGeom>
      </xdr:spPr>
    </xdr:pic>
    <xdr:clientData/>
  </xdr:twoCellAnchor>
  <xdr:twoCellAnchor editAs="oneCell">
    <xdr:from>
      <xdr:col>0</xdr:col>
      <xdr:colOff>214304</xdr:colOff>
      <xdr:row>224</xdr:row>
      <xdr:rowOff>7938</xdr:rowOff>
    </xdr:from>
    <xdr:to>
      <xdr:col>2</xdr:col>
      <xdr:colOff>849311</xdr:colOff>
      <xdr:row>236</xdr:row>
      <xdr:rowOff>23814</xdr:rowOff>
    </xdr:to>
    <xdr:pic>
      <xdr:nvPicPr>
        <xdr:cNvPr id="29" name="Imagen 28"/>
        <xdr:cNvPicPr>
          <a:picLocks noChangeAspect="1"/>
        </xdr:cNvPicPr>
      </xdr:nvPicPr>
      <xdr:blipFill>
        <a:blip xmlns:r="http://schemas.openxmlformats.org/officeDocument/2006/relationships" r:embed="rId27"/>
        <a:stretch>
          <a:fillRect/>
        </a:stretch>
      </xdr:blipFill>
      <xdr:spPr>
        <a:xfrm>
          <a:off x="214304" y="35948938"/>
          <a:ext cx="2603507" cy="1920876"/>
        </a:xfrm>
        <a:prstGeom prst="rect">
          <a:avLst/>
        </a:prstGeom>
      </xdr:spPr>
    </xdr:pic>
    <xdr:clientData/>
  </xdr:twoCellAnchor>
  <xdr:twoCellAnchor editAs="oneCell">
    <xdr:from>
      <xdr:col>3</xdr:col>
      <xdr:colOff>182562</xdr:colOff>
      <xdr:row>224</xdr:row>
      <xdr:rowOff>7947</xdr:rowOff>
    </xdr:from>
    <xdr:to>
      <xdr:col>5</xdr:col>
      <xdr:colOff>785814</xdr:colOff>
      <xdr:row>236</xdr:row>
      <xdr:rowOff>7949</xdr:rowOff>
    </xdr:to>
    <xdr:pic>
      <xdr:nvPicPr>
        <xdr:cNvPr id="30" name="Imagen 29"/>
        <xdr:cNvPicPr>
          <a:picLocks noChangeAspect="1"/>
        </xdr:cNvPicPr>
      </xdr:nvPicPr>
      <xdr:blipFill>
        <a:blip xmlns:r="http://schemas.openxmlformats.org/officeDocument/2006/relationships" r:embed="rId28"/>
        <a:stretch>
          <a:fillRect/>
        </a:stretch>
      </xdr:blipFill>
      <xdr:spPr>
        <a:xfrm>
          <a:off x="3135312" y="35948947"/>
          <a:ext cx="2571752" cy="1905002"/>
        </a:xfrm>
        <a:prstGeom prst="rect">
          <a:avLst/>
        </a:prstGeom>
      </xdr:spPr>
    </xdr:pic>
    <xdr:clientData/>
  </xdr:twoCellAnchor>
  <xdr:twoCellAnchor editAs="oneCell">
    <xdr:from>
      <xdr:col>0</xdr:col>
      <xdr:colOff>214311</xdr:colOff>
      <xdr:row>240</xdr:row>
      <xdr:rowOff>7947</xdr:rowOff>
    </xdr:from>
    <xdr:to>
      <xdr:col>2</xdr:col>
      <xdr:colOff>841375</xdr:colOff>
      <xdr:row>252</xdr:row>
      <xdr:rowOff>7950</xdr:rowOff>
    </xdr:to>
    <xdr:pic>
      <xdr:nvPicPr>
        <xdr:cNvPr id="31" name="Imagen 30"/>
        <xdr:cNvPicPr>
          <a:picLocks noChangeAspect="1"/>
        </xdr:cNvPicPr>
      </xdr:nvPicPr>
      <xdr:blipFill>
        <a:blip xmlns:r="http://schemas.openxmlformats.org/officeDocument/2006/relationships" r:embed="rId29"/>
        <a:stretch>
          <a:fillRect/>
        </a:stretch>
      </xdr:blipFill>
      <xdr:spPr>
        <a:xfrm>
          <a:off x="214311" y="38488947"/>
          <a:ext cx="2595564" cy="1905003"/>
        </a:xfrm>
        <a:prstGeom prst="rect">
          <a:avLst/>
        </a:prstGeom>
      </xdr:spPr>
    </xdr:pic>
    <xdr:clientData/>
  </xdr:twoCellAnchor>
  <xdr:twoCellAnchor editAs="oneCell">
    <xdr:from>
      <xdr:col>3</xdr:col>
      <xdr:colOff>174626</xdr:colOff>
      <xdr:row>240</xdr:row>
      <xdr:rowOff>7943</xdr:rowOff>
    </xdr:from>
    <xdr:to>
      <xdr:col>5</xdr:col>
      <xdr:colOff>777875</xdr:colOff>
      <xdr:row>252</xdr:row>
      <xdr:rowOff>7</xdr:rowOff>
    </xdr:to>
    <xdr:pic>
      <xdr:nvPicPr>
        <xdr:cNvPr id="32" name="Imagen 31"/>
        <xdr:cNvPicPr>
          <a:picLocks noChangeAspect="1"/>
        </xdr:cNvPicPr>
      </xdr:nvPicPr>
      <xdr:blipFill>
        <a:blip xmlns:r="http://schemas.openxmlformats.org/officeDocument/2006/relationships" r:embed="rId30"/>
        <a:stretch>
          <a:fillRect/>
        </a:stretch>
      </xdr:blipFill>
      <xdr:spPr>
        <a:xfrm>
          <a:off x="3127376" y="38488943"/>
          <a:ext cx="2571749" cy="1897064"/>
        </a:xfrm>
        <a:prstGeom prst="rect">
          <a:avLst/>
        </a:prstGeom>
      </xdr:spPr>
    </xdr:pic>
    <xdr:clientData/>
  </xdr:twoCellAnchor>
  <xdr:twoCellAnchor editAs="oneCell">
    <xdr:from>
      <xdr:col>0</xdr:col>
      <xdr:colOff>214313</xdr:colOff>
      <xdr:row>256</xdr:row>
      <xdr:rowOff>7945</xdr:rowOff>
    </xdr:from>
    <xdr:to>
      <xdr:col>2</xdr:col>
      <xdr:colOff>825500</xdr:colOff>
      <xdr:row>267</xdr:row>
      <xdr:rowOff>150826</xdr:rowOff>
    </xdr:to>
    <xdr:pic>
      <xdr:nvPicPr>
        <xdr:cNvPr id="33" name="Imagen 32"/>
        <xdr:cNvPicPr>
          <a:picLocks noChangeAspect="1"/>
        </xdr:cNvPicPr>
      </xdr:nvPicPr>
      <xdr:blipFill>
        <a:blip xmlns:r="http://schemas.openxmlformats.org/officeDocument/2006/relationships" r:embed="rId31"/>
        <a:stretch>
          <a:fillRect/>
        </a:stretch>
      </xdr:blipFill>
      <xdr:spPr>
        <a:xfrm>
          <a:off x="214313" y="41028945"/>
          <a:ext cx="2579687" cy="1889131"/>
        </a:xfrm>
        <a:prstGeom prst="rect">
          <a:avLst/>
        </a:prstGeom>
      </xdr:spPr>
    </xdr:pic>
    <xdr:clientData/>
  </xdr:twoCellAnchor>
  <xdr:twoCellAnchor editAs="oneCell">
    <xdr:from>
      <xdr:col>3</xdr:col>
      <xdr:colOff>182562</xdr:colOff>
      <xdr:row>256</xdr:row>
      <xdr:rowOff>7944</xdr:rowOff>
    </xdr:from>
    <xdr:to>
      <xdr:col>5</xdr:col>
      <xdr:colOff>746126</xdr:colOff>
      <xdr:row>267</xdr:row>
      <xdr:rowOff>142884</xdr:rowOff>
    </xdr:to>
    <xdr:pic>
      <xdr:nvPicPr>
        <xdr:cNvPr id="34" name="Imagen 33"/>
        <xdr:cNvPicPr>
          <a:picLocks noChangeAspect="1"/>
        </xdr:cNvPicPr>
      </xdr:nvPicPr>
      <xdr:blipFill>
        <a:blip xmlns:r="http://schemas.openxmlformats.org/officeDocument/2006/relationships" r:embed="rId32"/>
        <a:stretch>
          <a:fillRect/>
        </a:stretch>
      </xdr:blipFill>
      <xdr:spPr>
        <a:xfrm>
          <a:off x="3135312" y="41028944"/>
          <a:ext cx="2532064" cy="1881190"/>
        </a:xfrm>
        <a:prstGeom prst="rect">
          <a:avLst/>
        </a:prstGeom>
      </xdr:spPr>
    </xdr:pic>
    <xdr:clientData/>
  </xdr:twoCellAnchor>
  <xdr:twoCellAnchor editAs="oneCell">
    <xdr:from>
      <xdr:col>0</xdr:col>
      <xdr:colOff>222245</xdr:colOff>
      <xdr:row>273</xdr:row>
      <xdr:rowOff>7946</xdr:rowOff>
    </xdr:from>
    <xdr:to>
      <xdr:col>2</xdr:col>
      <xdr:colOff>817562</xdr:colOff>
      <xdr:row>284</xdr:row>
      <xdr:rowOff>150821</xdr:rowOff>
    </xdr:to>
    <xdr:pic>
      <xdr:nvPicPr>
        <xdr:cNvPr id="35" name="Imagen 34"/>
        <xdr:cNvPicPr>
          <a:picLocks noChangeAspect="1"/>
        </xdr:cNvPicPr>
      </xdr:nvPicPr>
      <xdr:blipFill>
        <a:blip xmlns:r="http://schemas.openxmlformats.org/officeDocument/2006/relationships" r:embed="rId33"/>
        <a:stretch>
          <a:fillRect/>
        </a:stretch>
      </xdr:blipFill>
      <xdr:spPr>
        <a:xfrm>
          <a:off x="222245" y="43727696"/>
          <a:ext cx="2563817" cy="1889125"/>
        </a:xfrm>
        <a:prstGeom prst="rect">
          <a:avLst/>
        </a:prstGeom>
      </xdr:spPr>
    </xdr:pic>
    <xdr:clientData/>
  </xdr:twoCellAnchor>
  <xdr:twoCellAnchor editAs="oneCell">
    <xdr:from>
      <xdr:col>3</xdr:col>
      <xdr:colOff>182558</xdr:colOff>
      <xdr:row>273</xdr:row>
      <xdr:rowOff>7939</xdr:rowOff>
    </xdr:from>
    <xdr:to>
      <xdr:col>5</xdr:col>
      <xdr:colOff>738187</xdr:colOff>
      <xdr:row>284</xdr:row>
      <xdr:rowOff>134941</xdr:rowOff>
    </xdr:to>
    <xdr:pic>
      <xdr:nvPicPr>
        <xdr:cNvPr id="36" name="Imagen 35"/>
        <xdr:cNvPicPr>
          <a:picLocks noChangeAspect="1"/>
        </xdr:cNvPicPr>
      </xdr:nvPicPr>
      <xdr:blipFill>
        <a:blip xmlns:r="http://schemas.openxmlformats.org/officeDocument/2006/relationships" r:embed="rId34"/>
        <a:stretch>
          <a:fillRect/>
        </a:stretch>
      </xdr:blipFill>
      <xdr:spPr>
        <a:xfrm>
          <a:off x="3135308" y="43727689"/>
          <a:ext cx="2524129" cy="1873252"/>
        </a:xfrm>
        <a:prstGeom prst="rect">
          <a:avLst/>
        </a:prstGeom>
      </xdr:spPr>
    </xdr:pic>
    <xdr:clientData/>
  </xdr:twoCellAnchor>
  <xdr:twoCellAnchor editAs="oneCell">
    <xdr:from>
      <xdr:col>0</xdr:col>
      <xdr:colOff>230186</xdr:colOff>
      <xdr:row>289</xdr:row>
      <xdr:rowOff>7934</xdr:rowOff>
    </xdr:from>
    <xdr:to>
      <xdr:col>2</xdr:col>
      <xdr:colOff>809626</xdr:colOff>
      <xdr:row>300</xdr:row>
      <xdr:rowOff>142874</xdr:rowOff>
    </xdr:to>
    <xdr:pic>
      <xdr:nvPicPr>
        <xdr:cNvPr id="37" name="Imagen 36"/>
        <xdr:cNvPicPr>
          <a:picLocks noChangeAspect="1"/>
        </xdr:cNvPicPr>
      </xdr:nvPicPr>
      <xdr:blipFill>
        <a:blip xmlns:r="http://schemas.openxmlformats.org/officeDocument/2006/relationships" r:embed="rId35"/>
        <a:stretch>
          <a:fillRect/>
        </a:stretch>
      </xdr:blipFill>
      <xdr:spPr>
        <a:xfrm>
          <a:off x="230186" y="46267684"/>
          <a:ext cx="2547940" cy="1881190"/>
        </a:xfrm>
        <a:prstGeom prst="rect">
          <a:avLst/>
        </a:prstGeom>
      </xdr:spPr>
    </xdr:pic>
    <xdr:clientData/>
  </xdr:twoCellAnchor>
  <xdr:twoCellAnchor editAs="oneCell">
    <xdr:from>
      <xdr:col>3</xdr:col>
      <xdr:colOff>182561</xdr:colOff>
      <xdr:row>289</xdr:row>
      <xdr:rowOff>7945</xdr:rowOff>
    </xdr:from>
    <xdr:to>
      <xdr:col>5</xdr:col>
      <xdr:colOff>730251</xdr:colOff>
      <xdr:row>300</xdr:row>
      <xdr:rowOff>127012</xdr:rowOff>
    </xdr:to>
    <xdr:pic>
      <xdr:nvPicPr>
        <xdr:cNvPr id="38" name="Imagen 37"/>
        <xdr:cNvPicPr>
          <a:picLocks noChangeAspect="1"/>
        </xdr:cNvPicPr>
      </xdr:nvPicPr>
      <xdr:blipFill>
        <a:blip xmlns:r="http://schemas.openxmlformats.org/officeDocument/2006/relationships" r:embed="rId36"/>
        <a:stretch>
          <a:fillRect/>
        </a:stretch>
      </xdr:blipFill>
      <xdr:spPr>
        <a:xfrm>
          <a:off x="3135311" y="46267695"/>
          <a:ext cx="2516190" cy="1865317"/>
        </a:xfrm>
        <a:prstGeom prst="rect">
          <a:avLst/>
        </a:prstGeom>
      </xdr:spPr>
    </xdr:pic>
    <xdr:clientData/>
  </xdr:twoCellAnchor>
  <xdr:twoCellAnchor editAs="oneCell">
    <xdr:from>
      <xdr:col>0</xdr:col>
      <xdr:colOff>230184</xdr:colOff>
      <xdr:row>305</xdr:row>
      <xdr:rowOff>7939</xdr:rowOff>
    </xdr:from>
    <xdr:to>
      <xdr:col>2</xdr:col>
      <xdr:colOff>793747</xdr:colOff>
      <xdr:row>316</xdr:row>
      <xdr:rowOff>127006</xdr:rowOff>
    </xdr:to>
    <xdr:pic>
      <xdr:nvPicPr>
        <xdr:cNvPr id="39" name="Imagen 38"/>
        <xdr:cNvPicPr>
          <a:picLocks noChangeAspect="1"/>
        </xdr:cNvPicPr>
      </xdr:nvPicPr>
      <xdr:blipFill>
        <a:blip xmlns:r="http://schemas.openxmlformats.org/officeDocument/2006/relationships" r:embed="rId37"/>
        <a:stretch>
          <a:fillRect/>
        </a:stretch>
      </xdr:blipFill>
      <xdr:spPr>
        <a:xfrm>
          <a:off x="230184" y="48807689"/>
          <a:ext cx="2532063" cy="1865317"/>
        </a:xfrm>
        <a:prstGeom prst="rect">
          <a:avLst/>
        </a:prstGeom>
      </xdr:spPr>
    </xdr:pic>
    <xdr:clientData/>
  </xdr:twoCellAnchor>
  <xdr:twoCellAnchor editAs="oneCell">
    <xdr:from>
      <xdr:col>3</xdr:col>
      <xdr:colOff>190499</xdr:colOff>
      <xdr:row>305</xdr:row>
      <xdr:rowOff>7941</xdr:rowOff>
    </xdr:from>
    <xdr:to>
      <xdr:col>5</xdr:col>
      <xdr:colOff>722313</xdr:colOff>
      <xdr:row>316</xdr:row>
      <xdr:rowOff>119069</xdr:rowOff>
    </xdr:to>
    <xdr:pic>
      <xdr:nvPicPr>
        <xdr:cNvPr id="40" name="Imagen 39"/>
        <xdr:cNvPicPr>
          <a:picLocks noChangeAspect="1"/>
        </xdr:cNvPicPr>
      </xdr:nvPicPr>
      <xdr:blipFill>
        <a:blip xmlns:r="http://schemas.openxmlformats.org/officeDocument/2006/relationships" r:embed="rId38"/>
        <a:stretch>
          <a:fillRect/>
        </a:stretch>
      </xdr:blipFill>
      <xdr:spPr>
        <a:xfrm>
          <a:off x="3143249" y="48807691"/>
          <a:ext cx="2500314" cy="1857378"/>
        </a:xfrm>
        <a:prstGeom prst="rect">
          <a:avLst/>
        </a:prstGeom>
      </xdr:spPr>
    </xdr:pic>
    <xdr:clientData/>
  </xdr:twoCellAnchor>
  <xdr:twoCellAnchor editAs="oneCell">
    <xdr:from>
      <xdr:col>0</xdr:col>
      <xdr:colOff>222246</xdr:colOff>
      <xdr:row>320</xdr:row>
      <xdr:rowOff>15876</xdr:rowOff>
    </xdr:from>
    <xdr:to>
      <xdr:col>2</xdr:col>
      <xdr:colOff>777873</xdr:colOff>
      <xdr:row>331</xdr:row>
      <xdr:rowOff>142880</xdr:rowOff>
    </xdr:to>
    <xdr:pic>
      <xdr:nvPicPr>
        <xdr:cNvPr id="41" name="Imagen 40"/>
        <xdr:cNvPicPr>
          <a:picLocks noChangeAspect="1"/>
        </xdr:cNvPicPr>
      </xdr:nvPicPr>
      <xdr:blipFill>
        <a:blip xmlns:r="http://schemas.openxmlformats.org/officeDocument/2006/relationships" r:embed="rId39"/>
        <a:stretch>
          <a:fillRect/>
        </a:stretch>
      </xdr:blipFill>
      <xdr:spPr>
        <a:xfrm>
          <a:off x="222246" y="51196876"/>
          <a:ext cx="2524127" cy="1873254"/>
        </a:xfrm>
        <a:prstGeom prst="rect">
          <a:avLst/>
        </a:prstGeom>
      </xdr:spPr>
    </xdr:pic>
    <xdr:clientData/>
  </xdr:twoCellAnchor>
  <xdr:twoCellAnchor editAs="oneCell">
    <xdr:from>
      <xdr:col>3</xdr:col>
      <xdr:colOff>198435</xdr:colOff>
      <xdr:row>320</xdr:row>
      <xdr:rowOff>15870</xdr:rowOff>
    </xdr:from>
    <xdr:to>
      <xdr:col>5</xdr:col>
      <xdr:colOff>714373</xdr:colOff>
      <xdr:row>331</xdr:row>
      <xdr:rowOff>119067</xdr:rowOff>
    </xdr:to>
    <xdr:pic>
      <xdr:nvPicPr>
        <xdr:cNvPr id="42" name="Imagen 41"/>
        <xdr:cNvPicPr>
          <a:picLocks noChangeAspect="1"/>
        </xdr:cNvPicPr>
      </xdr:nvPicPr>
      <xdr:blipFill>
        <a:blip xmlns:r="http://schemas.openxmlformats.org/officeDocument/2006/relationships" r:embed="rId40"/>
        <a:stretch>
          <a:fillRect/>
        </a:stretch>
      </xdr:blipFill>
      <xdr:spPr>
        <a:xfrm>
          <a:off x="3151185" y="51196870"/>
          <a:ext cx="2484438" cy="1849447"/>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3</xdr:col>
      <xdr:colOff>676275</xdr:colOff>
      <xdr:row>13</xdr:row>
      <xdr:rowOff>9525</xdr:rowOff>
    </xdr:from>
    <xdr:to>
      <xdr:col>6</xdr:col>
      <xdr:colOff>1047750</xdr:colOff>
      <xdr:row>33</xdr:row>
      <xdr:rowOff>152400</xdr:rowOff>
    </xdr:to>
    <xdr:pic>
      <xdr:nvPicPr>
        <xdr:cNvPr id="4" name="Imagen 3"/>
        <xdr:cNvPicPr/>
      </xdr:nvPicPr>
      <xdr:blipFill>
        <a:blip xmlns:r="http://schemas.openxmlformats.org/officeDocument/2006/relationships" r:embed="rId1"/>
        <a:stretch>
          <a:fillRect/>
        </a:stretch>
      </xdr:blipFill>
      <xdr:spPr>
        <a:xfrm>
          <a:off x="3619500" y="2476500"/>
          <a:ext cx="3590925" cy="3381375"/>
        </a:xfrm>
        <a:prstGeom prst="rect">
          <a:avLst/>
        </a:prstGeom>
      </xdr:spPr>
    </xdr:pic>
    <xdr:clientData/>
  </xdr:twoCellAnchor>
  <xdr:twoCellAnchor editAs="oneCell">
    <xdr:from>
      <xdr:col>0</xdr:col>
      <xdr:colOff>95250</xdr:colOff>
      <xdr:row>13</xdr:row>
      <xdr:rowOff>19050</xdr:rowOff>
    </xdr:from>
    <xdr:to>
      <xdr:col>3</xdr:col>
      <xdr:colOff>619125</xdr:colOff>
      <xdr:row>33</xdr:row>
      <xdr:rowOff>133350</xdr:rowOff>
    </xdr:to>
    <xdr:pic>
      <xdr:nvPicPr>
        <xdr:cNvPr id="5" name="Imagen 4" descr="C:\Users\GIA_07\Downloads\WhatsApp Image 2020-10-08 at 11.03.19 AM.jpeg"/>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t="25000" b="22059"/>
        <a:stretch/>
      </xdr:blipFill>
      <xdr:spPr bwMode="auto">
        <a:xfrm>
          <a:off x="95250" y="2486025"/>
          <a:ext cx="3467100" cy="335280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0</xdr:col>
      <xdr:colOff>104775</xdr:colOff>
      <xdr:row>35</xdr:row>
      <xdr:rowOff>57150</xdr:rowOff>
    </xdr:from>
    <xdr:to>
      <xdr:col>3</xdr:col>
      <xdr:colOff>762000</xdr:colOff>
      <xdr:row>71</xdr:row>
      <xdr:rowOff>94517</xdr:rowOff>
    </xdr:to>
    <xdr:pic>
      <xdr:nvPicPr>
        <xdr:cNvPr id="6" name="Imagen 5"/>
        <xdr:cNvPicPr>
          <a:picLocks noChangeAspect="1"/>
        </xdr:cNvPicPr>
      </xdr:nvPicPr>
      <xdr:blipFill>
        <a:blip xmlns:r="http://schemas.openxmlformats.org/officeDocument/2006/relationships" r:embed="rId3"/>
        <a:stretch>
          <a:fillRect/>
        </a:stretch>
      </xdr:blipFill>
      <xdr:spPr>
        <a:xfrm>
          <a:off x="104775" y="6086475"/>
          <a:ext cx="3600450" cy="5866667"/>
        </a:xfrm>
        <a:prstGeom prst="rect">
          <a:avLst/>
        </a:prstGeom>
      </xdr:spPr>
    </xdr:pic>
    <xdr:clientData/>
  </xdr:twoCellAnchor>
  <xdr:twoCellAnchor editAs="oneCell">
    <xdr:from>
      <xdr:col>3</xdr:col>
      <xdr:colOff>733425</xdr:colOff>
      <xdr:row>35</xdr:row>
      <xdr:rowOff>76200</xdr:rowOff>
    </xdr:from>
    <xdr:to>
      <xdr:col>6</xdr:col>
      <xdr:colOff>1075911</xdr:colOff>
      <xdr:row>71</xdr:row>
      <xdr:rowOff>113567</xdr:rowOff>
    </xdr:to>
    <xdr:pic>
      <xdr:nvPicPr>
        <xdr:cNvPr id="7" name="Imagen 6"/>
        <xdr:cNvPicPr>
          <a:picLocks noChangeAspect="1"/>
        </xdr:cNvPicPr>
      </xdr:nvPicPr>
      <xdr:blipFill>
        <a:blip xmlns:r="http://schemas.openxmlformats.org/officeDocument/2006/relationships" r:embed="rId4"/>
        <a:stretch>
          <a:fillRect/>
        </a:stretch>
      </xdr:blipFill>
      <xdr:spPr>
        <a:xfrm>
          <a:off x="3676650" y="6105525"/>
          <a:ext cx="3561936" cy="5866667"/>
        </a:xfrm>
        <a:prstGeom prst="rect">
          <a:avLst/>
        </a:prstGeom>
      </xdr:spPr>
    </xdr:pic>
    <xdr:clientData/>
  </xdr:twoCellAnchor>
  <xdr:twoCellAnchor editAs="oneCell">
    <xdr:from>
      <xdr:col>0</xdr:col>
      <xdr:colOff>95250</xdr:colOff>
      <xdr:row>72</xdr:row>
      <xdr:rowOff>85726</xdr:rowOff>
    </xdr:from>
    <xdr:to>
      <xdr:col>3</xdr:col>
      <xdr:colOff>609600</xdr:colOff>
      <xdr:row>109</xdr:row>
      <xdr:rowOff>19051</xdr:rowOff>
    </xdr:to>
    <xdr:pic>
      <xdr:nvPicPr>
        <xdr:cNvPr id="8" name="Imagen 7" descr="C:\Users\GIA_07\Downloads\WhatsApp Image 2020-12-02 at 4.19.49 PM.jpeg"/>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t="22022" b="5559"/>
        <a:stretch/>
      </xdr:blipFill>
      <xdr:spPr bwMode="auto">
        <a:xfrm>
          <a:off x="95250" y="12106276"/>
          <a:ext cx="3457575" cy="592455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3</xdr:col>
      <xdr:colOff>714375</xdr:colOff>
      <xdr:row>72</xdr:row>
      <xdr:rowOff>76200</xdr:rowOff>
    </xdr:from>
    <xdr:to>
      <xdr:col>6</xdr:col>
      <xdr:colOff>996461</xdr:colOff>
      <xdr:row>108</xdr:row>
      <xdr:rowOff>152400</xdr:rowOff>
    </xdr:to>
    <xdr:pic>
      <xdr:nvPicPr>
        <xdr:cNvPr id="9" name="Imagen 8"/>
        <xdr:cNvPicPr>
          <a:picLocks noChangeAspect="1"/>
        </xdr:cNvPicPr>
      </xdr:nvPicPr>
      <xdr:blipFill>
        <a:blip xmlns:r="http://schemas.openxmlformats.org/officeDocument/2006/relationships" r:embed="rId6"/>
        <a:stretch>
          <a:fillRect/>
        </a:stretch>
      </xdr:blipFill>
      <xdr:spPr>
        <a:xfrm>
          <a:off x="3659798" y="12041065"/>
          <a:ext cx="3498605" cy="5879123"/>
        </a:xfrm>
        <a:prstGeom prst="rect">
          <a:avLst/>
        </a:prstGeom>
      </xdr:spPr>
    </xdr:pic>
    <xdr:clientData/>
  </xdr:twoCellAnchor>
  <xdr:twoCellAnchor editAs="oneCell">
    <xdr:from>
      <xdr:col>0</xdr:col>
      <xdr:colOff>95250</xdr:colOff>
      <xdr:row>109</xdr:row>
      <xdr:rowOff>142876</xdr:rowOff>
    </xdr:from>
    <xdr:to>
      <xdr:col>3</xdr:col>
      <xdr:colOff>647700</xdr:colOff>
      <xdr:row>139</xdr:row>
      <xdr:rowOff>66676</xdr:rowOff>
    </xdr:to>
    <xdr:pic>
      <xdr:nvPicPr>
        <xdr:cNvPr id="10" name="Imagen 9"/>
        <xdr:cNvPicPr>
          <a:picLocks noChangeAspect="1"/>
        </xdr:cNvPicPr>
      </xdr:nvPicPr>
      <xdr:blipFill>
        <a:blip xmlns:r="http://schemas.openxmlformats.org/officeDocument/2006/relationships" r:embed="rId7"/>
        <a:stretch>
          <a:fillRect/>
        </a:stretch>
      </xdr:blipFill>
      <xdr:spPr>
        <a:xfrm>
          <a:off x="95250" y="18154651"/>
          <a:ext cx="3495675" cy="4781550"/>
        </a:xfrm>
        <a:prstGeom prst="rect">
          <a:avLst/>
        </a:prstGeom>
      </xdr:spPr>
    </xdr:pic>
    <xdr:clientData/>
  </xdr:twoCellAnchor>
  <xdr:twoCellAnchor editAs="oneCell">
    <xdr:from>
      <xdr:col>3</xdr:col>
      <xdr:colOff>723901</xdr:colOff>
      <xdr:row>110</xdr:row>
      <xdr:rowOff>9525</xdr:rowOff>
    </xdr:from>
    <xdr:to>
      <xdr:col>6</xdr:col>
      <xdr:colOff>1085851</xdr:colOff>
      <xdr:row>139</xdr:row>
      <xdr:rowOff>133350</xdr:rowOff>
    </xdr:to>
    <xdr:pic>
      <xdr:nvPicPr>
        <xdr:cNvPr id="11" name="Imagen 10"/>
        <xdr:cNvPicPr/>
      </xdr:nvPicPr>
      <xdr:blipFill>
        <a:blip xmlns:r="http://schemas.openxmlformats.org/officeDocument/2006/relationships" r:embed="rId8"/>
        <a:stretch>
          <a:fillRect/>
        </a:stretch>
      </xdr:blipFill>
      <xdr:spPr>
        <a:xfrm>
          <a:off x="3667126" y="18183225"/>
          <a:ext cx="3581400" cy="4819650"/>
        </a:xfrm>
        <a:prstGeom prst="rect">
          <a:avLst/>
        </a:prstGeom>
      </xdr:spPr>
    </xdr:pic>
    <xdr:clientData/>
  </xdr:twoCellAnchor>
  <xdr:twoCellAnchor editAs="oneCell">
    <xdr:from>
      <xdr:col>0</xdr:col>
      <xdr:colOff>0</xdr:colOff>
      <xdr:row>141</xdr:row>
      <xdr:rowOff>0</xdr:rowOff>
    </xdr:from>
    <xdr:to>
      <xdr:col>3</xdr:col>
      <xdr:colOff>714375</xdr:colOff>
      <xdr:row>171</xdr:row>
      <xdr:rowOff>9525</xdr:rowOff>
    </xdr:to>
    <xdr:pic>
      <xdr:nvPicPr>
        <xdr:cNvPr id="12" name="Imagen 11"/>
        <xdr:cNvPicPr/>
      </xdr:nvPicPr>
      <xdr:blipFill>
        <a:blip xmlns:r="http://schemas.openxmlformats.org/officeDocument/2006/relationships" r:embed="rId9"/>
        <a:stretch>
          <a:fillRect/>
        </a:stretch>
      </xdr:blipFill>
      <xdr:spPr>
        <a:xfrm>
          <a:off x="0" y="23193375"/>
          <a:ext cx="3657600" cy="4867275"/>
        </a:xfrm>
        <a:prstGeom prst="rect">
          <a:avLst/>
        </a:prstGeom>
      </xdr:spPr>
    </xdr:pic>
    <xdr:clientData/>
  </xdr:twoCellAnchor>
  <xdr:twoCellAnchor editAs="oneCell">
    <xdr:from>
      <xdr:col>3</xdr:col>
      <xdr:colOff>781050</xdr:colOff>
      <xdr:row>140</xdr:row>
      <xdr:rowOff>142875</xdr:rowOff>
    </xdr:from>
    <xdr:to>
      <xdr:col>6</xdr:col>
      <xdr:colOff>1047750</xdr:colOff>
      <xdr:row>170</xdr:row>
      <xdr:rowOff>133350</xdr:rowOff>
    </xdr:to>
    <xdr:pic>
      <xdr:nvPicPr>
        <xdr:cNvPr id="13" name="Imagen 12"/>
        <xdr:cNvPicPr>
          <a:picLocks noChangeAspect="1"/>
        </xdr:cNvPicPr>
      </xdr:nvPicPr>
      <xdr:blipFill>
        <a:blip xmlns:r="http://schemas.openxmlformats.org/officeDocument/2006/relationships" r:embed="rId10"/>
        <a:stretch>
          <a:fillRect/>
        </a:stretch>
      </xdr:blipFill>
      <xdr:spPr>
        <a:xfrm>
          <a:off x="3726473" y="23068817"/>
          <a:ext cx="3483219" cy="4826245"/>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xdr:from>
      <xdr:col>3</xdr:col>
      <xdr:colOff>723900</xdr:colOff>
      <xdr:row>10</xdr:row>
      <xdr:rowOff>0</xdr:rowOff>
    </xdr:from>
    <xdr:to>
      <xdr:col>5</xdr:col>
      <xdr:colOff>295275</xdr:colOff>
      <xdr:row>10</xdr:row>
      <xdr:rowOff>0</xdr:rowOff>
    </xdr:to>
    <xdr:sp macro="" textlink="">
      <xdr:nvSpPr>
        <xdr:cNvPr id="29647951" name="Line 2">
          <a:extLst>
            <a:ext uri="{FF2B5EF4-FFF2-40B4-BE49-F238E27FC236}">
              <a16:creationId xmlns:a16="http://schemas.microsoft.com/office/drawing/2014/main" id="{00000000-0008-0000-2F00-00004F64C401}"/>
            </a:ext>
          </a:extLst>
        </xdr:cNvPr>
        <xdr:cNvSpPr>
          <a:spLocks noChangeShapeType="1"/>
        </xdr:cNvSpPr>
      </xdr:nvSpPr>
      <xdr:spPr bwMode="auto">
        <a:xfrm>
          <a:off x="2581275" y="2047875"/>
          <a:ext cx="2152650" cy="0"/>
        </a:xfrm>
        <a:prstGeom prst="line">
          <a:avLst/>
        </a:prstGeom>
        <a:noFill/>
        <a:ln w="12700">
          <a:solidFill>
            <a:srgbClr val="000000"/>
          </a:solidFill>
          <a:round/>
          <a:headEnd/>
          <a:tailEnd/>
        </a:ln>
        <a:extLst>
          <a:ext uri="{909E8E84-426E-40DD-AFC4-6F175D3DCCD1}">
            <a14:hiddenFill xmlns:a14="http://schemas.microsoft.com/office/drawing/2010/main">
              <a:noFill/>
            </a14:hiddenFill>
          </a:ext>
        </a:extLst>
      </xdr:spPr>
    </xdr:sp>
    <xdr:clientData/>
  </xdr:twoCellAnchor>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2</xdr:col>
          <xdr:colOff>38100</xdr:colOff>
          <xdr:row>3</xdr:row>
          <xdr:rowOff>114300</xdr:rowOff>
        </xdr:to>
        <xdr:sp macro="" textlink="">
          <xdr:nvSpPr>
            <xdr:cNvPr id="13313" name="Imagen 1" hidden="1">
              <a:extLst>
                <a:ext uri="{63B3BB69-23CF-44E3-9099-C40C66FF867C}">
                  <a14:compatExt spid="_x0000_s13313"/>
                </a:ext>
                <a:ext uri="{FF2B5EF4-FFF2-40B4-BE49-F238E27FC236}">
                  <a16:creationId xmlns:a16="http://schemas.microsoft.com/office/drawing/2014/main" id="{00000000-0008-0000-2F00-0000013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1">
                  <a:solidFill>
                    <a:srgbClr val="000000" mc:Ignorable="a14" a14:legacySpreadsheetColorIndex="64"/>
                  </a:solidFill>
                  <a:miter lim="800000"/>
                  <a:headEnd/>
                  <a:tailEnd/>
                </a14:hiddenLine>
              </a:ext>
            </a:extLst>
          </xdr:spPr>
        </xdr:sp>
        <xdr:clientData/>
      </xdr:twoCellAnchor>
    </mc:Choice>
    <mc:Fallback/>
  </mc:AlternateContent>
</xdr:wsDr>
</file>

<file path=xl/drawings/drawing30.xml><?xml version="1.0" encoding="utf-8"?>
<xdr:wsDr xmlns:xdr="http://schemas.openxmlformats.org/drawingml/2006/spreadsheetDrawing" xmlns:a="http://schemas.openxmlformats.org/drawingml/2006/main">
  <xdr:twoCellAnchor editAs="oneCell">
    <xdr:from>
      <xdr:col>11</xdr:col>
      <xdr:colOff>0</xdr:colOff>
      <xdr:row>49</xdr:row>
      <xdr:rowOff>0</xdr:rowOff>
    </xdr:from>
    <xdr:to>
      <xdr:col>11</xdr:col>
      <xdr:colOff>304800</xdr:colOff>
      <xdr:row>50</xdr:row>
      <xdr:rowOff>144556</xdr:rowOff>
    </xdr:to>
    <xdr:sp macro="" textlink="">
      <xdr:nvSpPr>
        <xdr:cNvPr id="15564131" name="AutoShape 2403" descr="blob:https://web.whatsapp.com/b778bcd8-26c0-4891-8b6c-f1e5b3e3deb2">
          <a:extLst>
            <a:ext uri="{FF2B5EF4-FFF2-40B4-BE49-F238E27FC236}">
              <a16:creationId xmlns:a16="http://schemas.microsoft.com/office/drawing/2014/main" id="{00000000-0008-0000-3000-0000637DED00}"/>
            </a:ext>
          </a:extLst>
        </xdr:cNvPr>
        <xdr:cNvSpPr>
          <a:spLocks noChangeAspect="1" noChangeArrowheads="1"/>
        </xdr:cNvSpPr>
      </xdr:nvSpPr>
      <xdr:spPr bwMode="auto">
        <a:xfrm>
          <a:off x="8839200" y="928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3</xdr:col>
      <xdr:colOff>328605</xdr:colOff>
      <xdr:row>10</xdr:row>
      <xdr:rowOff>7940</xdr:rowOff>
    </xdr:from>
    <xdr:ext cx="3806834" cy="142873"/>
    <xdr:grpSp>
      <xdr:nvGrpSpPr>
        <xdr:cNvPr id="39" name="Shape 2">
          <a:extLst>
            <a:ext uri="{FF2B5EF4-FFF2-40B4-BE49-F238E27FC236}">
              <a16:creationId xmlns:a16="http://schemas.microsoft.com/office/drawing/2014/main" id="{00000000-0008-0000-3000-000027000000}"/>
            </a:ext>
          </a:extLst>
        </xdr:cNvPr>
        <xdr:cNvGrpSpPr/>
      </xdr:nvGrpSpPr>
      <xdr:grpSpPr>
        <a:xfrm>
          <a:off x="2052630" y="2055815"/>
          <a:ext cx="3806834" cy="142873"/>
          <a:chOff x="4269675" y="3780000"/>
          <a:chExt cx="2152650" cy="0"/>
        </a:xfrm>
      </xdr:grpSpPr>
      <xdr:cxnSp macro="">
        <xdr:nvCxnSpPr>
          <xdr:cNvPr id="40" name="Shape 73">
            <a:extLst>
              <a:ext uri="{FF2B5EF4-FFF2-40B4-BE49-F238E27FC236}">
                <a16:creationId xmlns:a16="http://schemas.microsoft.com/office/drawing/2014/main" id="{00000000-0008-0000-3000-000028000000}"/>
              </a:ext>
            </a:extLst>
          </xdr:cNvPr>
          <xdr:cNvCxnSpPr/>
        </xdr:nvCxnSpPr>
        <xdr:spPr>
          <a:xfrm>
            <a:off x="4269675" y="3780000"/>
            <a:ext cx="2152650" cy="0"/>
          </a:xfrm>
          <a:prstGeom prst="straightConnector1">
            <a:avLst/>
          </a:prstGeom>
          <a:noFill/>
          <a:ln w="12700" cap="flat" cmpd="sng">
            <a:solidFill>
              <a:srgbClr val="000000"/>
            </a:solidFill>
            <a:prstDash val="solid"/>
            <a:miter lim="800000"/>
            <a:headEnd type="none" w="med" len="med"/>
            <a:tailEnd type="none" w="med" len="med"/>
          </a:ln>
        </xdr:spPr>
      </xdr:cxnSp>
    </xdr:grpSp>
    <xdr:clientData fLocksWithSheet="0"/>
  </xdr:oneCellAnchor>
  <xdr:oneCellAnchor>
    <xdr:from>
      <xdr:col>10</xdr:col>
      <xdr:colOff>15003</xdr:colOff>
      <xdr:row>9</xdr:row>
      <xdr:rowOff>153457</xdr:rowOff>
    </xdr:from>
    <xdr:ext cx="4133663" cy="142875"/>
    <xdr:grpSp>
      <xdr:nvGrpSpPr>
        <xdr:cNvPr id="41" name="Shape 2">
          <a:extLst>
            <a:ext uri="{FF2B5EF4-FFF2-40B4-BE49-F238E27FC236}">
              <a16:creationId xmlns:a16="http://schemas.microsoft.com/office/drawing/2014/main" id="{00000000-0008-0000-3000-000029000000}"/>
            </a:ext>
          </a:extLst>
        </xdr:cNvPr>
        <xdr:cNvGrpSpPr/>
      </xdr:nvGrpSpPr>
      <xdr:grpSpPr>
        <a:xfrm>
          <a:off x="8406528" y="2039407"/>
          <a:ext cx="4133663" cy="142875"/>
          <a:chOff x="4441125" y="3780000"/>
          <a:chExt cx="1809750" cy="0"/>
        </a:xfrm>
      </xdr:grpSpPr>
      <xdr:cxnSp macro="">
        <xdr:nvCxnSpPr>
          <xdr:cNvPr id="42" name="Shape 74">
            <a:extLst>
              <a:ext uri="{FF2B5EF4-FFF2-40B4-BE49-F238E27FC236}">
                <a16:creationId xmlns:a16="http://schemas.microsoft.com/office/drawing/2014/main" id="{00000000-0008-0000-3000-00002A000000}"/>
              </a:ext>
            </a:extLst>
          </xdr:cNvPr>
          <xdr:cNvCxnSpPr/>
        </xdr:nvCxnSpPr>
        <xdr:spPr>
          <a:xfrm>
            <a:off x="4441125" y="3780000"/>
            <a:ext cx="1809750" cy="0"/>
          </a:xfrm>
          <a:prstGeom prst="straightConnector1">
            <a:avLst/>
          </a:prstGeom>
          <a:noFill/>
          <a:ln w="12700" cap="flat" cmpd="sng">
            <a:solidFill>
              <a:srgbClr val="000000"/>
            </a:solidFill>
            <a:prstDash val="solid"/>
            <a:miter lim="800000"/>
            <a:headEnd type="none" w="med" len="med"/>
            <a:tailEnd type="none" w="med" len="med"/>
          </a:ln>
        </xdr:spPr>
      </xdr:cxnSp>
    </xdr:grpSp>
    <xdr:clientData fLocksWithSheet="0"/>
  </xdr:oneCellAnchor>
  <xdr:oneCellAnchor>
    <xdr:from>
      <xdr:col>0</xdr:col>
      <xdr:colOff>0</xdr:colOff>
      <xdr:row>0</xdr:row>
      <xdr:rowOff>0</xdr:rowOff>
    </xdr:from>
    <xdr:ext cx="1028700" cy="933450"/>
    <xdr:pic>
      <xdr:nvPicPr>
        <xdr:cNvPr id="43" name="image48.png">
          <a:extLst>
            <a:ext uri="{FF2B5EF4-FFF2-40B4-BE49-F238E27FC236}">
              <a16:creationId xmlns:a16="http://schemas.microsoft.com/office/drawing/2014/main" id="{00000000-0008-0000-3000-00002B000000}"/>
            </a:ext>
          </a:extLst>
        </xdr:cNvPr>
        <xdr:cNvPicPr preferRelativeResize="0"/>
      </xdr:nvPicPr>
      <xdr:blipFill>
        <a:blip xmlns:r="http://schemas.openxmlformats.org/officeDocument/2006/relationships" r:embed="rId1" cstate="print"/>
        <a:stretch>
          <a:fillRect/>
        </a:stretch>
      </xdr:blipFill>
      <xdr:spPr>
        <a:xfrm>
          <a:off x="0" y="0"/>
          <a:ext cx="1028700" cy="933450"/>
        </a:xfrm>
        <a:prstGeom prst="rect">
          <a:avLst/>
        </a:prstGeom>
        <a:noFill/>
      </xdr:spPr>
    </xdr:pic>
    <xdr:clientData fLocksWithSheet="0"/>
  </xdr:oneCellAnchor>
  <xdr:oneCellAnchor>
    <xdr:from>
      <xdr:col>7</xdr:col>
      <xdr:colOff>0</xdr:colOff>
      <xdr:row>0</xdr:row>
      <xdr:rowOff>0</xdr:rowOff>
    </xdr:from>
    <xdr:ext cx="1133475" cy="933450"/>
    <xdr:pic>
      <xdr:nvPicPr>
        <xdr:cNvPr id="44" name="image54.png">
          <a:extLst>
            <a:ext uri="{FF2B5EF4-FFF2-40B4-BE49-F238E27FC236}">
              <a16:creationId xmlns:a16="http://schemas.microsoft.com/office/drawing/2014/main" id="{00000000-0008-0000-3000-00002C000000}"/>
            </a:ext>
          </a:extLst>
        </xdr:cNvPr>
        <xdr:cNvPicPr preferRelativeResize="0"/>
      </xdr:nvPicPr>
      <xdr:blipFill>
        <a:blip xmlns:r="http://schemas.openxmlformats.org/officeDocument/2006/relationships" r:embed="rId2" cstate="print"/>
        <a:stretch>
          <a:fillRect/>
        </a:stretch>
      </xdr:blipFill>
      <xdr:spPr>
        <a:xfrm>
          <a:off x="6391275" y="0"/>
          <a:ext cx="1133475" cy="933450"/>
        </a:xfrm>
        <a:prstGeom prst="rect">
          <a:avLst/>
        </a:prstGeom>
        <a:noFill/>
      </xdr:spPr>
    </xdr:pic>
    <xdr:clientData fLocksWithSheet="0"/>
  </xdr:oneCellAnchor>
  <xdr:oneCellAnchor>
    <xdr:from>
      <xdr:col>16</xdr:col>
      <xdr:colOff>114476</xdr:colOff>
      <xdr:row>9</xdr:row>
      <xdr:rowOff>157695</xdr:rowOff>
    </xdr:from>
    <xdr:ext cx="4133663" cy="142875"/>
    <xdr:grpSp>
      <xdr:nvGrpSpPr>
        <xdr:cNvPr id="29" name="Shape 2">
          <a:extLst>
            <a:ext uri="{FF2B5EF4-FFF2-40B4-BE49-F238E27FC236}">
              <a16:creationId xmlns:a16="http://schemas.microsoft.com/office/drawing/2014/main" id="{00000000-0008-0000-3000-00001D000000}"/>
            </a:ext>
          </a:extLst>
        </xdr:cNvPr>
        <xdr:cNvGrpSpPr/>
      </xdr:nvGrpSpPr>
      <xdr:grpSpPr>
        <a:xfrm>
          <a:off x="14802026" y="2043645"/>
          <a:ext cx="4133663" cy="142875"/>
          <a:chOff x="4441125" y="3780000"/>
          <a:chExt cx="1809750" cy="0"/>
        </a:xfrm>
      </xdr:grpSpPr>
      <xdr:cxnSp macro="">
        <xdr:nvCxnSpPr>
          <xdr:cNvPr id="30" name="Shape 74">
            <a:extLst>
              <a:ext uri="{FF2B5EF4-FFF2-40B4-BE49-F238E27FC236}">
                <a16:creationId xmlns:a16="http://schemas.microsoft.com/office/drawing/2014/main" id="{00000000-0008-0000-3000-00001E000000}"/>
              </a:ext>
            </a:extLst>
          </xdr:cNvPr>
          <xdr:cNvCxnSpPr/>
        </xdr:nvCxnSpPr>
        <xdr:spPr>
          <a:xfrm>
            <a:off x="4441125" y="3780000"/>
            <a:ext cx="1809750" cy="0"/>
          </a:xfrm>
          <a:prstGeom prst="straightConnector1">
            <a:avLst/>
          </a:prstGeom>
          <a:noFill/>
          <a:ln w="12700" cap="flat" cmpd="sng">
            <a:solidFill>
              <a:srgbClr val="000000"/>
            </a:solidFill>
            <a:prstDash val="solid"/>
            <a:miter lim="800000"/>
            <a:headEnd type="none" w="med" len="med"/>
            <a:tailEnd type="none" w="med" len="med"/>
          </a:ln>
        </xdr:spPr>
      </xdr:cxnSp>
    </xdr:grpSp>
    <xdr:clientData fLocksWithSheet="0"/>
  </xdr:oneCellAnchor>
  <xdr:twoCellAnchor editAs="oneCell">
    <xdr:from>
      <xdr:col>0</xdr:col>
      <xdr:colOff>247650</xdr:colOff>
      <xdr:row>42</xdr:row>
      <xdr:rowOff>95251</xdr:rowOff>
    </xdr:from>
    <xdr:to>
      <xdr:col>6</xdr:col>
      <xdr:colOff>466725</xdr:colOff>
      <xdr:row>60</xdr:row>
      <xdr:rowOff>152400</xdr:rowOff>
    </xdr:to>
    <xdr:pic>
      <xdr:nvPicPr>
        <xdr:cNvPr id="2" name="Imagen 1"/>
        <xdr:cNvPicPr>
          <a:picLocks noChangeAspect="1"/>
        </xdr:cNvPicPr>
      </xdr:nvPicPr>
      <xdr:blipFill>
        <a:blip xmlns:r="http://schemas.openxmlformats.org/officeDocument/2006/relationships" r:embed="rId3"/>
        <a:stretch>
          <a:fillRect/>
        </a:stretch>
      </xdr:blipFill>
      <xdr:spPr>
        <a:xfrm>
          <a:off x="247650" y="9324976"/>
          <a:ext cx="5553075" cy="2971799"/>
        </a:xfrm>
        <a:prstGeom prst="rect">
          <a:avLst/>
        </a:prstGeom>
      </xdr:spPr>
    </xdr:pic>
    <xdr:clientData/>
  </xdr:twoCellAnchor>
  <xdr:twoCellAnchor editAs="oneCell">
    <xdr:from>
      <xdr:col>0</xdr:col>
      <xdr:colOff>266700</xdr:colOff>
      <xdr:row>61</xdr:row>
      <xdr:rowOff>123826</xdr:rowOff>
    </xdr:from>
    <xdr:to>
      <xdr:col>6</xdr:col>
      <xdr:colOff>485775</xdr:colOff>
      <xdr:row>78</xdr:row>
      <xdr:rowOff>76201</xdr:rowOff>
    </xdr:to>
    <xdr:pic>
      <xdr:nvPicPr>
        <xdr:cNvPr id="14" name="Imagen 13"/>
        <xdr:cNvPicPr>
          <a:picLocks noChangeAspect="1"/>
        </xdr:cNvPicPr>
      </xdr:nvPicPr>
      <xdr:blipFill>
        <a:blip xmlns:r="http://schemas.openxmlformats.org/officeDocument/2006/relationships" r:embed="rId4"/>
        <a:stretch>
          <a:fillRect/>
        </a:stretch>
      </xdr:blipFill>
      <xdr:spPr>
        <a:xfrm>
          <a:off x="266700" y="12430126"/>
          <a:ext cx="5553075" cy="2705100"/>
        </a:xfrm>
        <a:prstGeom prst="rect">
          <a:avLst/>
        </a:prstGeom>
      </xdr:spPr>
    </xdr:pic>
    <xdr:clientData/>
  </xdr:twoCellAnchor>
  <xdr:twoCellAnchor editAs="oneCell">
    <xdr:from>
      <xdr:col>0</xdr:col>
      <xdr:colOff>133349</xdr:colOff>
      <xdr:row>79</xdr:row>
      <xdr:rowOff>104775</xdr:rowOff>
    </xdr:from>
    <xdr:to>
      <xdr:col>6</xdr:col>
      <xdr:colOff>638174</xdr:colOff>
      <xdr:row>113</xdr:row>
      <xdr:rowOff>0</xdr:rowOff>
    </xdr:to>
    <xdr:pic>
      <xdr:nvPicPr>
        <xdr:cNvPr id="15" name="Imagen 14"/>
        <xdr:cNvPicPr>
          <a:picLocks noChangeAspect="1"/>
        </xdr:cNvPicPr>
      </xdr:nvPicPr>
      <xdr:blipFill>
        <a:blip xmlns:r="http://schemas.openxmlformats.org/officeDocument/2006/relationships" r:embed="rId5"/>
        <a:stretch>
          <a:fillRect/>
        </a:stretch>
      </xdr:blipFill>
      <xdr:spPr>
        <a:xfrm>
          <a:off x="133349" y="15335250"/>
          <a:ext cx="5838825" cy="5400675"/>
        </a:xfrm>
        <a:prstGeom prst="rect">
          <a:avLst/>
        </a:prstGeom>
      </xdr:spPr>
    </xdr:pic>
    <xdr:clientData/>
  </xdr:twoCellAnchor>
  <xdr:twoCellAnchor editAs="oneCell">
    <xdr:from>
      <xdr:col>0</xdr:col>
      <xdr:colOff>133350</xdr:colOff>
      <xdr:row>114</xdr:row>
      <xdr:rowOff>114301</xdr:rowOff>
    </xdr:from>
    <xdr:to>
      <xdr:col>6</xdr:col>
      <xdr:colOff>552450</xdr:colOff>
      <xdr:row>145</xdr:row>
      <xdr:rowOff>142876</xdr:rowOff>
    </xdr:to>
    <xdr:pic>
      <xdr:nvPicPr>
        <xdr:cNvPr id="16" name="Imagen 15"/>
        <xdr:cNvPicPr>
          <a:picLocks noChangeAspect="1"/>
        </xdr:cNvPicPr>
      </xdr:nvPicPr>
      <xdr:blipFill>
        <a:blip xmlns:r="http://schemas.openxmlformats.org/officeDocument/2006/relationships" r:embed="rId6"/>
        <a:stretch>
          <a:fillRect/>
        </a:stretch>
      </xdr:blipFill>
      <xdr:spPr>
        <a:xfrm>
          <a:off x="133350" y="21012151"/>
          <a:ext cx="5753100" cy="5048250"/>
        </a:xfrm>
        <a:prstGeom prst="rect">
          <a:avLst/>
        </a:prstGeom>
      </xdr:spPr>
    </xdr:pic>
    <xdr:clientData/>
  </xdr:twoCellAnchor>
  <xdr:twoCellAnchor editAs="oneCell">
    <xdr:from>
      <xdr:col>7</xdr:col>
      <xdr:colOff>104776</xdr:colOff>
      <xdr:row>42</xdr:row>
      <xdr:rowOff>85725</xdr:rowOff>
    </xdr:from>
    <xdr:to>
      <xdr:col>11</xdr:col>
      <xdr:colOff>371474</xdr:colOff>
      <xdr:row>60</xdr:row>
      <xdr:rowOff>57150</xdr:rowOff>
    </xdr:to>
    <xdr:pic>
      <xdr:nvPicPr>
        <xdr:cNvPr id="20" name="Imagen 19"/>
        <xdr:cNvPicPr>
          <a:picLocks noChangeAspect="1"/>
        </xdr:cNvPicPr>
      </xdr:nvPicPr>
      <xdr:blipFill>
        <a:blip xmlns:r="http://schemas.openxmlformats.org/officeDocument/2006/relationships" r:embed="rId7"/>
        <a:stretch>
          <a:fillRect/>
        </a:stretch>
      </xdr:blipFill>
      <xdr:spPr>
        <a:xfrm>
          <a:off x="6257926" y="8667750"/>
          <a:ext cx="3171823" cy="2886075"/>
        </a:xfrm>
        <a:prstGeom prst="rect">
          <a:avLst/>
        </a:prstGeom>
      </xdr:spPr>
    </xdr:pic>
    <xdr:clientData/>
  </xdr:twoCellAnchor>
  <xdr:twoCellAnchor editAs="oneCell">
    <xdr:from>
      <xdr:col>11</xdr:col>
      <xdr:colOff>533400</xdr:colOff>
      <xdr:row>42</xdr:row>
      <xdr:rowOff>85725</xdr:rowOff>
    </xdr:from>
    <xdr:to>
      <xdr:col>13</xdr:col>
      <xdr:colOff>571500</xdr:colOff>
      <xdr:row>60</xdr:row>
      <xdr:rowOff>152027</xdr:rowOff>
    </xdr:to>
    <xdr:pic>
      <xdr:nvPicPr>
        <xdr:cNvPr id="21" name="Imagen 20"/>
        <xdr:cNvPicPr>
          <a:picLocks noChangeAspect="1"/>
        </xdr:cNvPicPr>
      </xdr:nvPicPr>
      <xdr:blipFill>
        <a:blip xmlns:r="http://schemas.openxmlformats.org/officeDocument/2006/relationships" r:embed="rId8"/>
        <a:stretch>
          <a:fillRect/>
        </a:stretch>
      </xdr:blipFill>
      <xdr:spPr>
        <a:xfrm>
          <a:off x="9591675" y="8667750"/>
          <a:ext cx="3105150" cy="2980952"/>
        </a:xfrm>
        <a:prstGeom prst="rect">
          <a:avLst/>
        </a:prstGeom>
      </xdr:spPr>
    </xdr:pic>
    <xdr:clientData/>
  </xdr:twoCellAnchor>
  <xdr:twoCellAnchor editAs="oneCell">
    <xdr:from>
      <xdr:col>7</xdr:col>
      <xdr:colOff>85725</xdr:colOff>
      <xdr:row>61</xdr:row>
      <xdr:rowOff>47625</xdr:rowOff>
    </xdr:from>
    <xdr:to>
      <xdr:col>11</xdr:col>
      <xdr:colOff>371475</xdr:colOff>
      <xdr:row>78</xdr:row>
      <xdr:rowOff>66675</xdr:rowOff>
    </xdr:to>
    <xdr:pic>
      <xdr:nvPicPr>
        <xdr:cNvPr id="23" name="Imagen 22"/>
        <xdr:cNvPicPr>
          <a:picLocks noChangeAspect="1"/>
        </xdr:cNvPicPr>
      </xdr:nvPicPr>
      <xdr:blipFill>
        <a:blip xmlns:r="http://schemas.openxmlformats.org/officeDocument/2006/relationships" r:embed="rId9"/>
        <a:stretch>
          <a:fillRect/>
        </a:stretch>
      </xdr:blipFill>
      <xdr:spPr>
        <a:xfrm>
          <a:off x="6238875" y="11706225"/>
          <a:ext cx="3190875" cy="2771775"/>
        </a:xfrm>
        <a:prstGeom prst="rect">
          <a:avLst/>
        </a:prstGeom>
      </xdr:spPr>
    </xdr:pic>
    <xdr:clientData/>
  </xdr:twoCellAnchor>
  <xdr:twoCellAnchor editAs="oneCell">
    <xdr:from>
      <xdr:col>11</xdr:col>
      <xdr:colOff>542925</xdr:colOff>
      <xdr:row>61</xdr:row>
      <xdr:rowOff>57150</xdr:rowOff>
    </xdr:from>
    <xdr:to>
      <xdr:col>13</xdr:col>
      <xdr:colOff>561975</xdr:colOff>
      <xdr:row>78</xdr:row>
      <xdr:rowOff>57150</xdr:rowOff>
    </xdr:to>
    <xdr:pic>
      <xdr:nvPicPr>
        <xdr:cNvPr id="27" name="Imagen 26"/>
        <xdr:cNvPicPr>
          <a:picLocks noChangeAspect="1"/>
        </xdr:cNvPicPr>
      </xdr:nvPicPr>
      <xdr:blipFill>
        <a:blip xmlns:r="http://schemas.openxmlformats.org/officeDocument/2006/relationships" r:embed="rId10"/>
        <a:stretch>
          <a:fillRect/>
        </a:stretch>
      </xdr:blipFill>
      <xdr:spPr>
        <a:xfrm>
          <a:off x="9601200" y="11715750"/>
          <a:ext cx="3086100" cy="2752725"/>
        </a:xfrm>
        <a:prstGeom prst="rect">
          <a:avLst/>
        </a:prstGeom>
      </xdr:spPr>
    </xdr:pic>
    <xdr:clientData/>
  </xdr:twoCellAnchor>
  <xdr:twoCellAnchor editAs="oneCell">
    <xdr:from>
      <xdr:col>7</xdr:col>
      <xdr:colOff>152400</xdr:colOff>
      <xdr:row>79</xdr:row>
      <xdr:rowOff>142876</xdr:rowOff>
    </xdr:from>
    <xdr:to>
      <xdr:col>13</xdr:col>
      <xdr:colOff>504825</xdr:colOff>
      <xdr:row>112</xdr:row>
      <xdr:rowOff>152401</xdr:rowOff>
    </xdr:to>
    <xdr:pic>
      <xdr:nvPicPr>
        <xdr:cNvPr id="28" name="Imagen 27"/>
        <xdr:cNvPicPr>
          <a:picLocks noChangeAspect="1"/>
        </xdr:cNvPicPr>
      </xdr:nvPicPr>
      <xdr:blipFill>
        <a:blip xmlns:r="http://schemas.openxmlformats.org/officeDocument/2006/relationships" r:embed="rId11"/>
        <a:stretch>
          <a:fillRect/>
        </a:stretch>
      </xdr:blipFill>
      <xdr:spPr>
        <a:xfrm>
          <a:off x="6305550" y="14725651"/>
          <a:ext cx="6324600" cy="5353050"/>
        </a:xfrm>
        <a:prstGeom prst="rect">
          <a:avLst/>
        </a:prstGeom>
      </xdr:spPr>
    </xdr:pic>
    <xdr:clientData/>
  </xdr:twoCellAnchor>
  <xdr:twoCellAnchor editAs="oneCell">
    <xdr:from>
      <xdr:col>7</xdr:col>
      <xdr:colOff>142875</xdr:colOff>
      <xdr:row>115</xdr:row>
      <xdr:rowOff>0</xdr:rowOff>
    </xdr:from>
    <xdr:to>
      <xdr:col>13</xdr:col>
      <xdr:colOff>514350</xdr:colOff>
      <xdr:row>146</xdr:row>
      <xdr:rowOff>142875</xdr:rowOff>
    </xdr:to>
    <xdr:pic>
      <xdr:nvPicPr>
        <xdr:cNvPr id="31" name="Imagen 30"/>
        <xdr:cNvPicPr>
          <a:picLocks noChangeAspect="1"/>
        </xdr:cNvPicPr>
      </xdr:nvPicPr>
      <xdr:blipFill>
        <a:blip xmlns:r="http://schemas.openxmlformats.org/officeDocument/2006/relationships" r:embed="rId12"/>
        <a:stretch>
          <a:fillRect/>
        </a:stretch>
      </xdr:blipFill>
      <xdr:spPr>
        <a:xfrm>
          <a:off x="6296025" y="20412075"/>
          <a:ext cx="6343650" cy="5162550"/>
        </a:xfrm>
        <a:prstGeom prst="rect">
          <a:avLst/>
        </a:prstGeom>
      </xdr:spPr>
    </xdr:pic>
    <xdr:clientData/>
  </xdr:twoCellAnchor>
  <xdr:twoCellAnchor editAs="oneCell">
    <xdr:from>
      <xdr:col>14</xdr:col>
      <xdr:colOff>133350</xdr:colOff>
      <xdr:row>42</xdr:row>
      <xdr:rowOff>87919</xdr:rowOff>
    </xdr:from>
    <xdr:to>
      <xdr:col>17</xdr:col>
      <xdr:colOff>438399</xdr:colOff>
      <xdr:row>60</xdr:row>
      <xdr:rowOff>152400</xdr:rowOff>
    </xdr:to>
    <xdr:pic>
      <xdr:nvPicPr>
        <xdr:cNvPr id="45" name="Imagen 44"/>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2925425" y="7860319"/>
          <a:ext cx="3248274" cy="2979131"/>
        </a:xfrm>
        <a:prstGeom prst="rect">
          <a:avLst/>
        </a:prstGeom>
      </xdr:spPr>
    </xdr:pic>
    <xdr:clientData/>
  </xdr:twoCellAnchor>
  <xdr:twoCellAnchor editAs="oneCell">
    <xdr:from>
      <xdr:col>17</xdr:col>
      <xdr:colOff>561975</xdr:colOff>
      <xdr:row>42</xdr:row>
      <xdr:rowOff>99825</xdr:rowOff>
    </xdr:from>
    <xdr:to>
      <xdr:col>20</xdr:col>
      <xdr:colOff>895350</xdr:colOff>
      <xdr:row>60</xdr:row>
      <xdr:rowOff>142874</xdr:rowOff>
    </xdr:to>
    <xdr:pic>
      <xdr:nvPicPr>
        <xdr:cNvPr id="46" name="Imagen 45"/>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6297275" y="7872225"/>
          <a:ext cx="3429000" cy="2957699"/>
        </a:xfrm>
        <a:prstGeom prst="rect">
          <a:avLst/>
        </a:prstGeom>
      </xdr:spPr>
    </xdr:pic>
    <xdr:clientData/>
  </xdr:twoCellAnchor>
  <xdr:twoCellAnchor editAs="oneCell">
    <xdr:from>
      <xdr:col>14</xdr:col>
      <xdr:colOff>142875</xdr:colOff>
      <xdr:row>61</xdr:row>
      <xdr:rowOff>78394</xdr:rowOff>
    </xdr:from>
    <xdr:to>
      <xdr:col>17</xdr:col>
      <xdr:colOff>438150</xdr:colOff>
      <xdr:row>78</xdr:row>
      <xdr:rowOff>28574</xdr:rowOff>
    </xdr:to>
    <xdr:pic>
      <xdr:nvPicPr>
        <xdr:cNvPr id="47" name="Imagen 46"/>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2934950" y="10927369"/>
          <a:ext cx="3238500" cy="2702905"/>
        </a:xfrm>
        <a:prstGeom prst="rect">
          <a:avLst/>
        </a:prstGeom>
      </xdr:spPr>
    </xdr:pic>
    <xdr:clientData/>
  </xdr:twoCellAnchor>
  <xdr:twoCellAnchor editAs="oneCell">
    <xdr:from>
      <xdr:col>17</xdr:col>
      <xdr:colOff>590549</xdr:colOff>
      <xdr:row>61</xdr:row>
      <xdr:rowOff>78394</xdr:rowOff>
    </xdr:from>
    <xdr:to>
      <xdr:col>20</xdr:col>
      <xdr:colOff>876299</xdr:colOff>
      <xdr:row>78</xdr:row>
      <xdr:rowOff>9524</xdr:rowOff>
    </xdr:to>
    <xdr:pic>
      <xdr:nvPicPr>
        <xdr:cNvPr id="48" name="Imagen 47"/>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6325849" y="10927369"/>
          <a:ext cx="3381375" cy="2683855"/>
        </a:xfrm>
        <a:prstGeom prst="rect">
          <a:avLst/>
        </a:prstGeom>
      </xdr:spPr>
    </xdr:pic>
    <xdr:clientData/>
  </xdr:twoCellAnchor>
  <xdr:twoCellAnchor editAs="oneCell">
    <xdr:from>
      <xdr:col>14</xdr:col>
      <xdr:colOff>171449</xdr:colOff>
      <xdr:row>79</xdr:row>
      <xdr:rowOff>95250</xdr:rowOff>
    </xdr:from>
    <xdr:to>
      <xdr:col>20</xdr:col>
      <xdr:colOff>771524</xdr:colOff>
      <xdr:row>113</xdr:row>
      <xdr:rowOff>28575</xdr:rowOff>
    </xdr:to>
    <xdr:pic>
      <xdr:nvPicPr>
        <xdr:cNvPr id="32" name="Imagen 31"/>
        <xdr:cNvPicPr>
          <a:picLocks noChangeAspect="1"/>
        </xdr:cNvPicPr>
      </xdr:nvPicPr>
      <xdr:blipFill>
        <a:blip xmlns:r="http://schemas.openxmlformats.org/officeDocument/2006/relationships" r:embed="rId17">
          <a:extLst>
            <a:ext uri="{BEBA8EAE-BF5A-486C-A8C5-ECC9F3942E4B}">
              <a14:imgProps xmlns:a14="http://schemas.microsoft.com/office/drawing/2010/main">
                <a14:imgLayer r:embed="rId18">
                  <a14:imgEffect>
                    <a14:saturation sat="300000"/>
                  </a14:imgEffect>
                </a14:imgLayer>
              </a14:imgProps>
            </a:ext>
          </a:extLst>
        </a:blip>
        <a:stretch>
          <a:fillRect/>
        </a:stretch>
      </xdr:blipFill>
      <xdr:spPr>
        <a:xfrm>
          <a:off x="12963524" y="13868400"/>
          <a:ext cx="6638925" cy="5438775"/>
        </a:xfrm>
        <a:prstGeom prst="rect">
          <a:avLst/>
        </a:prstGeom>
      </xdr:spPr>
    </xdr:pic>
    <xdr:clientData/>
  </xdr:twoCellAnchor>
  <xdr:twoCellAnchor editAs="oneCell">
    <xdr:from>
      <xdr:col>14</xdr:col>
      <xdr:colOff>152400</xdr:colOff>
      <xdr:row>114</xdr:row>
      <xdr:rowOff>152400</xdr:rowOff>
    </xdr:from>
    <xdr:to>
      <xdr:col>20</xdr:col>
      <xdr:colOff>781050</xdr:colOff>
      <xdr:row>147</xdr:row>
      <xdr:rowOff>76200</xdr:rowOff>
    </xdr:to>
    <xdr:pic>
      <xdr:nvPicPr>
        <xdr:cNvPr id="33" name="Imagen 32"/>
        <xdr:cNvPicPr>
          <a:picLocks noChangeAspect="1"/>
        </xdr:cNvPicPr>
      </xdr:nvPicPr>
      <xdr:blipFill>
        <a:blip xmlns:r="http://schemas.openxmlformats.org/officeDocument/2006/relationships" r:embed="rId19">
          <a:extLst>
            <a:ext uri="{BEBA8EAE-BF5A-486C-A8C5-ECC9F3942E4B}">
              <a14:imgProps xmlns:a14="http://schemas.microsoft.com/office/drawing/2010/main">
                <a14:imgLayer r:embed="rId20">
                  <a14:imgEffect>
                    <a14:saturation sat="400000"/>
                  </a14:imgEffect>
                </a14:imgLayer>
              </a14:imgProps>
            </a:ext>
          </a:extLst>
        </a:blip>
        <a:stretch>
          <a:fillRect/>
        </a:stretch>
      </xdr:blipFill>
      <xdr:spPr>
        <a:xfrm>
          <a:off x="12944475" y="19592925"/>
          <a:ext cx="6667500" cy="526732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Server\amv%20tolima%20-%204037\INFORMES\INF.%20TECNICO\INF.TECNICO%20No.%202%20JUL-DIC%202014\VIA%2040TL05\Tablas%2040TL05.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Gia_07\consorcio%20interadmivial\Users\jonna\Desktop\JONNATHAN%20ABRIL\INFORME%20TRIMESTRAL\181206%20INF.%20TECNICO%20JUL-%20DIC%202018\4.%20JULIO-%20DICIEMBRE%202018%20CORTE%2030%20NOVI-18\RUTA%2040TL05\Tablas%2040TL05.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Server\amv%20tolima%20-%204037\INFORMES\INF.%20TECNICO\INF.TECNICO%20No.%202%20JUL-DIC%202014\PASO%20ESPINAL\Tablas%20PASO%20ESPINAL.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Server\amv%20tolima%20-%204037\INFORMES\INF.%20TECNICO\INF.TECNICO%20No.%202%20JUL-DIC%202014\PASO%20GUAMO\Tablas%20PASO%20GUAMO.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Andrea\amv%20tolima%20-%204037\Users\Personal\Documents\C.I.%202011\ARCHIVOS%20ADMON%20VIAL%20GRUPO%201\09.%20INF.%20TRIMESTRAL%20OCT-DIC%202013\09.%20INF.%20TRIMESTRAL%20OCT-DIC%202013.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Gia_07\consorcio%20interadmivial\Users\jonna\Desktop\JONNATHAN%20ABRIL\INFORME%20TRIMESTRAL\181206%20INF.%20TECNICO%20JUL-%20DIC%202018\4.%20JULIO-%20DICIEMBRE%202018%20CORTE%2030%20NOVI-18\RUTA%203602\Tablas%203602.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Gia_07\consorcio%20interadmivial\Users\jonna\Desktop\JONNATHAN%20ABRIL\INFORME%20TRIMESTRAL\181206%20INF.%20TECNICO%20JUL-%20DIC%202018\4.%20JULIO-%20DICIEMBRE%202018%20CORTE%2030%20NOVI-18\RUTA%203603\Tablas%203603.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Gia_07\consorcio%20interadmivial\Users\jonna\Desktop\JONNATHAN%20ABRIL\INFORME%20TRIMESTRAL\181206%20INF.%20TECNICO%20JUL-%20DIC%202018\4.%20JULIO-%20DICIEMBRE%202018%20CORTE%2030%20NOVI-18\PNE\Tablas%20PASO%20ESPINAL.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Andrea\amv%20tolima%20-%204037\Documents%20and%20Settings\Usuario\Configuraci&#243;n%20local\Application%20Data\Microsoft\CD%20Burning\INFORME%20TRIMESTRAL%20ENERO-FEBRERO-MARZO-2011\WINDOWS\Temp\Informe%20Trimestral%20ENE-FEB-MAR-04.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Andrea\amv%20tolima%20-%204037\WINDOWS\Temp\Informe%20Trimestral%20ENE-FEB-MAR-04.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Gia_07\consorcio%20interadmivial\Users\CAMILO\Downloads\Modelo%20informe%20TRIMESTRAL%20AMV%20ABRIL-JUNIO%202020-2022%20(2).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ia_07\consorcio%20interadmivial\Users\jonna\Desktop\JONNATHAN%20ABRIL\INFORME%20TRIMESTRAL\actualizaci&#243;n%20APU\APUS%20TOLIMA%20FINAL%202019-0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Calif_Superficie  "/>
      <sheetName val="Drenes - Lateralidades"/>
      <sheetName val="Señalización"/>
      <sheetName val="Calif. Final Pav0-1"/>
      <sheetName val="Calif. Final Pav1-2"/>
      <sheetName val="Calif. Final Pav2-3"/>
      <sheetName val="Calif. Final Pav3-4"/>
      <sheetName val="Estado Resumen"/>
      <sheetName val="Resum_Pav"/>
      <sheetName val=" CR.40-La Tamb (SEMAFORO TEC)"/>
      <sheetName val="Tabl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13">
          <cell r="D13">
            <v>0.996</v>
          </cell>
        </row>
        <row r="14">
          <cell r="D14">
            <v>0.224</v>
          </cell>
        </row>
        <row r="21">
          <cell r="L21">
            <v>0</v>
          </cell>
        </row>
      </sheetData>
      <sheetData sheetId="9" refreshError="1"/>
      <sheetData sheetId="10" refreshError="1"/>
      <sheetData sheetId="11"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Calif_Superficie  "/>
      <sheetName val="Drenes - Lateralidades"/>
      <sheetName val="Señalización"/>
      <sheetName val="Calif. Final Pav0-1"/>
      <sheetName val="Calif. Final Pav1-2"/>
      <sheetName val="Calif. Final Pav2-3"/>
      <sheetName val="Calif. Final Pav3-4"/>
      <sheetName val="Estado Resumen"/>
      <sheetName val="Resum_Pav"/>
      <sheetName val=" CR.40-La Tamb (SEMAFORO TEC)"/>
      <sheetName val="Tabl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14">
          <cell r="F14" t="str">
            <v>Bueno</v>
          </cell>
        </row>
        <row r="21">
          <cell r="C21">
            <v>0</v>
          </cell>
        </row>
      </sheetData>
      <sheetData sheetId="9" refreshError="1"/>
      <sheetData sheetId="10" refreshError="1"/>
      <sheetData sheetId="11"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Calif_Superficie  "/>
      <sheetName val="Drenes - Lateralidades"/>
      <sheetName val="Señalización"/>
      <sheetName val="Calif. Final Pav42+300-43"/>
      <sheetName val="Calif. Final Pav43-44"/>
      <sheetName val="Calif. Final Pav44-45"/>
      <sheetName val="Estado Resumen"/>
      <sheetName val="Resum_Pav"/>
      <sheetName val=" PASO ESPINAL (SEMAFORO TEC)"/>
      <sheetName val="Tabl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20">
          <cell r="G20" t="str">
            <v>Bueno</v>
          </cell>
        </row>
        <row r="21">
          <cell r="G21" t="str">
            <v>Bueno</v>
          </cell>
        </row>
        <row r="28">
          <cell r="J28">
            <v>0</v>
          </cell>
          <cell r="L28">
            <v>0</v>
          </cell>
        </row>
      </sheetData>
      <sheetData sheetId="8" refreshError="1"/>
      <sheetData sheetId="9" refreshError="1"/>
      <sheetData sheetId="1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Calif_Superficie  "/>
      <sheetName val="Drenes - Lateralidades"/>
      <sheetName val="Señalización"/>
      <sheetName val="Calif. Final Pav24-25"/>
      <sheetName val="Calif. Final Pav25-26"/>
      <sheetName val="Calif. Final Pav26-27"/>
      <sheetName val="Calif. Final Pav27-28"/>
      <sheetName val="Estado Resumen"/>
      <sheetName val="Resum_Pav"/>
      <sheetName val="PASO GUAMO (SEMAFORO TEC)"/>
      <sheetName val="Tabl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12">
          <cell r="D12">
            <v>0.99399999999999999</v>
          </cell>
        </row>
        <row r="13">
          <cell r="D13">
            <v>1</v>
          </cell>
        </row>
        <row r="14">
          <cell r="D14">
            <v>1</v>
          </cell>
        </row>
        <row r="22">
          <cell r="L22">
            <v>0</v>
          </cell>
        </row>
      </sheetData>
      <sheetData sheetId="9" refreshError="1"/>
      <sheetData sheetId="10" refreshError="1"/>
      <sheetData sheetId="11"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CARRETERAS"/>
      <sheetName val="TABLA DE CONTENIDO"/>
      <sheetName val="C1. GENERALIDADES "/>
      <sheetName val="C2.1 CUMPLIMIENTO OCT"/>
      <sheetName val="C2.2 CUMPLIMIENTO NOV"/>
      <sheetName val="C2.3 CUMPLIMIENTO DIC"/>
      <sheetName val="ESTADO  RED VIS"/>
      <sheetName val=" CR.40-La Tamb (SEMAFORO VIS)"/>
      <sheetName val=" PASO ESP. (SEMAFORO VIS)"/>
      <sheetName val="PASO GUAMO (SEMAFORO VIS)"/>
      <sheetName val="ORT-GUAMO (SEMAFORO VIS)"/>
      <sheetName val=" CHAP-ORT (SEMAFORO VIS)"/>
      <sheetName val="TORTA EST. VIAS (VIS)"/>
      <sheetName val="40TL05"/>
      <sheetName val="4507-PASO NAL ESPINAL"/>
      <sheetName val="4507-PASO NAL GUAMO"/>
      <sheetName val="3602"/>
      <sheetName val="ESTADO RED TEC"/>
      <sheetName val=" CR.40-La Tamb (SEMAFORO TEC)"/>
      <sheetName val=" PASO ESPINAL (SEMAFORO TEC)"/>
      <sheetName val="PASO GUAMO (SEMAFORO TEC)"/>
      <sheetName val="ORTEGA-GUAMO (SEMAFORO TEC)"/>
      <sheetName val=" CHAP-ORTEGA (SEMAFORO TEC)"/>
      <sheetName val="PNE - TEC"/>
      <sheetName val="PASO GUAMO (SEMAFORO TEC) (2)"/>
      <sheetName val=" CR.40-La Tamb (SEMAFORO TE (2"/>
      <sheetName val=" CHAP-ORTEGA (SEMAFORO TEC) (2"/>
      <sheetName val="ORTEGA-GUAMO (SEMAFORO TEC) (2"/>
      <sheetName val="TORTA EST.VIAS TEC."/>
      <sheetName val=" MAPA EST RED"/>
      <sheetName val="SITIOS CRITICOS"/>
      <sheetName val="MAPA EST RED"/>
      <sheetName val="NECESIDAD VIA"/>
      <sheetName val="NECESIDAD CRITICA"/>
      <sheetName val="CANT. OBRA"/>
      <sheetName val="INF. EMERGENCIAS"/>
      <sheetName val="PUENTES"/>
      <sheetName val="NEC PTE"/>
      <sheetName val="NEC PTES"/>
      <sheetName val="CANT. OBRA  "/>
      <sheetName val="PONTONES"/>
      <sheetName val="NEC. PONTONES"/>
      <sheetName val="CANT. OBRA "/>
      <sheetName val="TUNELES"/>
      <sheetName val="NECESIDADES EN TÚNELES"/>
      <sheetName val="Señal Vertical"/>
      <sheetName val="Señal Horizontal"/>
      <sheetName val="ACCI.OCT"/>
      <sheetName val="ACC. NOV"/>
      <sheetName val="ACC. DIC"/>
      <sheetName val="DEFENSA VIAS"/>
      <sheetName val="SEGUIMIENTO "/>
      <sheetName val="CUANTI AMV"/>
      <sheetName val=" CUALI AMV"/>
      <sheetName val="CUANTI MICRO"/>
      <sheetName val="CUALI MICRO"/>
      <sheetName val="INTERVENTORIA DE CONTRATOS"/>
      <sheetName val="PORTADA RESEÑA FOTOGRAFICA"/>
      <sheetName val="RESEÑA FOTOGRAFICA"/>
      <sheetName val="PORTADA RESEÑA DE PRENSA"/>
      <sheetName val="RESEÑA PRENSA"/>
      <sheetName val="INF. CIERRES VIAS"/>
      <sheetName val="PORTADA COMENTARIOS"/>
      <sheetName val="COMENTARIOS"/>
      <sheetName val="CAPACITACIONES"/>
      <sheetName val="Hoja1"/>
      <sheetName val="Hoja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row r="11">
          <cell r="BV11" t="str">
            <v>PERIODO  EVALUADO:</v>
          </cell>
        </row>
      </sheetData>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Calif_Superficie  "/>
      <sheetName val="Drenes - Lateralidades"/>
      <sheetName val="Señalización"/>
      <sheetName val="Calif. Final Pav1-2"/>
      <sheetName val="Calif. Final Pav2-3"/>
      <sheetName val="Calif. Final Pav3-4"/>
      <sheetName val="Calif. Final Pav4-5"/>
      <sheetName val="Calif. Final Pav5-6"/>
      <sheetName val="Calif. Final Pav6-7"/>
      <sheetName val="Calif. Final Pav7-8"/>
      <sheetName val="Calif. Final Pav 8-9"/>
      <sheetName val="Calif. Final Pav 9-10"/>
      <sheetName val="Calif. Final Pav 10-11"/>
      <sheetName val="Calif. Final Pav 11-12"/>
      <sheetName val="Calif. Final Pav 12-13"/>
      <sheetName val="Calif. Final Pav 13-14"/>
      <sheetName val="Calif. Final Pav 14-15"/>
      <sheetName val="Calif. Final Pav 15-16"/>
      <sheetName val="Calif. Final Pav 16-17"/>
      <sheetName val="Calif. Final Pav 17-18"/>
      <sheetName val="Calif. Final Pav 18-19"/>
      <sheetName val="Calif. Final Pav 19-20"/>
      <sheetName val="Calif. Final Pav 20-21"/>
      <sheetName val="Calif. Final Pav 21-22"/>
      <sheetName val="Calif. Final Pav 22-23"/>
      <sheetName val="Calif. Final Pav 23-24"/>
      <sheetName val="Calif. Final Pav 24-25"/>
      <sheetName val="Calif. Final Pav 25-26"/>
      <sheetName val="Calif. Final Pav 26-27"/>
      <sheetName val="Calif. Final Pav 27-28"/>
      <sheetName val="Calif. Final Pav 28-29"/>
      <sheetName val="Calif. Final Pav 29-30"/>
      <sheetName val="Calif. Final Pav 30-31"/>
      <sheetName val="Calif. Final Pav 31-32"/>
      <sheetName val="Calif. Final Pav 32-33"/>
      <sheetName val="Calif. Final Pav33-34"/>
      <sheetName val="Calif. Final Pav34-35"/>
      <sheetName val="Calif. Final Pav35-36"/>
      <sheetName val="Calif. Final Pav36-37"/>
      <sheetName val="Calif. Final Pav37-38"/>
      <sheetName val="Calif. Final Pav38-39"/>
      <sheetName val="Calif. Final Pav39-40"/>
      <sheetName val="Calif. Final Pav40-41"/>
      <sheetName val="Calif. Final Pav41-42"/>
      <sheetName val="Calif. Final Pav42-43"/>
      <sheetName val="Calif. Final Pav43-44"/>
      <sheetName val="Calif. Final Pav44-45"/>
      <sheetName val="Calif. Final Pav45-46"/>
      <sheetName val="Calif. Final Pav46-47"/>
      <sheetName val="Calif. Final Pav47-47,5"/>
      <sheetName val="Estado Resumen"/>
      <sheetName val="Resum_Pav"/>
      <sheetName val=" CHAP-ORTEGA (SEMAFORO TEC)"/>
      <sheetName val="Tabl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ow r="64">
          <cell r="C64">
            <v>14.302</v>
          </cell>
          <cell r="E64">
            <v>21.784999999999997</v>
          </cell>
          <cell r="G64">
            <v>5.8109999999999999</v>
          </cell>
          <cell r="I64">
            <v>2.8719999999999999</v>
          </cell>
          <cell r="K64">
            <v>0</v>
          </cell>
        </row>
      </sheetData>
      <sheetData sheetId="52" refreshError="1"/>
      <sheetData sheetId="53" refreshError="1"/>
      <sheetData sheetId="54"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Calif_Superficie  "/>
      <sheetName val="Drenes - Lateralidades"/>
      <sheetName val="Señalización"/>
      <sheetName val="Calif. Final Pav0-1"/>
      <sheetName val="Calif. Final Pav1-2"/>
      <sheetName val="Calif. Final Pav2-3"/>
      <sheetName val="Calif. Final Pav3-4"/>
      <sheetName val="Calif. Final Pav4-5"/>
      <sheetName val="Calif. Final Pav5-6"/>
      <sheetName val="Calif. Final Pav6-7"/>
      <sheetName val="Calif. Final Pav7-8"/>
      <sheetName val="Calif. Final Pav 8-9"/>
      <sheetName val="Calif. Final Pav 9-10"/>
      <sheetName val="Calif. Final Pav 10-11"/>
      <sheetName val="Calif. Final Pav 11-12"/>
      <sheetName val="Calif. Final Pav 12-13"/>
      <sheetName val="Calif. Final Pav 13-14"/>
      <sheetName val="Calif. Final Pav 14-15"/>
      <sheetName val="Calif. Final Pav 15-16"/>
      <sheetName val="Calif. Final Pav 16-17"/>
      <sheetName val="Calif. Final Pav 17-18"/>
      <sheetName val="Calif. Final Pav 18-19"/>
      <sheetName val="Calif. Final Pav 19-20"/>
      <sheetName val="Calif. Final Pav 20-21"/>
      <sheetName val="Calif. Final Pav 21-22"/>
      <sheetName val="Calif. Final Pav 22-23"/>
      <sheetName val="Calif. Final Pav 23-24"/>
      <sheetName val="Calif. Final Pav 24-25"/>
      <sheetName val="Calif. Final Pav 25-26"/>
      <sheetName val="Calif. Final Pav 26-27"/>
      <sheetName val="Calif. Final Pav 27-28"/>
      <sheetName val="Calif. Final Pav 28-29"/>
      <sheetName val="Calif. Final Pav 29-30"/>
      <sheetName val="Calif. Final Pav 30-31"/>
      <sheetName val="Calif. Final Pav 31-32"/>
      <sheetName val="Calif. Final Pav 32-33"/>
      <sheetName val="Calif. Final Pav 33-34"/>
      <sheetName val="Calif. Final Pav 34-35"/>
      <sheetName val="Calif. Final Pav 35-36"/>
      <sheetName val="Calif. Final Pav 36-36,2"/>
      <sheetName val="Estado Resumen"/>
      <sheetName val="Resum_Pav"/>
      <sheetName val="ORTEGA-GUAMO (SEMAFORO TEC)"/>
      <sheetName val="Tabla"/>
      <sheetName val="tabla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row r="54">
          <cell r="C54">
            <v>25.105999999999998</v>
          </cell>
          <cell r="E54">
            <v>6.6720000000000006</v>
          </cell>
          <cell r="G54">
            <v>0</v>
          </cell>
          <cell r="I54">
            <v>3.992</v>
          </cell>
          <cell r="K54">
            <v>0</v>
          </cell>
        </row>
      </sheetData>
      <sheetData sheetId="42"/>
      <sheetData sheetId="43"/>
      <sheetData sheetId="44"/>
      <sheetData sheetId="45"/>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Calif_Superficie  "/>
      <sheetName val="Drenes - Lateralidades"/>
      <sheetName val="Señalización"/>
      <sheetName val="Calif. Final Pav40+500-43"/>
      <sheetName val="Calif. Final Pav43-44"/>
      <sheetName val="Calif. Final Pav44-45 CALZA DER"/>
      <sheetName val="Calif. Final Pav44-45 CAL IZQ"/>
      <sheetName val="Estado Resumen"/>
      <sheetName val="Resum_Pav"/>
      <sheetName val=" PASO ESPINAL (SEMAFORO TEC)"/>
      <sheetName val="Tabla"/>
    </sheetNames>
    <sheetDataSet>
      <sheetData sheetId="0"/>
      <sheetData sheetId="1"/>
      <sheetData sheetId="2"/>
      <sheetData sheetId="3"/>
      <sheetData sheetId="4"/>
      <sheetData sheetId="5"/>
      <sheetData sheetId="6"/>
      <sheetData sheetId="7"/>
      <sheetData sheetId="8">
        <row r="29">
          <cell r="D29">
            <v>0</v>
          </cell>
        </row>
      </sheetData>
      <sheetData sheetId="9"/>
      <sheetData sheetId="10"/>
      <sheetData sheetId="1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CARRETERAS"/>
      <sheetName val="TABLA DE CONTENIDO"/>
      <sheetName val="C1. GENERALIDADES "/>
      <sheetName val="C2. CUMPLIMIENTO % ENERO"/>
      <sheetName val="C2. CUMPLIMIENTO % FEBRERO"/>
      <sheetName val="C2. CUMPLIMIENTO % MARZO"/>
      <sheetName val="C3.LINEA"/>
      <sheetName val="C3.VARIA"/>
      <sheetName val="C3.IBAG-ESPINAL"/>
      <sheetName val="C3.C.R40-TAMBORA"/>
      <sheetName val="C3.CHAP-ORTEGA"/>
      <sheetName val="C3.ORTE-GUAMO"/>
      <sheetName val="C3A. ESTADO RED "/>
      <sheetName val="G1. EST VIA ARMENIA-IBA"/>
      <sheetName val="G1. EST VIA IBA-RUTA 45"/>
      <sheetName val="G1. CR.40-La Tambora"/>
      <sheetName val="G1. EST VIA CHAP-ORT"/>
      <sheetName val="G1. EST VIA ORT-GUAMO"/>
      <sheetName val="G1. EST VIA VARIANTE"/>
      <sheetName val="G2. TORTA EST. VIAS "/>
      <sheetName val="G3. EST. VIAS "/>
      <sheetName val="G3. EST. VIAS 1"/>
      <sheetName val="1. MAPA EST RED"/>
      <sheetName val="NECESIDAD VIA"/>
      <sheetName val="Necesidades cr.  "/>
      <sheetName val="M2. SITIOS CRITICOS"/>
      <sheetName val="CANT OBRA ARM-IBAGUE "/>
      <sheetName val="CANT. OBRAS EMERGENCIA LA LINEA"/>
      <sheetName val="presep. variante "/>
      <sheetName val="presep. Ibagué-espinal"/>
      <sheetName val="CANT OBRA CHAPA-ORTEGA "/>
      <sheetName val="CANT OBRA ortega-guamo "/>
      <sheetName val="C7. INF. EMERGENCIAS"/>
      <sheetName val="C8. PUENTES"/>
      <sheetName val="C9.NECE PUEN"/>
      <sheetName val="C10. PONTONES"/>
      <sheetName val="C11. NEC. PONTONES"/>
      <sheetName val="C12. señal v"/>
      <sheetName val="C13. señal H"/>
      <sheetName val="C14. ACC ENERO"/>
      <sheetName val="C14. ACCA FEB"/>
      <sheetName val="C14. ACCA MARZO"/>
      <sheetName val="M3. ACCIDENT."/>
      <sheetName val="C15. DEFENSA VIAS"/>
      <sheetName val="C16. ZONAS RETIRO"/>
      <sheetName val="C17. SEGUIMIENTO"/>
      <sheetName val="C18. CUANTI AMV"/>
      <sheetName val="C19. CUALI AMV"/>
      <sheetName val="C20. CUANTI MICRO"/>
      <sheetName val="C21. CUALI MICRO"/>
      <sheetName val="COMENTARI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ow r="51">
          <cell r="G51">
            <v>0.75880000000000003</v>
          </cell>
          <cell r="H51">
            <v>0.2412</v>
          </cell>
          <cell r="I51">
            <v>0</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CARRETERAS"/>
      <sheetName val="TABLA DE CONTENIDO"/>
      <sheetName val="C1. GENERALIDADES "/>
      <sheetName val="C2. CUMPLIMIENTO % ENERO"/>
      <sheetName val="C2. CUMPLIMIENTO % FEBRERO"/>
      <sheetName val="C2. CUMPLIMIENTO % MARZO"/>
      <sheetName val="C3.LINEA"/>
      <sheetName val="C3.VARIA"/>
      <sheetName val="C3.IBAG-ESPINAL"/>
      <sheetName val="C3.C.R40-TAMBORA"/>
      <sheetName val="C3.CHAP-ORTEGA"/>
      <sheetName val="C3.ORTE-GUAMO"/>
      <sheetName val="C3A. ESTADO RED "/>
      <sheetName val="G1. EST VIA ARMENIA-IBA"/>
      <sheetName val="G1. EST VIA IBA-RUTA 45"/>
      <sheetName val="G1. CR.40-La Tambora"/>
      <sheetName val="G1. EST VIA CHAP-ORT"/>
      <sheetName val="G1. EST VIA ORT-GUAMO"/>
      <sheetName val="G1. EST VIA VARIANTE"/>
      <sheetName val="G2. TORTA EST. VIAS "/>
      <sheetName val="G3. EST. VIAS "/>
      <sheetName val="G3. EST. VIAS 1"/>
      <sheetName val="1. MAPA EST RED"/>
      <sheetName val="NECESIDAD VIA"/>
      <sheetName val="Necesidades cr.  "/>
      <sheetName val="M2. SITIOS CRITICOS"/>
      <sheetName val="CANT OBRA ARM-IBAGUE "/>
      <sheetName val="CANT. OBRAS EMERGENCIA LA LINEA"/>
      <sheetName val="presep. variante "/>
      <sheetName val="presep. Ibagué-espinal"/>
      <sheetName val="CANT OBRA CHAPA-ORTEGA "/>
      <sheetName val="CANT OBRA ortega-guamo "/>
      <sheetName val="C7. INF. EMERGENCIAS"/>
      <sheetName val="C8. PUENTES"/>
      <sheetName val="C9.NECE PUEN"/>
      <sheetName val="C10. PONTONES"/>
      <sheetName val="C11. NEC. PONTONES"/>
      <sheetName val="C12. señal v"/>
      <sheetName val="C13. señal H"/>
      <sheetName val="C14. ACC ENERO"/>
      <sheetName val="C14. ACCA FEB"/>
      <sheetName val="C14. ACCA MARZO"/>
      <sheetName val="M3. ACCIDENT."/>
      <sheetName val="C15. DEFENSA VIAS"/>
      <sheetName val="C16. ZONAS RETIRO"/>
      <sheetName val="C17. SEGUIMIENTO"/>
      <sheetName val="C18. CUANTI AMV"/>
      <sheetName val="C19. CUALI AMV"/>
      <sheetName val="C20. CUANTI MICRO"/>
      <sheetName val="C21. CUALI MICRO"/>
      <sheetName val="COMENTARI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ow r="51">
          <cell r="G51">
            <v>0.75880000000000003</v>
          </cell>
          <cell r="H51">
            <v>0.2412</v>
          </cell>
          <cell r="I51">
            <v>0</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TABLA DE CONTENIDO"/>
      <sheetName val="GENERALIDADES "/>
      <sheetName val="CUMPLIMIENTO % "/>
      <sheetName val="ESTADO RED VIS"/>
      <sheetName val="CHAPA-ORTEGA (SEMAFORO VIS)"/>
      <sheetName val="ORTEGA-GUAMO (SEMAFORO VIS)"/>
      <sheetName val="PNG (SEMAFORO VIS)"/>
      <sheetName val="PNE (SEMAFORO VIS)"/>
      <sheetName val="RUTA 40 (SEMAFORO VIS)"/>
      <sheetName val="TORTA EST. VIAS VIS"/>
      <sheetName val="ESTADO RED TEC"/>
      <sheetName val="3602-TEC"/>
      <sheetName val="3603-TEC"/>
      <sheetName val="PNG-TEC"/>
      <sheetName val="PNE-TEC"/>
      <sheetName val="RUTA40-TEC"/>
      <sheetName val="TORTA EST.VIAS TEC."/>
      <sheetName val="MAPA EST RED."/>
      <sheetName val="NECESIDAD VIA"/>
      <sheetName val="NECESIDADES CRITICAS"/>
      <sheetName val="CANT OBRA 3602"/>
      <sheetName val="CANT OBRA 3603"/>
      <sheetName val="CANT OBRA PNG"/>
      <sheetName val="CANT OBRA PNE"/>
      <sheetName val="CANT OBRA RUTA40"/>
      <sheetName val="INF. EMERGENCIAS"/>
      <sheetName val="PUENTES."/>
      <sheetName val="NEC PUENTES."/>
      <sheetName val="PONTONES."/>
      <sheetName val="NEC PONTONES"/>
      <sheetName val="TUNELES"/>
      <sheetName val="NECESIDADES EN TÚNELES"/>
      <sheetName val="Señalización Vertical"/>
      <sheetName val="Señalización Horizontal"/>
      <sheetName val="ACCIDENTALIDAD ABRIL"/>
      <sheetName val="ACCIDENTALIDAD MAYO"/>
      <sheetName val="ACCIDENTALIDAD JUNIO"/>
      <sheetName val="DEFENSA VIAS"/>
      <sheetName val="SEGUIMIENTO"/>
      <sheetName val="CUANTI AMV"/>
      <sheetName val="CUALI AMV"/>
      <sheetName val="CUANTI MR"/>
      <sheetName val="CUALI MR"/>
      <sheetName val="INTERVENTORIA DE CONTRATOS"/>
      <sheetName val="FOTOG"/>
      <sheetName val="PRENSA"/>
      <sheetName val="COMENTARIOS"/>
      <sheetName val="CAPACITACION T.M. RUTINARIO"/>
      <sheetName val="Hoja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ow r="37">
          <cell r="H37">
            <v>9981419502.3832245</v>
          </cell>
        </row>
        <row r="72">
          <cell r="G72">
            <v>12441.599999999999</v>
          </cell>
        </row>
        <row r="85">
          <cell r="G85">
            <v>636651.18719999993</v>
          </cell>
        </row>
        <row r="131">
          <cell r="G131">
            <v>58585.887391868338</v>
          </cell>
        </row>
        <row r="143">
          <cell r="G143">
            <v>152165.26950814403</v>
          </cell>
        </row>
        <row r="144">
          <cell r="G144">
            <v>546536.61098199466</v>
          </cell>
        </row>
        <row r="295">
          <cell r="G295">
            <v>589369.88711541437</v>
          </cell>
        </row>
      </sheetData>
      <sheetData sheetId="22">
        <row r="104">
          <cell r="H104">
            <v>6568879626.9904242</v>
          </cell>
        </row>
        <row r="132">
          <cell r="H132">
            <v>1433136047.3455822</v>
          </cell>
        </row>
        <row r="165">
          <cell r="H165">
            <v>3058309277.4778223</v>
          </cell>
        </row>
      </sheetData>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row r="10">
          <cell r="A10" t="str">
            <v>TRIMESTRE EVALUADO: ABRIL-JUNIO/2020</v>
          </cell>
        </row>
      </sheetData>
      <sheetData sheetId="48"/>
      <sheetData sheetId="49"/>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ACLARACION"/>
      <sheetName val="INDICE"/>
      <sheetName val="MANO DE OBRA"/>
      <sheetName val="EQUIPOS"/>
      <sheetName val="MATERIALES"/>
      <sheetName val="TRANSPORTE"/>
      <sheetName val="MINFRA-MN-IN-10-FR-1"/>
      <sheetName val="200.1"/>
      <sheetName val="200.2"/>
      <sheetName val="201.1"/>
      <sheetName val="201.2"/>
      <sheetName val="201.3"/>
      <sheetName val="201.4"/>
      <sheetName val="201.5"/>
      <sheetName val="201.6"/>
      <sheetName val="201.7"/>
      <sheetName val="201.8"/>
      <sheetName val="201.9"/>
      <sheetName val="201.10"/>
      <sheetName val="201.11"/>
      <sheetName val="201.12"/>
      <sheetName val="201.13"/>
      <sheetName val="201.14"/>
      <sheetName val="201.15"/>
      <sheetName val="201.16"/>
      <sheetName val="201.17"/>
      <sheetName val="201.18"/>
      <sheetName val="201.19"/>
      <sheetName val="201.20"/>
      <sheetName val="201.21"/>
      <sheetName val="203.1"/>
      <sheetName val="203.2"/>
      <sheetName val="203.3"/>
      <sheetName val="203.4"/>
      <sheetName val="203.5"/>
      <sheetName val="203.6"/>
      <sheetName val="203.7"/>
      <sheetName val="203.8"/>
      <sheetName val="203.9"/>
      <sheetName val="203.10"/>
      <sheetName val="203.11"/>
      <sheetName val="203.12"/>
      <sheetName val="210.1.1"/>
      <sheetName val="210.1.2"/>
      <sheetName val="210.2.1"/>
      <sheetName val="210.2.2"/>
      <sheetName val="210.2.3"/>
      <sheetName val="210.2.4"/>
      <sheetName val="211.1"/>
      <sheetName val="220.1"/>
      <sheetName val="221.1"/>
      <sheetName val="221.2"/>
      <sheetName val="223.1"/>
      <sheetName val="223.2"/>
      <sheetName val="223.3.1"/>
      <sheetName val="223.3.2"/>
      <sheetName val="223.3.3"/>
      <sheetName val="230.1"/>
      <sheetName val="231.1"/>
      <sheetName val="232.1"/>
      <sheetName val="233.1"/>
      <sheetName val="233.10"/>
      <sheetName val="234.1"/>
      <sheetName val="235.1"/>
      <sheetName val="235.10"/>
      <sheetName val="235.11"/>
      <sheetName val="236.1"/>
      <sheetName val="236.10"/>
      <sheetName val="236.11"/>
      <sheetName val="310.1"/>
      <sheetName val="311.1"/>
      <sheetName val="312.1"/>
      <sheetName val="312.2"/>
      <sheetName val="312.3"/>
      <sheetName val="312.4"/>
      <sheetName val="320.1"/>
      <sheetName val="320.2"/>
      <sheetName val="320.3"/>
      <sheetName val="320.4"/>
      <sheetName val="320.5"/>
      <sheetName val="320.6"/>
      <sheetName val="330.1"/>
      <sheetName val="330.2"/>
      <sheetName val="330.3"/>
      <sheetName val="330.4"/>
      <sheetName val="330.5"/>
      <sheetName val="330.6"/>
      <sheetName val="340.1"/>
      <sheetName val="340.2"/>
      <sheetName val="340.3"/>
      <sheetName val="350.1"/>
      <sheetName val="350.2"/>
      <sheetName val="350.3"/>
      <sheetName val="350.4"/>
      <sheetName val="350.10"/>
      <sheetName val="350.11"/>
      <sheetName val="350.12"/>
      <sheetName val="350.13"/>
      <sheetName val="350.14"/>
      <sheetName val="351.1"/>
      <sheetName val="351.2"/>
      <sheetName val="351.10"/>
      <sheetName val="351.11"/>
      <sheetName val="351.12"/>
      <sheetName val="410.1"/>
      <sheetName val="410.2"/>
      <sheetName val="410.3"/>
      <sheetName val="411.1"/>
      <sheetName val="411.2"/>
      <sheetName val="411.3"/>
      <sheetName val="411.4"/>
      <sheetName val="413.1"/>
      <sheetName val="413.2"/>
      <sheetName val="413.3"/>
      <sheetName val="414.1"/>
      <sheetName val="414.2"/>
      <sheetName val="414.3"/>
      <sheetName val="414.4"/>
      <sheetName val="414.5"/>
      <sheetName val="414.6"/>
      <sheetName val="415.1"/>
      <sheetName val="420.1"/>
      <sheetName val="420.2 "/>
      <sheetName val="420.3"/>
      <sheetName val="421.1"/>
      <sheetName val="421.2"/>
      <sheetName val="421.3"/>
      <sheetName val="421.4"/>
      <sheetName val="430.1.1"/>
      <sheetName val="430.1.2"/>
      <sheetName val="430.2.1"/>
      <sheetName val="430.2.2"/>
      <sheetName val="431.1.1"/>
      <sheetName val="431.1.2"/>
      <sheetName val="431.2.1"/>
      <sheetName val="431.2.2"/>
      <sheetName val="432.1"/>
      <sheetName val="432.2"/>
      <sheetName val="433.1"/>
      <sheetName val="433.2"/>
      <sheetName val="433.3"/>
      <sheetName val="433.4"/>
      <sheetName val="433.5"/>
      <sheetName val="433.6"/>
      <sheetName val="433.7"/>
      <sheetName val="433.8"/>
      <sheetName val="440.1"/>
      <sheetName val="440.2"/>
      <sheetName val="440.3"/>
      <sheetName val="440.4"/>
      <sheetName val="441.1"/>
      <sheetName val="441.2"/>
      <sheetName val="441.3"/>
      <sheetName val="441.4"/>
      <sheetName val="450.1"/>
      <sheetName val="450.2"/>
      <sheetName val="450.3"/>
      <sheetName val="450.4"/>
      <sheetName val="450.5"/>
      <sheetName val="450.6"/>
      <sheetName val="450.7"/>
      <sheetName val="450.8"/>
      <sheetName val="450.10"/>
      <sheetName val="450.11"/>
      <sheetName val="450.12"/>
      <sheetName val="451.1"/>
      <sheetName val="451.2"/>
      <sheetName val="451.3"/>
      <sheetName val="451.4"/>
      <sheetName val="452.1"/>
      <sheetName val="452.2"/>
      <sheetName val="452.3"/>
      <sheetName val="452.4"/>
      <sheetName val="453.1"/>
      <sheetName val="460.1"/>
      <sheetName val="460.2"/>
      <sheetName val="461.1"/>
      <sheetName val="461.2"/>
      <sheetName val="462.1.1"/>
      <sheetName val="462.1.2"/>
      <sheetName val="462.2.1"/>
      <sheetName val="462.2.2"/>
      <sheetName val="464.1"/>
      <sheetName val="465.1"/>
      <sheetName val="465.2"/>
      <sheetName val="466.1"/>
      <sheetName val="466.2"/>
      <sheetName val="500.1"/>
      <sheetName val="500.2"/>
      <sheetName val="501.1"/>
      <sheetName val="501.10"/>
      <sheetName val="501.20"/>
      <sheetName val="505.1"/>
      <sheetName val="510.1"/>
      <sheetName val="600.1.1"/>
      <sheetName val="600.2.1"/>
      <sheetName val="600.2.2"/>
      <sheetName val="600.2.3"/>
      <sheetName val="600.2.4"/>
      <sheetName val="610.1"/>
      <sheetName val="610.2"/>
      <sheetName val="610.3"/>
      <sheetName val="610.4"/>
      <sheetName val="610.5"/>
      <sheetName val="610.6"/>
      <sheetName val="610.7"/>
      <sheetName val="620.1"/>
      <sheetName val="620.2"/>
      <sheetName val="620.3"/>
      <sheetName val="621.1.1"/>
      <sheetName val="621.1.2"/>
      <sheetName val="621.2"/>
      <sheetName val="621.3"/>
      <sheetName val="621.4"/>
      <sheetName val="621.5"/>
      <sheetName val="621.5.1"/>
      <sheetName val="621.6"/>
      <sheetName val="621.7"/>
      <sheetName val="622.1"/>
      <sheetName val="622.2"/>
      <sheetName val="622.3"/>
      <sheetName val="622.4"/>
      <sheetName val="622.5"/>
      <sheetName val="623.1"/>
      <sheetName val="623.2"/>
      <sheetName val="630.1"/>
      <sheetName val="630.2"/>
      <sheetName val="630.3"/>
      <sheetName val="630.4"/>
      <sheetName val="630.5"/>
      <sheetName val="630.6"/>
      <sheetName val="630.7"/>
      <sheetName val="632.1"/>
      <sheetName val="632.2"/>
      <sheetName val="640.1"/>
      <sheetName val="640.2"/>
      <sheetName val="641.1"/>
      <sheetName val="641.2"/>
      <sheetName val="642.1"/>
      <sheetName val="642.2"/>
      <sheetName val="650.1"/>
      <sheetName val="650.2"/>
      <sheetName val="650.3"/>
      <sheetName val="650.4"/>
      <sheetName val="660.1"/>
      <sheetName val="660.2"/>
      <sheetName val="661.1"/>
      <sheetName val="662.1"/>
      <sheetName val="662.2"/>
      <sheetName val="663.1"/>
      <sheetName val="670.1"/>
      <sheetName val="670.2"/>
      <sheetName val="670.3"/>
      <sheetName val="670.4"/>
      <sheetName val="670.5"/>
      <sheetName val="671.1"/>
      <sheetName val="671.2"/>
      <sheetName val="671.3"/>
      <sheetName val="671.4"/>
      <sheetName val="672.1"/>
      <sheetName val="672.2"/>
      <sheetName val="672.3"/>
      <sheetName val="672.4"/>
      <sheetName val="673.1.1"/>
      <sheetName val="673.1.2"/>
      <sheetName val="673.2"/>
      <sheetName val="673.3"/>
      <sheetName val="674.1"/>
      <sheetName val="674.2"/>
      <sheetName val="680.1"/>
      <sheetName val="680.2"/>
      <sheetName val="680.3"/>
      <sheetName val="681.1"/>
      <sheetName val="681.2"/>
      <sheetName val="681.3"/>
      <sheetName val="681.4"/>
      <sheetName val="682.1"/>
      <sheetName val="682.2"/>
      <sheetName val="682.3"/>
      <sheetName val="682.4"/>
      <sheetName val="683.1"/>
      <sheetName val="683.2"/>
      <sheetName val="683.3"/>
      <sheetName val="683.4"/>
      <sheetName val="683.5"/>
      <sheetName val="690.1.1"/>
      <sheetName val="690.1.2"/>
      <sheetName val="700.1"/>
      <sheetName val="700.2"/>
      <sheetName val="700.3"/>
      <sheetName val="700.4"/>
      <sheetName val="701.1"/>
      <sheetName val="710.1"/>
      <sheetName val="710.2"/>
      <sheetName val="720.1"/>
      <sheetName val="730.1"/>
      <sheetName val="730.2"/>
      <sheetName val="730.3"/>
      <sheetName val="730.4"/>
      <sheetName val="731.1"/>
      <sheetName val="740.1"/>
      <sheetName val="741.1"/>
      <sheetName val="800.1"/>
      <sheetName val="800.2"/>
      <sheetName val="800.3"/>
      <sheetName val="800.4"/>
      <sheetName val="802.1"/>
      <sheetName val="802.2"/>
      <sheetName val="802.3"/>
      <sheetName val="802.4"/>
      <sheetName val="802.5"/>
      <sheetName val="802.6"/>
      <sheetName val="802.7"/>
      <sheetName val="802.8"/>
      <sheetName val="810.1"/>
      <sheetName val="810.2"/>
      <sheetName val="810.3"/>
      <sheetName val="811.1"/>
      <sheetName val="811.2"/>
      <sheetName val="812.1"/>
      <sheetName val="820.1"/>
      <sheetName val="820.1.2"/>
      <sheetName val="900.1"/>
      <sheetName val="900.2"/>
      <sheetName val="900.3"/>
    </sheetNames>
    <sheetDataSet>
      <sheetData sheetId="0" refreshError="1"/>
      <sheetData sheetId="1" refreshError="1"/>
      <sheetData sheetId="2" refreshError="1">
        <row r="3">
          <cell r="A3" t="str">
            <v>200.1</v>
          </cell>
          <cell r="B3" t="str">
            <v>DESMONTE Y LIMPIEZA EN BOSQUE</v>
          </cell>
          <cell r="C3" t="str">
            <v>Ha</v>
          </cell>
          <cell r="D3">
            <v>2761839.2533333334</v>
          </cell>
        </row>
        <row r="4">
          <cell r="A4" t="str">
            <v>200.2</v>
          </cell>
          <cell r="B4" t="str">
            <v>DESMONTE Y LIMPIEZA EN ZONAS NO BOSCOSAS</v>
          </cell>
          <cell r="C4" t="str">
            <v>Ha</v>
          </cell>
          <cell r="D4">
            <v>227009.27816698537</v>
          </cell>
        </row>
        <row r="5">
          <cell r="A5" t="str">
            <v>201.1</v>
          </cell>
          <cell r="B5" t="str">
            <v>DEMOLICIÓN DE EDIFICACIONES</v>
          </cell>
          <cell r="C5" t="str">
            <v>gl</v>
          </cell>
          <cell r="D5">
            <v>158145.49864433811</v>
          </cell>
        </row>
        <row r="6">
          <cell r="A6" t="str">
            <v>201.2</v>
          </cell>
          <cell r="B6" t="str">
            <v>DEMOLICIÓN DE ESTRUCTURAS</v>
          </cell>
          <cell r="C6" t="str">
            <v>gl</v>
          </cell>
          <cell r="D6">
            <v>154626.68019696971</v>
          </cell>
        </row>
        <row r="7">
          <cell r="A7" t="str">
            <v>201.3</v>
          </cell>
          <cell r="B7" t="str">
            <v>DEMOLICIÓN DE PAVIMENTOS RÍGIDOS, PISOS, ANDENES Y BORDILLOS DE CONCRETO</v>
          </cell>
          <cell r="C7" t="str">
            <v>gl</v>
          </cell>
          <cell r="D7">
            <v>37693.420615888623</v>
          </cell>
        </row>
        <row r="8">
          <cell r="A8" t="str">
            <v>201.4</v>
          </cell>
          <cell r="B8" t="str">
            <v>DEMOLICIÓN DE OBSTÁCULOS</v>
          </cell>
          <cell r="C8" t="str">
            <v>gl</v>
          </cell>
          <cell r="D8">
            <v>62577.131696969693</v>
          </cell>
        </row>
        <row r="9">
          <cell r="A9" t="str">
            <v>201.5</v>
          </cell>
          <cell r="B9" t="str">
            <v>DEMOLICIÓN DE EDIFICACIONES</v>
          </cell>
          <cell r="C9" t="str">
            <v>Unidad</v>
          </cell>
          <cell r="D9">
            <v>158145.49864433811</v>
          </cell>
        </row>
        <row r="10">
          <cell r="A10" t="str">
            <v>201.6</v>
          </cell>
          <cell r="B10" t="str">
            <v>DEMOLICIÓN DE ESTRUCTURAS</v>
          </cell>
          <cell r="C10" t="str">
            <v>Unidad</v>
          </cell>
          <cell r="D10">
            <v>154626.68019696971</v>
          </cell>
        </row>
        <row r="11">
          <cell r="A11" t="str">
            <v>201.7</v>
          </cell>
          <cell r="B11" t="str">
            <v>DEMOLICIÓN DE ESTRUCTURAS</v>
          </cell>
          <cell r="C11" t="str">
            <v>m3</v>
          </cell>
          <cell r="D11">
            <v>151709.72597575758</v>
          </cell>
        </row>
        <row r="12">
          <cell r="A12" t="str">
            <v>201.8</v>
          </cell>
          <cell r="B12" t="str">
            <v>DEMOLICIÓN DE PAVIMENTOS RÍGIDOS</v>
          </cell>
          <cell r="C12" t="str">
            <v>m2</v>
          </cell>
          <cell r="D12">
            <v>15847.837318181817</v>
          </cell>
        </row>
        <row r="13">
          <cell r="A13" t="str">
            <v>201.9</v>
          </cell>
          <cell r="B13" t="str">
            <v>DEMOLICIÓN DE PISOS Y ANDENES DE CONCRETO</v>
          </cell>
          <cell r="C13" t="str">
            <v>m2</v>
          </cell>
          <cell r="D13">
            <v>15601.723681818181</v>
          </cell>
        </row>
        <row r="14">
          <cell r="A14" t="str">
            <v>201.10</v>
          </cell>
          <cell r="B14" t="str">
            <v>DEMOLICIÓN DE BORDILLOS DE CONCRETO</v>
          </cell>
          <cell r="C14" t="str">
            <v>m</v>
          </cell>
          <cell r="D14">
            <v>6856.5802007575749</v>
          </cell>
        </row>
        <row r="15">
          <cell r="A15" t="str">
            <v>201.11</v>
          </cell>
          <cell r="B15" t="str">
            <v>DESMONTAJE Y TRASLADO DE ESTRUCTURAS METÁLICAS</v>
          </cell>
          <cell r="C15" t="str">
            <v>Kg</v>
          </cell>
          <cell r="D15">
            <v>2869.8561059190033</v>
          </cell>
        </row>
        <row r="16">
          <cell r="A16" t="str">
            <v>201.12</v>
          </cell>
          <cell r="B16" t="str">
            <v>REMOCIÓN DE ESPECIES VEGETALES</v>
          </cell>
          <cell r="C16" t="str">
            <v>Unidad</v>
          </cell>
          <cell r="D16">
            <v>98563.947083333333</v>
          </cell>
        </row>
        <row r="17">
          <cell r="A17" t="str">
            <v>201.13</v>
          </cell>
          <cell r="B17" t="str">
            <v>REMOCIÓN DE OBSTÁCULOS (SE DEBERÁ HACER UN ÍTEM DE PAGO PARA CADA TIPO DE OBSTÁCULO)</v>
          </cell>
          <cell r="C17" t="str">
            <v>Unidad</v>
          </cell>
          <cell r="D17">
            <v>111439.33937500001</v>
          </cell>
        </row>
        <row r="18">
          <cell r="A18" t="str">
            <v>201.14</v>
          </cell>
          <cell r="B18" t="str">
            <v>REMOCIÓN DE DUCTOS DE SERVICIOS EXISTENTES</v>
          </cell>
          <cell r="C18" t="str">
            <v>m</v>
          </cell>
          <cell r="D18">
            <v>35867.746200000001</v>
          </cell>
        </row>
        <row r="19">
          <cell r="A19" t="str">
            <v>201.15</v>
          </cell>
          <cell r="B19" t="str">
            <v>REMOCIÓN DE ALCANTARILLAS</v>
          </cell>
          <cell r="C19" t="str">
            <v>m</v>
          </cell>
          <cell r="D19">
            <v>44436.107624999997</v>
          </cell>
        </row>
        <row r="20">
          <cell r="A20" t="str">
            <v>201.16</v>
          </cell>
          <cell r="B20" t="str">
            <v>REMOCIÓN DE CERCAS DE ALAMBRE</v>
          </cell>
          <cell r="C20" t="str">
            <v>m</v>
          </cell>
          <cell r="D20">
            <v>1947.3549333333335</v>
          </cell>
        </row>
        <row r="21">
          <cell r="A21" t="str">
            <v>201.17</v>
          </cell>
          <cell r="B21" t="str">
            <v>TRASLADO DE POSTES</v>
          </cell>
          <cell r="C21" t="str">
            <v>Unidad</v>
          </cell>
          <cell r="D21">
            <v>80642.828499999989</v>
          </cell>
        </row>
        <row r="22">
          <cell r="A22" t="str">
            <v>201.18</v>
          </cell>
          <cell r="B22" t="str">
            <v>TRASLADO DE TORRES</v>
          </cell>
          <cell r="C22" t="str">
            <v>Unidad</v>
          </cell>
          <cell r="D22">
            <v>80642.828499999989</v>
          </cell>
        </row>
        <row r="23">
          <cell r="A23" t="str">
            <v>201.19</v>
          </cell>
          <cell r="B23" t="str">
            <v>REMOCIÓN DE RIELES</v>
          </cell>
          <cell r="C23" t="str">
            <v>m</v>
          </cell>
          <cell r="D23">
            <v>20898.863808333335</v>
          </cell>
        </row>
        <row r="24">
          <cell r="A24" t="str">
            <v>201.20</v>
          </cell>
          <cell r="B24" t="str">
            <v>REMOCIÓN DE DEFENSAS METÁLICAS</v>
          </cell>
          <cell r="C24" t="str">
            <v>m</v>
          </cell>
          <cell r="D24">
            <v>5475.1478888888887</v>
          </cell>
        </row>
        <row r="25">
          <cell r="A25" t="str">
            <v>201.21</v>
          </cell>
          <cell r="B25" t="str">
            <v>REMOCIÓN DE BARRERAS DE SEGURIDAD</v>
          </cell>
          <cell r="C25" t="str">
            <v>m</v>
          </cell>
          <cell r="D25">
            <v>5814.3716583333335</v>
          </cell>
        </row>
        <row r="26">
          <cell r="A26" t="str">
            <v>203.1</v>
          </cell>
          <cell r="B26" t="str">
            <v>TRANSPLANTE DE ARBOLES TIPO I TRASLADO CORTO</v>
          </cell>
          <cell r="C26" t="str">
            <v>Unidad</v>
          </cell>
          <cell r="D26">
            <v>878176.45500000007</v>
          </cell>
        </row>
        <row r="27">
          <cell r="A27" t="str">
            <v>203.2</v>
          </cell>
          <cell r="B27" t="str">
            <v>TRANSPLANTE DE ARBOLES TIPO I TRASLADO LARGO</v>
          </cell>
          <cell r="C27" t="str">
            <v>Unidad</v>
          </cell>
          <cell r="D27">
            <v>1048301.0687500001</v>
          </cell>
        </row>
        <row r="28">
          <cell r="A28" t="str">
            <v>203.3</v>
          </cell>
          <cell r="B28" t="str">
            <v>TRANSPLANTE DE ARBOLES TIPO I TRASLADO ESPECIAL</v>
          </cell>
          <cell r="C28" t="str">
            <v>Unidad</v>
          </cell>
          <cell r="D28">
            <v>1169818.6499999999</v>
          </cell>
        </row>
        <row r="29">
          <cell r="A29" t="str">
            <v>203.4</v>
          </cell>
          <cell r="B29" t="str">
            <v>TRANSPLANTE DE ARBOLES TIPO II TRASLADO CORTO</v>
          </cell>
          <cell r="C29" t="str">
            <v>Unidad</v>
          </cell>
          <cell r="D29">
            <v>569894.26</v>
          </cell>
        </row>
        <row r="30">
          <cell r="A30" t="str">
            <v>203.5</v>
          </cell>
          <cell r="B30" t="str">
            <v>TRANSPLANTE DE ARBOLES TIPO II. TRASLADO LARGO</v>
          </cell>
          <cell r="C30" t="str">
            <v>Unidad</v>
          </cell>
          <cell r="D30">
            <v>649246.30333333346</v>
          </cell>
        </row>
        <row r="31">
          <cell r="A31" t="str">
            <v>203.6</v>
          </cell>
          <cell r="B31" t="str">
            <v>TRANSPLANTE DE ARBOLES TIPO II TRASLADO ESPECIAL</v>
          </cell>
          <cell r="C31" t="str">
            <v>Unidad</v>
          </cell>
          <cell r="D31">
            <v>699743.05818181811</v>
          </cell>
        </row>
        <row r="32">
          <cell r="A32" t="str">
            <v>203.7</v>
          </cell>
          <cell r="B32" t="str">
            <v>TRANSPLANTE DE ARBOLES TIPO III TRASLADO CORTO</v>
          </cell>
          <cell r="C32" t="str">
            <v>Unidad</v>
          </cell>
          <cell r="D32">
            <v>292202.64666666667</v>
          </cell>
        </row>
        <row r="33">
          <cell r="A33" t="str">
            <v>203.8</v>
          </cell>
          <cell r="B33" t="str">
            <v>TRANSPLANTE DE ARBOLES TIPO III TRASLADO LARGO</v>
          </cell>
          <cell r="C33" t="str">
            <v>Unidad</v>
          </cell>
          <cell r="D33">
            <v>394355.22750000004</v>
          </cell>
        </row>
        <row r="34">
          <cell r="A34" t="str">
            <v>203.9</v>
          </cell>
          <cell r="B34" t="str">
            <v>TRANSPLANTE  DE ARBOLES TIPO III TRASLADO ESPECIAL</v>
          </cell>
          <cell r="C34" t="str">
            <v>Unidad</v>
          </cell>
          <cell r="D34">
            <v>414393.44266666664</v>
          </cell>
        </row>
        <row r="35">
          <cell r="A35" t="str">
            <v>203.10</v>
          </cell>
          <cell r="B35" t="str">
            <v>TRANSPLANTE DE ARBOLES TIPO IV TRASLADO CORTO</v>
          </cell>
          <cell r="C35" t="str">
            <v>Unidad</v>
          </cell>
          <cell r="D35">
            <v>242597.48500000002</v>
          </cell>
        </row>
        <row r="36">
          <cell r="A36" t="str">
            <v>203.11</v>
          </cell>
          <cell r="B36" t="str">
            <v>TRANSPLANTE DE ARBOLES TIPO IV TRASLADO LARGO</v>
          </cell>
          <cell r="C36" t="str">
            <v>Unidad</v>
          </cell>
          <cell r="D36">
            <v>312380.71090909088</v>
          </cell>
        </row>
        <row r="37">
          <cell r="A37" t="str">
            <v>203.12</v>
          </cell>
          <cell r="B37" t="str">
            <v>TRANSPLANTE DE ARBOLES TIPO IV TRASLADO ESPECIAL</v>
          </cell>
          <cell r="C37" t="str">
            <v>Unidad</v>
          </cell>
          <cell r="D37">
            <v>322790.17333333334</v>
          </cell>
        </row>
        <row r="38">
          <cell r="A38" t="str">
            <v>210.1.1</v>
          </cell>
          <cell r="B38" t="str">
            <v>EXCAVACIÓN SIN CLASIFICAR DE LA EXPLANACIÓN Y CANALES</v>
          </cell>
          <cell r="C38" t="str">
            <v>m3</v>
          </cell>
          <cell r="D38">
            <v>9453.1116875000007</v>
          </cell>
        </row>
        <row r="39">
          <cell r="A39" t="str">
            <v>210.1.2</v>
          </cell>
          <cell r="B39" t="str">
            <v>EXCAVACIÓN SIN CLASIFICAR DE PRÉSTAMOS</v>
          </cell>
          <cell r="C39" t="str">
            <v>m3</v>
          </cell>
          <cell r="D39">
            <v>3174.1116874999998</v>
          </cell>
        </row>
        <row r="40">
          <cell r="A40" t="str">
            <v>210.2.1</v>
          </cell>
          <cell r="B40" t="str">
            <v>EXCAVACIÓN EN ROCA DE LA EXPLANACIÓN Y CANALES</v>
          </cell>
          <cell r="C40" t="str">
            <v>m3</v>
          </cell>
          <cell r="D40">
            <v>35657.09190530303</v>
          </cell>
        </row>
        <row r="41">
          <cell r="A41" t="str">
            <v>210.2.2</v>
          </cell>
          <cell r="B41" t="str">
            <v>EXCAVACIÓN EN MATERIAL COMÚN DE LA EXPLANACIÓN Y CANALES</v>
          </cell>
          <cell r="C41" t="str">
            <v>m3</v>
          </cell>
          <cell r="D41">
            <v>9453.1116875000007</v>
          </cell>
        </row>
        <row r="42">
          <cell r="A42" t="str">
            <v>210.2.3</v>
          </cell>
          <cell r="B42" t="str">
            <v>EXCAVACIÓN EN ROCA DE PRÉSTAMOS</v>
          </cell>
          <cell r="C42" t="str">
            <v>m3</v>
          </cell>
          <cell r="D42">
            <v>29378.09190530303</v>
          </cell>
        </row>
        <row r="43">
          <cell r="A43" t="str">
            <v>210.2.4</v>
          </cell>
          <cell r="B43" t="str">
            <v>EXCAVACIÓN EN MATERIAL COMÚN DE PRÉSTAMOS</v>
          </cell>
          <cell r="C43" t="str">
            <v>m3</v>
          </cell>
          <cell r="D43">
            <v>3174.1116874999998</v>
          </cell>
        </row>
        <row r="44">
          <cell r="A44" t="str">
            <v>211.1</v>
          </cell>
          <cell r="B44" t="str">
            <v>REMOCIÓN DE DERRUMBES</v>
          </cell>
          <cell r="C44" t="str">
            <v>m3</v>
          </cell>
          <cell r="D44">
            <v>7653.1476174242425</v>
          </cell>
        </row>
        <row r="45">
          <cell r="A45" t="str">
            <v>220.1</v>
          </cell>
          <cell r="B45" t="str">
            <v>TERRAPLENES</v>
          </cell>
          <cell r="C45" t="str">
            <v>m3</v>
          </cell>
          <cell r="D45">
            <v>11988.60325</v>
          </cell>
        </row>
        <row r="46">
          <cell r="A46" t="str">
            <v>221.1</v>
          </cell>
          <cell r="B46" t="str">
            <v>PEDRAPLÉN COMPACTO</v>
          </cell>
          <cell r="C46" t="str">
            <v>m3</v>
          </cell>
          <cell r="D46">
            <v>8103.8790625000001</v>
          </cell>
        </row>
        <row r="47">
          <cell r="A47" t="str">
            <v>221.2</v>
          </cell>
          <cell r="B47" t="str">
            <v>PEDRAPLÉN SUELTO</v>
          </cell>
          <cell r="C47" t="str">
            <v>m3</v>
          </cell>
          <cell r="D47">
            <v>5009.8790625000001</v>
          </cell>
        </row>
        <row r="48">
          <cell r="A48" t="str">
            <v>223.1</v>
          </cell>
          <cell r="B48" t="str">
            <v xml:space="preserve">GEOTEXTIL DE REFUERZO TIPO NT-2500 PARA TERRAPLENES REFORZADOS POR  GEOSINTETICOS </v>
          </cell>
          <cell r="C48" t="str">
            <v>m2</v>
          </cell>
          <cell r="D48">
            <v>7619.7038839999996</v>
          </cell>
        </row>
        <row r="49">
          <cell r="A49" t="str">
            <v>223.2</v>
          </cell>
          <cell r="B49" t="str">
            <v xml:space="preserve">GEOMALLA DE REFUERZO TIPOS ASPHALT </v>
          </cell>
          <cell r="C49" t="str">
            <v>m2</v>
          </cell>
          <cell r="D49">
            <v>13185.003884000002</v>
          </cell>
        </row>
        <row r="50">
          <cell r="A50" t="str">
            <v>223.3.1</v>
          </cell>
          <cell r="B50" t="str">
            <v>RELLENO SELECCIONADO PARA TERRAPLENES REFORZADOS CON GEOSINTETICOS</v>
          </cell>
          <cell r="C50" t="str">
            <v>m3</v>
          </cell>
          <cell r="D50">
            <v>55380</v>
          </cell>
        </row>
        <row r="51">
          <cell r="A51" t="str">
            <v>223.3.2</v>
          </cell>
          <cell r="B51" t="str">
            <v>RELLENO TIPO SUB BASE GRANULAR PARA TERRAPLENES REFORZADOS CON GEOSINTETICOS</v>
          </cell>
          <cell r="C51" t="str">
            <v>m3</v>
          </cell>
          <cell r="D51">
            <v>80096.081577777775</v>
          </cell>
        </row>
        <row r="52">
          <cell r="A52" t="str">
            <v>223.3.3</v>
          </cell>
          <cell r="B52" t="str">
            <v>RELLENO TIPO BASE GRANULAR PARA TERRAPLENES REFORZADOS CON GEOSINTETICOS</v>
          </cell>
          <cell r="C52" t="str">
            <v>m3</v>
          </cell>
          <cell r="D52">
            <v>82988.581577777775</v>
          </cell>
        </row>
        <row r="53">
          <cell r="A53" t="str">
            <v>230.1</v>
          </cell>
          <cell r="B53" t="str">
            <v>MEJORAMIENTO DE LA SUBRASANTE CON ADICION DE MATERIALES</v>
          </cell>
          <cell r="C53" t="str">
            <v>m2</v>
          </cell>
          <cell r="D53">
            <v>2603.2121050000001</v>
          </cell>
        </row>
        <row r="54">
          <cell r="A54" t="str">
            <v>231.1</v>
          </cell>
          <cell r="B54" t="str">
            <v>GEOTEXTIL PARA SEPARACIÓN DE SUELOS DE SUBRASANTE Y CAPAS GRANULARES</v>
          </cell>
          <cell r="C54" t="str">
            <v>m2</v>
          </cell>
          <cell r="D54">
            <v>8271.0038839999997</v>
          </cell>
        </row>
        <row r="55">
          <cell r="A55" t="str">
            <v>232.1</v>
          </cell>
          <cell r="B55" t="str">
            <v xml:space="preserve">GEOTEXTIL PARA ESTABILIZACIÓN DE LA SUBRASANTE </v>
          </cell>
          <cell r="C55" t="str">
            <v>m2</v>
          </cell>
          <cell r="D55">
            <v>7529.1718840000003</v>
          </cell>
        </row>
        <row r="56">
          <cell r="A56" t="str">
            <v>233.1</v>
          </cell>
          <cell r="B56" t="str">
            <v>GEOMALLA PARA ESTABILIZACIÒN DE SUELOS DE SUBRASANTE</v>
          </cell>
          <cell r="C56" t="str">
            <v>m2</v>
          </cell>
          <cell r="D56">
            <v>11125.803884000001</v>
          </cell>
        </row>
        <row r="57">
          <cell r="A57" t="str">
            <v>233.10</v>
          </cell>
          <cell r="B57" t="str">
            <v>GEOMALLA PARA REFUERZO DE CAPAS GRANULARES</v>
          </cell>
          <cell r="C57" t="str">
            <v>m2</v>
          </cell>
          <cell r="D57">
            <v>21967.803883999997</v>
          </cell>
        </row>
        <row r="58">
          <cell r="A58" t="str">
            <v>234.1</v>
          </cell>
          <cell r="B58" t="str">
            <v>CONFORMACIÓN DE TALUDES EXISTENTES</v>
          </cell>
          <cell r="C58" t="str">
            <v>m2</v>
          </cell>
          <cell r="D58">
            <v>1124.8129100000001</v>
          </cell>
        </row>
        <row r="59">
          <cell r="A59" t="str">
            <v>235.1</v>
          </cell>
          <cell r="B59" t="str">
            <v>SUBRASANTE ESTABILIZADA CON CEMENTO (INCLUYE EL SUMINISTRO DE CEMENTO)</v>
          </cell>
          <cell r="C59" t="str">
            <v>m3</v>
          </cell>
          <cell r="D59">
            <v>63198.354885714289</v>
          </cell>
        </row>
        <row r="60">
          <cell r="A60" t="str">
            <v>235.10</v>
          </cell>
          <cell r="B60" t="str">
            <v>SUBRASANTE ESTABILIZADA CON CEMENTO (NO INCLUYE EL SUMINISTRO DE CEMENTO)</v>
          </cell>
          <cell r="C60" t="str">
            <v>m3</v>
          </cell>
          <cell r="D60">
            <v>14318.354885714285</v>
          </cell>
        </row>
        <row r="61">
          <cell r="A61" t="str">
            <v>235.11</v>
          </cell>
          <cell r="B61" t="str">
            <v>CEMENTO PARA ESTABILIZACION DE SUBRASANTE</v>
          </cell>
          <cell r="C61" t="str">
            <v>kg</v>
          </cell>
          <cell r="D61">
            <v>611</v>
          </cell>
        </row>
        <row r="62">
          <cell r="A62" t="str">
            <v>236.1</v>
          </cell>
          <cell r="B62" t="str">
            <v>SUBRASANTE ESTABILIZADA CON CAL (INCLUYE SUMINISTRO DE CAL)</v>
          </cell>
          <cell r="C62" t="str">
            <v>m3</v>
          </cell>
          <cell r="D62">
            <v>105838.35488571429</v>
          </cell>
        </row>
        <row r="63">
          <cell r="A63" t="str">
            <v>236.10</v>
          </cell>
          <cell r="B63" t="str">
            <v>SUBRASANTE ESTABILIZADA CON CAL (NO INCLUYE SUMINISTRO DE CAL)</v>
          </cell>
          <cell r="C63" t="str">
            <v>m3</v>
          </cell>
          <cell r="D63">
            <v>14318.354885714285</v>
          </cell>
        </row>
        <row r="64">
          <cell r="A64" t="str">
            <v>236.11</v>
          </cell>
          <cell r="B64" t="str">
            <v>CAL HIDRATADA PARA ESTABILIZACION DE SUBRASANTE</v>
          </cell>
          <cell r="C64" t="str">
            <v>kg</v>
          </cell>
          <cell r="D64">
            <v>1144</v>
          </cell>
        </row>
        <row r="65">
          <cell r="A65" t="str">
            <v>310.1</v>
          </cell>
          <cell r="B65" t="str">
            <v>CONFORMACIÓN DE LA CALZADA EXISTENTE</v>
          </cell>
          <cell r="C65" t="str">
            <v>m2</v>
          </cell>
          <cell r="D65">
            <v>954.93414250000012</v>
          </cell>
        </row>
        <row r="66">
          <cell r="A66" t="str">
            <v>311.1</v>
          </cell>
          <cell r="B66" t="str">
            <v>AFIRMADO</v>
          </cell>
          <cell r="C66" t="str">
            <v>m3</v>
          </cell>
          <cell r="D66">
            <v>46572.331577777775</v>
          </cell>
        </row>
        <row r="67">
          <cell r="A67" t="str">
            <v>312.1</v>
          </cell>
          <cell r="B67" t="str">
            <v>TRATAMIENTO PALIATIVO DE POLVO APLICADO EN FORMA SÓLIDA EN HOJUELAS</v>
          </cell>
          <cell r="C67" t="str">
            <v>Kg</v>
          </cell>
          <cell r="D67">
            <v>5122</v>
          </cell>
        </row>
        <row r="68">
          <cell r="A68" t="str">
            <v>312.2</v>
          </cell>
          <cell r="B68" t="str">
            <v>TRATAMIENTO PALIATIVO DE POLVO APLICADO EN FORMA SÓLIDA EN ESFERAS</v>
          </cell>
          <cell r="C68" t="str">
            <v>Kg</v>
          </cell>
          <cell r="D68">
            <v>4641</v>
          </cell>
        </row>
        <row r="69">
          <cell r="A69" t="str">
            <v>312.3</v>
          </cell>
          <cell r="B69" t="str">
            <v>TRATAMIENTO PALIATIVO DE POLVO APLICADO EN FORMA LÍQUIDA</v>
          </cell>
          <cell r="C69" t="str">
            <v>Lt</v>
          </cell>
          <cell r="D69">
            <v>1748.76</v>
          </cell>
        </row>
        <row r="70">
          <cell r="A70" t="str">
            <v>312.4</v>
          </cell>
          <cell r="B70" t="str">
            <v>MATERIAL GRANULAR DE ADICIÓN</v>
          </cell>
          <cell r="C70" t="str">
            <v>m3</v>
          </cell>
          <cell r="D70">
            <v>46564.955233333334</v>
          </cell>
        </row>
        <row r="71">
          <cell r="A71" t="str">
            <v>320.1</v>
          </cell>
          <cell r="B71" t="str">
            <v>SUBBASE GRANULAR CLASE A</v>
          </cell>
          <cell r="C71" t="str">
            <v>m3</v>
          </cell>
          <cell r="D71">
            <v>80723.75523333333</v>
          </cell>
        </row>
        <row r="72">
          <cell r="A72" t="str">
            <v>320.2</v>
          </cell>
          <cell r="B72" t="str">
            <v>SUBBASE GRANULAR CLASE B</v>
          </cell>
          <cell r="C72" t="str">
            <v>m3</v>
          </cell>
          <cell r="D72">
            <v>80723.75523333333</v>
          </cell>
        </row>
        <row r="73">
          <cell r="A73" t="str">
            <v>320.3</v>
          </cell>
          <cell r="B73" t="str">
            <v>SUBBASE GRANULAR CLASE C</v>
          </cell>
          <cell r="C73" t="str">
            <v>m3</v>
          </cell>
          <cell r="D73">
            <v>80723.75523333333</v>
          </cell>
        </row>
        <row r="74">
          <cell r="A74" t="str">
            <v>320.4</v>
          </cell>
          <cell r="B74" t="str">
            <v>SUB-BASE GRANULAR  PARA BACHEO CLASE A</v>
          </cell>
          <cell r="C74" t="str">
            <v>m3</v>
          </cell>
          <cell r="D74">
            <v>96120.83649999999</v>
          </cell>
        </row>
        <row r="75">
          <cell r="A75" t="str">
            <v>320.5</v>
          </cell>
          <cell r="B75" t="str">
            <v>SUB-BASE GRANULAR  PARA BACHEO CLASE B</v>
          </cell>
          <cell r="C75" t="str">
            <v>m3</v>
          </cell>
          <cell r="D75">
            <v>96120.83649999999</v>
          </cell>
        </row>
        <row r="76">
          <cell r="A76" t="str">
            <v>320.6</v>
          </cell>
          <cell r="B76" t="str">
            <v>SUB-BASE GRANULAR  PARA BACHEO CLASE C</v>
          </cell>
          <cell r="C76" t="str">
            <v>m3</v>
          </cell>
          <cell r="D76">
            <v>96120.83649999999</v>
          </cell>
        </row>
        <row r="77">
          <cell r="A77" t="str">
            <v>330.1</v>
          </cell>
          <cell r="B77" t="str">
            <v>BASE GRANULAR CLASE A</v>
          </cell>
          <cell r="C77" t="str">
            <v>m3</v>
          </cell>
          <cell r="D77">
            <v>83731.955233333341</v>
          </cell>
        </row>
        <row r="78">
          <cell r="A78" t="str">
            <v>330.2</v>
          </cell>
          <cell r="B78" t="str">
            <v>BASE GRANULAR CLASE B</v>
          </cell>
          <cell r="C78" t="str">
            <v>m3</v>
          </cell>
          <cell r="D78">
            <v>83731.955233333341</v>
          </cell>
        </row>
        <row r="79">
          <cell r="A79" t="str">
            <v>330.3</v>
          </cell>
          <cell r="B79" t="str">
            <v>BASE GRANULAR CLASE C</v>
          </cell>
          <cell r="C79" t="str">
            <v>m3</v>
          </cell>
          <cell r="D79">
            <v>83731.955233333341</v>
          </cell>
        </row>
        <row r="80">
          <cell r="A80" t="str">
            <v>330.4</v>
          </cell>
          <cell r="B80" t="str">
            <v>BASE GRANULAR PARA BACHEO CLASE A</v>
          </cell>
          <cell r="C80" t="str">
            <v>m3</v>
          </cell>
          <cell r="D80">
            <v>99129.036499999987</v>
          </cell>
        </row>
        <row r="81">
          <cell r="A81" t="str">
            <v>330.5</v>
          </cell>
          <cell r="B81" t="str">
            <v>BASE GRANULAR PARA BACHEO CLASE B</v>
          </cell>
          <cell r="C81" t="str">
            <v>m3</v>
          </cell>
          <cell r="D81">
            <v>99129.036499999987</v>
          </cell>
        </row>
        <row r="82">
          <cell r="A82" t="str">
            <v>330.6</v>
          </cell>
          <cell r="B82" t="str">
            <v>BASE GRANULAR PARA BACHEO CLASE C</v>
          </cell>
          <cell r="C82" t="str">
            <v>m3</v>
          </cell>
          <cell r="D82">
            <v>99129.036499999987</v>
          </cell>
        </row>
        <row r="83">
          <cell r="A83" t="str">
            <v>340.1</v>
          </cell>
          <cell r="B83" t="str">
            <v>BASE ESTABILIZADA CON EMULSIÓN ASFÁLTICA TIPO BEE-38</v>
          </cell>
          <cell r="C83" t="str">
            <v>m3</v>
          </cell>
          <cell r="D83">
            <v>84150.032850000003</v>
          </cell>
        </row>
        <row r="84">
          <cell r="A84" t="str">
            <v>340.2</v>
          </cell>
          <cell r="B84" t="str">
            <v xml:space="preserve"> BASE ESTABILIZADA CON EMULSIÓN ASFÁLTICA TIPO BEE-25</v>
          </cell>
          <cell r="C84" t="str">
            <v>m3</v>
          </cell>
          <cell r="D84">
            <v>84150.032850000003</v>
          </cell>
        </row>
        <row r="85">
          <cell r="A85" t="str">
            <v>340.3</v>
          </cell>
          <cell r="B85" t="str">
            <v>BASE ESTABILIZADA CON EMULSIÓN ASFÁLTICA TIPO BEE-5</v>
          </cell>
          <cell r="C85" t="str">
            <v>m3</v>
          </cell>
          <cell r="D85">
            <v>84150.032850000003</v>
          </cell>
        </row>
        <row r="86">
          <cell r="A86" t="str">
            <v>350.1</v>
          </cell>
          <cell r="B86" t="str">
            <v>SUELO-CEMENTO CLASE SC-D GRADACION TIPO A (INCLUYE SUMINISTRO DEL CEMENTO)</v>
          </cell>
          <cell r="C86" t="str">
            <v>m3</v>
          </cell>
          <cell r="D86">
            <v>136392.06634444444</v>
          </cell>
        </row>
        <row r="87">
          <cell r="A87" t="str">
            <v>350.2</v>
          </cell>
          <cell r="B87" t="str">
            <v>SUELO-CEMENTO CLASE SC-D GRADACION TIPO B (INCLUYE SUMINISTRO DEL CEMENTO)</v>
          </cell>
          <cell r="C87" t="str">
            <v>m3</v>
          </cell>
          <cell r="D87">
            <v>136392.06634444444</v>
          </cell>
        </row>
        <row r="88">
          <cell r="A88" t="str">
            <v>350.3</v>
          </cell>
          <cell r="B88" t="str">
            <v>SUELO-CEMENTO CLASE SC-R GRADACION TIPO A (INCLUYE SUMINISTRO DEL CEMENTO)</v>
          </cell>
          <cell r="C88" t="str">
            <v>m3</v>
          </cell>
          <cell r="D88">
            <v>136392.06634444444</v>
          </cell>
        </row>
        <row r="89">
          <cell r="A89" t="str">
            <v>350.4</v>
          </cell>
          <cell r="B89" t="str">
            <v>SUELO-CEMENTO CLASE SC-R GRADACION TIPO B (INCLUYE SUMINISTRO DEL CEMENTO)</v>
          </cell>
          <cell r="C89" t="str">
            <v>m3</v>
          </cell>
          <cell r="D89">
            <v>136392.06634444444</v>
          </cell>
        </row>
        <row r="90">
          <cell r="A90" t="str">
            <v>350.10</v>
          </cell>
          <cell r="B90" t="str">
            <v>SUELO-CEMENTO CLASE SC-D GRADACION TIPO A (NO INCLUYE SUMINISTRO DEL CEMENTO)</v>
          </cell>
          <cell r="C90" t="str">
            <v>m3</v>
          </cell>
          <cell r="D90">
            <v>81402.066344444451</v>
          </cell>
        </row>
        <row r="91">
          <cell r="A91" t="str">
            <v>350.11</v>
          </cell>
          <cell r="B91" t="str">
            <v>SUELO-CEMENTO CLASE SC-D GRADACION TIPO B (NO INCLUYE SUMINISTRO DEL CEMENTO)</v>
          </cell>
          <cell r="C91" t="str">
            <v>m3</v>
          </cell>
          <cell r="D91">
            <v>81402.066344444451</v>
          </cell>
        </row>
        <row r="92">
          <cell r="A92" t="str">
            <v>350.12</v>
          </cell>
          <cell r="B92" t="str">
            <v>SUELO-CEMENTO CLASE SC-R GRADACION TIPO A (NO INCLUYE SUMINISTRO DEL CEMENTO)</v>
          </cell>
          <cell r="C92" t="str">
            <v>m3</v>
          </cell>
          <cell r="D92">
            <v>81402.066344444451</v>
          </cell>
        </row>
        <row r="93">
          <cell r="A93" t="str">
            <v>350.13</v>
          </cell>
          <cell r="B93" t="str">
            <v>SUELO-CEMENTO CLASE SC-R GRADACION TIPO B (NO INCLUYE SUMINISTRO DEL CEMENTO)</v>
          </cell>
          <cell r="C93" t="str">
            <v>m3</v>
          </cell>
          <cell r="D93">
            <v>81402.066344444451</v>
          </cell>
        </row>
        <row r="94">
          <cell r="A94" t="str">
            <v>350.14</v>
          </cell>
          <cell r="B94" t="str">
            <v xml:space="preserve">CEMENTO HIDRAULICO PARA SUELO-CEMENTO </v>
          </cell>
          <cell r="C94" t="str">
            <v>Kg</v>
          </cell>
          <cell r="D94">
            <v>611</v>
          </cell>
        </row>
        <row r="95">
          <cell r="A95" t="str">
            <v>351.1</v>
          </cell>
          <cell r="B95" t="str">
            <v>BASE TRATADA CON CEMENTO RESISTENCIA R-3.5 (INCLUYE SUMINISTRO DE CEMENTO)</v>
          </cell>
          <cell r="C95" t="str">
            <v>m3</v>
          </cell>
          <cell r="D95">
            <v>136392.06634444444</v>
          </cell>
        </row>
        <row r="96">
          <cell r="A96" t="str">
            <v>351.2</v>
          </cell>
          <cell r="B96" t="str">
            <v>BASE TRATADA CON CEMENTO RESISTENCIA R-5.2 (INCLUYE SUMINISTRO DE CEMENTO)</v>
          </cell>
          <cell r="C96" t="str">
            <v>m3</v>
          </cell>
          <cell r="D96">
            <v>136392.06634444444</v>
          </cell>
        </row>
        <row r="97">
          <cell r="A97" t="str">
            <v>351.10</v>
          </cell>
          <cell r="B97" t="str">
            <v>BASE TRATADA CON CEMENTO RESISTENCIA R-3.5 (NO INCLUYE SUMINISTRO DE CEMENTO)</v>
          </cell>
          <cell r="C97" t="str">
            <v>m3</v>
          </cell>
          <cell r="D97">
            <v>81402.066344444451</v>
          </cell>
        </row>
        <row r="98">
          <cell r="A98" t="str">
            <v>351.11</v>
          </cell>
          <cell r="B98" t="str">
            <v>BASE TRATADA CON CEMENTO RESISTENCIA R-5.2 (NO INCLUYE SUMINISTRO DE CEMENTO)</v>
          </cell>
          <cell r="C98" t="str">
            <v>m3</v>
          </cell>
          <cell r="D98">
            <v>81402.066344444451</v>
          </cell>
        </row>
        <row r="99">
          <cell r="A99" t="str">
            <v>351.12</v>
          </cell>
          <cell r="B99" t="str">
            <v>CEMENTO HIDRAULICO PARA BASE TRATADA CON CEMENTO</v>
          </cell>
          <cell r="C99" t="str">
            <v>Kg</v>
          </cell>
          <cell r="D99">
            <v>611</v>
          </cell>
        </row>
        <row r="100">
          <cell r="A100" t="str">
            <v>410.1</v>
          </cell>
          <cell r="B100" t="str">
            <v>CEMENTO ASFÁLTICO DE PENETRACIÓN 40-50</v>
          </cell>
          <cell r="C100" t="str">
            <v>Kg</v>
          </cell>
          <cell r="D100">
            <v>2054</v>
          </cell>
        </row>
        <row r="101">
          <cell r="A101" t="str">
            <v>410.2</v>
          </cell>
          <cell r="B101" t="str">
            <v>CEMENTO ASFÁLTICO DE PENETRACIÓN 60-70.</v>
          </cell>
          <cell r="C101" t="str">
            <v>Kg</v>
          </cell>
          <cell r="D101">
            <v>2054</v>
          </cell>
        </row>
        <row r="102">
          <cell r="A102" t="str">
            <v>410.3</v>
          </cell>
          <cell r="B102" t="str">
            <v>CEMENTO ASFÁLTICO DE PENETRACIÓN 80-100</v>
          </cell>
          <cell r="C102" t="str">
            <v>kg</v>
          </cell>
          <cell r="D102">
            <v>2054</v>
          </cell>
        </row>
        <row r="103">
          <cell r="A103" t="str">
            <v>411.1</v>
          </cell>
          <cell r="B103" t="str">
            <v>SUMINISTRO DE EMULSIÓN ASFÁLTICA DE ROTURA MEDIA CRM.</v>
          </cell>
          <cell r="C103" t="str">
            <v>Lt</v>
          </cell>
          <cell r="D103">
            <v>2301</v>
          </cell>
        </row>
        <row r="104">
          <cell r="A104" t="str">
            <v>411.2</v>
          </cell>
          <cell r="B104" t="str">
            <v>EMULSIÓN ASFÁLTICA DE ROTURA LENTA CRL-1 ARD</v>
          </cell>
          <cell r="C104" t="str">
            <v>Lt</v>
          </cell>
          <cell r="D104">
            <v>2353</v>
          </cell>
        </row>
        <row r="105">
          <cell r="A105" t="str">
            <v>411.3</v>
          </cell>
          <cell r="B105" t="str">
            <v>EMULSIÓN ASFÁLTICA DE ROTURA LENTA CRL-1 ARB</v>
          </cell>
          <cell r="C105" t="str">
            <v>Lt</v>
          </cell>
          <cell r="D105">
            <v>2301</v>
          </cell>
        </row>
        <row r="106">
          <cell r="A106" t="str">
            <v>411.4</v>
          </cell>
          <cell r="B106" t="str">
            <v>SUMINISTRO DE EMULSIÓN ASFÁLTICA DE ROTURA LENTA CRL-1h</v>
          </cell>
          <cell r="C106" t="str">
            <v>Lt</v>
          </cell>
          <cell r="D106">
            <v>2301</v>
          </cell>
        </row>
        <row r="107">
          <cell r="A107" t="str">
            <v>413.1</v>
          </cell>
          <cell r="B107" t="str">
            <v xml:space="preserve">CEMENTO ASFALTICO CON GRANO DE CAUCHO RECICLADO TIPO I </v>
          </cell>
          <cell r="C107" t="str">
            <v>Kg</v>
          </cell>
          <cell r="D107">
            <v>3003</v>
          </cell>
        </row>
        <row r="108">
          <cell r="A108" t="str">
            <v>413.2</v>
          </cell>
          <cell r="B108" t="str">
            <v>CEMENTO ASFALTICO CON GRANO DE CAUCHO RECICLADO TIPO II</v>
          </cell>
          <cell r="C108" t="str">
            <v>Kg</v>
          </cell>
          <cell r="D108">
            <v>3003</v>
          </cell>
        </row>
        <row r="109">
          <cell r="A109" t="str">
            <v>413.3</v>
          </cell>
          <cell r="B109" t="str">
            <v>CEMENTO ASFALTICO CON GRANO DE CAUCHO RECICLADO TIPO  III</v>
          </cell>
          <cell r="C109" t="str">
            <v>Kg</v>
          </cell>
          <cell r="D109">
            <v>3003</v>
          </cell>
        </row>
        <row r="110">
          <cell r="A110" t="str">
            <v>414.1</v>
          </cell>
          <cell r="B110" t="str">
            <v>CEMENTO ASFÁLTICO MODIFICADO CON POLÍMEROS TIPO I</v>
          </cell>
          <cell r="C110" t="str">
            <v>Kg</v>
          </cell>
          <cell r="D110">
            <v>3692</v>
          </cell>
        </row>
        <row r="111">
          <cell r="A111" t="str">
            <v>414.2</v>
          </cell>
          <cell r="B111" t="str">
            <v>CEMENTO ASFÁLTICO MODIFICADO CON POLÍMEROS TIPO II A</v>
          </cell>
          <cell r="C111" t="str">
            <v>Kg</v>
          </cell>
          <cell r="D111">
            <v>3692</v>
          </cell>
        </row>
        <row r="112">
          <cell r="A112" t="str">
            <v>414.3</v>
          </cell>
          <cell r="B112" t="str">
            <v>CEMENTO ASFÁLTICO MODIFICADO CON POLÍMEROS TIPO II B</v>
          </cell>
          <cell r="C112" t="str">
            <v>Kg</v>
          </cell>
          <cell r="D112">
            <v>3692</v>
          </cell>
        </row>
        <row r="113">
          <cell r="A113" t="str">
            <v>414.4</v>
          </cell>
          <cell r="B113" t="str">
            <v>CEMENTO ASFÁLTICO MODIFICADO CON POLÍMEROS TIPO III</v>
          </cell>
          <cell r="C113" t="str">
            <v>Kg</v>
          </cell>
          <cell r="D113">
            <v>3692</v>
          </cell>
        </row>
        <row r="114">
          <cell r="A114" t="str">
            <v>414.5</v>
          </cell>
          <cell r="B114" t="str">
            <v>CEMENTO ASFÁLTICO MODIFICADO CON POLÍMEROS TIPO IV</v>
          </cell>
          <cell r="C114" t="str">
            <v>Kg</v>
          </cell>
          <cell r="D114">
            <v>3692</v>
          </cell>
        </row>
        <row r="115">
          <cell r="A115" t="str">
            <v>414.6</v>
          </cell>
          <cell r="B115" t="str">
            <v>CEMENTO ASFÁLTICO MODIFICADO CON POLÍMEROS TIPO V.</v>
          </cell>
          <cell r="C115" t="str">
            <v>Kg</v>
          </cell>
          <cell r="D115">
            <v>3692</v>
          </cell>
        </row>
        <row r="116">
          <cell r="A116" t="str">
            <v>415.1</v>
          </cell>
          <cell r="B116" t="str">
            <v>EMULSIÓN ASFÁLTICA DE ROTURA MEDIA, MODIFICADA CON POLÍMEROS, CRM-m</v>
          </cell>
          <cell r="C116" t="str">
            <v>Lt</v>
          </cell>
          <cell r="D116">
            <v>3068</v>
          </cell>
        </row>
        <row r="117">
          <cell r="A117" t="str">
            <v>420.1</v>
          </cell>
          <cell r="B117" t="str">
            <v>RIEGO DE IMPRIMACIÓN CON EMULSIÓN ASFÁLTICA CRL -0</v>
          </cell>
          <cell r="C117" t="str">
            <v>m2</v>
          </cell>
          <cell r="D117">
            <v>2754.4369710000001</v>
          </cell>
        </row>
        <row r="118">
          <cell r="A118" t="str">
            <v>420.2</v>
          </cell>
          <cell r="B118" t="str">
            <v>RIEGO DE IMPRIMACIÓN CON EMILSÍON ASFÁLTICA CRL-1</v>
          </cell>
          <cell r="C118" t="str">
            <v>m2</v>
          </cell>
          <cell r="D118">
            <v>2754.4369710000001</v>
          </cell>
        </row>
        <row r="119">
          <cell r="A119" t="str">
            <v>420.3</v>
          </cell>
          <cell r="B119" t="str">
            <v>RIEGO DE IMPRIMACIÓN CON ASFALTO LIQUIDO</v>
          </cell>
          <cell r="C119" t="str">
            <v>m2</v>
          </cell>
          <cell r="D119">
            <v>3745.036971</v>
          </cell>
        </row>
        <row r="120">
          <cell r="A120" t="str">
            <v>421.1</v>
          </cell>
          <cell r="B120" t="str">
            <v>RIEGO DE LIGA CON EMULSIÓN ASFÁLTICA CRR-1</v>
          </cell>
          <cell r="C120" t="str">
            <v>m2</v>
          </cell>
          <cell r="D120">
            <v>1488.8869709999999</v>
          </cell>
        </row>
        <row r="121">
          <cell r="A121" t="str">
            <v>421.2</v>
          </cell>
          <cell r="B121" t="str">
            <v>RIEGO DE LIGA CON EMULSIÓN ASFÁLTICA CRR-2</v>
          </cell>
          <cell r="C121" t="str">
            <v>m2</v>
          </cell>
          <cell r="D121">
            <v>1488.8869709999999</v>
          </cell>
        </row>
        <row r="122">
          <cell r="A122" t="str">
            <v>421.3</v>
          </cell>
          <cell r="B122" t="str">
            <v xml:space="preserve"> RIEGO DE LIGA CON EMULSIÓN MODIFICADA CON POLÍMEROS CRR- 1m</v>
          </cell>
          <cell r="C122" t="str">
            <v>m2</v>
          </cell>
          <cell r="D122">
            <v>1488.8869709999999</v>
          </cell>
        </row>
        <row r="123">
          <cell r="A123" t="str">
            <v>421.4</v>
          </cell>
          <cell r="B123" t="str">
            <v xml:space="preserve"> RIEGO DE LIGA CON EMULSIÓN MODIFICADA CON POLÍMEROS CRR- 2m</v>
          </cell>
          <cell r="C123" t="str">
            <v>m2</v>
          </cell>
          <cell r="D123">
            <v>1488.8869709999999</v>
          </cell>
        </row>
        <row r="124">
          <cell r="A124" t="str">
            <v>430.1.1</v>
          </cell>
          <cell r="B124" t="str">
            <v>TRATAMIENTO SUPERFICIAL SIMPLE CON EMULSIÓN CRR-2 GRADACION 19</v>
          </cell>
          <cell r="C124" t="str">
            <v>m2</v>
          </cell>
          <cell r="D124">
            <v>7142.8410706249997</v>
          </cell>
        </row>
        <row r="125">
          <cell r="A125" t="str">
            <v>430.1.2</v>
          </cell>
          <cell r="B125" t="str">
            <v>TRATAMIENTO SUPERFICIAL SIMPLE CON EMULSIÓN CRR-2 GRADACION 13</v>
          </cell>
          <cell r="C125" t="str">
            <v>m2</v>
          </cell>
          <cell r="D125">
            <v>5854.3590706249997</v>
          </cell>
        </row>
        <row r="126">
          <cell r="A126" t="str">
            <v>430.2.1</v>
          </cell>
          <cell r="B126" t="str">
            <v>TRATAMIENTO SUPERFICIAL SIMPLE CON EMULSIÓN CRR-2 m GRADACION 19</v>
          </cell>
          <cell r="C126" t="str">
            <v>m2</v>
          </cell>
          <cell r="D126">
            <v>7142.8410706249997</v>
          </cell>
        </row>
        <row r="127">
          <cell r="A127" t="str">
            <v>430.2.2</v>
          </cell>
          <cell r="B127" t="str">
            <v>TRATAMIENTO SUPERFICIAL SIMPLE CON EMULSIÓN CRR-2m  GRADACION 13</v>
          </cell>
          <cell r="C127" t="str">
            <v>m2</v>
          </cell>
          <cell r="D127">
            <v>5854.3590706249997</v>
          </cell>
        </row>
        <row r="128">
          <cell r="A128" t="str">
            <v>431.1.1</v>
          </cell>
          <cell r="B128" t="str">
            <v>TRATAMIENTO SUPERFICIAL DOBLE CON EMULSIÓN CRR-2. TIPO 1</v>
          </cell>
          <cell r="C128" t="str">
            <v>m2</v>
          </cell>
          <cell r="D128">
            <v>14934.973193636364</v>
          </cell>
        </row>
        <row r="129">
          <cell r="A129" t="str">
            <v>431.1.2</v>
          </cell>
          <cell r="B129" t="str">
            <v>TRATAMIENTO SUPERFICIAL DOBLE CON EMULSIÓN CRR-2. TIPO 2</v>
          </cell>
          <cell r="C129" t="str">
            <v>m2</v>
          </cell>
          <cell r="D129">
            <v>11840.245193636363</v>
          </cell>
        </row>
        <row r="130">
          <cell r="A130" t="str">
            <v>431.2.1</v>
          </cell>
          <cell r="B130" t="str">
            <v>TRATAMIENTO SUPERFICIAL DOBLE CON EMULSIÓN CRR-2 m TIPO 1</v>
          </cell>
          <cell r="C130" t="str">
            <v>m2</v>
          </cell>
          <cell r="D130">
            <v>14934.973193636364</v>
          </cell>
        </row>
        <row r="131">
          <cell r="A131" t="str">
            <v>431.2.2</v>
          </cell>
          <cell r="B131" t="str">
            <v>TRATAMIENTO SUPERFICIAL DOBLE CON EMULSIÓN CRR-2 m TIPO 2</v>
          </cell>
          <cell r="C131" t="str">
            <v>m2</v>
          </cell>
          <cell r="D131">
            <v>11840.245193636363</v>
          </cell>
        </row>
        <row r="132">
          <cell r="A132" t="str">
            <v>432.1</v>
          </cell>
          <cell r="B132" t="str">
            <v>SELLO DE ARENA-ASFALTO CON EMULSIÓN CRR-2</v>
          </cell>
          <cell r="C132" t="str">
            <v>m2</v>
          </cell>
          <cell r="D132">
            <v>4450.4860962918665</v>
          </cell>
        </row>
        <row r="133">
          <cell r="A133" t="str">
            <v>432.2</v>
          </cell>
          <cell r="B133" t="str">
            <v>SELLO DE ARENA-ASFALTO CON EMULSIÓN CRR-2m</v>
          </cell>
          <cell r="C133" t="str">
            <v>m2</v>
          </cell>
          <cell r="D133">
            <v>4450.4860962918665</v>
          </cell>
        </row>
        <row r="134">
          <cell r="A134" t="str">
            <v>433.1</v>
          </cell>
          <cell r="B134" t="str">
            <v>LECHADA ASFÁLTICA CON EMULSIÓN CRL-1H, TIPO LA-13</v>
          </cell>
          <cell r="C134" t="str">
            <v>m2</v>
          </cell>
          <cell r="D134">
            <v>5040.7895470833337</v>
          </cell>
        </row>
        <row r="135">
          <cell r="A135" t="str">
            <v>433.2</v>
          </cell>
          <cell r="B135" t="str">
            <v>LECHADA ASFÁLTICA CON EMULSIÓN CRL-1H, TIPO LA-10</v>
          </cell>
          <cell r="C135" t="str">
            <v>m2</v>
          </cell>
          <cell r="D135">
            <v>4657.1367970833326</v>
          </cell>
        </row>
        <row r="136">
          <cell r="A136" t="str">
            <v>433.3</v>
          </cell>
          <cell r="B136" t="str">
            <v>LECHADA ASFÁLTICA CON EMULSIÓN CRL-1H, TIPO LA-5</v>
          </cell>
          <cell r="C136" t="str">
            <v>m2</v>
          </cell>
          <cell r="D136">
            <v>5345.7110470833331</v>
          </cell>
        </row>
        <row r="137">
          <cell r="A137" t="str">
            <v>433.4</v>
          </cell>
          <cell r="B137" t="str">
            <v>LECHADA ASFÁLTICA CON EMULSIÓN CRL-1H, TIPO LA-3</v>
          </cell>
          <cell r="C137" t="str">
            <v>m2</v>
          </cell>
          <cell r="D137">
            <v>3451.2827970833328</v>
          </cell>
        </row>
        <row r="138">
          <cell r="A138" t="str">
            <v>433.5</v>
          </cell>
          <cell r="B138" t="str">
            <v>LECHADA ASFÁLTICA CON EMULSIÓN CRL-1HM ,TIPO LA-13</v>
          </cell>
          <cell r="C138" t="str">
            <v>m2</v>
          </cell>
          <cell r="D138">
            <v>5040.7895470833337</v>
          </cell>
        </row>
        <row r="139">
          <cell r="A139" t="str">
            <v>433.6</v>
          </cell>
          <cell r="B139" t="str">
            <v>LECHADA ASFÁLTICA CON EMULSIÓN CRL-1HM ,TIPO LA-10</v>
          </cell>
          <cell r="C139" t="str">
            <v>m2</v>
          </cell>
          <cell r="D139">
            <v>4657.1367970833326</v>
          </cell>
        </row>
        <row r="140">
          <cell r="A140" t="str">
            <v>433.7</v>
          </cell>
          <cell r="B140" t="str">
            <v>LECHADA ASFÁLTICA CON EMULSIÓN CRL-1HM ,TIPO LA-5</v>
          </cell>
          <cell r="C140" t="str">
            <v>m2</v>
          </cell>
          <cell r="D140">
            <v>5345.7110470833331</v>
          </cell>
        </row>
        <row r="141">
          <cell r="A141" t="str">
            <v>433.8</v>
          </cell>
          <cell r="B141" t="str">
            <v>LECHADA ASFÁLTICA CON EMULSIÓN CRL-1HM ,TIPO LA-3</v>
          </cell>
          <cell r="C141" t="str">
            <v>m2</v>
          </cell>
          <cell r="D141">
            <v>3451.2827970833328</v>
          </cell>
        </row>
        <row r="142">
          <cell r="A142" t="str">
            <v>440.1</v>
          </cell>
          <cell r="B142" t="str">
            <v>MEZCLA DENSA EN FRÍO TIPO MDF-38</v>
          </cell>
          <cell r="C142" t="str">
            <v>m3</v>
          </cell>
          <cell r="D142">
            <v>214629.53236111114</v>
          </cell>
        </row>
        <row r="143">
          <cell r="A143" t="str">
            <v>440.2</v>
          </cell>
          <cell r="B143" t="str">
            <v>MEZCLA DENSA EN FRÍO TIPO MDF-25</v>
          </cell>
          <cell r="C143" t="str">
            <v>m3</v>
          </cell>
          <cell r="D143">
            <v>214629.53236111114</v>
          </cell>
        </row>
        <row r="144">
          <cell r="A144" t="str">
            <v>440.3</v>
          </cell>
          <cell r="B144" t="str">
            <v>MEZCLA DENSA EN FRÍO TIPO MDF-19</v>
          </cell>
          <cell r="C144" t="str">
            <v>m3</v>
          </cell>
          <cell r="D144">
            <v>214629.53236111114</v>
          </cell>
        </row>
        <row r="145">
          <cell r="A145" t="str">
            <v>440.4</v>
          </cell>
          <cell r="B145" t="str">
            <v>MEZCLA DENSA EN FRÍO PARA BACHEO</v>
          </cell>
          <cell r="C145" t="str">
            <v>m3</v>
          </cell>
          <cell r="D145">
            <v>235404.35285714283</v>
          </cell>
        </row>
        <row r="146">
          <cell r="A146" t="str">
            <v>441.1</v>
          </cell>
          <cell r="B146" t="str">
            <v>MEZCLA ABIERTA EN FRÍO TIPO MAF-19</v>
          </cell>
          <cell r="C146" t="str">
            <v>m3</v>
          </cell>
          <cell r="D146">
            <v>214629.53236111114</v>
          </cell>
        </row>
        <row r="147">
          <cell r="A147" t="str">
            <v>441.2</v>
          </cell>
          <cell r="B147" t="str">
            <v>MEZCLA ABIERTA EN FRÍO TIPO MAF-25</v>
          </cell>
          <cell r="C147" t="str">
            <v>m3</v>
          </cell>
          <cell r="D147">
            <v>214629.53236111114</v>
          </cell>
        </row>
        <row r="148">
          <cell r="A148" t="str">
            <v>441.3</v>
          </cell>
          <cell r="B148" t="str">
            <v>MEZCLA ABIERTA EN FRÍO TIPO MAF-38</v>
          </cell>
          <cell r="C148" t="str">
            <v>m3</v>
          </cell>
          <cell r="D148">
            <v>214629.53236111114</v>
          </cell>
        </row>
        <row r="149">
          <cell r="A149" t="str">
            <v>441.4</v>
          </cell>
          <cell r="B149" t="str">
            <v>MEZCLA ABIERTA EN FRÍO  TIPO MAF-38 PARA BACHEO</v>
          </cell>
          <cell r="C149" t="str">
            <v>m3</v>
          </cell>
          <cell r="D149">
            <v>236103.10285714283</v>
          </cell>
        </row>
        <row r="150">
          <cell r="A150" t="str">
            <v>450.1</v>
          </cell>
          <cell r="B150" t="str">
            <v>MEZCLA DENSA EN CALIENTE TIPO MDC-25</v>
          </cell>
          <cell r="C150" t="str">
            <v>m3</v>
          </cell>
          <cell r="D150">
            <v>245223.41079166671</v>
          </cell>
        </row>
        <row r="151">
          <cell r="A151" t="str">
            <v>450.2</v>
          </cell>
          <cell r="B151" t="str">
            <v>MEZCLA DENSA EN CALIENTE TIPO MDC-19</v>
          </cell>
          <cell r="C151" t="str">
            <v>m3</v>
          </cell>
          <cell r="D151">
            <v>245223.41079166671</v>
          </cell>
        </row>
        <row r="152">
          <cell r="A152" t="str">
            <v>450.3</v>
          </cell>
          <cell r="B152" t="str">
            <v>MEZCLA DENSA EN CALIENTE TIPO MDC-10</v>
          </cell>
          <cell r="C152" t="str">
            <v>m3</v>
          </cell>
          <cell r="D152">
            <v>245223.41079166671</v>
          </cell>
        </row>
        <row r="153">
          <cell r="A153" t="str">
            <v>450.4</v>
          </cell>
          <cell r="B153" t="str">
            <v>MEZCLA SEMIDENSA EN CALIENTE TIPO MSC-25</v>
          </cell>
          <cell r="C153" t="str">
            <v>m3</v>
          </cell>
          <cell r="D153">
            <v>245223.41079166671</v>
          </cell>
        </row>
        <row r="154">
          <cell r="A154" t="str">
            <v>450.5</v>
          </cell>
          <cell r="B154" t="str">
            <v>MEZCLA SEMIDENSA EN CALIENTE TIPO MSC-19</v>
          </cell>
          <cell r="C154" t="str">
            <v>m3</v>
          </cell>
          <cell r="D154">
            <v>245223.41079166671</v>
          </cell>
        </row>
        <row r="155">
          <cell r="A155" t="str">
            <v>450.6</v>
          </cell>
          <cell r="B155" t="str">
            <v>MEZCLA GRUESA EN CALIENTE TIPO MGC-38</v>
          </cell>
          <cell r="C155" t="str">
            <v>m3</v>
          </cell>
          <cell r="D155">
            <v>245223.41079166671</v>
          </cell>
        </row>
        <row r="156">
          <cell r="A156" t="str">
            <v>450.7</v>
          </cell>
          <cell r="B156" t="str">
            <v>MEZCLA GRUESA EN CALIENTE TIPO MGC-25</v>
          </cell>
          <cell r="C156" t="str">
            <v>m3</v>
          </cell>
          <cell r="D156">
            <v>245223.41079166671</v>
          </cell>
        </row>
        <row r="157">
          <cell r="A157" t="str">
            <v>450.8</v>
          </cell>
          <cell r="B157" t="str">
            <v>MEZCLA DE ALTO MÓDULO MAM-25</v>
          </cell>
          <cell r="C157" t="str">
            <v>m3</v>
          </cell>
          <cell r="D157">
            <v>245223.41079166671</v>
          </cell>
        </row>
        <row r="158">
          <cell r="A158" t="str">
            <v>450.10</v>
          </cell>
          <cell r="B158" t="str">
            <v>MEZCLA EN CALIENTE PARA BACHEO MSC-25</v>
          </cell>
          <cell r="C158" t="str">
            <v>m3</v>
          </cell>
          <cell r="D158">
            <v>283061.53236111114</v>
          </cell>
        </row>
        <row r="159">
          <cell r="A159" t="str">
            <v>450.11</v>
          </cell>
          <cell r="B159" t="str">
            <v>MEZCLA EN CALIENTE PARA BACHEO MGC-25</v>
          </cell>
          <cell r="C159" t="str">
            <v>m3</v>
          </cell>
          <cell r="D159">
            <v>283061.53236111114</v>
          </cell>
        </row>
        <row r="160">
          <cell r="A160" t="str">
            <v>450.12</v>
          </cell>
          <cell r="B160" t="str">
            <v>MEZCLA EN CALIENTE PARA BACHEO MGC-38</v>
          </cell>
          <cell r="C160" t="str">
            <v>m3</v>
          </cell>
          <cell r="D160">
            <v>283061.53236111114</v>
          </cell>
        </row>
        <row r="161">
          <cell r="A161" t="str">
            <v>451.1</v>
          </cell>
          <cell r="B161" t="str">
            <v>MEZCLA ABIERTA EN CALIENTE TIPO MAC-75</v>
          </cell>
          <cell r="C161" t="str">
            <v>m3</v>
          </cell>
          <cell r="D161">
            <v>245223.41079166671</v>
          </cell>
        </row>
        <row r="162">
          <cell r="A162" t="str">
            <v>451.2</v>
          </cell>
          <cell r="B162" t="str">
            <v>MEZCLA ABIERTA EN CALIENTE TIPO MAC-63</v>
          </cell>
          <cell r="C162" t="str">
            <v>m3</v>
          </cell>
          <cell r="D162">
            <v>245223.41079166671</v>
          </cell>
        </row>
        <row r="163">
          <cell r="A163" t="str">
            <v>451.3</v>
          </cell>
          <cell r="B163" t="str">
            <v>MEZCLA ABIERTA EN CALIENTE TIPO MAC-50</v>
          </cell>
          <cell r="C163" t="str">
            <v>m3</v>
          </cell>
          <cell r="D163">
            <v>245223.41079166671</v>
          </cell>
        </row>
        <row r="164">
          <cell r="A164" t="str">
            <v>451.4</v>
          </cell>
          <cell r="B164" t="str">
            <v>MEZCLA ABIERTA EN CALIENTE TIPO MAC -50 PARA BACHEO</v>
          </cell>
          <cell r="C164" t="str">
            <v>m3</v>
          </cell>
          <cell r="D164">
            <v>283061.53236111114</v>
          </cell>
        </row>
        <row r="165">
          <cell r="A165" t="str">
            <v>452.1</v>
          </cell>
          <cell r="B165" t="str">
            <v>MEZCLA DISCONTINUA EN CALIENTE TIPO M-13</v>
          </cell>
          <cell r="C165" t="str">
            <v>m3</v>
          </cell>
          <cell r="D165">
            <v>245223.41079166671</v>
          </cell>
        </row>
        <row r="166">
          <cell r="A166" t="str">
            <v>452.2</v>
          </cell>
          <cell r="B166" t="str">
            <v>MEZCLA DISCONTINUA EN CALIENTE TIPO M-10</v>
          </cell>
          <cell r="C166" t="str">
            <v>m3</v>
          </cell>
          <cell r="D166">
            <v>245223.41079166671</v>
          </cell>
        </row>
        <row r="167">
          <cell r="A167" t="str">
            <v>452.3</v>
          </cell>
          <cell r="B167" t="str">
            <v>MEZCLA DISCONTINUA EN CALIENTE TIPO F-13</v>
          </cell>
          <cell r="C167" t="str">
            <v>m3</v>
          </cell>
          <cell r="D167">
            <v>245223.41079166671</v>
          </cell>
        </row>
        <row r="168">
          <cell r="A168" t="str">
            <v>452.4</v>
          </cell>
          <cell r="B168" t="str">
            <v>MEZCLA DISCONTINUA EN CALIENTE TIPO F-10</v>
          </cell>
          <cell r="C168" t="str">
            <v>m3</v>
          </cell>
          <cell r="D168">
            <v>245223.41079166671</v>
          </cell>
        </row>
        <row r="169">
          <cell r="A169" t="str">
            <v>453.1</v>
          </cell>
          <cell r="B169" t="str">
            <v>MEZCLA DRENANTE</v>
          </cell>
          <cell r="C169" t="str">
            <v>m3</v>
          </cell>
          <cell r="D169">
            <v>246102.66795833333</v>
          </cell>
        </row>
        <row r="170">
          <cell r="A170" t="str">
            <v>460.1</v>
          </cell>
          <cell r="B170" t="str">
            <v>FRESADO DE PAVIMENTO ASFÁLTICO EN ESPESOR DE  10 CM</v>
          </cell>
          <cell r="C170" t="str">
            <v>m2</v>
          </cell>
          <cell r="D170">
            <v>5513.2899033333342</v>
          </cell>
        </row>
        <row r="171">
          <cell r="A171" t="str">
            <v>460.2</v>
          </cell>
          <cell r="B171" t="str">
            <v>FRESADO DE PAVIMENTO ASFÁLTICO EN ESPESOR DE 5 CM</v>
          </cell>
          <cell r="C171" t="str">
            <v>m2</v>
          </cell>
          <cell r="D171">
            <v>2756.6449516666671</v>
          </cell>
        </row>
        <row r="172">
          <cell r="A172" t="str">
            <v>461.1</v>
          </cell>
          <cell r="B172" t="str">
            <v>PAVIMENTO RECICLADO EN FRÍO EN EL LUGAR CON EMULSIÓN ASFÁLTICA</v>
          </cell>
          <cell r="C172" t="str">
            <v>m3</v>
          </cell>
          <cell r="D172">
            <v>93304.05283333335</v>
          </cell>
        </row>
        <row r="173">
          <cell r="A173" t="str">
            <v>461.2</v>
          </cell>
          <cell r="B173" t="str">
            <v>PAVIMENTO RECICLADO EN FRÍO EN EL LUGAR CON CEMENTO ASFÁLTICO ESPUMADO</v>
          </cell>
          <cell r="C173" t="str">
            <v>m3</v>
          </cell>
          <cell r="D173">
            <v>113688.21749999998</v>
          </cell>
        </row>
        <row r="174">
          <cell r="A174" t="str">
            <v>462.1.1</v>
          </cell>
          <cell r="B174" t="str">
            <v>MEZCLA ASFALTICA RECICLADA EN CALIENTE DE TIPO MDC-25</v>
          </cell>
          <cell r="C174" t="str">
            <v>m3</v>
          </cell>
          <cell r="D174">
            <v>139818.10483333335</v>
          </cell>
        </row>
        <row r="175">
          <cell r="A175" t="str">
            <v>462.1.2</v>
          </cell>
          <cell r="B175" t="str">
            <v>MEZCLA ASFALTICA RECICLADA EN CALIENTE DE TIPO MDC-19</v>
          </cell>
          <cell r="C175" t="str">
            <v>m3</v>
          </cell>
          <cell r="D175">
            <v>139818.10483333335</v>
          </cell>
        </row>
        <row r="176">
          <cell r="A176" t="str">
            <v>462.2.1</v>
          </cell>
          <cell r="B176" t="str">
            <v>MEZCLA ASFALTICA RECICLADA EN CALIENTE DE TIPO MDC-25 PARA BACHEO</v>
          </cell>
          <cell r="C176" t="str">
            <v>m3</v>
          </cell>
          <cell r="D176">
            <v>153756.09339999998</v>
          </cell>
        </row>
        <row r="177">
          <cell r="A177" t="str">
            <v>462.2.2</v>
          </cell>
          <cell r="B177" t="str">
            <v>MEZCLA ASFALTICA RECICLADA EN CALIENTE DE TIPO MDC-19  PARA BACHEO</v>
          </cell>
          <cell r="C177" t="str">
            <v>m3</v>
          </cell>
          <cell r="D177">
            <v>153756.09339999998</v>
          </cell>
        </row>
        <row r="178">
          <cell r="A178" t="str">
            <v>464.1</v>
          </cell>
          <cell r="B178" t="str">
            <v>GEOTEXTIL PARA REPAVIMENTACIÒN</v>
          </cell>
          <cell r="C178" t="str">
            <v>m2</v>
          </cell>
          <cell r="D178">
            <v>7462.4827679999999</v>
          </cell>
        </row>
        <row r="179">
          <cell r="A179" t="str">
            <v>465.1</v>
          </cell>
          <cell r="B179" t="str">
            <v>EXCAVACIÓN PARA REPARACIÓN DE PAVIMENTO ASFÁLTICO EXISTENTE INCLUYENDO EL CORTE Y LA REMOCIÒN DE LAS CAPAS ASFALTICAS SUBYACENTES</v>
          </cell>
          <cell r="C179" t="str">
            <v>m3</v>
          </cell>
          <cell r="D179">
            <v>89921.552500000005</v>
          </cell>
        </row>
        <row r="180">
          <cell r="A180" t="str">
            <v>465.2</v>
          </cell>
          <cell r="B180" t="str">
            <v>EXCAVACIÒN PARA LA REPARACIÒN DE PAVIMENTO ASFALTICO EXISTENTE EXCLUYENDO EL CORTE Y LA REMOCIÒN DE LAS CAPAS ASFALTICAS Y DE LAS SUBYACENTES.</v>
          </cell>
          <cell r="C180" t="str">
            <v>m3</v>
          </cell>
          <cell r="D180">
            <v>30637.145499999999</v>
          </cell>
        </row>
        <row r="181">
          <cell r="A181" t="str">
            <v>466.1</v>
          </cell>
          <cell r="B181" t="str">
            <v>SELLO DE GRIETAS EN PAVIMENTO ASFÁLTICO SIN RUTEO.</v>
          </cell>
          <cell r="C181" t="str">
            <v>m</v>
          </cell>
          <cell r="D181">
            <v>3333.5071250000001</v>
          </cell>
        </row>
        <row r="182">
          <cell r="A182" t="str">
            <v>466.2</v>
          </cell>
          <cell r="B182" t="str">
            <v>SELLO DE GRIETAS EN PAVIMENTO ASFÁLTICO CON RUTEO.</v>
          </cell>
          <cell r="C182" t="str">
            <v>m</v>
          </cell>
          <cell r="D182">
            <v>3926.7361249999999</v>
          </cell>
        </row>
        <row r="183">
          <cell r="A183" t="str">
            <v>500.1</v>
          </cell>
          <cell r="B183" t="str">
            <v>PAVIMENTO DE CONCRETO HIDRÁULICO.</v>
          </cell>
          <cell r="C183" t="str">
            <v>m3</v>
          </cell>
          <cell r="D183">
            <v>589376.72117037035</v>
          </cell>
        </row>
        <row r="184">
          <cell r="A184" t="str">
            <v>500.2</v>
          </cell>
          <cell r="B184" t="str">
            <v>PAVIMENTO DE CONCRETO HIDRÁULICO DE FRAGUADO RAPIDO (FAST TRACK)</v>
          </cell>
          <cell r="C184" t="str">
            <v>m3</v>
          </cell>
          <cell r="D184">
            <v>613109.52117037028</v>
          </cell>
        </row>
        <row r="185">
          <cell r="A185" t="str">
            <v>501.1</v>
          </cell>
          <cell r="B185" t="str">
            <v>CEMENTO PORTHLAND, NORMA ASTM C150, TIPO ______ . SE DEBE ELABORAR UN ITEM DE PAGO PARA CADA TIPO DE CEMENTO QUE SE ESPECIFIQUE EN LOS DOCUMENTOS DEL CONTRATO.</v>
          </cell>
          <cell r="C185" t="str">
            <v>kg</v>
          </cell>
          <cell r="D185">
            <v>806</v>
          </cell>
        </row>
        <row r="186">
          <cell r="A186" t="str">
            <v>501.10</v>
          </cell>
          <cell r="B186" t="str">
            <v>CEMENTO HIDRAULICO  SDICIONADO, NORMA ASTM C595, TIPO ______ SE DEBE ELABORAR UN ITEM DE PAGO PARA CADA TIPO DE CEMENTO QUE SE ESPECIFIQUE EN LOS DOCUMENTOS DEL CONTRATO</v>
          </cell>
          <cell r="C186" t="str">
            <v>kg</v>
          </cell>
          <cell r="D186">
            <v>845</v>
          </cell>
        </row>
        <row r="187">
          <cell r="A187" t="str">
            <v>501.20</v>
          </cell>
          <cell r="B187" t="str">
            <v xml:space="preserve">CEMENTO HIDRAULICO ESPECIFICADO POR DESEMPEÑO, NORMA ASTM C1137, TIPO ______ .SE DEBE ELABORAR UN ITEM DE PAGO PARA CADA TIPO DE CEMENTO QUE SE ESPECIFIQUE EN LOS DOCUMENTOS DEL CONTRATO. </v>
          </cell>
          <cell r="C187" t="str">
            <v>kg</v>
          </cell>
          <cell r="D187">
            <v>611</v>
          </cell>
        </row>
        <row r="188">
          <cell r="A188" t="str">
            <v>505.1</v>
          </cell>
          <cell r="B188" t="str">
            <v xml:space="preserve">BASE DE CONCRETO HIDRÁULICO </v>
          </cell>
          <cell r="C188" t="str">
            <v>m3</v>
          </cell>
          <cell r="D188">
            <v>533079.83118924394</v>
          </cell>
        </row>
        <row r="189">
          <cell r="A189" t="str">
            <v>510.1</v>
          </cell>
          <cell r="B189" t="str">
            <v>PAVIMENTO DE ADOQUINES DE CONCRETO.</v>
          </cell>
          <cell r="C189" t="str">
            <v>m2</v>
          </cell>
          <cell r="D189">
            <v>83951.19200000001</v>
          </cell>
        </row>
        <row r="190">
          <cell r="A190" t="str">
            <v>600.1.1</v>
          </cell>
          <cell r="B190" t="str">
            <v>EXCAVACIONES VARIAS SIN CLASIFICAR</v>
          </cell>
          <cell r="C190" t="str">
            <v>m3</v>
          </cell>
          <cell r="D190">
            <v>17786.928157142858</v>
          </cell>
        </row>
        <row r="191">
          <cell r="A191" t="str">
            <v>600.2.1</v>
          </cell>
          <cell r="B191" t="str">
            <v>EXCAVACIONES VARIAS EN ROCA EN SECO.</v>
          </cell>
          <cell r="C191" t="str">
            <v>m3</v>
          </cell>
          <cell r="D191">
            <v>102145.255265625</v>
          </cell>
        </row>
        <row r="192">
          <cell r="A192" t="str">
            <v>600.2.2</v>
          </cell>
          <cell r="B192" t="str">
            <v>EXCAVACIONES VARIAS EN ROCA BAJO AGUA.</v>
          </cell>
          <cell r="C192" t="str">
            <v>m3</v>
          </cell>
          <cell r="D192">
            <v>140637.75440000001</v>
          </cell>
        </row>
        <row r="193">
          <cell r="A193" t="str">
            <v>600.2.3</v>
          </cell>
          <cell r="B193" t="str">
            <v>EXCAVACIONES VARIAS EN MATERIAL COMUN EN SECO</v>
          </cell>
          <cell r="C193" t="str">
            <v>m3</v>
          </cell>
          <cell r="D193">
            <v>16199.071014285713</v>
          </cell>
        </row>
        <row r="194">
          <cell r="A194" t="str">
            <v>600.2.4</v>
          </cell>
          <cell r="B194" t="str">
            <v>EXCAVACIONES VARIAS EN MATERIAL COMÚN BAJO AGUA.</v>
          </cell>
          <cell r="C194" t="str">
            <v>m3</v>
          </cell>
          <cell r="D194">
            <v>20990.842166666665</v>
          </cell>
        </row>
        <row r="195">
          <cell r="A195" t="str">
            <v>610.1</v>
          </cell>
          <cell r="B195" t="str">
            <v>RELLENOS PARA ESTRUCTURAS CON SUELO.</v>
          </cell>
          <cell r="C195" t="str">
            <v>m3</v>
          </cell>
          <cell r="D195">
            <v>60427.968250000005</v>
          </cell>
        </row>
        <row r="196">
          <cell r="A196" t="str">
            <v>610.2</v>
          </cell>
          <cell r="B196" t="str">
            <v>RELLENOS PARA ESTRUCTURAS CON RECEBO.</v>
          </cell>
          <cell r="C196" t="str">
            <v>m3</v>
          </cell>
          <cell r="D196">
            <v>58433.768250000008</v>
          </cell>
        </row>
        <row r="197">
          <cell r="A197" t="str">
            <v>610.3</v>
          </cell>
          <cell r="B197" t="str">
            <v>RELLENO PARA ESTRUCTURAS CON MATERIAL GRANULAR TIPO SBG</v>
          </cell>
          <cell r="C197" t="str">
            <v>m3</v>
          </cell>
          <cell r="D197">
            <v>84121.768250000008</v>
          </cell>
        </row>
        <row r="198">
          <cell r="A198" t="str">
            <v>610.4</v>
          </cell>
          <cell r="B198" t="str">
            <v>RELLENO PARA ESTRUCTURAS CON MATERIAL GRANULAR TIPO BG</v>
          </cell>
          <cell r="C198" t="str">
            <v>m3</v>
          </cell>
          <cell r="D198">
            <v>89512.86825</v>
          </cell>
        </row>
        <row r="199">
          <cell r="A199" t="str">
            <v>610.5</v>
          </cell>
          <cell r="B199" t="str">
            <v>RELLENOS CON MATERIAL FILTRANTE</v>
          </cell>
          <cell r="C199" t="str">
            <v>m3</v>
          </cell>
          <cell r="D199">
            <v>92758.968250000005</v>
          </cell>
        </row>
        <row r="200">
          <cell r="A200" t="str">
            <v>610.6</v>
          </cell>
          <cell r="B200" t="str">
            <v>RELLENO CON GRAVILLA</v>
          </cell>
          <cell r="C200" t="str">
            <v>m3</v>
          </cell>
          <cell r="D200">
            <v>108847.76825000001</v>
          </cell>
        </row>
        <row r="201">
          <cell r="A201" t="str">
            <v>610.7</v>
          </cell>
          <cell r="B201" t="str">
            <v>RELLENO CON ARENA</v>
          </cell>
          <cell r="C201" t="str">
            <v>m3</v>
          </cell>
          <cell r="D201">
            <v>65140.445500000002</v>
          </cell>
        </row>
        <row r="202">
          <cell r="A202" t="str">
            <v>620.1</v>
          </cell>
          <cell r="B202" t="str">
            <v>PILOTES PREFABRICADOS DE CONCRETO DIÁMETRO 0,40 M</v>
          </cell>
          <cell r="C202" t="str">
            <v>m</v>
          </cell>
          <cell r="D202">
            <v>309791.32506921439</v>
          </cell>
        </row>
        <row r="203">
          <cell r="A203" t="str">
            <v>620.2</v>
          </cell>
          <cell r="B203" t="str">
            <v>EXTENSION DE PILOTES, SECCION, 0.40 METROS</v>
          </cell>
          <cell r="C203" t="str">
            <v>m</v>
          </cell>
          <cell r="D203">
            <v>309791.32506921439</v>
          </cell>
        </row>
        <row r="204">
          <cell r="A204" t="str">
            <v>620.3</v>
          </cell>
          <cell r="B204" t="str">
            <v>PRUEBA DE CARGA TIPO ________ SE DEBERA ELABORA R ITEMS DE PAGO INDEPENDIENTE POR CADA TIPO DE PRUEBA.</v>
          </cell>
          <cell r="C204" t="str">
            <v>Unidad</v>
          </cell>
          <cell r="D204">
            <v>49043943.604576409</v>
          </cell>
        </row>
        <row r="205">
          <cell r="A205" t="str">
            <v>621.1.1</v>
          </cell>
          <cell r="B205" t="str">
            <v>PILOTE DE CONCRETO VACIADO IN SITU, DE DIÁMETRO 1 M_</v>
          </cell>
          <cell r="C205" t="str">
            <v>m</v>
          </cell>
          <cell r="D205">
            <v>2172282.3132125265</v>
          </cell>
        </row>
        <row r="206">
          <cell r="A206" t="str">
            <v>621.1.2</v>
          </cell>
          <cell r="B206" t="str">
            <v>PILOTE DE CONCRETO VACIADO IN SITU, DE DIÁMETRO 1,2 M, INCLUYE EXCAVACIÓN EN ROCA, BAJO AGUA</v>
          </cell>
          <cell r="C206" t="str">
            <v>m</v>
          </cell>
          <cell r="D206">
            <v>3238997.0085144877</v>
          </cell>
        </row>
        <row r="207">
          <cell r="A207" t="str">
            <v>621.2</v>
          </cell>
          <cell r="B207" t="str">
            <v>BASE ACAMPANADA.</v>
          </cell>
          <cell r="C207" t="str">
            <v>m3</v>
          </cell>
          <cell r="D207">
            <v>2314983.3078124998</v>
          </cell>
        </row>
        <row r="208">
          <cell r="A208" t="str">
            <v>621.3</v>
          </cell>
          <cell r="B208" t="str">
            <v>PERFORACION DE PRUEBA PARA PILOTE, D= VARIABLE</v>
          </cell>
          <cell r="C208" t="str">
            <v>m</v>
          </cell>
          <cell r="D208">
            <v>44062842.688800007</v>
          </cell>
        </row>
        <row r="209">
          <cell r="A209" t="str">
            <v>621.4</v>
          </cell>
          <cell r="B209" t="str">
            <v>PERFORACION DE PRUEBA PARA BASE ACAMPANADA</v>
          </cell>
          <cell r="C209" t="str">
            <v>m3</v>
          </cell>
          <cell r="D209">
            <v>35208542.6888</v>
          </cell>
        </row>
        <row r="210">
          <cell r="A210" t="str">
            <v>621.5</v>
          </cell>
          <cell r="B210" t="str">
            <v>CAMISA PERMANENTE DE DIÁMETRO EXTERIOR VARIABLE</v>
          </cell>
          <cell r="C210" t="str">
            <v>m</v>
          </cell>
          <cell r="D210">
            <v>3739393.4722864842</v>
          </cell>
        </row>
        <row r="211">
          <cell r="A211" t="str">
            <v>621.5.1</v>
          </cell>
          <cell r="B211" t="str">
            <v>CAMISA PERMANENTE DE DIÁMETRO EXTERIOR 1,50 M, EN CONCRETO</v>
          </cell>
          <cell r="C211" t="str">
            <v>m</v>
          </cell>
          <cell r="D211">
            <v>532368.44913435774</v>
          </cell>
        </row>
        <row r="212">
          <cell r="A212" t="str">
            <v>621.6</v>
          </cell>
          <cell r="B212" t="str">
            <v>PRUEBA DE CARGA TIPO (PILOTE PRE EXCAVADO)</v>
          </cell>
          <cell r="C212" t="str">
            <v>Unidad</v>
          </cell>
          <cell r="D212">
            <v>45758095.967999995</v>
          </cell>
        </row>
        <row r="213">
          <cell r="A213" t="str">
            <v>621.7</v>
          </cell>
          <cell r="B213" t="str">
            <v>PRUEBA DE INTEGRIDAD TIPO ____</v>
          </cell>
          <cell r="C213" t="str">
            <v>Unidad</v>
          </cell>
          <cell r="D213">
            <v>1985281.2387211625</v>
          </cell>
        </row>
        <row r="214">
          <cell r="A214" t="str">
            <v>622.1</v>
          </cell>
          <cell r="B214" t="str">
            <v>TABLESTACADO DE MADERA</v>
          </cell>
          <cell r="C214" t="str">
            <v>m2</v>
          </cell>
          <cell r="D214">
            <v>77696.046458333338</v>
          </cell>
        </row>
        <row r="215">
          <cell r="A215" t="str">
            <v>622.2</v>
          </cell>
          <cell r="B215" t="str">
            <v>TABLESTACADO METÁLICO.</v>
          </cell>
          <cell r="C215" t="str">
            <v>m2</v>
          </cell>
          <cell r="D215">
            <v>389138.07075000007</v>
          </cell>
        </row>
        <row r="216">
          <cell r="A216" t="str">
            <v>622.3</v>
          </cell>
          <cell r="B216" t="str">
            <v>TABLESTACADO DE CONCRETO REFORZADO.</v>
          </cell>
          <cell r="C216" t="str">
            <v>m2</v>
          </cell>
          <cell r="D216">
            <v>765706.48375000013</v>
          </cell>
        </row>
        <row r="217">
          <cell r="A217" t="str">
            <v>622.4</v>
          </cell>
          <cell r="B217" t="str">
            <v>TABLESTACADO DE CONCRETO PRE ESFORZADO.</v>
          </cell>
          <cell r="C217" t="str">
            <v>m2</v>
          </cell>
          <cell r="D217">
            <v>800388.53375000006</v>
          </cell>
        </row>
        <row r="218">
          <cell r="A218" t="str">
            <v>622.5</v>
          </cell>
          <cell r="B218" t="str">
            <v>CORTE DEL EXTREMO SUPERIOR DEL ELEMENTO.</v>
          </cell>
          <cell r="C218" t="str">
            <v>m</v>
          </cell>
          <cell r="D218">
            <v>89596.300211220558</v>
          </cell>
        </row>
        <row r="219">
          <cell r="A219" t="str">
            <v>623.1</v>
          </cell>
          <cell r="B219" t="str">
            <v>ANCLAJE TIPO _____ (ROCA)</v>
          </cell>
          <cell r="C219" t="str">
            <v>m</v>
          </cell>
          <cell r="D219">
            <v>423784.17666666664</v>
          </cell>
        </row>
        <row r="220">
          <cell r="A220" t="str">
            <v>623.2</v>
          </cell>
          <cell r="B220" t="str">
            <v>PRUEBA DE CARGA</v>
          </cell>
          <cell r="C220" t="str">
            <v>unidad</v>
          </cell>
          <cell r="D220">
            <v>2572265.0616071583</v>
          </cell>
        </row>
        <row r="221">
          <cell r="A221" t="str">
            <v>630.1</v>
          </cell>
          <cell r="B221" t="str">
            <v xml:space="preserve">CONCRETO RESISTENCIA 35MPA (A) </v>
          </cell>
          <cell r="C221" t="str">
            <v>m3</v>
          </cell>
          <cell r="D221">
            <v>1080874.234375</v>
          </cell>
        </row>
        <row r="222">
          <cell r="A222" t="str">
            <v>630.2</v>
          </cell>
          <cell r="B222" t="str">
            <v>CONCRETO RESISTENCIA 32MPA (B)</v>
          </cell>
          <cell r="C222" t="str">
            <v>m3</v>
          </cell>
          <cell r="D222">
            <v>904707.92749999999</v>
          </cell>
        </row>
        <row r="223">
          <cell r="A223" t="str">
            <v>630.3</v>
          </cell>
          <cell r="B223" t="str">
            <v>CONCRETO RESISTENCIA 28MPA (C )</v>
          </cell>
          <cell r="C223" t="str">
            <v>m3</v>
          </cell>
          <cell r="D223">
            <v>609511.72750000004</v>
          </cell>
        </row>
        <row r="224">
          <cell r="A224" t="str">
            <v>630.4</v>
          </cell>
          <cell r="B224" t="str">
            <v>CONCRETO RESISTENCIA 21MPA (D)</v>
          </cell>
          <cell r="C224" t="str">
            <v>m3</v>
          </cell>
          <cell r="D224">
            <v>544160.72750000004</v>
          </cell>
        </row>
        <row r="225">
          <cell r="A225" t="str">
            <v>630.5</v>
          </cell>
          <cell r="B225" t="str">
            <v>CONCRETO RESISTENCIA 17.5MPA (E )</v>
          </cell>
          <cell r="C225" t="str">
            <v>m3</v>
          </cell>
          <cell r="D225">
            <v>429728.56875000003</v>
          </cell>
        </row>
        <row r="226">
          <cell r="A226" t="str">
            <v>630.6</v>
          </cell>
          <cell r="B226" t="str">
            <v>CONCRETO RESISTENCIA 14MPA  (F)</v>
          </cell>
          <cell r="C226" t="str">
            <v>m3</v>
          </cell>
          <cell r="D226">
            <v>365722.28875000007</v>
          </cell>
        </row>
        <row r="227">
          <cell r="A227" t="str">
            <v>630.7</v>
          </cell>
          <cell r="B227" t="str">
            <v>CONCRETO RESISTENCIA 14MPA (G) (CICLOPEO)</v>
          </cell>
          <cell r="C227" t="str">
            <v>m3</v>
          </cell>
          <cell r="D227">
            <v>263551.58700000006</v>
          </cell>
        </row>
        <row r="228">
          <cell r="A228" t="str">
            <v>632.1</v>
          </cell>
          <cell r="B228" t="str">
            <v>BARANDA DE CONCRETO, COCRETO 21 MPA</v>
          </cell>
          <cell r="C228" t="str">
            <v>m</v>
          </cell>
          <cell r="D228">
            <v>338279.99400000001</v>
          </cell>
        </row>
        <row r="229">
          <cell r="A229" t="str">
            <v>632.2</v>
          </cell>
          <cell r="B229" t="str">
            <v>BARANDA DE CONCRETO CONCRETO 28 MPA.</v>
          </cell>
          <cell r="C229" t="str">
            <v>m</v>
          </cell>
          <cell r="D229">
            <v>339544.53</v>
          </cell>
        </row>
        <row r="230">
          <cell r="A230" t="str">
            <v>640.1</v>
          </cell>
          <cell r="B230" t="str">
            <v>ACERO DE REFUERZO FY 4200 MPA.</v>
          </cell>
          <cell r="C230" t="str">
            <v>kg</v>
          </cell>
          <cell r="D230">
            <v>6963.092630000001</v>
          </cell>
        </row>
        <row r="231">
          <cell r="A231" t="str">
            <v>640.2</v>
          </cell>
          <cell r="B231" t="str">
            <v>MALLA DE REFUERZO FY 4200 MPA.</v>
          </cell>
          <cell r="C231" t="str">
            <v>kg</v>
          </cell>
          <cell r="D231">
            <v>7044.9926300000006</v>
          </cell>
        </row>
        <row r="232">
          <cell r="A232" t="str">
            <v>641.1</v>
          </cell>
          <cell r="B232" t="str">
            <v>ACERO DE PREESFUERZO.</v>
          </cell>
          <cell r="C232" t="str">
            <v>tf/m</v>
          </cell>
          <cell r="D232">
            <v>1690.1037283582091</v>
          </cell>
        </row>
        <row r="233">
          <cell r="A233" t="str">
            <v>641.2</v>
          </cell>
          <cell r="B233" t="str">
            <v>ACERO DE PREESFUERZO.</v>
          </cell>
          <cell r="C233" t="str">
            <v>kg</v>
          </cell>
          <cell r="D233">
            <v>34675.913728358209</v>
          </cell>
        </row>
        <row r="234">
          <cell r="A234" t="str">
            <v>642.1</v>
          </cell>
          <cell r="B234" t="str">
            <v>APOYO ELASTOMÉRICO.</v>
          </cell>
          <cell r="C234" t="str">
            <v>Unidad</v>
          </cell>
          <cell r="D234">
            <v>488035.34284375003</v>
          </cell>
        </row>
        <row r="235">
          <cell r="A235" t="str">
            <v>642.2</v>
          </cell>
          <cell r="B235" t="str">
            <v>SELLO PARA JUNTAS DE PUENTES.</v>
          </cell>
          <cell r="C235" t="str">
            <v>m</v>
          </cell>
          <cell r="D235">
            <v>44091.329100000003</v>
          </cell>
        </row>
        <row r="236">
          <cell r="A236" t="str">
            <v>650.1</v>
          </cell>
          <cell r="B236" t="str">
            <v>DISEÑO Y FABRICACIÓN DE ESTRUCTURA METÁLICA.</v>
          </cell>
          <cell r="C236" t="str">
            <v>kg</v>
          </cell>
          <cell r="D236">
            <v>12965.316739375001</v>
          </cell>
        </row>
        <row r="237">
          <cell r="A237" t="str">
            <v>650.2</v>
          </cell>
          <cell r="B237" t="str">
            <v>FABRICACIÓN DE ESTRUCTURA METÁLICA.</v>
          </cell>
          <cell r="C237" t="str">
            <v>kg</v>
          </cell>
          <cell r="D237">
            <v>10667.195686874999</v>
          </cell>
        </row>
        <row r="238">
          <cell r="A238" t="str">
            <v>650.3</v>
          </cell>
          <cell r="B238" t="str">
            <v>TRANSPORTE DE ESTRUCTURA METÁLICA.</v>
          </cell>
          <cell r="C238" t="str">
            <v>kg</v>
          </cell>
          <cell r="D238">
            <v>455</v>
          </cell>
        </row>
        <row r="239">
          <cell r="A239" t="str">
            <v>650.4</v>
          </cell>
          <cell r="B239" t="str">
            <v>MONTAJE Y PINTURA  DE ESTRUCTURA METÁLICA.</v>
          </cell>
          <cell r="C239" t="str">
            <v>kg</v>
          </cell>
          <cell r="D239">
            <v>4181.0536868750005</v>
          </cell>
        </row>
        <row r="240">
          <cell r="A240" t="str">
            <v>660.1</v>
          </cell>
          <cell r="B240" t="str">
            <v>TUBERÍA DE CONCRETO SIMPLE 14 MPA DE 450 MM DE DIAMETRO INTERIOR. SE DEBERA ELABORAR ITEM DE PAGO POR CADA CLASE DE TUBERIA DE CONCRETO SIMPLE Y CADA DIAMETRO QUE TENGAN LAS TUBERIAS DEL PROYECTO.</v>
          </cell>
          <cell r="C240" t="str">
            <v>m2</v>
          </cell>
          <cell r="D240">
            <v>311016.70437499997</v>
          </cell>
        </row>
        <row r="241">
          <cell r="A241" t="str">
            <v>660.2</v>
          </cell>
          <cell r="B241" t="str">
            <v xml:space="preserve">TUBERÍA DE CONCRETO SIMPLE DE 14 MPA DE 600 MM D DIAMETRO INTERIOR. SE DEBERA ELABORAR ITEM DE PAGO POR CADA CLASE DE TUBERIA DE CONCRETO SIMPLE Y CADA DIAMETRO QUE TENGAN LAS TUBERIAS DEL PROYECTO.CONCRETO SIMPLE Y CADA DIAMETRO QUE TENGAN LAS TUBERIAS </v>
          </cell>
          <cell r="C241" t="str">
            <v>m</v>
          </cell>
          <cell r="D241">
            <v>357161.30937500001</v>
          </cell>
        </row>
        <row r="242">
          <cell r="A242" t="str">
            <v>661.1</v>
          </cell>
          <cell r="B242" t="str">
            <v>TUBERÍA DE CONCRETO REFORZADO  21 MPA DE 900 MM DE DIAMETRO INTERIOR</v>
          </cell>
          <cell r="C242" t="str">
            <v>m</v>
          </cell>
          <cell r="D242">
            <v>649743.49916666676</v>
          </cell>
        </row>
        <row r="243">
          <cell r="A243" t="str">
            <v>662.1</v>
          </cell>
          <cell r="B243" t="str">
            <v>TUBERÍA CORRUGADA DE ACERO GALVANIZADO MP-68, DE LÁMINA CALIBRE__ Y DIAMETRO __</v>
          </cell>
          <cell r="C243" t="str">
            <v>m</v>
          </cell>
          <cell r="D243">
            <v>1587903.5249999999</v>
          </cell>
        </row>
        <row r="244">
          <cell r="A244" t="str">
            <v>662.2</v>
          </cell>
          <cell r="B244" t="str">
            <v>TUBERÍA CORRUGADA DE ACERO CON RECUBRIMIENTO BITUMINOSO, DE LÁMINA CALIBRE 12  Y D=60´´</v>
          </cell>
          <cell r="C244" t="str">
            <v>m</v>
          </cell>
          <cell r="D244">
            <v>1607750.1916666669</v>
          </cell>
        </row>
        <row r="245">
          <cell r="A245" t="str">
            <v>663.1</v>
          </cell>
          <cell r="B245" t="str">
            <v>TUBERÍA DE PLASTICO TIPO__NORMA___DE DIAMETRO__MM</v>
          </cell>
          <cell r="C245" t="str">
            <v>m</v>
          </cell>
          <cell r="D245">
            <v>3485.3227499999998</v>
          </cell>
        </row>
        <row r="246">
          <cell r="A246" t="str">
            <v>670.1</v>
          </cell>
          <cell r="B246" t="str">
            <v>DISIPADORES DE ENERGÍA Y SEDIMENTADORES EN GAVIONES DE ALAMBRE DE ACERO ENTRELAZADO CLASE 1: RECUBRIMIENTO DE ZINC (GALVANIZADO)</v>
          </cell>
          <cell r="C246" t="str">
            <v>m3</v>
          </cell>
          <cell r="D246">
            <v>250109.68124999999</v>
          </cell>
        </row>
        <row r="247">
          <cell r="A247" t="str">
            <v>670.2</v>
          </cell>
          <cell r="B247" t="str">
            <v>DISIPADORES DE ENERGÍA Y SEDIMENTADORES EN GAVIONES DE ALAMBRE DE ACERO ENTRELAZADO CLASE 2: RECUBRIMIENTO DE ALEACION ZN-5A1-MM</v>
          </cell>
          <cell r="C247" t="str">
            <v>m3</v>
          </cell>
          <cell r="D247">
            <v>281231.68125000002</v>
          </cell>
        </row>
        <row r="248">
          <cell r="A248" t="str">
            <v>670.3</v>
          </cell>
          <cell r="B248" t="str">
            <v>DISIPADORES DE ENERGÍA Y SEDIMENTADORES EN GAVIONES DE ALAMBRE DE ACERO ENTRELAZADO CLASE 3: RECUBRIMIENTO DE ZINC (GALVANIZADO) Y PVC</v>
          </cell>
          <cell r="C248" t="str">
            <v>m3</v>
          </cell>
          <cell r="D248">
            <v>288908.18125000002</v>
          </cell>
        </row>
        <row r="249">
          <cell r="A249" t="str">
            <v>670.4</v>
          </cell>
          <cell r="B249" t="str">
            <v>DISIPADORES DE ENERGÍA Y SEDIMENTADORES EN GAVIONES DE ALAMBRE DE ACERO ENTRELAZADO CLASE 4: RECUBRIMIENTO DE ALEACION ZN-5A1-MM Y PVC</v>
          </cell>
          <cell r="C249" t="str">
            <v>m3</v>
          </cell>
          <cell r="D249">
            <v>288908.18125000002</v>
          </cell>
        </row>
        <row r="250">
          <cell r="A250" t="str">
            <v>670.5</v>
          </cell>
          <cell r="B250" t="str">
            <v>DISIPADORES DE ENERGÍA Y SEDIMENTADORES EN CONCRETO CICLOPEO</v>
          </cell>
          <cell r="C250" t="str">
            <v>m3</v>
          </cell>
          <cell r="D250">
            <v>299828.20075000002</v>
          </cell>
        </row>
        <row r="251">
          <cell r="A251" t="str">
            <v>671.1</v>
          </cell>
          <cell r="B251" t="str">
            <v>CUNETA DE CONCRETO VACIADA IN SITU; NO INCLUYE LA CONFORMACION DE LA SUPERFICIE DE APOYO</v>
          </cell>
          <cell r="C251" t="str">
            <v>m3</v>
          </cell>
          <cell r="D251">
            <v>476777.04749999993</v>
          </cell>
        </row>
        <row r="252">
          <cell r="A252" t="str">
            <v>671.2</v>
          </cell>
          <cell r="B252" t="str">
            <v>CUNETA DE PIEZAS PREFABRICADAS DE CONCRETO; NO INCLUYE LA CONFORMACION DE LA SUPERFICIE DE APOYO</v>
          </cell>
          <cell r="C252" t="str">
            <v>m</v>
          </cell>
          <cell r="D252">
            <v>45914.538799999995</v>
          </cell>
        </row>
        <row r="253">
          <cell r="A253" t="str">
            <v>671.3</v>
          </cell>
          <cell r="B253" t="str">
            <v>CUNETA DE CONCRETO VACIADA IN SITU; INCLUYE LA CONFORMACION DE LA SUPERFICIE DE APOYO</v>
          </cell>
          <cell r="C253" t="str">
            <v>m3</v>
          </cell>
          <cell r="D253">
            <v>518288.73849999998</v>
          </cell>
        </row>
        <row r="254">
          <cell r="A254" t="str">
            <v>671.4</v>
          </cell>
          <cell r="B254" t="str">
            <v>CUNETA DE PIEZAS PREFABRICADAS DE CONCRETO; INCLUYE LA CONFORMACION DE LA SUPERFICIE DE APOYO</v>
          </cell>
          <cell r="C254" t="str">
            <v>m</v>
          </cell>
          <cell r="D254">
            <v>49240.118200000004</v>
          </cell>
        </row>
        <row r="255">
          <cell r="A255" t="str">
            <v>672.1</v>
          </cell>
          <cell r="B255" t="str">
            <v>BORDILLO DE CONCRETO VACIADO IN SITU; NO INCLUYE LA PREPARACION DE LA SUPERFICIE DE APOYO</v>
          </cell>
          <cell r="C255" t="str">
            <v>m</v>
          </cell>
          <cell r="D255">
            <v>36674.062749999997</v>
          </cell>
        </row>
        <row r="256">
          <cell r="A256" t="str">
            <v>672.2</v>
          </cell>
          <cell r="B256" t="str">
            <v>BORDILLO DE PIEZAS PREFABRICADAS DE CONCRETO; NO INCLUYE LA PREPARACION DE LA SUPERFICIE DE APOYO</v>
          </cell>
          <cell r="C256" t="str">
            <v>m</v>
          </cell>
          <cell r="D256">
            <v>43020.088799999998</v>
          </cell>
        </row>
        <row r="257">
          <cell r="A257" t="str">
            <v>672.3</v>
          </cell>
          <cell r="B257" t="str">
            <v>BORDILLO DE CONCRETO VACIADO IN SITU; INCLUYE LA PREPARACION DE LA SUPERFICIE DE APOYO</v>
          </cell>
          <cell r="C257" t="str">
            <v>m</v>
          </cell>
          <cell r="D257">
            <v>38400.909300000007</v>
          </cell>
        </row>
        <row r="258">
          <cell r="A258" t="str">
            <v>672.4</v>
          </cell>
          <cell r="B258" t="str">
            <v>BORDILLO DE PIEZAS PREFABRICADAS DE CONCRETO; INCLUYE LA PREPARACION DE LA SUPERFICIE DE APOYO</v>
          </cell>
          <cell r="C258" t="str">
            <v>m</v>
          </cell>
          <cell r="D258">
            <v>38400.909300000007</v>
          </cell>
        </row>
        <row r="259">
          <cell r="A259" t="str">
            <v>673.1.1</v>
          </cell>
          <cell r="B259" t="str">
            <v>GEOTEXTIL TIPO NT-2500 O SIMILAR NO TEJIDO</v>
          </cell>
          <cell r="C259" t="str">
            <v>m2</v>
          </cell>
          <cell r="D259">
            <v>6801.3871250000002</v>
          </cell>
        </row>
        <row r="260">
          <cell r="A260" t="str">
            <v>673.1.2</v>
          </cell>
          <cell r="B260" t="str">
            <v>GEOTEXTIL  TIPO T-2400 O SIMILAR TEJIDO</v>
          </cell>
          <cell r="C260" t="str">
            <v>m2</v>
          </cell>
          <cell r="D260">
            <v>7916.7871250000017</v>
          </cell>
        </row>
        <row r="261">
          <cell r="A261" t="str">
            <v>673.2</v>
          </cell>
          <cell r="B261" t="str">
            <v>MATERIAL GRANULAR DRENANTE</v>
          </cell>
          <cell r="C261" t="str">
            <v>m3</v>
          </cell>
          <cell r="D261">
            <v>78005.774600000019</v>
          </cell>
        </row>
        <row r="262">
          <cell r="A262" t="str">
            <v>673.3</v>
          </cell>
          <cell r="B262" t="str">
            <v>MATERIAL DE COBERTURA TIPO SUB- BASE CBR=20%</v>
          </cell>
          <cell r="C262" t="str">
            <v>m3</v>
          </cell>
          <cell r="D262">
            <v>77172.734166666676</v>
          </cell>
        </row>
        <row r="263">
          <cell r="A263" t="str">
            <v>674.1</v>
          </cell>
          <cell r="B263" t="str">
            <v>DREN HORIZONTAL DE LONGITUD MENOR O IGUAL A DIEZ (10) METROS.</v>
          </cell>
          <cell r="C263" t="str">
            <v>m</v>
          </cell>
          <cell r="D263">
            <v>105457.36825</v>
          </cell>
        </row>
        <row r="264">
          <cell r="A264" t="str">
            <v>674.2</v>
          </cell>
          <cell r="B264" t="str">
            <v>DREN HORIZONTAL DE LONGITUD MAYOR A DIEZ (10) METROS.</v>
          </cell>
          <cell r="C264" t="str">
            <v>m</v>
          </cell>
          <cell r="D264">
            <v>197139.98199999999</v>
          </cell>
        </row>
        <row r="265">
          <cell r="A265" t="str">
            <v>680.1</v>
          </cell>
          <cell r="B265" t="str">
            <v>PÁNELES DE CONCRETO.</v>
          </cell>
          <cell r="C265" t="str">
            <v>m2</v>
          </cell>
          <cell r="D265">
            <v>152408.78504347824</v>
          </cell>
        </row>
        <row r="266">
          <cell r="A266" t="str">
            <v>680.2</v>
          </cell>
          <cell r="B266" t="str">
            <v>ARMADURA GALVANIZADA.</v>
          </cell>
          <cell r="C266" t="str">
            <v>m</v>
          </cell>
          <cell r="D266">
            <v>11104.258099999999</v>
          </cell>
        </row>
        <row r="267">
          <cell r="A267" t="str">
            <v>680.3</v>
          </cell>
          <cell r="B267" t="str">
            <v xml:space="preserve">RELLENO GRANULAR PARA TIERRA MECANICAMETE ESTABILIZADA CON PÁNELES DE CONCRETO </v>
          </cell>
          <cell r="C267" t="str">
            <v>m3</v>
          </cell>
          <cell r="D267">
            <v>61852.502291666664</v>
          </cell>
        </row>
        <row r="268">
          <cell r="A268" t="str">
            <v>681.1</v>
          </cell>
          <cell r="B268" t="str">
            <v xml:space="preserve">GAVIÓNES DE MALLA DE ALAMBRE DE ACERO ENTRELAZADO  CLASE 1; RECUBRIMIENTO DE ZINC (GALVANIZADO) </v>
          </cell>
          <cell r="C268" t="str">
            <v>m3</v>
          </cell>
          <cell r="D268">
            <v>157193.53650000002</v>
          </cell>
        </row>
        <row r="269">
          <cell r="A269" t="str">
            <v>681.2</v>
          </cell>
          <cell r="B269" t="str">
            <v>GAVIÓN DE MALLA DE ALAMBRE DE ACERO ENTRELAZADO  CLASE 2; RECUBRIMIENTO DE ALEACION ZN-5A1-MM</v>
          </cell>
          <cell r="C269" t="str">
            <v>m3</v>
          </cell>
          <cell r="D269">
            <v>188315.53650000002</v>
          </cell>
        </row>
        <row r="270">
          <cell r="A270" t="str">
            <v>681.3</v>
          </cell>
          <cell r="B270" t="str">
            <v>GAVIÓN DE MALLA DE ALAMBRE DE ACERO ENTRELAZADO  CLASE 3; RECUBRIMIENTO DE ZINC (GALVANIZADO) Y PVC</v>
          </cell>
          <cell r="C270" t="str">
            <v>m3</v>
          </cell>
          <cell r="D270">
            <v>195992.03650000002</v>
          </cell>
        </row>
        <row r="271">
          <cell r="A271" t="str">
            <v>681.4</v>
          </cell>
          <cell r="B271" t="str">
            <v>GAVIÓN DE MALLA DE ALAMBRE DE ACERO ETRELAZADO  CLASE 4; RECUBRIMIENTO DE ALEACION ZN-5A1-MM Y PVC</v>
          </cell>
          <cell r="C271" t="str">
            <v>m3</v>
          </cell>
          <cell r="D271">
            <v>195992.03650000002</v>
          </cell>
        </row>
        <row r="272">
          <cell r="A272" t="str">
            <v>682.1</v>
          </cell>
          <cell r="B272" t="str">
            <v xml:space="preserve">COLCHOGAVIÓN DE MALLA DE ALAMBRE DE ACERO ENTRELAZADO CLASE 1; RECUBRIMIENTO DE ZINC (GALVANIZADO) </v>
          </cell>
          <cell r="C272" t="str">
            <v>m3</v>
          </cell>
          <cell r="D272">
            <v>200002.53650000002</v>
          </cell>
        </row>
        <row r="273">
          <cell r="A273" t="str">
            <v>682.2</v>
          </cell>
          <cell r="B273" t="str">
            <v>COLCHOGAVIÓN DE MALLA DE ALAMBRE DE ACERO ENTRELAZADO CLASE 2; RECUBRIMIENTO DE ALEACION ZN-5A1-MM</v>
          </cell>
          <cell r="C273" t="str">
            <v>m3</v>
          </cell>
          <cell r="D273">
            <v>200002.53650000002</v>
          </cell>
        </row>
        <row r="274">
          <cell r="A274" t="str">
            <v>682.3</v>
          </cell>
          <cell r="B274" t="str">
            <v>COLCHOGAVIÓN DE MALLA DE ALAMBRE DE ACERO ENTRELAZADO CLASE 3; RECUBRIMIENTO DE ZINC (GALVANIZADO) Y PVC</v>
          </cell>
          <cell r="C274" t="str">
            <v>m3</v>
          </cell>
          <cell r="D274">
            <v>200002.53650000002</v>
          </cell>
        </row>
        <row r="275">
          <cell r="A275" t="str">
            <v>682.4</v>
          </cell>
          <cell r="B275" t="str">
            <v>COLCHOGAVIÓN DE MALLA DE ALAMBRE DE ACERO ENTRELAZADO CLASE 4; RECUBRIMIENTO DE ALEACION ZN-5A1-MM Y PVC</v>
          </cell>
          <cell r="C275" t="str">
            <v>m3</v>
          </cell>
          <cell r="D275">
            <v>200002.53650000002</v>
          </cell>
        </row>
        <row r="276">
          <cell r="A276" t="str">
            <v>683.1</v>
          </cell>
          <cell r="B276" t="str">
            <v>GEOTEXTIL DE REFUERZO TIPO___ PARA MUROS DE TIERRA ESTABILIZADA MECANICAMENTE  CON GEOSINTETICOS</v>
          </cell>
          <cell r="C276" t="str">
            <v>m2</v>
          </cell>
          <cell r="D276">
            <v>13078.013000000001</v>
          </cell>
        </row>
        <row r="277">
          <cell r="A277" t="str">
            <v>683.2</v>
          </cell>
          <cell r="B277" t="str">
            <v>GEOMALLA DE REFUERZO TIPO___ PARA MUROS DE TIERRA ESTABILIZADA MECANICAMENTE  CON GEOSINTETICOS</v>
          </cell>
          <cell r="C277" t="str">
            <v>m2</v>
          </cell>
          <cell r="D277">
            <v>23691.212999999996</v>
          </cell>
        </row>
        <row r="278">
          <cell r="A278" t="str">
            <v>683.3</v>
          </cell>
          <cell r="B278" t="str">
            <v>GEOTEXTIL DE FACHADA TIPO___ PARA MUROS DE TIERRA ESTABILIZADA MECANICAMENTE  CON GEOSINTETICOS</v>
          </cell>
          <cell r="C278" t="str">
            <v>m2</v>
          </cell>
          <cell r="D278">
            <v>13078.013000000001</v>
          </cell>
        </row>
        <row r="279">
          <cell r="A279" t="str">
            <v>683.4</v>
          </cell>
          <cell r="B279" t="str">
            <v>GEOMALLA DE FACHADA TIPO___ PARA MUROS DE TIERRA ESTABILIZADA MECANICAMENTE CON GEOSINTETICOS.</v>
          </cell>
          <cell r="C279" t="str">
            <v>m2</v>
          </cell>
          <cell r="D279">
            <v>23691.212999999996</v>
          </cell>
        </row>
        <row r="280">
          <cell r="A280" t="str">
            <v>683.5</v>
          </cell>
          <cell r="B280" t="str">
            <v>RELLENO TIPO___ PARA MUROS DE TIERRA ESTABILIZADA MECANICAMENTE CON GEOSINTETICOS</v>
          </cell>
          <cell r="C280" t="str">
            <v>m2</v>
          </cell>
          <cell r="D280">
            <v>73980.851750000002</v>
          </cell>
        </row>
        <row r="281">
          <cell r="A281" t="str">
            <v>690.1.1</v>
          </cell>
          <cell r="B281" t="str">
            <v>IMPERMEABILIZANTE PARA CONCRETO</v>
          </cell>
          <cell r="C281" t="str">
            <v>m2</v>
          </cell>
          <cell r="D281">
            <v>12825.558199999998</v>
          </cell>
        </row>
        <row r="282">
          <cell r="A282" t="str">
            <v>690.1.2</v>
          </cell>
          <cell r="B282" t="str">
            <v>IMPERMEABILIZACIÓN DE ESTRUCTURAS.</v>
          </cell>
          <cell r="C282" t="str">
            <v>m2</v>
          </cell>
          <cell r="D282">
            <v>26662.440999999999</v>
          </cell>
        </row>
        <row r="283">
          <cell r="A283" t="str">
            <v>700.1</v>
          </cell>
          <cell r="B283" t="str">
            <v>LÍNEA DE DEMARCACIÓN CON PINTURA EN FRÍO.</v>
          </cell>
          <cell r="C283" t="str">
            <v>m</v>
          </cell>
          <cell r="D283">
            <v>2605.3845945833336</v>
          </cell>
        </row>
        <row r="284">
          <cell r="A284" t="str">
            <v>700.2</v>
          </cell>
          <cell r="B284" t="str">
            <v>LÍNEA DE DEMARCACIÓN CON RESINA TERMOPLÁSTICA.</v>
          </cell>
          <cell r="C284" t="str">
            <v>m</v>
          </cell>
          <cell r="D284">
            <v>3252.9081663541674</v>
          </cell>
        </row>
        <row r="285">
          <cell r="A285" t="str">
            <v>700.3</v>
          </cell>
          <cell r="B285" t="str">
            <v>MARCA VIAL CON PINTURA EN FRÍO.</v>
          </cell>
          <cell r="C285" t="str">
            <v>m2</v>
          </cell>
          <cell r="D285">
            <v>44547.464692622947</v>
          </cell>
        </row>
        <row r="286">
          <cell r="A286" t="str">
            <v>700.4</v>
          </cell>
          <cell r="B286" t="str">
            <v>MARCA VIAL CON RESINA TERMOPLÁSTICA.</v>
          </cell>
          <cell r="C286" t="str">
            <v>m2</v>
          </cell>
          <cell r="D286">
            <v>60045.628500000006</v>
          </cell>
        </row>
        <row r="287">
          <cell r="A287" t="str">
            <v>701.1</v>
          </cell>
          <cell r="B287" t="str">
            <v>TACHA REFLECTIVA.</v>
          </cell>
          <cell r="C287" t="str">
            <v>Unidad</v>
          </cell>
          <cell r="D287">
            <v>11868.265942</v>
          </cell>
        </row>
        <row r="288">
          <cell r="A288" t="str">
            <v>710.1</v>
          </cell>
          <cell r="B288" t="str">
            <v>SEÑAL VERTICAL DE TRANSITO TIPO 1 CON LAMINA RETRORREFLECTIVA TIPO III (75 X 75 ) CM</v>
          </cell>
          <cell r="C288" t="str">
            <v>Unidad</v>
          </cell>
          <cell r="D288">
            <v>547414.71849999996</v>
          </cell>
        </row>
        <row r="289">
          <cell r="A289" t="str">
            <v>710.2</v>
          </cell>
          <cell r="B289" t="str">
            <v>SEÑAL VERTICAL DE TRANSITO TIPO 2 CON LAMINA RETRORREFLECTIVA TIPO (1.20X0.40 M)</v>
          </cell>
          <cell r="C289" t="str">
            <v>m2</v>
          </cell>
          <cell r="D289">
            <v>519248.04749999999</v>
          </cell>
        </row>
        <row r="290">
          <cell r="A290" t="str">
            <v>720.1</v>
          </cell>
          <cell r="B290" t="str">
            <v>POSTE DE REFERENCIA.</v>
          </cell>
          <cell r="C290" t="str">
            <v>Unidad</v>
          </cell>
          <cell r="D290">
            <v>245307.49425000002</v>
          </cell>
        </row>
        <row r="291">
          <cell r="A291" t="str">
            <v>730.1</v>
          </cell>
          <cell r="B291" t="str">
            <v>DEFENSA METÁLICA.</v>
          </cell>
          <cell r="C291" t="str">
            <v>m</v>
          </cell>
          <cell r="D291">
            <v>162551.8761254237</v>
          </cell>
        </row>
        <row r="292">
          <cell r="A292" t="str">
            <v>730.2</v>
          </cell>
          <cell r="B292" t="str">
            <v>SECCIÓN FINAL.</v>
          </cell>
          <cell r="C292" t="str">
            <v>Unidad</v>
          </cell>
          <cell r="D292">
            <v>69886.064733333333</v>
          </cell>
        </row>
        <row r="293">
          <cell r="A293" t="str">
            <v>730.3</v>
          </cell>
          <cell r="B293" t="str">
            <v>SECCIÓN DE TOPE.</v>
          </cell>
          <cell r="C293" t="str">
            <v>Unidad</v>
          </cell>
          <cell r="D293">
            <v>134624.20489655173</v>
          </cell>
        </row>
        <row r="294">
          <cell r="A294" t="str">
            <v>730.4</v>
          </cell>
          <cell r="B294" t="str">
            <v>ELEMENTO ESPECIAL TIPO AMORTIGUADORES</v>
          </cell>
          <cell r="C294" t="str">
            <v>Unidad</v>
          </cell>
          <cell r="D294">
            <v>44079.204896551732</v>
          </cell>
        </row>
        <row r="295">
          <cell r="A295" t="str">
            <v>731.1</v>
          </cell>
          <cell r="B295" t="str">
            <v>DEFENSA DE CONCRETO.</v>
          </cell>
          <cell r="C295" t="str">
            <v>m</v>
          </cell>
          <cell r="D295">
            <v>146947.80100000001</v>
          </cell>
        </row>
        <row r="296">
          <cell r="A296" t="str">
            <v>740.1</v>
          </cell>
          <cell r="B296" t="str">
            <v>CAPTAFAROS.</v>
          </cell>
          <cell r="C296" t="str">
            <v>unidad</v>
          </cell>
          <cell r="D296">
            <v>16427.871014285716</v>
          </cell>
        </row>
        <row r="297">
          <cell r="A297" t="str">
            <v>741.1</v>
          </cell>
          <cell r="B297" t="str">
            <v>DELINEADOR DE CORONA.</v>
          </cell>
          <cell r="C297" t="str">
            <v>Unidad</v>
          </cell>
          <cell r="D297">
            <v>48540.488912500005</v>
          </cell>
        </row>
        <row r="298">
          <cell r="A298" t="str">
            <v>800.1</v>
          </cell>
          <cell r="B298" t="str">
            <v>CERCA DE ALAMBRE DE PUAS CON POSTES DE MADERA.</v>
          </cell>
          <cell r="C298" t="str">
            <v>m</v>
          </cell>
          <cell r="D298">
            <v>11074.677466666668</v>
          </cell>
        </row>
        <row r="299">
          <cell r="A299" t="str">
            <v>800.2</v>
          </cell>
          <cell r="B299" t="str">
            <v>CERCA DE ALAMBRE DE PUAS CON POSTES DE CONCRETO.</v>
          </cell>
          <cell r="C299" t="str">
            <v>m</v>
          </cell>
          <cell r="D299">
            <v>13882.677466666668</v>
          </cell>
        </row>
        <row r="300">
          <cell r="A300" t="str">
            <v>800.3</v>
          </cell>
          <cell r="B300" t="str">
            <v>CERCA DE MALLA CON POSTES DE MADERA.</v>
          </cell>
          <cell r="C300" t="str">
            <v>m</v>
          </cell>
          <cell r="D300">
            <v>40447.459866666672</v>
          </cell>
        </row>
        <row r="301">
          <cell r="A301" t="str">
            <v>800.4</v>
          </cell>
          <cell r="B301" t="str">
            <v>CERCA DE MALLA CON POSTES DE CONCRETO.</v>
          </cell>
          <cell r="C301" t="str">
            <v>m</v>
          </cell>
          <cell r="D301">
            <v>42943.459866666672</v>
          </cell>
        </row>
        <row r="302">
          <cell r="A302" t="str">
            <v>802.1</v>
          </cell>
          <cell r="B302" t="str">
            <v>PODA DE LA PARTE AEREA DE ARBOLES TIPO I</v>
          </cell>
          <cell r="C302" t="str">
            <v>Unidad</v>
          </cell>
          <cell r="D302">
            <v>392947.1</v>
          </cell>
        </row>
        <row r="303">
          <cell r="A303" t="str">
            <v>802.2</v>
          </cell>
          <cell r="B303" t="str">
            <v>PODA DE LA PARTE AEREA DE ARBOLES TIPO II</v>
          </cell>
          <cell r="C303" t="str">
            <v>Unidad</v>
          </cell>
          <cell r="D303">
            <v>125190.325</v>
          </cell>
        </row>
        <row r="304">
          <cell r="A304" t="str">
            <v>802.3</v>
          </cell>
          <cell r="B304" t="str">
            <v>PODA DE LA PARTE AEREA DE ARBOLES TIPO III</v>
          </cell>
          <cell r="C304" t="str">
            <v>Unidad</v>
          </cell>
          <cell r="D304">
            <v>100848.38833333334</v>
          </cell>
        </row>
        <row r="305">
          <cell r="A305" t="str">
            <v>802.4</v>
          </cell>
          <cell r="B305" t="str">
            <v>PODA DE LA PARTE AEREA DE ARBOLES TIPO IV</v>
          </cell>
          <cell r="C305" t="str">
            <v>Unidad</v>
          </cell>
          <cell r="D305">
            <v>94486.291250000009</v>
          </cell>
        </row>
        <row r="306">
          <cell r="A306" t="str">
            <v>802.5</v>
          </cell>
          <cell r="B306" t="str">
            <v>PODA DE LA PARTE RADICULAR DE ARBOLES TIPO I</v>
          </cell>
          <cell r="C306" t="str">
            <v>Unidad</v>
          </cell>
          <cell r="D306">
            <v>291416.80140056025</v>
          </cell>
        </row>
        <row r="307">
          <cell r="A307" t="str">
            <v>802.6</v>
          </cell>
          <cell r="B307" t="str">
            <v>PODA DE LA PARTE RADFICULAR DE ARBOLES TIPO II</v>
          </cell>
          <cell r="C307" t="str">
            <v>Unidad</v>
          </cell>
          <cell r="D307">
            <v>286222.00140056026</v>
          </cell>
        </row>
        <row r="308">
          <cell r="A308" t="str">
            <v>802.7</v>
          </cell>
          <cell r="B308" t="str">
            <v>PODA DE LA PARTE RADICULAR DE ARBOLES TIPO III</v>
          </cell>
          <cell r="C308" t="str">
            <v>Unidad</v>
          </cell>
          <cell r="D308">
            <v>207509.60807017545</v>
          </cell>
        </row>
        <row r="309">
          <cell r="A309" t="str">
            <v>802.8</v>
          </cell>
          <cell r="B309" t="str">
            <v>PODA DE LA PARTE RADICULAR DE ARBOLES TIPO  IV</v>
          </cell>
          <cell r="C309" t="str">
            <v>Unidad</v>
          </cell>
          <cell r="D309">
            <v>186238.24852941179</v>
          </cell>
        </row>
        <row r="310">
          <cell r="A310" t="str">
            <v>810.1</v>
          </cell>
          <cell r="B310" t="str">
            <v>PROTECCIÓN DE TALUDES CON BLOQUES DE CÉSPED.</v>
          </cell>
          <cell r="C310" t="str">
            <v>m2</v>
          </cell>
          <cell r="D310">
            <v>13736.690499999999</v>
          </cell>
        </row>
        <row r="311">
          <cell r="A311" t="str">
            <v>810.2</v>
          </cell>
          <cell r="B311" t="str">
            <v>PROTECCIÓN DE TALUDES CON TIERRA ORGÁNICA.</v>
          </cell>
          <cell r="C311" t="str">
            <v>m2</v>
          </cell>
          <cell r="D311">
            <v>9330.7162000000008</v>
          </cell>
        </row>
        <row r="312">
          <cell r="A312" t="str">
            <v>810.3</v>
          </cell>
          <cell r="B312" t="str">
            <v>PROTECCIÓN DE TALUDES CON HIDROSIEMBRA CONTROLADA.</v>
          </cell>
          <cell r="C312" t="str">
            <v>m2</v>
          </cell>
          <cell r="D312">
            <v>5670.0900982142857</v>
          </cell>
        </row>
        <row r="313">
          <cell r="A313" t="str">
            <v>811.1</v>
          </cell>
          <cell r="B313" t="str">
            <v>PROTECCION DE TALUDES CON PRODUCTO ENROLLADO PARA CONTROL DE EROSION. DE TIPO MANTO TEMPORAL. SE DEBERA ELABORAR UN ITEM DE PAGO PARA CADA PRODUCTO ENROLLADO QUE SE ESPECIFIQUE EN EL PROYECTO.</v>
          </cell>
          <cell r="C313" t="str">
            <v>m2</v>
          </cell>
          <cell r="D313">
            <v>37667.904299999995</v>
          </cell>
        </row>
        <row r="314">
          <cell r="A314" t="str">
            <v>811.2</v>
          </cell>
          <cell r="B314" t="str">
            <v>PROTECCION DE TALUDES CON PRODUCTO ENROLLADO PARA CONTROL DE EROSION. DE TIPO MANTO PERMANENTE. SE DEBERA ELABORAR UN ITEM DE PAGO PARA CADA PRODUCTO ENROLLADO QUE SE ESPECIFIQUE EN EL PROYECTO.</v>
          </cell>
          <cell r="C314" t="str">
            <v>m2</v>
          </cell>
          <cell r="D314">
            <v>44288.154300000002</v>
          </cell>
        </row>
        <row r="315">
          <cell r="A315" t="str">
            <v>812.1</v>
          </cell>
          <cell r="B315" t="str">
            <v>RECUBRIMIENTO DE TALUDES CON MALLA Y MORTERO 1:4 DE E= 10 CM</v>
          </cell>
          <cell r="C315" t="str">
            <v>m2</v>
          </cell>
          <cell r="D315">
            <v>65357.178282500005</v>
          </cell>
        </row>
        <row r="316">
          <cell r="A316" t="str">
            <v>820.1</v>
          </cell>
          <cell r="B316" t="str">
            <v>PLANTACIÓN DE ÁRBOLES (TIPO PAISAJÍSTICO)</v>
          </cell>
          <cell r="C316" t="str">
            <v>unidad</v>
          </cell>
          <cell r="D316">
            <v>55850.645499999999</v>
          </cell>
        </row>
        <row r="317">
          <cell r="A317" t="str">
            <v>820.1.2</v>
          </cell>
          <cell r="B317" t="str">
            <v>PLANTACIÓN DE ÁRBOLES (REFORESTACIÓN PROTECTORA DENSIDAD 1100)</v>
          </cell>
          <cell r="C317" t="str">
            <v>Ha</v>
          </cell>
          <cell r="D317">
            <v>3167248.5</v>
          </cell>
        </row>
        <row r="318">
          <cell r="A318" t="str">
            <v>900.1</v>
          </cell>
          <cell r="B318" t="str">
            <v>TRANSPORTE DE MATERIALES PROVENIENTES DE LA EXCAVACION DE LA EXPLANACION, CANALES Y PRESTAMOS, ENTRE  CIEN METROS (100 M) Y MIL METROS (1000 M) DE DISTANCIA</v>
          </cell>
          <cell r="C318" t="str">
            <v>m3/e</v>
          </cell>
          <cell r="D318">
            <v>954.93827160493834</v>
          </cell>
        </row>
        <row r="319">
          <cell r="A319" t="str">
            <v>900.2</v>
          </cell>
          <cell r="B319" t="str">
            <v>TRANSPORTE DE MATERIALES PROVENIENTES DE LA EXCAVACIÓN DE LA EXPLANACIÓN, CANALES Y PRÉSTAMOS PARA DISTANCIAS MAYORES DE MIL METROS (1.000 M) MEDIDO A PARTIR DE CIEN METROS (100 M).</v>
          </cell>
          <cell r="C319" t="str">
            <v>m3/km</v>
          </cell>
          <cell r="D319">
            <v>1171.969696969697</v>
          </cell>
        </row>
        <row r="320">
          <cell r="A320" t="str">
            <v>900.3</v>
          </cell>
          <cell r="B320" t="str">
            <v>TRANSPORTE DE MATERIALES PROVENIENTES DE DERRUMBES, MEDIDO A PARTIR DE CIEN METROS (100 M)</v>
          </cell>
          <cell r="C320" t="str">
            <v>m3/km</v>
          </cell>
          <cell r="D320">
            <v>1171.969696969697</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FF00"/>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FF00"/>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2.bin"/><Relationship Id="rId5" Type="http://schemas.openxmlformats.org/officeDocument/2006/relationships/image" Target="../media/image2.emf"/><Relationship Id="rId4" Type="http://schemas.openxmlformats.org/officeDocument/2006/relationships/oleObject" Target="../embeddings/oleObject2.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mailto:interadmivial@gmail.com"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6.xml"/><Relationship Id="rId1" Type="http://schemas.openxmlformats.org/officeDocument/2006/relationships/printerSettings" Target="../printerSettings/printerSettings19.bin"/><Relationship Id="rId5" Type="http://schemas.openxmlformats.org/officeDocument/2006/relationships/image" Target="../media/image15.emf"/><Relationship Id="rId4" Type="http://schemas.openxmlformats.org/officeDocument/2006/relationships/oleObject" Target="../embeddings/oleObject3.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2" Type="http://schemas.openxmlformats.org/officeDocument/2006/relationships/printerSettings" Target="../printerSettings/printerSettings42.bin"/><Relationship Id="rId1" Type="http://schemas.openxmlformats.org/officeDocument/2006/relationships/hyperlink" Target="mailto:interadmivial@gmail.com" TargetMode="Externa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46.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47.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29.xml"/><Relationship Id="rId1" Type="http://schemas.openxmlformats.org/officeDocument/2006/relationships/printerSettings" Target="../printerSettings/printerSettings48.bin"/><Relationship Id="rId5" Type="http://schemas.openxmlformats.org/officeDocument/2006/relationships/image" Target="../media/image69.emf"/><Relationship Id="rId4" Type="http://schemas.openxmlformats.org/officeDocument/2006/relationships/oleObject" Target="../embeddings/oleObject4.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49.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P40"/>
  <sheetViews>
    <sheetView tabSelected="1" view="pageBreakPreview" zoomScaleNormal="100" zoomScaleSheetLayoutView="100" workbookViewId="0">
      <selection activeCell="J36" sqref="J36"/>
    </sheetView>
  </sheetViews>
  <sheetFormatPr baseColWidth="10" defaultRowHeight="12.75"/>
  <cols>
    <col min="1" max="1" width="12.85546875" customWidth="1"/>
    <col min="2" max="2" width="12.7109375" customWidth="1"/>
    <col min="3" max="3" width="12.5703125" customWidth="1"/>
    <col min="7" max="7" width="14.28515625" customWidth="1"/>
  </cols>
  <sheetData>
    <row r="1" spans="1:7" ht="21" customHeight="1">
      <c r="A1" s="249"/>
      <c r="B1" s="249"/>
      <c r="C1" s="1568" t="s">
        <v>383</v>
      </c>
      <c r="D1" s="1568"/>
      <c r="E1" s="1568"/>
      <c r="F1" s="249"/>
      <c r="G1" s="249"/>
    </row>
    <row r="2" spans="1:7" ht="23.25">
      <c r="A2" s="957"/>
      <c r="B2" s="957"/>
      <c r="C2" s="957"/>
      <c r="D2" s="957"/>
      <c r="E2" s="957"/>
      <c r="F2" s="957"/>
      <c r="G2" s="957"/>
    </row>
    <row r="3" spans="1:7" ht="23.25">
      <c r="A3" s="1570" t="s">
        <v>0</v>
      </c>
      <c r="B3" s="1570"/>
      <c r="C3" s="1570"/>
      <c r="D3" s="1570"/>
      <c r="E3" s="1570"/>
      <c r="F3" s="1570"/>
      <c r="G3" s="1570"/>
    </row>
    <row r="4" spans="1:7" ht="22.9" customHeight="1">
      <c r="A4" s="1573" t="s">
        <v>309</v>
      </c>
      <c r="B4" s="1573"/>
      <c r="C4" s="1573"/>
      <c r="D4" s="1573"/>
      <c r="E4" s="1573"/>
      <c r="F4" s="1573"/>
      <c r="G4" s="1573"/>
    </row>
    <row r="6" spans="1:7">
      <c r="A6" s="139"/>
      <c r="B6" s="139"/>
      <c r="C6" s="139"/>
      <c r="D6" s="139"/>
      <c r="E6" s="139"/>
      <c r="F6" s="139"/>
      <c r="G6" s="139"/>
    </row>
    <row r="12" spans="1:7" ht="20.25">
      <c r="A12" s="1571" t="s">
        <v>523</v>
      </c>
      <c r="B12" s="1572"/>
      <c r="C12" s="1572"/>
      <c r="D12" s="1572"/>
      <c r="E12" s="1572"/>
      <c r="F12" s="1572"/>
      <c r="G12" s="1572"/>
    </row>
    <row r="13" spans="1:7" ht="20.25">
      <c r="A13" s="1571" t="s">
        <v>524</v>
      </c>
      <c r="B13" s="1571"/>
      <c r="C13" s="1571"/>
      <c r="D13" s="1571"/>
      <c r="E13" s="1571"/>
      <c r="F13" s="1571"/>
      <c r="G13" s="1571"/>
    </row>
    <row r="14" spans="1:7" s="1041" customFormat="1" ht="20.25">
      <c r="A14" s="1571" t="s">
        <v>1597</v>
      </c>
      <c r="B14" s="1571"/>
      <c r="C14" s="1571"/>
      <c r="D14" s="1571"/>
      <c r="E14" s="1571"/>
      <c r="F14" s="1571"/>
      <c r="G14" s="1571"/>
    </row>
    <row r="15" spans="1:7" ht="20.25">
      <c r="A15" s="1571" t="s">
        <v>1137</v>
      </c>
      <c r="B15" s="1571"/>
      <c r="C15" s="1571"/>
      <c r="D15" s="1571"/>
      <c r="E15" s="1571"/>
      <c r="F15" s="1571"/>
      <c r="G15" s="1571"/>
    </row>
    <row r="16" spans="1:7" ht="20.25">
      <c r="A16" s="1571" t="s">
        <v>525</v>
      </c>
      <c r="B16" s="1571"/>
      <c r="C16" s="1571"/>
      <c r="D16" s="1571"/>
      <c r="E16" s="1571"/>
      <c r="F16" s="1571"/>
      <c r="G16" s="1571"/>
    </row>
    <row r="18" spans="1:16" ht="15.75">
      <c r="A18" s="1574"/>
      <c r="B18" s="1574"/>
      <c r="C18" s="1574"/>
      <c r="D18" s="1574"/>
      <c r="E18" s="1574"/>
      <c r="F18" s="1574"/>
      <c r="G18" s="1574"/>
    </row>
    <row r="19" spans="1:16" ht="18">
      <c r="A19" s="1576" t="s">
        <v>384</v>
      </c>
      <c r="B19" s="1576"/>
      <c r="C19" s="1576"/>
      <c r="D19" s="1576"/>
      <c r="E19" s="1576"/>
      <c r="F19" s="1576"/>
      <c r="G19" s="1576"/>
      <c r="H19" s="290"/>
    </row>
    <row r="20" spans="1:16" ht="20.25">
      <c r="A20" s="1571" t="s">
        <v>526</v>
      </c>
      <c r="B20" s="1571"/>
      <c r="C20" s="1571"/>
      <c r="D20" s="1571"/>
      <c r="E20" s="1571"/>
      <c r="F20" s="1571"/>
      <c r="G20" s="1571"/>
      <c r="H20" s="1"/>
    </row>
    <row r="21" spans="1:16" ht="20.25">
      <c r="A21" s="1571" t="s">
        <v>527</v>
      </c>
      <c r="B21" s="1571"/>
      <c r="C21" s="1571"/>
      <c r="D21" s="1571"/>
      <c r="E21" s="1571"/>
      <c r="F21" s="1571"/>
      <c r="G21" s="1571"/>
      <c r="H21" s="1"/>
    </row>
    <row r="22" spans="1:16" ht="20.25">
      <c r="A22" s="1571" t="s">
        <v>528</v>
      </c>
      <c r="B22" s="1571"/>
      <c r="C22" s="1571"/>
      <c r="D22" s="1571"/>
      <c r="E22" s="1571"/>
      <c r="F22" s="1571"/>
      <c r="G22" s="1571"/>
      <c r="H22" s="1"/>
      <c r="P22">
        <f>8*2.54</f>
        <v>20.32</v>
      </c>
    </row>
    <row r="23" spans="1:16" ht="20.25">
      <c r="A23" s="1571" t="s">
        <v>529</v>
      </c>
      <c r="B23" s="1571"/>
      <c r="C23" s="1571"/>
      <c r="D23" s="1571"/>
      <c r="E23" s="1571"/>
      <c r="F23" s="1571"/>
      <c r="G23" s="1571"/>
      <c r="H23" s="1"/>
    </row>
    <row r="24" spans="1:16" ht="20.25">
      <c r="A24" s="1571" t="s">
        <v>530</v>
      </c>
      <c r="B24" s="1571"/>
      <c r="C24" s="1571"/>
      <c r="D24" s="1571"/>
      <c r="E24" s="1571"/>
      <c r="F24" s="1571"/>
      <c r="G24" s="1571"/>
      <c r="H24" s="1"/>
    </row>
    <row r="25" spans="1:16">
      <c r="H25" s="1"/>
    </row>
    <row r="31" spans="1:16" ht="15.75">
      <c r="A31" s="964" t="s">
        <v>1049</v>
      </c>
      <c r="B31" s="964"/>
      <c r="C31" s="964" t="s">
        <v>1448</v>
      </c>
      <c r="D31" s="964"/>
      <c r="E31" s="964"/>
      <c r="F31" s="964"/>
      <c r="G31" s="964"/>
    </row>
    <row r="32" spans="1:16">
      <c r="A32" s="51"/>
      <c r="B32" s="51"/>
      <c r="C32" s="51"/>
      <c r="D32" s="51"/>
      <c r="E32" s="51"/>
      <c r="F32" s="51"/>
      <c r="G32" s="51"/>
    </row>
    <row r="33" spans="1:8" ht="20.25">
      <c r="A33" s="1575" t="s">
        <v>1598</v>
      </c>
      <c r="B33" s="1575"/>
      <c r="C33" s="1575"/>
      <c r="D33" s="1575"/>
      <c r="E33" s="1575"/>
      <c r="F33" s="1575"/>
      <c r="G33" s="1575"/>
      <c r="H33" s="291"/>
    </row>
    <row r="40" spans="1:8" ht="33.75">
      <c r="A40" s="1569" t="s">
        <v>1118</v>
      </c>
      <c r="B40" s="1569"/>
      <c r="C40" s="1569"/>
      <c r="D40" s="1569"/>
      <c r="E40" s="1569"/>
      <c r="F40" s="1569"/>
      <c r="G40" s="1569"/>
    </row>
  </sheetData>
  <mergeCells count="17">
    <mergeCell ref="A23:G23"/>
    <mergeCell ref="C1:E1"/>
    <mergeCell ref="A40:G40"/>
    <mergeCell ref="A3:G3"/>
    <mergeCell ref="A12:G12"/>
    <mergeCell ref="A13:G13"/>
    <mergeCell ref="A16:G16"/>
    <mergeCell ref="A4:G4"/>
    <mergeCell ref="A18:G18"/>
    <mergeCell ref="A15:G15"/>
    <mergeCell ref="A24:G24"/>
    <mergeCell ref="A33:G33"/>
    <mergeCell ref="A19:G19"/>
    <mergeCell ref="A20:G20"/>
    <mergeCell ref="A21:G21"/>
    <mergeCell ref="A14:G14"/>
    <mergeCell ref="A22:G22"/>
  </mergeCells>
  <phoneticPr fontId="3" type="noConversion"/>
  <printOptions horizontalCentered="1"/>
  <pageMargins left="1.05" right="0.75" top="0.62992125984251968" bottom="1" header="0.25" footer="0"/>
  <pageSetup scale="99" orientation="portrait" horizontalDpi="300" verticalDpi="300" r:id="rId1"/>
  <headerFooter alignWithMargins="0"/>
  <drawing r:id="rId2"/>
  <legacyDrawing r:id="rId3"/>
  <oleObjects>
    <mc:AlternateContent xmlns:mc="http://schemas.openxmlformats.org/markup-compatibility/2006">
      <mc:Choice Requires="x14">
        <oleObject progId="Word.Document.6" shapeId="25601" r:id="rId4">
          <objectPr defaultSize="0" autoLine="0" r:id="rId5">
            <anchor moveWithCells="1">
              <from>
                <xdr:col>0</xdr:col>
                <xdr:colOff>85725</xdr:colOff>
                <xdr:row>0</xdr:row>
                <xdr:rowOff>47625</xdr:rowOff>
              </from>
              <to>
                <xdr:col>1</xdr:col>
                <xdr:colOff>276225</xdr:colOff>
                <xdr:row>3</xdr:row>
                <xdr:rowOff>66675</xdr:rowOff>
              </to>
            </anchor>
          </objectPr>
        </oleObject>
      </mc:Choice>
      <mc:Fallback>
        <oleObject progId="Word.Document.6" shapeId="25601" r:id="rId4"/>
      </mc:Fallback>
    </mc:AlternateContent>
  </oleObjects>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O41"/>
  <sheetViews>
    <sheetView view="pageBreakPreview" zoomScaleNormal="100" zoomScaleSheetLayoutView="100" workbookViewId="0">
      <selection activeCell="A5" sqref="A5:B5"/>
    </sheetView>
  </sheetViews>
  <sheetFormatPr baseColWidth="10" defaultRowHeight="12.75"/>
  <cols>
    <col min="1" max="1" width="25.28515625" bestFit="1" customWidth="1"/>
    <col min="2" max="2" width="73" customWidth="1"/>
    <col min="4" max="4" width="6" customWidth="1"/>
  </cols>
  <sheetData>
    <row r="1" spans="1:3" ht="15">
      <c r="A1" s="1578" t="s">
        <v>0</v>
      </c>
      <c r="B1" s="1578"/>
    </row>
    <row r="2" spans="1:3" ht="15">
      <c r="A2" s="1578" t="s">
        <v>1449</v>
      </c>
      <c r="B2" s="1578"/>
    </row>
    <row r="3" spans="1:3" ht="15">
      <c r="A3" s="1578" t="s">
        <v>1051</v>
      </c>
      <c r="B3" s="1578"/>
    </row>
    <row r="4" spans="1:3" ht="12" customHeight="1">
      <c r="A4" s="272"/>
      <c r="B4" s="272"/>
    </row>
    <row r="5" spans="1:3" ht="23.25">
      <c r="A5" s="1577" t="s">
        <v>1</v>
      </c>
      <c r="B5" s="1577"/>
      <c r="C5" s="48"/>
    </row>
    <row r="7" spans="1:3">
      <c r="A7" s="130" t="s">
        <v>132</v>
      </c>
      <c r="B7" s="183" t="s">
        <v>1079</v>
      </c>
    </row>
    <row r="8" spans="1:3">
      <c r="A8" s="130"/>
      <c r="B8" s="130"/>
    </row>
    <row r="9" spans="1:3">
      <c r="A9" s="253" t="s">
        <v>114</v>
      </c>
      <c r="B9" t="s">
        <v>115</v>
      </c>
    </row>
    <row r="10" spans="1:3">
      <c r="A10" s="253" t="s">
        <v>116</v>
      </c>
      <c r="B10" t="s">
        <v>366</v>
      </c>
    </row>
    <row r="11" spans="1:3">
      <c r="A11" s="253" t="s">
        <v>117</v>
      </c>
      <c r="B11" s="51" t="s">
        <v>514</v>
      </c>
    </row>
    <row r="12" spans="1:3">
      <c r="A12" s="253" t="s">
        <v>133</v>
      </c>
      <c r="B12" s="51" t="s">
        <v>511</v>
      </c>
    </row>
    <row r="13" spans="1:3">
      <c r="A13" s="273" t="s">
        <v>134</v>
      </c>
      <c r="B13" s="51" t="s">
        <v>512</v>
      </c>
    </row>
    <row r="14" spans="1:3">
      <c r="A14" s="253" t="s">
        <v>118</v>
      </c>
      <c r="B14" s="51" t="s">
        <v>513</v>
      </c>
    </row>
    <row r="15" spans="1:3">
      <c r="A15" s="253" t="s">
        <v>379</v>
      </c>
      <c r="B15" s="51" t="s">
        <v>378</v>
      </c>
    </row>
    <row r="16" spans="1:3">
      <c r="A16" s="253" t="s">
        <v>380</v>
      </c>
      <c r="B16" s="51" t="s">
        <v>516</v>
      </c>
    </row>
    <row r="17" spans="1:15">
      <c r="A17" s="273" t="s">
        <v>155</v>
      </c>
      <c r="B17" t="s">
        <v>388</v>
      </c>
    </row>
    <row r="18" spans="1:15">
      <c r="A18" s="253" t="s">
        <v>119</v>
      </c>
      <c r="B18" t="s">
        <v>135</v>
      </c>
    </row>
    <row r="19" spans="1:15">
      <c r="A19" s="253" t="s">
        <v>120</v>
      </c>
      <c r="B19" t="s">
        <v>136</v>
      </c>
    </row>
    <row r="20" spans="1:15">
      <c r="A20" s="253" t="s">
        <v>121</v>
      </c>
      <c r="B20" t="s">
        <v>137</v>
      </c>
    </row>
    <row r="21" spans="1:15">
      <c r="A21" s="253" t="s">
        <v>122</v>
      </c>
      <c r="B21" t="s">
        <v>138</v>
      </c>
    </row>
    <row r="22" spans="1:15">
      <c r="A22" s="253" t="s">
        <v>123</v>
      </c>
      <c r="B22" t="s">
        <v>139</v>
      </c>
    </row>
    <row r="23" spans="1:15" ht="18">
      <c r="A23" s="253" t="s">
        <v>124</v>
      </c>
      <c r="B23" s="235" t="s">
        <v>367</v>
      </c>
      <c r="C23" s="136"/>
      <c r="D23" s="170"/>
      <c r="E23" s="170"/>
      <c r="F23" s="170"/>
      <c r="G23" s="170"/>
      <c r="H23" s="170"/>
      <c r="I23" s="170"/>
      <c r="J23" s="170"/>
      <c r="K23" s="170"/>
      <c r="L23" s="170"/>
      <c r="M23" s="170"/>
      <c r="N23" s="170"/>
      <c r="O23" s="170"/>
    </row>
    <row r="24" spans="1:15">
      <c r="A24" s="253" t="s">
        <v>125</v>
      </c>
      <c r="B24" t="s">
        <v>140</v>
      </c>
    </row>
    <row r="25" spans="1:15">
      <c r="A25" s="253" t="s">
        <v>126</v>
      </c>
      <c r="B25" t="s">
        <v>141</v>
      </c>
    </row>
    <row r="26" spans="1:15">
      <c r="A26" s="253" t="s">
        <v>127</v>
      </c>
      <c r="B26" s="201" t="s">
        <v>442</v>
      </c>
    </row>
    <row r="27" spans="1:15">
      <c r="A27" s="253" t="s">
        <v>128</v>
      </c>
      <c r="B27" s="201" t="s">
        <v>443</v>
      </c>
    </row>
    <row r="28" spans="1:15">
      <c r="A28" s="253" t="s">
        <v>129</v>
      </c>
      <c r="B28" t="s">
        <v>227</v>
      </c>
    </row>
    <row r="29" spans="1:15">
      <c r="A29" s="253" t="s">
        <v>130</v>
      </c>
      <c r="B29" t="s">
        <v>228</v>
      </c>
    </row>
    <row r="30" spans="1:15">
      <c r="A30" s="253" t="s">
        <v>131</v>
      </c>
      <c r="B30" t="s">
        <v>142</v>
      </c>
    </row>
    <row r="31" spans="1:15">
      <c r="A31" s="253" t="s">
        <v>287</v>
      </c>
      <c r="B31" t="s">
        <v>143</v>
      </c>
    </row>
    <row r="32" spans="1:15">
      <c r="A32" s="253" t="s">
        <v>288</v>
      </c>
      <c r="B32" s="51" t="s">
        <v>1119</v>
      </c>
    </row>
    <row r="33" spans="1:2">
      <c r="A33" s="253" t="s">
        <v>289</v>
      </c>
      <c r="B33" t="s">
        <v>290</v>
      </c>
    </row>
    <row r="34" spans="1:2">
      <c r="A34" s="253" t="s">
        <v>381</v>
      </c>
      <c r="B34" t="s">
        <v>291</v>
      </c>
    </row>
    <row r="35" spans="1:2">
      <c r="A35" s="253" t="s">
        <v>438</v>
      </c>
      <c r="B35" s="201" t="s">
        <v>489</v>
      </c>
    </row>
    <row r="36" spans="1:2">
      <c r="A36" s="253" t="s">
        <v>439</v>
      </c>
      <c r="B36" s="201" t="s">
        <v>490</v>
      </c>
    </row>
    <row r="37" spans="1:2">
      <c r="A37" s="253" t="s">
        <v>488</v>
      </c>
      <c r="B37" s="201" t="s">
        <v>491</v>
      </c>
    </row>
    <row r="38" spans="1:2">
      <c r="A38" s="253" t="s">
        <v>452</v>
      </c>
      <c r="B38" t="s">
        <v>144</v>
      </c>
    </row>
    <row r="39" spans="1:2">
      <c r="A39" s="253" t="s">
        <v>453</v>
      </c>
      <c r="B39" s="136" t="s">
        <v>145</v>
      </c>
    </row>
    <row r="40" spans="1:2">
      <c r="A40" s="253" t="s">
        <v>455</v>
      </c>
      <c r="B40" t="s">
        <v>146</v>
      </c>
    </row>
    <row r="41" spans="1:2">
      <c r="A41" s="253" t="s">
        <v>499</v>
      </c>
      <c r="B41" s="51" t="s">
        <v>499</v>
      </c>
    </row>
  </sheetData>
  <mergeCells count="4">
    <mergeCell ref="A5:B5"/>
    <mergeCell ref="A1:B1"/>
    <mergeCell ref="A2:B2"/>
    <mergeCell ref="A3:B3"/>
  </mergeCells>
  <phoneticPr fontId="3" type="noConversion"/>
  <hyperlinks>
    <hyperlink ref="A9" location="'GENERALIDADES '!A1" display="Cuadro No. 1"/>
    <hyperlink ref="A10" location="'CUMPLIMIENTO % '!A1" display="Cuadro No. 2"/>
    <hyperlink ref="A11" location="'ESTADO RED VIS'!A1" display="Cuadro No. 3"/>
    <hyperlink ref="A12" location="' CR.40-La Tamb (SEMAFORO VIS)'!Área_de_impresión" display="Gráfico No. 1"/>
    <hyperlink ref="A13" location="'TORTA EST. VIAS VIS'!A1" display="Gráfico No. 2"/>
    <hyperlink ref="A14" location="'ESTADO RED TEC'!A1" display="Cuadro No. 4"/>
    <hyperlink ref="A15" location="'ESTADO RED TEC'!Área_de_impresión" display="Gráfico No. 3"/>
    <hyperlink ref="A16" location="'TORTA EST.VIAS TEC.'!Área_de_impresión" display="Gráfico No. 4"/>
    <hyperlink ref="A17" location="'MAPA EST RED'!A1" display="Mapa  No.  1"/>
    <hyperlink ref="A18" location="'NECESIDAD VIA'!A1" display="Cuadro No. 5"/>
    <hyperlink ref="A20" location="'CANT OBRA 3602'!Área_de_impresión" display="Cuadro No. 7"/>
    <hyperlink ref="A21" location="'INF. EMERGENCIAS'!A1" display="Cuadro No. 8"/>
    <hyperlink ref="A22" location="PUENTES!A1" display="Cuadro No. 9"/>
    <hyperlink ref="A23" location="'NEC PTES'!A1" display="Cuadro No. 10"/>
    <hyperlink ref="A24" location="PONTONES!A1" display="Cuadro No. 11"/>
    <hyperlink ref="A25" location="'NEC. PONTONES'!A1" display="Cuadro No. 12"/>
    <hyperlink ref="A26" location="TUNELES!A1" display="Cuadro No. 13"/>
    <hyperlink ref="A27" location="'NECESIDADES EN TÚNELES'!A1" display="Cuadro No. 14"/>
    <hyperlink ref="A29" location="'Señalización Horizontal'!A1" display="Cuadro No. 16"/>
    <hyperlink ref="A30" location="'ACCID ENE'!Área_de_impresión" display="Cuadro No. 17"/>
    <hyperlink ref="A31" location="'DEFENSA VIAS'!A1" display="Cuadro No. 18"/>
    <hyperlink ref="A32" location="SEGUIMIENTO!A1" display="Cuadro No. 19"/>
    <hyperlink ref="A33" location="'CUANTI AMV'!A1" display="Cuadro No. 20"/>
    <hyperlink ref="A34" location="'CUALI AMV'!A1" display="Cuadro No. 21"/>
    <hyperlink ref="A35" location="'CUANTI MICRO'!A1" display="Cuadro No. 22"/>
    <hyperlink ref="A36" location="'CUALI MICRO'!A1" display="Cuadro No. 23"/>
    <hyperlink ref="A38" location="FOTOG!A1" display="Reseña 1"/>
    <hyperlink ref="A39" location="prensa!A1" display="Reseña 2"/>
    <hyperlink ref="A40" location="COMENTARIOS!A1" display="Comentarios"/>
    <hyperlink ref="A19" location="'NECESIDADES CRITICAS'!A1" display="Cuadro No. 6"/>
    <hyperlink ref="A28" location="'Señalización Vertical'!A1" display="Cuadro No. 15"/>
    <hyperlink ref="A37" location="'INTERVENTORIA DE CONTRATOS'!A1" display="Cuadro No. 24"/>
    <hyperlink ref="A41" location="'CAPACITACION MICRO'!A1" display="Capacitación Microempresas"/>
  </hyperlinks>
  <printOptions horizontalCentered="1"/>
  <pageMargins left="1.2204724409448819" right="0.59055118110236227" top="0.78740157480314965" bottom="0.98425196850393704" header="0.51181102362204722" footer="0.51181102362204722"/>
  <pageSetup scale="88" orientation="portrait" horizontalDpi="300" verticalDpi="300" r:id="rId1"/>
  <headerFooter alignWithMargins="0"/>
  <drawing r:id="rId2"/>
  <legacyDrawing r:id="rId3"/>
  <oleObjects>
    <mc:AlternateContent xmlns:mc="http://schemas.openxmlformats.org/markup-compatibility/2006">
      <mc:Choice Requires="x14">
        <oleObject progId="Word.Document.6" shapeId="2050" r:id="rId4">
          <objectPr defaultSize="0" autoLine="0" r:id="rId5">
            <anchor moveWithCells="1">
              <from>
                <xdr:col>0</xdr:col>
                <xdr:colOff>104775</xdr:colOff>
                <xdr:row>2</xdr:row>
                <xdr:rowOff>28575</xdr:rowOff>
              </from>
              <to>
                <xdr:col>0</xdr:col>
                <xdr:colOff>657225</xdr:colOff>
                <xdr:row>6</xdr:row>
                <xdr:rowOff>152400</xdr:rowOff>
              </to>
            </anchor>
          </objectPr>
        </oleObject>
      </mc:Choice>
      <mc:Fallback>
        <oleObject progId="Word.Document.6" shapeId="2050" r:id="rId4"/>
      </mc:Fallback>
    </mc:AlternateContent>
  </oleObjec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32"/>
  <sheetViews>
    <sheetView view="pageBreakPreview" topLeftCell="B1" zoomScaleNormal="100" zoomScaleSheetLayoutView="100" workbookViewId="0">
      <selection activeCell="G11" sqref="G11"/>
    </sheetView>
  </sheetViews>
  <sheetFormatPr baseColWidth="10" defaultRowHeight="12.75"/>
  <cols>
    <col min="1" max="1" width="4.28515625" hidden="1" customWidth="1"/>
    <col min="2" max="2" width="29.140625" customWidth="1"/>
    <col min="3" max="3" width="9.42578125" customWidth="1"/>
    <col min="4" max="4" width="8.7109375" customWidth="1"/>
    <col min="5" max="5" width="6.140625" customWidth="1"/>
    <col min="6" max="6" width="11.5703125" customWidth="1"/>
    <col min="7" max="8" width="8.7109375" customWidth="1"/>
    <col min="9" max="9" width="11.140625" customWidth="1"/>
    <col min="10" max="10" width="22.140625" customWidth="1"/>
    <col min="11" max="11" width="30.85546875" customWidth="1"/>
  </cols>
  <sheetData>
    <row r="1" spans="1:11" s="29" customFormat="1" ht="23.25">
      <c r="B1" s="1579" t="s">
        <v>0</v>
      </c>
      <c r="C1" s="1579"/>
      <c r="D1" s="1579"/>
      <c r="E1" s="1579"/>
      <c r="F1" s="1579"/>
      <c r="G1" s="1579"/>
      <c r="H1" s="1579"/>
      <c r="I1" s="1579"/>
      <c r="J1" s="1579"/>
      <c r="K1" s="1579"/>
    </row>
    <row r="2" spans="1:11" s="29" customFormat="1" ht="18">
      <c r="B2" s="1580" t="s">
        <v>531</v>
      </c>
      <c r="C2" s="1580"/>
      <c r="D2" s="1580"/>
      <c r="E2" s="1580"/>
      <c r="F2" s="1580"/>
      <c r="G2" s="1580"/>
      <c r="H2" s="1580"/>
      <c r="I2" s="1580"/>
      <c r="J2" s="1580"/>
      <c r="K2" s="1580"/>
    </row>
    <row r="3" spans="1:11" s="29" customFormat="1">
      <c r="B3" s="37"/>
      <c r="C3" s="28"/>
      <c r="D3" s="28"/>
      <c r="E3" s="28"/>
      <c r="F3" s="28"/>
      <c r="G3" s="28"/>
      <c r="H3" s="28"/>
      <c r="I3" s="28"/>
      <c r="J3" s="28"/>
      <c r="K3" s="28"/>
    </row>
    <row r="4" spans="1:11" s="127" customFormat="1" ht="18">
      <c r="B4" s="36" t="s">
        <v>492</v>
      </c>
      <c r="C4" s="126"/>
      <c r="D4" s="126"/>
      <c r="E4" s="126"/>
      <c r="F4" s="126"/>
      <c r="G4" s="126"/>
      <c r="H4" s="126"/>
      <c r="I4" s="126"/>
      <c r="J4" s="126"/>
      <c r="K4" s="126"/>
    </row>
    <row r="5" spans="1:11" s="29" customFormat="1">
      <c r="B5"/>
      <c r="C5"/>
      <c r="D5"/>
      <c r="E5"/>
      <c r="F5"/>
      <c r="G5"/>
      <c r="H5"/>
      <c r="I5"/>
      <c r="J5"/>
      <c r="K5" s="28"/>
    </row>
    <row r="6" spans="1:11" ht="18">
      <c r="B6" s="49" t="s">
        <v>2</v>
      </c>
      <c r="C6" s="1"/>
      <c r="D6" s="1"/>
      <c r="E6" s="1"/>
      <c r="F6" s="1"/>
      <c r="G6" s="1"/>
      <c r="H6" s="1"/>
      <c r="I6" s="1"/>
      <c r="J6" s="1"/>
      <c r="K6" s="1"/>
    </row>
    <row r="7" spans="1:11" ht="10.5" customHeight="1" thickBot="1">
      <c r="B7" s="2"/>
      <c r="C7" s="1"/>
      <c r="D7" s="1"/>
      <c r="E7" s="1"/>
      <c r="F7" s="1"/>
      <c r="G7" s="1"/>
      <c r="H7" s="1"/>
      <c r="I7" s="1"/>
      <c r="J7" s="1"/>
      <c r="K7" s="1"/>
    </row>
    <row r="8" spans="1:11" ht="17.25" customHeight="1">
      <c r="B8" s="15" t="s">
        <v>413</v>
      </c>
      <c r="C8" s="16"/>
      <c r="D8" s="294" t="s">
        <v>1120</v>
      </c>
      <c r="E8" s="73"/>
      <c r="F8" s="73"/>
      <c r="G8" s="73"/>
      <c r="H8" s="74"/>
      <c r="I8" s="74"/>
      <c r="J8" s="74"/>
      <c r="K8" s="17"/>
    </row>
    <row r="9" spans="1:11" ht="16.5" customHeight="1">
      <c r="B9" s="9" t="s">
        <v>414</v>
      </c>
      <c r="D9" s="151" t="s">
        <v>1450</v>
      </c>
      <c r="E9" s="75"/>
      <c r="F9" s="75"/>
      <c r="G9" s="75"/>
      <c r="H9" s="76"/>
      <c r="I9" s="76"/>
      <c r="J9" s="76"/>
      <c r="K9" s="18"/>
    </row>
    <row r="10" spans="1:11" s="145" customFormat="1" ht="76.5" customHeight="1">
      <c r="B10" s="295" t="s">
        <v>415</v>
      </c>
      <c r="D10" s="1581" t="s">
        <v>1042</v>
      </c>
      <c r="E10" s="1581"/>
      <c r="F10" s="1581"/>
      <c r="G10" s="1581"/>
      <c r="H10" s="1581"/>
      <c r="I10" s="1581"/>
      <c r="J10" s="1581"/>
      <c r="K10" s="1582"/>
    </row>
    <row r="11" spans="1:11" ht="15" customHeight="1">
      <c r="B11" s="9" t="s">
        <v>416</v>
      </c>
      <c r="D11" s="1044" t="s">
        <v>1139</v>
      </c>
      <c r="E11" s="77"/>
      <c r="F11" s="77"/>
      <c r="G11" s="77"/>
      <c r="K11" s="18"/>
    </row>
    <row r="12" spans="1:11" ht="15.75" customHeight="1">
      <c r="B12" s="9" t="s">
        <v>417</v>
      </c>
      <c r="D12" t="s">
        <v>411</v>
      </c>
      <c r="F12" s="958">
        <v>2273318</v>
      </c>
      <c r="J12" s="51" t="s">
        <v>1041</v>
      </c>
      <c r="K12" s="18"/>
    </row>
    <row r="13" spans="1:11" ht="14.25" customHeight="1">
      <c r="B13" s="9"/>
      <c r="D13" t="s">
        <v>412</v>
      </c>
      <c r="F13" s="958" t="s">
        <v>1122</v>
      </c>
      <c r="J13" t="s">
        <v>158</v>
      </c>
      <c r="K13" s="296" t="s">
        <v>1138</v>
      </c>
    </row>
    <row r="14" spans="1:11" ht="13.5" thickBot="1">
      <c r="B14" s="11"/>
      <c r="C14" s="19"/>
      <c r="D14" s="19"/>
      <c r="E14" s="19"/>
      <c r="F14" s="959"/>
      <c r="G14" s="19"/>
      <c r="H14" s="19"/>
      <c r="I14" s="19"/>
      <c r="J14" s="19"/>
      <c r="K14" s="20"/>
    </row>
    <row r="15" spans="1:11" ht="13.5" thickBot="1"/>
    <row r="16" spans="1:11" s="29" customFormat="1" ht="23.25" customHeight="1">
      <c r="A16" s="45">
        <v>1</v>
      </c>
      <c r="B16" s="86" t="s">
        <v>5</v>
      </c>
      <c r="C16" s="87"/>
      <c r="D16" s="88"/>
      <c r="E16" s="88"/>
      <c r="F16" s="88"/>
      <c r="G16" s="88"/>
      <c r="H16" s="88"/>
      <c r="I16" s="88"/>
      <c r="J16" s="88"/>
      <c r="K16" s="87"/>
    </row>
    <row r="17" spans="2:11" s="30" customFormat="1" ht="33.75" customHeight="1">
      <c r="B17" s="38" t="s">
        <v>6</v>
      </c>
      <c r="C17" s="40" t="s">
        <v>7</v>
      </c>
      <c r="D17" s="112" t="s">
        <v>8</v>
      </c>
      <c r="E17" s="112"/>
      <c r="F17" s="112"/>
      <c r="G17" s="91" t="s">
        <v>9</v>
      </c>
      <c r="H17" s="40" t="s">
        <v>10</v>
      </c>
      <c r="I17" s="39" t="s">
        <v>11</v>
      </c>
      <c r="J17" s="40" t="s">
        <v>12</v>
      </c>
      <c r="K17" s="96" t="s">
        <v>13</v>
      </c>
    </row>
    <row r="18" spans="2:11" s="30" customFormat="1" ht="18" customHeight="1">
      <c r="B18" s="90"/>
      <c r="C18" s="95"/>
      <c r="D18" s="92" t="s">
        <v>14</v>
      </c>
      <c r="E18" s="92" t="s">
        <v>15</v>
      </c>
      <c r="F18" s="92" t="s">
        <v>16</v>
      </c>
      <c r="G18" s="92"/>
      <c r="H18" s="93"/>
      <c r="I18" s="94"/>
      <c r="J18" s="14"/>
      <c r="K18" s="22"/>
    </row>
    <row r="19" spans="2:11" s="30" customFormat="1" ht="18" customHeight="1">
      <c r="B19" s="297" t="s">
        <v>532</v>
      </c>
      <c r="C19" s="298">
        <v>3602</v>
      </c>
      <c r="D19" s="299">
        <v>44.77</v>
      </c>
      <c r="E19" s="299"/>
      <c r="F19" s="300">
        <f>D19</f>
        <v>44.77</v>
      </c>
      <c r="G19" s="301" t="s">
        <v>533</v>
      </c>
      <c r="H19" s="302" t="s">
        <v>534</v>
      </c>
      <c r="I19" s="303">
        <v>6</v>
      </c>
      <c r="J19" s="304" t="s">
        <v>535</v>
      </c>
      <c r="K19" s="22"/>
    </row>
    <row r="20" spans="2:11" s="30" customFormat="1" ht="18" customHeight="1">
      <c r="B20" s="305" t="s">
        <v>536</v>
      </c>
      <c r="C20" s="306">
        <v>3603</v>
      </c>
      <c r="D20" s="307">
        <v>35.770000000000003</v>
      </c>
      <c r="E20" s="307"/>
      <c r="F20" s="307">
        <f>D20</f>
        <v>35.770000000000003</v>
      </c>
      <c r="G20" s="308" t="s">
        <v>106</v>
      </c>
      <c r="H20" s="306" t="s">
        <v>537</v>
      </c>
      <c r="I20" s="309">
        <v>6</v>
      </c>
      <c r="J20" s="310" t="s">
        <v>538</v>
      </c>
      <c r="K20" s="22"/>
    </row>
    <row r="21" spans="2:11" s="30" customFormat="1" ht="18" customHeight="1">
      <c r="B21" s="311" t="s">
        <v>539</v>
      </c>
      <c r="C21" s="298">
        <v>4507</v>
      </c>
      <c r="D21" s="312">
        <v>4.0599999999999996</v>
      </c>
      <c r="E21" s="312"/>
      <c r="F21" s="307">
        <f>D21</f>
        <v>4.0599999999999996</v>
      </c>
      <c r="G21" s="313" t="s">
        <v>540</v>
      </c>
      <c r="H21" s="314" t="s">
        <v>541</v>
      </c>
      <c r="I21" s="315">
        <v>3</v>
      </c>
      <c r="J21" s="310" t="s">
        <v>538</v>
      </c>
      <c r="K21" s="22"/>
    </row>
    <row r="22" spans="2:11" s="30" customFormat="1" ht="29.25" customHeight="1">
      <c r="B22" s="311" t="s">
        <v>542</v>
      </c>
      <c r="C22" s="298" t="s">
        <v>543</v>
      </c>
      <c r="D22" s="307">
        <v>3.17</v>
      </c>
      <c r="E22" s="307"/>
      <c r="F22" s="307">
        <f>D22</f>
        <v>3.17</v>
      </c>
      <c r="G22" s="313" t="s">
        <v>106</v>
      </c>
      <c r="H22" s="314" t="s">
        <v>544</v>
      </c>
      <c r="I22" s="315">
        <v>0</v>
      </c>
      <c r="J22" s="316" t="s">
        <v>538</v>
      </c>
      <c r="K22" s="22"/>
    </row>
    <row r="23" spans="2:11" s="30" customFormat="1" ht="24" customHeight="1" thickBot="1">
      <c r="B23" s="311" t="s">
        <v>545</v>
      </c>
      <c r="C23" s="306">
        <v>4507</v>
      </c>
      <c r="D23" s="307">
        <v>5.78</v>
      </c>
      <c r="E23" s="307"/>
      <c r="F23" s="307">
        <f>D23</f>
        <v>5.78</v>
      </c>
      <c r="G23" s="308" t="s">
        <v>879</v>
      </c>
      <c r="H23" s="306" t="s">
        <v>546</v>
      </c>
      <c r="I23" s="309">
        <v>1</v>
      </c>
      <c r="J23" s="310" t="s">
        <v>538</v>
      </c>
      <c r="K23" s="22"/>
    </row>
    <row r="24" spans="2:11" s="30" customFormat="1" ht="18" customHeight="1" thickBot="1">
      <c r="B24" s="857" t="s">
        <v>157</v>
      </c>
      <c r="C24" s="858"/>
      <c r="D24" s="859">
        <f>SUM(D19:D23)</f>
        <v>93.550000000000011</v>
      </c>
      <c r="E24" s="860"/>
      <c r="F24" s="859">
        <f>+D24</f>
        <v>93.550000000000011</v>
      </c>
      <c r="G24" s="859"/>
      <c r="H24" s="861"/>
      <c r="I24" s="811">
        <f>SUM(I19:I23)</f>
        <v>16</v>
      </c>
      <c r="J24" s="862"/>
      <c r="K24" s="22"/>
    </row>
    <row r="25" spans="2:11" s="249" customFormat="1" ht="18" customHeight="1">
      <c r="K25" s="284"/>
    </row>
    <row r="26" spans="2:11" ht="21" customHeight="1" thickBot="1">
      <c r="B26" s="11"/>
      <c r="C26" s="173" t="s">
        <v>17</v>
      </c>
      <c r="D26" s="19"/>
      <c r="E26" s="19"/>
      <c r="F26" s="173" t="s">
        <v>18</v>
      </c>
      <c r="G26" s="19"/>
      <c r="H26" s="19"/>
      <c r="I26" s="19" t="s">
        <v>19</v>
      </c>
      <c r="J26" s="19"/>
      <c r="K26" s="20"/>
    </row>
    <row r="28" spans="2:11">
      <c r="K28" s="250" t="s">
        <v>440</v>
      </c>
    </row>
    <row r="29" spans="2:11">
      <c r="B29" s="1"/>
      <c r="C29" s="1"/>
      <c r="D29" s="1"/>
      <c r="E29" s="1"/>
      <c r="F29" s="1"/>
      <c r="G29" s="1"/>
      <c r="H29" s="1"/>
      <c r="I29" s="1"/>
      <c r="J29" s="1"/>
      <c r="K29" s="1"/>
    </row>
    <row r="30" spans="2:11">
      <c r="B30" s="241" t="s">
        <v>156</v>
      </c>
    </row>
    <row r="32" spans="2:11" ht="18.75" customHeight="1">
      <c r="B32" s="1"/>
      <c r="C32" s="1"/>
      <c r="D32" s="1"/>
      <c r="E32" s="1"/>
      <c r="F32" s="1"/>
      <c r="G32" s="1"/>
      <c r="H32" s="1"/>
      <c r="I32" s="1"/>
      <c r="J32" s="1"/>
      <c r="K32" s="1"/>
    </row>
  </sheetData>
  <mergeCells count="3">
    <mergeCell ref="B1:K1"/>
    <mergeCell ref="B2:K2"/>
    <mergeCell ref="D10:K10"/>
  </mergeCells>
  <phoneticPr fontId="3" type="noConversion"/>
  <hyperlinks>
    <hyperlink ref="K28" location="'TABLA DE CONTENIDO'!A1" display="VOLVER A TABLA DE CONTENIDO"/>
    <hyperlink ref="K13" r:id="rId1"/>
  </hyperlinks>
  <printOptions horizontalCentered="1"/>
  <pageMargins left="0.70866141732283472" right="0.59055118110236227" top="0.78740157480314965" bottom="0.98425196850393704" header="0.51181102362204722" footer="0.51181102362204722"/>
  <pageSetup scale="85" orientation="landscape" horizontalDpi="120" verticalDpi="144" r:id="rId2"/>
  <headerFooter alignWithMargins="0"/>
  <rowBreaks count="1" manualBreakCount="1">
    <brk id="30" max="10"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J35"/>
  <sheetViews>
    <sheetView view="pageBreakPreview" zoomScaleNormal="100" zoomScaleSheetLayoutView="100" workbookViewId="0">
      <selection activeCell="G21" sqref="G21"/>
    </sheetView>
  </sheetViews>
  <sheetFormatPr baseColWidth="10" defaultRowHeight="12.75"/>
  <cols>
    <col min="1" max="1" width="30" customWidth="1"/>
    <col min="2" max="2" width="0.85546875" customWidth="1"/>
    <col min="3" max="3" width="18.7109375" customWidth="1"/>
    <col min="4" max="4" width="0.85546875" customWidth="1"/>
    <col min="5" max="5" width="18.7109375" customWidth="1"/>
    <col min="6" max="6" width="0.85546875" customWidth="1"/>
    <col min="7" max="7" width="18.7109375" customWidth="1"/>
    <col min="8" max="8" width="0.85546875" customWidth="1"/>
    <col min="9" max="9" width="27.5703125" customWidth="1"/>
    <col min="10" max="10" width="0.85546875" customWidth="1"/>
  </cols>
  <sheetData>
    <row r="1" spans="1:10" ht="23.25">
      <c r="A1" s="1583" t="s">
        <v>0</v>
      </c>
      <c r="B1" s="1583"/>
      <c r="C1" s="1583"/>
      <c r="D1" s="1583"/>
      <c r="E1" s="1583"/>
      <c r="F1" s="1583"/>
      <c r="G1" s="1583"/>
      <c r="H1" s="1583"/>
      <c r="I1" s="1583"/>
      <c r="J1" s="1"/>
    </row>
    <row r="2" spans="1:10" ht="18">
      <c r="A2" s="1576" t="s">
        <v>531</v>
      </c>
      <c r="B2" s="1584"/>
      <c r="C2" s="1584"/>
      <c r="D2" s="1584"/>
      <c r="E2" s="1584"/>
      <c r="F2" s="1584"/>
      <c r="G2" s="1584"/>
      <c r="H2" s="1584"/>
      <c r="I2" s="1584"/>
      <c r="J2" s="1"/>
    </row>
    <row r="3" spans="1:10" s="29" customFormat="1" ht="18">
      <c r="A3" s="1580" t="s">
        <v>109</v>
      </c>
      <c r="B3" s="1580"/>
      <c r="C3" s="1580"/>
      <c r="D3" s="1580"/>
      <c r="E3" s="1580"/>
      <c r="F3" s="1580"/>
      <c r="G3" s="1580"/>
      <c r="H3" s="1580"/>
      <c r="I3" s="1580"/>
    </row>
    <row r="5" spans="1:10" ht="18">
      <c r="A5" s="1576" t="s">
        <v>310</v>
      </c>
      <c r="B5" s="1576"/>
      <c r="C5" s="1576"/>
      <c r="D5" s="1576"/>
      <c r="E5" s="1576"/>
      <c r="F5" s="1576"/>
      <c r="G5" s="1576"/>
      <c r="H5" s="1576"/>
      <c r="I5" s="1576"/>
    </row>
    <row r="7" spans="1:10">
      <c r="A7" s="137" t="s">
        <v>147</v>
      </c>
      <c r="B7" s="189"/>
      <c r="C7" s="317" t="s">
        <v>1120</v>
      </c>
      <c r="D7" s="3"/>
      <c r="E7" s="3"/>
      <c r="F7" s="3"/>
      <c r="G7" s="137"/>
      <c r="H7" s="323" t="s">
        <v>548</v>
      </c>
      <c r="I7" s="1586" t="str">
        <f>PORTADA!C31</f>
        <v>OCTUBRE - DICIEMBRE DEL 2020</v>
      </c>
    </row>
    <row r="8" spans="1:10" ht="13.5" thickBot="1">
      <c r="B8" s="98"/>
      <c r="D8" s="98"/>
      <c r="F8" s="98"/>
      <c r="H8" s="19"/>
      <c r="I8" s="1587"/>
    </row>
    <row r="9" spans="1:10">
      <c r="A9" s="188" t="s">
        <v>37</v>
      </c>
      <c r="B9" s="185"/>
      <c r="C9" s="318" t="s">
        <v>538</v>
      </c>
      <c r="D9" s="2"/>
      <c r="E9" s="318" t="s">
        <v>547</v>
      </c>
      <c r="F9" s="2"/>
      <c r="G9" s="179"/>
      <c r="H9" s="2"/>
      <c r="I9" s="179"/>
      <c r="J9" s="2"/>
    </row>
    <row r="10" spans="1:10" ht="18">
      <c r="A10" s="80"/>
      <c r="B10" s="76"/>
      <c r="C10" s="180" t="s">
        <v>313</v>
      </c>
      <c r="D10" s="183"/>
      <c r="E10" s="180" t="s">
        <v>312</v>
      </c>
      <c r="F10" s="183"/>
      <c r="G10" s="180"/>
      <c r="H10" s="183"/>
      <c r="I10" s="180"/>
      <c r="J10" s="2"/>
    </row>
    <row r="11" spans="1:10" ht="13.5" thickBot="1">
      <c r="A11" s="81" t="s">
        <v>38</v>
      </c>
      <c r="B11" s="76"/>
      <c r="C11" s="184" t="s">
        <v>39</v>
      </c>
      <c r="D11" s="183"/>
      <c r="E11" s="184" t="s">
        <v>39</v>
      </c>
      <c r="F11" s="183"/>
      <c r="G11" s="184"/>
      <c r="H11" s="183"/>
      <c r="I11" s="184"/>
      <c r="J11" s="2"/>
    </row>
    <row r="12" spans="1:10" ht="21.95" customHeight="1">
      <c r="A12" s="175" t="s">
        <v>159</v>
      </c>
      <c r="B12" s="186"/>
      <c r="C12" s="319">
        <v>100</v>
      </c>
      <c r="D12" s="320"/>
      <c r="E12" s="319">
        <v>100</v>
      </c>
      <c r="F12" s="115"/>
      <c r="G12" s="190"/>
      <c r="H12" s="115"/>
      <c r="I12" s="190"/>
      <c r="J12" s="115"/>
    </row>
    <row r="13" spans="1:10" ht="21.95" customHeight="1">
      <c r="A13" s="176" t="s">
        <v>160</v>
      </c>
      <c r="B13" s="186"/>
      <c r="C13" s="321">
        <v>100</v>
      </c>
      <c r="D13" s="320"/>
      <c r="E13" s="321">
        <v>85</v>
      </c>
      <c r="F13" s="115"/>
      <c r="G13" s="191"/>
      <c r="H13" s="115"/>
      <c r="I13" s="191"/>
      <c r="J13" s="115"/>
    </row>
    <row r="14" spans="1:10" ht="21.95" customHeight="1">
      <c r="A14" s="176" t="s">
        <v>175</v>
      </c>
      <c r="B14" s="186"/>
      <c r="C14" s="321">
        <v>95</v>
      </c>
      <c r="D14" s="320"/>
      <c r="E14" s="321">
        <v>87</v>
      </c>
      <c r="F14" s="115"/>
      <c r="G14" s="143"/>
      <c r="H14" s="115"/>
      <c r="I14" s="143"/>
      <c r="J14" s="115"/>
    </row>
    <row r="15" spans="1:10" ht="21.95" customHeight="1">
      <c r="A15" s="176" t="s">
        <v>161</v>
      </c>
      <c r="B15" s="186"/>
      <c r="C15" s="321">
        <v>100</v>
      </c>
      <c r="D15" s="320"/>
      <c r="E15" s="321">
        <v>100</v>
      </c>
      <c r="F15" s="115"/>
      <c r="G15" s="191"/>
      <c r="H15" s="115"/>
      <c r="I15" s="191"/>
      <c r="J15" s="115"/>
    </row>
    <row r="16" spans="1:10" ht="21.95" customHeight="1">
      <c r="A16" s="176" t="s">
        <v>163</v>
      </c>
      <c r="B16" s="186"/>
      <c r="C16" s="321">
        <v>100</v>
      </c>
      <c r="D16" s="320"/>
      <c r="E16" s="321">
        <v>100</v>
      </c>
      <c r="F16" s="115"/>
      <c r="G16" s="143"/>
      <c r="H16" s="115"/>
      <c r="I16" s="143"/>
      <c r="J16" s="115"/>
    </row>
    <row r="17" spans="1:10" ht="21.95" customHeight="1">
      <c r="A17" s="176" t="s">
        <v>162</v>
      </c>
      <c r="B17" s="186"/>
      <c r="C17" s="321">
        <v>100</v>
      </c>
      <c r="D17" s="320"/>
      <c r="E17" s="321">
        <v>100</v>
      </c>
      <c r="F17" s="174"/>
      <c r="G17" s="191"/>
      <c r="H17" s="115"/>
      <c r="I17" s="191"/>
      <c r="J17" s="115"/>
    </row>
    <row r="18" spans="1:10" ht="21.95" customHeight="1">
      <c r="A18" s="176" t="s">
        <v>164</v>
      </c>
      <c r="B18" s="186"/>
      <c r="C18" s="321"/>
      <c r="D18" s="320"/>
      <c r="E18" s="321">
        <v>100</v>
      </c>
      <c r="F18" s="174"/>
      <c r="G18" s="143"/>
      <c r="H18" s="115"/>
      <c r="I18" s="143"/>
      <c r="J18" s="115"/>
    </row>
    <row r="19" spans="1:10" ht="21.95" customHeight="1">
      <c r="A19" s="177" t="s">
        <v>166</v>
      </c>
      <c r="B19" s="187"/>
      <c r="C19" s="321"/>
      <c r="D19" s="320"/>
      <c r="E19" s="321">
        <v>100</v>
      </c>
      <c r="F19" s="174"/>
      <c r="G19" s="191"/>
      <c r="H19" s="115"/>
      <c r="I19" s="191"/>
      <c r="J19" s="115"/>
    </row>
    <row r="20" spans="1:10" ht="21.95" customHeight="1">
      <c r="A20" s="176" t="s">
        <v>165</v>
      </c>
      <c r="B20" s="186"/>
      <c r="C20" s="321"/>
      <c r="D20" s="321"/>
      <c r="E20" s="321">
        <v>100</v>
      </c>
      <c r="F20" s="174"/>
      <c r="G20" s="143"/>
      <c r="H20" s="115"/>
      <c r="I20" s="143"/>
      <c r="J20" s="115"/>
    </row>
    <row r="21" spans="1:10" ht="21.95" customHeight="1">
      <c r="A21" s="176" t="s">
        <v>167</v>
      </c>
      <c r="B21" s="186"/>
      <c r="C21" s="321">
        <v>90</v>
      </c>
      <c r="D21" s="321"/>
      <c r="E21" s="321">
        <v>92</v>
      </c>
      <c r="F21" s="174"/>
      <c r="G21" s="191"/>
      <c r="H21" s="115"/>
      <c r="I21" s="191"/>
      <c r="J21" s="115"/>
    </row>
    <row r="22" spans="1:10" ht="21.95" customHeight="1">
      <c r="A22" s="176" t="s">
        <v>168</v>
      </c>
      <c r="B22" s="186"/>
      <c r="C22" s="321">
        <v>100</v>
      </c>
      <c r="D22" s="320"/>
      <c r="E22" s="321">
        <v>100</v>
      </c>
      <c r="F22" s="174"/>
      <c r="G22" s="143"/>
      <c r="H22" s="115"/>
      <c r="I22" s="143"/>
      <c r="J22" s="115"/>
    </row>
    <row r="23" spans="1:10" ht="21.95" customHeight="1">
      <c r="A23" s="176" t="s">
        <v>169</v>
      </c>
      <c r="B23" s="186"/>
      <c r="C23" s="321"/>
      <c r="D23" s="320"/>
      <c r="E23" s="321"/>
      <c r="F23" s="174"/>
      <c r="G23" s="191"/>
      <c r="H23" s="115"/>
      <c r="I23" s="191"/>
      <c r="J23" s="115"/>
    </row>
    <row r="24" spans="1:10" ht="21.95" customHeight="1">
      <c r="A24" s="176" t="s">
        <v>170</v>
      </c>
      <c r="B24" s="186"/>
      <c r="C24" s="321">
        <v>93</v>
      </c>
      <c r="D24" s="322"/>
      <c r="E24" s="321">
        <v>90</v>
      </c>
      <c r="F24" s="238"/>
      <c r="G24" s="237"/>
      <c r="H24" s="234"/>
      <c r="I24" s="237"/>
      <c r="J24" s="115"/>
    </row>
    <row r="25" spans="1:10" ht="21.95" customHeight="1" thickBot="1">
      <c r="A25" s="178" t="s">
        <v>392</v>
      </c>
      <c r="B25" s="178"/>
      <c r="C25" s="321">
        <v>100</v>
      </c>
      <c r="D25" s="320"/>
      <c r="E25" s="321">
        <v>100</v>
      </c>
      <c r="F25" s="181"/>
      <c r="G25" s="182"/>
      <c r="H25" s="169"/>
      <c r="I25" s="182"/>
      <c r="J25" s="115"/>
    </row>
    <row r="26" spans="1:10">
      <c r="C26" s="82"/>
      <c r="D26" s="82"/>
      <c r="E26" s="82"/>
      <c r="F26" s="82"/>
      <c r="G26" s="82"/>
      <c r="H26" s="82"/>
    </row>
    <row r="27" spans="1:10">
      <c r="C27" s="82"/>
      <c r="D27" s="82"/>
      <c r="E27" s="82"/>
      <c r="F27" s="82"/>
      <c r="G27" s="82"/>
      <c r="H27" s="82"/>
    </row>
    <row r="28" spans="1:10">
      <c r="A28" s="144" t="s">
        <v>40</v>
      </c>
      <c r="B28" s="144"/>
      <c r="C28" s="82" t="s">
        <v>173</v>
      </c>
      <c r="D28" s="82"/>
      <c r="E28" s="142" t="s">
        <v>171</v>
      </c>
      <c r="F28" s="142"/>
      <c r="G28" s="82" t="s">
        <v>172</v>
      </c>
      <c r="H28" s="82"/>
      <c r="I28" s="82" t="s">
        <v>174</v>
      </c>
    </row>
    <row r="29" spans="1:10">
      <c r="A29" s="53"/>
      <c r="B29" s="53"/>
      <c r="C29" s="82"/>
      <c r="D29" s="82"/>
      <c r="E29" s="82"/>
      <c r="F29" s="82"/>
      <c r="G29" s="82"/>
      <c r="H29" s="82"/>
    </row>
    <row r="30" spans="1:10" ht="18">
      <c r="A30" s="192" t="s">
        <v>311</v>
      </c>
      <c r="B30" s="142"/>
      <c r="C30" s="82"/>
      <c r="D30" s="82"/>
      <c r="E30" s="82"/>
      <c r="F30" s="82"/>
      <c r="G30" s="82"/>
      <c r="H30" s="82"/>
    </row>
    <row r="31" spans="1:10">
      <c r="A31" s="142" t="s">
        <v>385</v>
      </c>
      <c r="B31" s="142"/>
      <c r="C31" s="82"/>
      <c r="D31" s="82"/>
      <c r="E31" s="82"/>
      <c r="F31" s="82"/>
      <c r="G31" s="82"/>
      <c r="H31" s="82"/>
    </row>
    <row r="32" spans="1:10">
      <c r="A32" s="292" t="s">
        <v>521</v>
      </c>
      <c r="B32" s="142"/>
      <c r="C32" s="82"/>
      <c r="D32" s="82"/>
      <c r="E32" s="82"/>
      <c r="F32" s="82"/>
      <c r="G32" s="1585" t="s">
        <v>440</v>
      </c>
      <c r="H32" s="1585"/>
      <c r="I32" s="1585"/>
    </row>
    <row r="33" spans="1:10">
      <c r="A33" s="142"/>
      <c r="B33" s="142"/>
      <c r="C33" s="82"/>
      <c r="D33" s="82"/>
      <c r="E33" s="82"/>
      <c r="F33" s="82"/>
      <c r="G33" s="82"/>
      <c r="H33" s="82"/>
    </row>
    <row r="34" spans="1:10">
      <c r="A34" s="142"/>
      <c r="B34" s="142"/>
      <c r="C34" s="82"/>
      <c r="D34" s="82"/>
      <c r="E34" s="82"/>
      <c r="F34" s="82"/>
      <c r="G34" s="82"/>
      <c r="H34" s="82"/>
    </row>
    <row r="35" spans="1:10">
      <c r="A35" s="142"/>
      <c r="B35" s="142"/>
      <c r="C35" s="78"/>
      <c r="D35" s="78"/>
      <c r="E35" s="78"/>
      <c r="F35" s="78"/>
      <c r="G35" s="78"/>
      <c r="H35" s="78"/>
      <c r="I35" s="1"/>
      <c r="J35" s="1"/>
    </row>
  </sheetData>
  <mergeCells count="6">
    <mergeCell ref="A3:I3"/>
    <mergeCell ref="A1:I1"/>
    <mergeCell ref="A2:I2"/>
    <mergeCell ref="A5:I5"/>
    <mergeCell ref="G32:I32"/>
    <mergeCell ref="I7:I8"/>
  </mergeCells>
  <phoneticPr fontId="3" type="noConversion"/>
  <conditionalFormatting sqref="C12:C17 C22:C24">
    <cfRule type="cellIs" dxfId="233" priority="73" stopIfTrue="1" operator="equal">
      <formula>0</formula>
    </cfRule>
    <cfRule type="expression" dxfId="232" priority="74" stopIfTrue="1">
      <formula>C12&gt;84</formula>
    </cfRule>
    <cfRule type="cellIs" dxfId="231" priority="75" stopIfTrue="1" operator="between">
      <formula>1</formula>
      <formula>59</formula>
    </cfRule>
    <cfRule type="cellIs" dxfId="230" priority="76" stopIfTrue="1" operator="between">
      <formula>60</formula>
      <formula>84</formula>
    </cfRule>
  </conditionalFormatting>
  <conditionalFormatting sqref="E12:E18 E22:E24">
    <cfRule type="cellIs" dxfId="229" priority="69" stopIfTrue="1" operator="equal">
      <formula>0</formula>
    </cfRule>
    <cfRule type="expression" dxfId="228" priority="70" stopIfTrue="1">
      <formula>E12&gt;84</formula>
    </cfRule>
    <cfRule type="cellIs" dxfId="227" priority="71" stopIfTrue="1" operator="between">
      <formula>1</formula>
      <formula>59</formula>
    </cfRule>
    <cfRule type="cellIs" dxfId="226" priority="72" stopIfTrue="1" operator="between">
      <formula>60</formula>
      <formula>84</formula>
    </cfRule>
  </conditionalFormatting>
  <conditionalFormatting sqref="C25">
    <cfRule type="cellIs" dxfId="225" priority="57" stopIfTrue="1" operator="equal">
      <formula>0</formula>
    </cfRule>
    <cfRule type="expression" dxfId="224" priority="58" stopIfTrue="1">
      <formula>C25&gt;84</formula>
    </cfRule>
    <cfRule type="cellIs" dxfId="223" priority="59" stopIfTrue="1" operator="between">
      <formula>1</formula>
      <formula>59</formula>
    </cfRule>
    <cfRule type="cellIs" dxfId="222" priority="60" stopIfTrue="1" operator="between">
      <formula>60</formula>
      <formula>84</formula>
    </cfRule>
  </conditionalFormatting>
  <conditionalFormatting sqref="E25">
    <cfRule type="cellIs" dxfId="221" priority="53" stopIfTrue="1" operator="equal">
      <formula>0</formula>
    </cfRule>
    <cfRule type="expression" dxfId="220" priority="54" stopIfTrue="1">
      <formula>E25&gt;84</formula>
    </cfRule>
    <cfRule type="cellIs" dxfId="219" priority="55" stopIfTrue="1" operator="between">
      <formula>1</formula>
      <formula>59</formula>
    </cfRule>
    <cfRule type="cellIs" dxfId="218" priority="56" stopIfTrue="1" operator="between">
      <formula>60</formula>
      <formula>84</formula>
    </cfRule>
  </conditionalFormatting>
  <conditionalFormatting sqref="C19">
    <cfRule type="cellIs" dxfId="217" priority="29" stopIfTrue="1" operator="equal">
      <formula>0</formula>
    </cfRule>
    <cfRule type="expression" dxfId="216" priority="30" stopIfTrue="1">
      <formula>C19&gt;84</formula>
    </cfRule>
    <cfRule type="cellIs" dxfId="215" priority="31" stopIfTrue="1" operator="between">
      <formula>1</formula>
      <formula>59</formula>
    </cfRule>
    <cfRule type="cellIs" dxfId="214" priority="32" stopIfTrue="1" operator="between">
      <formula>60</formula>
      <formula>84</formula>
    </cfRule>
  </conditionalFormatting>
  <conditionalFormatting sqref="E19">
    <cfRule type="cellIs" dxfId="213" priority="25" stopIfTrue="1" operator="equal">
      <formula>0</formula>
    </cfRule>
    <cfRule type="expression" dxfId="212" priority="26" stopIfTrue="1">
      <formula>E19&gt;84</formula>
    </cfRule>
    <cfRule type="cellIs" dxfId="211" priority="27" stopIfTrue="1" operator="between">
      <formula>1</formula>
      <formula>59</formula>
    </cfRule>
    <cfRule type="cellIs" dxfId="210" priority="28" stopIfTrue="1" operator="between">
      <formula>60</formula>
      <formula>84</formula>
    </cfRule>
  </conditionalFormatting>
  <conditionalFormatting sqref="C21:E21">
    <cfRule type="cellIs" dxfId="209" priority="17" stopIfTrue="1" operator="equal">
      <formula>0</formula>
    </cfRule>
    <cfRule type="expression" dxfId="208" priority="18" stopIfTrue="1">
      <formula>C21&gt;84</formula>
    </cfRule>
    <cfRule type="cellIs" dxfId="207" priority="19" stopIfTrue="1" operator="between">
      <formula>1</formula>
      <formula>59</formula>
    </cfRule>
    <cfRule type="cellIs" dxfId="206" priority="20" stopIfTrue="1" operator="between">
      <formula>60</formula>
      <formula>84</formula>
    </cfRule>
  </conditionalFormatting>
  <conditionalFormatting sqref="C20:D20">
    <cfRule type="cellIs" dxfId="205" priority="9" stopIfTrue="1" operator="equal">
      <formula>0</formula>
    </cfRule>
    <cfRule type="expression" dxfId="204" priority="10" stopIfTrue="1">
      <formula>C20&gt;84</formula>
    </cfRule>
    <cfRule type="cellIs" dxfId="203" priority="11" stopIfTrue="1" operator="between">
      <formula>1</formula>
      <formula>59</formula>
    </cfRule>
    <cfRule type="cellIs" dxfId="202" priority="12" stopIfTrue="1" operator="between">
      <formula>60</formula>
      <formula>84</formula>
    </cfRule>
  </conditionalFormatting>
  <conditionalFormatting sqref="C18">
    <cfRule type="cellIs" dxfId="201" priority="5" stopIfTrue="1" operator="equal">
      <formula>0</formula>
    </cfRule>
    <cfRule type="expression" dxfId="200" priority="6" stopIfTrue="1">
      <formula>C18&gt;84</formula>
    </cfRule>
    <cfRule type="cellIs" dxfId="199" priority="7" stopIfTrue="1" operator="between">
      <formula>1</formula>
      <formula>59</formula>
    </cfRule>
    <cfRule type="cellIs" dxfId="198" priority="8" stopIfTrue="1" operator="between">
      <formula>60</formula>
      <formula>84</formula>
    </cfRule>
  </conditionalFormatting>
  <conditionalFormatting sqref="E20">
    <cfRule type="cellIs" dxfId="197" priority="1" stopIfTrue="1" operator="equal">
      <formula>0</formula>
    </cfRule>
    <cfRule type="expression" dxfId="196" priority="2" stopIfTrue="1">
      <formula>E20&gt;84</formula>
    </cfRule>
    <cfRule type="cellIs" dxfId="195" priority="3" stopIfTrue="1" operator="between">
      <formula>1</formula>
      <formula>59</formula>
    </cfRule>
    <cfRule type="cellIs" dxfId="194" priority="4" stopIfTrue="1" operator="between">
      <formula>60</formula>
      <formula>84</formula>
    </cfRule>
  </conditionalFormatting>
  <hyperlinks>
    <hyperlink ref="G32" location="'TABLA DE CONTENIDO'!A1" display="VOLVER A TABLA DE CONTENIDO"/>
  </hyperlinks>
  <printOptions horizontalCentered="1" verticalCentered="1"/>
  <pageMargins left="1.2598425196850394" right="0.78740157480314965" top="0.51181102362204722" bottom="0.51181102362204722" header="0.51181102362204722" footer="0.51181102362204722"/>
  <pageSetup scale="94" orientation="landscape" horizontalDpi="300" verticalDpi="300" r:id="rId1"/>
  <headerFooter alignWithMargins="0"/>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O50"/>
  <sheetViews>
    <sheetView view="pageBreakPreview" zoomScale="85" zoomScaleNormal="100" zoomScaleSheetLayoutView="85" workbookViewId="0">
      <selection activeCell="I35" sqref="I35"/>
    </sheetView>
  </sheetViews>
  <sheetFormatPr baseColWidth="10" defaultRowHeight="12.75"/>
  <cols>
    <col min="1" max="1" width="12.42578125" customWidth="1"/>
    <col min="2" max="2" width="13.5703125" customWidth="1"/>
    <col min="3" max="3" width="13.42578125" customWidth="1"/>
    <col min="4" max="4" width="26.140625" customWidth="1"/>
    <col min="5" max="5" width="17" customWidth="1"/>
    <col min="6" max="6" width="17.5703125" customWidth="1"/>
    <col min="7" max="7" width="31.85546875" customWidth="1"/>
    <col min="8" max="8" width="7.5703125" customWidth="1"/>
  </cols>
  <sheetData>
    <row r="1" spans="1:12" ht="23.25">
      <c r="A1" s="1591" t="s">
        <v>0</v>
      </c>
      <c r="B1" s="1591"/>
      <c r="C1" s="1591"/>
      <c r="D1" s="1591"/>
      <c r="E1" s="1591"/>
      <c r="F1" s="1591"/>
      <c r="G1" s="1591"/>
      <c r="H1" s="28"/>
      <c r="I1" s="28"/>
      <c r="J1" s="28"/>
    </row>
    <row r="2" spans="1:12" ht="18">
      <c r="A2" s="1592" t="s">
        <v>531</v>
      </c>
      <c r="B2" s="1592"/>
      <c r="C2" s="1592"/>
      <c r="D2" s="1592"/>
      <c r="E2" s="1592"/>
      <c r="F2" s="1592"/>
      <c r="G2" s="1592"/>
      <c r="H2" s="28"/>
      <c r="I2" s="28"/>
      <c r="J2" s="28"/>
    </row>
    <row r="3" spans="1:12">
      <c r="A3" s="131"/>
      <c r="B3" s="59"/>
      <c r="C3" s="59"/>
      <c r="D3" s="59"/>
      <c r="E3" s="59"/>
      <c r="F3" s="59"/>
      <c r="G3" s="59"/>
      <c r="H3" s="28"/>
      <c r="I3" s="28"/>
      <c r="J3" s="28"/>
    </row>
    <row r="4" spans="1:12" ht="18">
      <c r="A4" s="1592" t="s">
        <v>148</v>
      </c>
      <c r="B4" s="1592"/>
      <c r="C4" s="1592"/>
      <c r="D4" s="1592"/>
      <c r="E4" s="1592"/>
      <c r="F4" s="1592"/>
      <c r="G4" s="1592"/>
      <c r="H4" s="126"/>
      <c r="I4" s="126"/>
      <c r="J4" s="126"/>
    </row>
    <row r="5" spans="1:12">
      <c r="A5" s="132"/>
      <c r="B5" s="132"/>
      <c r="C5" s="132"/>
      <c r="D5" s="132"/>
      <c r="E5" s="132"/>
      <c r="F5" s="132"/>
      <c r="G5" s="132"/>
      <c r="J5" s="28"/>
    </row>
    <row r="6" spans="1:12" ht="18">
      <c r="A6" s="1593" t="s">
        <v>515</v>
      </c>
      <c r="B6" s="1593"/>
      <c r="C6" s="1593"/>
      <c r="D6" s="1593"/>
      <c r="E6" s="1593"/>
      <c r="F6" s="1593"/>
      <c r="G6" s="1593"/>
      <c r="H6" s="1"/>
      <c r="I6" s="1"/>
      <c r="J6" s="1"/>
    </row>
    <row r="7" spans="1:12" ht="18">
      <c r="A7" s="129"/>
      <c r="B7" s="129"/>
      <c r="C7" s="129"/>
      <c r="D7" s="129"/>
      <c r="E7" s="129"/>
      <c r="F7" s="129"/>
      <c r="G7" s="129"/>
      <c r="H7" s="1"/>
      <c r="I7" s="1"/>
      <c r="J7" s="1"/>
    </row>
    <row r="8" spans="1:12">
      <c r="A8" s="137" t="s">
        <v>147</v>
      </c>
      <c r="C8" s="1588" t="str">
        <f>'CUMPLIMIENTO % '!C7</f>
        <v>LUIS GABRIEL IBARRA ANGEL</v>
      </c>
      <c r="D8" s="1588"/>
      <c r="E8" s="158"/>
      <c r="F8" s="212" t="s">
        <v>409</v>
      </c>
      <c r="G8" s="952" t="str">
        <f>PORTADA!C31</f>
        <v>OCTUBRE - DICIEMBRE DEL 2020</v>
      </c>
      <c r="K8" s="79"/>
    </row>
    <row r="9" spans="1:12">
      <c r="A9" s="133"/>
      <c r="B9" s="132"/>
      <c r="C9" s="132"/>
      <c r="D9" s="132"/>
      <c r="E9" s="132"/>
      <c r="F9" s="132"/>
      <c r="G9" s="132"/>
      <c r="H9" s="1"/>
      <c r="I9" s="1"/>
      <c r="J9" s="1"/>
    </row>
    <row r="10" spans="1:12" s="130" customFormat="1">
      <c r="A10" s="1602" t="s">
        <v>100</v>
      </c>
      <c r="B10" s="1602" t="s">
        <v>101</v>
      </c>
      <c r="C10" s="1602" t="s">
        <v>102</v>
      </c>
      <c r="D10" s="1602" t="s">
        <v>6</v>
      </c>
      <c r="E10" s="1602" t="s">
        <v>150</v>
      </c>
      <c r="F10" s="324" t="s">
        <v>103</v>
      </c>
      <c r="G10" s="1602" t="s">
        <v>105</v>
      </c>
    </row>
    <row r="11" spans="1:12" s="130" customFormat="1" ht="13.5" thickBot="1">
      <c r="A11" s="1603"/>
      <c r="B11" s="1603"/>
      <c r="C11" s="1603"/>
      <c r="D11" s="1603"/>
      <c r="E11" s="1603"/>
      <c r="F11" s="325" t="s">
        <v>104</v>
      </c>
      <c r="G11" s="1604"/>
      <c r="I11" s="277" t="s">
        <v>96</v>
      </c>
      <c r="J11" s="277" t="s">
        <v>97</v>
      </c>
      <c r="K11" s="277" t="s">
        <v>98</v>
      </c>
    </row>
    <row r="12" spans="1:12" ht="15" customHeight="1">
      <c r="A12" s="1605" t="s">
        <v>543</v>
      </c>
      <c r="B12" s="302" t="s">
        <v>106</v>
      </c>
      <c r="C12" s="302" t="s">
        <v>549</v>
      </c>
      <c r="D12" s="1607" t="s">
        <v>542</v>
      </c>
      <c r="E12" s="330">
        <v>3.02</v>
      </c>
      <c r="F12" s="1600" t="s">
        <v>14</v>
      </c>
      <c r="G12" s="331" t="s">
        <v>96</v>
      </c>
      <c r="I12" s="145">
        <f>SUMIF(G12:G13,"B",E12:E13)</f>
        <v>3.1779999999999999</v>
      </c>
      <c r="J12" s="145">
        <f>SUMIF(G12:G13,"R",E12:E13)</f>
        <v>0</v>
      </c>
      <c r="K12" s="145">
        <f>SUMIF(G12:G13,"M",E12:E13)</f>
        <v>0</v>
      </c>
    </row>
    <row r="13" spans="1:12" ht="15" customHeight="1" thickBot="1">
      <c r="A13" s="1606"/>
      <c r="B13" s="326" t="str">
        <f>C12</f>
        <v>3+0050</v>
      </c>
      <c r="C13" s="326" t="s">
        <v>544</v>
      </c>
      <c r="D13" s="1608"/>
      <c r="E13" s="328">
        <v>0.158</v>
      </c>
      <c r="F13" s="1599"/>
      <c r="G13" s="332" t="s">
        <v>96</v>
      </c>
      <c r="I13" s="145"/>
      <c r="J13" s="145"/>
      <c r="K13" s="145"/>
    </row>
    <row r="14" spans="1:12" ht="15" customHeight="1">
      <c r="A14" s="1594">
        <v>4507</v>
      </c>
      <c r="B14" s="892" t="s">
        <v>879</v>
      </c>
      <c r="C14" s="331" t="s">
        <v>550</v>
      </c>
      <c r="D14" s="1597" t="s">
        <v>545</v>
      </c>
      <c r="E14" s="329">
        <f>1.176+2.3</f>
        <v>3.476</v>
      </c>
      <c r="F14" s="1610" t="s">
        <v>14</v>
      </c>
      <c r="G14" s="331" t="s">
        <v>96</v>
      </c>
      <c r="I14" s="145">
        <f>SUMIF(G14:G17,"B",E14:E17)</f>
        <v>5.1029999999999998</v>
      </c>
      <c r="J14" s="145">
        <f>SUMIF(G14:G17,"R",E14:E17)</f>
        <v>0.67699999999999994</v>
      </c>
      <c r="K14" s="145">
        <f>SUMIF(G14:G17,"M",E14:E17)</f>
        <v>0</v>
      </c>
      <c r="L14">
        <f>+J14+I14</f>
        <v>5.7799999999999994</v>
      </c>
    </row>
    <row r="15" spans="1:12" ht="15" customHeight="1">
      <c r="A15" s="1595"/>
      <c r="B15" s="134" t="str">
        <f>C14</f>
        <v>43+0500</v>
      </c>
      <c r="C15" s="331" t="s">
        <v>551</v>
      </c>
      <c r="D15" s="1598"/>
      <c r="E15" s="329">
        <f>0.187+0.26</f>
        <v>0.44700000000000001</v>
      </c>
      <c r="F15" s="1595"/>
      <c r="G15" s="331" t="s">
        <v>96</v>
      </c>
      <c r="I15" s="145"/>
      <c r="J15" s="145"/>
      <c r="K15" s="145"/>
      <c r="L15">
        <f>+J14/L14</f>
        <v>0.1171280276816609</v>
      </c>
    </row>
    <row r="16" spans="1:12" ht="15" customHeight="1">
      <c r="A16" s="1595"/>
      <c r="B16" s="134" t="str">
        <f>C15</f>
        <v>43+0600</v>
      </c>
      <c r="C16" s="331" t="s">
        <v>552</v>
      </c>
      <c r="D16" s="1598"/>
      <c r="E16" s="329">
        <f>1.057-0.12-0.26</f>
        <v>0.67699999999999994</v>
      </c>
      <c r="F16" s="1595"/>
      <c r="G16" s="331" t="s">
        <v>97</v>
      </c>
      <c r="H16" s="883"/>
      <c r="I16" s="145"/>
      <c r="J16" s="884"/>
      <c r="K16" s="145"/>
    </row>
    <row r="17" spans="1:14" ht="15" customHeight="1" thickBot="1">
      <c r="A17" s="1596"/>
      <c r="B17" s="327" t="str">
        <f>C16</f>
        <v>44+0000</v>
      </c>
      <c r="C17" s="332" t="s">
        <v>546</v>
      </c>
      <c r="D17" s="1599"/>
      <c r="E17" s="328">
        <v>1.18</v>
      </c>
      <c r="F17" s="1596"/>
      <c r="G17" s="332" t="s">
        <v>96</v>
      </c>
      <c r="I17" s="145"/>
      <c r="J17" s="145"/>
      <c r="K17" s="145"/>
    </row>
    <row r="18" spans="1:14" ht="15" customHeight="1">
      <c r="A18" s="1594">
        <v>4507</v>
      </c>
      <c r="B18" s="333" t="s">
        <v>540</v>
      </c>
      <c r="C18" s="334" t="s">
        <v>868</v>
      </c>
      <c r="D18" s="1597" t="s">
        <v>539</v>
      </c>
      <c r="E18" s="329">
        <f>1.1-0.395</f>
        <v>0.70500000000000007</v>
      </c>
      <c r="F18" s="1610" t="s">
        <v>14</v>
      </c>
      <c r="G18" s="336" t="s">
        <v>97</v>
      </c>
      <c r="I18" s="145">
        <f>SUMIF(G18:G22,"B",E18:E22)</f>
        <v>3.355</v>
      </c>
      <c r="J18" s="145">
        <f>SUMIF(G18:G22,"R",E18:E22)</f>
        <v>0.70500000000000007</v>
      </c>
      <c r="K18" s="145">
        <f>SUMIF(G18:G22,"M",E18:E22)</f>
        <v>0</v>
      </c>
    </row>
    <row r="19" spans="1:14" ht="15" customHeight="1">
      <c r="A19" s="1595"/>
      <c r="B19" s="337" t="s">
        <v>862</v>
      </c>
      <c r="C19" s="826" t="s">
        <v>728</v>
      </c>
      <c r="D19" s="1601"/>
      <c r="E19" s="863">
        <f>0.45+0.395</f>
        <v>0.84499999999999997</v>
      </c>
      <c r="F19" s="1611"/>
      <c r="G19" s="331" t="s">
        <v>96</v>
      </c>
      <c r="I19" s="145"/>
      <c r="J19" s="145"/>
      <c r="K19" s="145"/>
    </row>
    <row r="20" spans="1:14" ht="15" customHeight="1">
      <c r="A20" s="1595"/>
      <c r="B20" s="134" t="str">
        <f>+C19</f>
        <v>25+0620</v>
      </c>
      <c r="C20" s="826" t="s">
        <v>553</v>
      </c>
      <c r="D20" s="1601"/>
      <c r="E20" s="329">
        <v>0.38</v>
      </c>
      <c r="F20" s="1611"/>
      <c r="G20" s="331" t="s">
        <v>96</v>
      </c>
      <c r="I20" s="145"/>
      <c r="J20" s="145"/>
      <c r="K20" s="145"/>
      <c r="N20" s="51">
        <f>43.904-44.77</f>
        <v>-0.86599999999999966</v>
      </c>
    </row>
    <row r="21" spans="1:14" ht="15" customHeight="1">
      <c r="A21" s="1595"/>
      <c r="B21" s="134" t="s">
        <v>553</v>
      </c>
      <c r="C21" s="293" t="s">
        <v>863</v>
      </c>
      <c r="D21" s="1601"/>
      <c r="E21" s="329">
        <f>1.25+0.045</f>
        <v>1.2949999999999999</v>
      </c>
      <c r="F21" s="1595"/>
      <c r="G21" s="331" t="s">
        <v>96</v>
      </c>
      <c r="I21" s="145"/>
      <c r="J21" s="145"/>
      <c r="K21" s="145"/>
    </row>
    <row r="22" spans="1:14" ht="15" customHeight="1" thickBot="1">
      <c r="A22" s="1596"/>
      <c r="B22" s="326" t="str">
        <f>C21</f>
        <v>27+0250</v>
      </c>
      <c r="C22" s="893" t="s">
        <v>541</v>
      </c>
      <c r="D22" s="1609"/>
      <c r="E22" s="328">
        <f>0.88-0.045</f>
        <v>0.83499999999999996</v>
      </c>
      <c r="F22" s="1596"/>
      <c r="G22" s="332" t="s">
        <v>96</v>
      </c>
      <c r="I22" s="145"/>
      <c r="J22" s="145"/>
      <c r="K22" s="145"/>
    </row>
    <row r="23" spans="1:14" ht="15" customHeight="1">
      <c r="A23" s="1597">
        <v>3603</v>
      </c>
      <c r="B23" s="336" t="s">
        <v>106</v>
      </c>
      <c r="C23" s="336" t="s">
        <v>869</v>
      </c>
      <c r="D23" s="1597" t="s">
        <v>557</v>
      </c>
      <c r="E23" s="335">
        <f>((733+1004+100)/1000)</f>
        <v>1.837</v>
      </c>
      <c r="F23" s="1597" t="s">
        <v>14</v>
      </c>
      <c r="G23" s="336" t="s">
        <v>96</v>
      </c>
      <c r="I23" s="145">
        <f>SUMIF(G23:G26,"B",E23:E26)</f>
        <v>32.905999999999999</v>
      </c>
      <c r="J23" s="145">
        <f>SUMIF(G23:G26,"R",E23:E26)</f>
        <v>0</v>
      </c>
      <c r="K23" s="145">
        <f>SUMIF(G23:G26,"M",E23:E26)</f>
        <v>2.9</v>
      </c>
      <c r="M23" s="883"/>
    </row>
    <row r="24" spans="1:14" ht="15" customHeight="1">
      <c r="A24" s="1601"/>
      <c r="B24" s="331" t="str">
        <f>+C23</f>
        <v>2+0100</v>
      </c>
      <c r="C24" s="331" t="s">
        <v>554</v>
      </c>
      <c r="D24" s="1601"/>
      <c r="E24" s="329">
        <f>((993-100)+1003)/1000</f>
        <v>1.8959999999999999</v>
      </c>
      <c r="F24" s="1601"/>
      <c r="G24" s="331" t="s">
        <v>98</v>
      </c>
      <c r="I24" s="145"/>
      <c r="J24" s="145"/>
      <c r="K24" s="145"/>
    </row>
    <row r="25" spans="1:14" ht="15" customHeight="1">
      <c r="A25" s="1598"/>
      <c r="B25" s="134" t="s">
        <v>554</v>
      </c>
      <c r="C25" s="331" t="s">
        <v>558</v>
      </c>
      <c r="D25" s="1598"/>
      <c r="E25" s="329">
        <f>(1004)/1000</f>
        <v>1.004</v>
      </c>
      <c r="F25" s="1598"/>
      <c r="G25" s="331" t="s">
        <v>98</v>
      </c>
      <c r="I25" s="145"/>
      <c r="J25" s="145"/>
      <c r="K25" s="145"/>
    </row>
    <row r="26" spans="1:14" ht="15" customHeight="1" thickBot="1">
      <c r="A26" s="1598"/>
      <c r="B26" s="134" t="str">
        <f>C25</f>
        <v>5+0000</v>
      </c>
      <c r="C26" s="331" t="s">
        <v>537</v>
      </c>
      <c r="D26" s="1598"/>
      <c r="E26" s="329">
        <f>((992-650)+650+980+1016+988+1008+996+1014+984+1013+1000+975+964+987+968+959+998+997+1001+1010+978+985+1022+1002+1007+986+1002+992+998+994+1000+1000+253)/1000</f>
        <v>31.068999999999999</v>
      </c>
      <c r="F26" s="1598"/>
      <c r="G26" s="331" t="s">
        <v>96</v>
      </c>
      <c r="I26" s="145"/>
      <c r="J26" s="145"/>
      <c r="K26" s="145"/>
    </row>
    <row r="27" spans="1:14" ht="15" customHeight="1">
      <c r="A27" s="1594">
        <v>3602</v>
      </c>
      <c r="B27" s="333" t="s">
        <v>533</v>
      </c>
      <c r="C27" s="333" t="s">
        <v>558</v>
      </c>
      <c r="D27" s="1600" t="s">
        <v>565</v>
      </c>
      <c r="E27" s="340">
        <f>(637+956+955+951)/1000</f>
        <v>3.4990000000000001</v>
      </c>
      <c r="F27" s="1594" t="s">
        <v>14</v>
      </c>
      <c r="G27" s="336" t="s">
        <v>96</v>
      </c>
      <c r="I27" s="145">
        <f>SUMIF(G27:G35,"B",E27:E35)</f>
        <v>26.44</v>
      </c>
      <c r="J27" s="145">
        <f>SUMIF(G27:G35,"R",E27:E35)</f>
        <v>15.254999999999999</v>
      </c>
      <c r="K27" s="145">
        <f>SUMIF(G27:G35,"M",E27:E35)</f>
        <v>2.2090000000000001</v>
      </c>
    </row>
    <row r="28" spans="1:14" ht="15" customHeight="1">
      <c r="A28" s="1595"/>
      <c r="B28" s="337" t="s">
        <v>558</v>
      </c>
      <c r="C28" s="337" t="s">
        <v>559</v>
      </c>
      <c r="D28" s="1598"/>
      <c r="E28" s="339">
        <f>(942+975)/1000</f>
        <v>1.917</v>
      </c>
      <c r="F28" s="1595"/>
      <c r="G28" s="331" t="s">
        <v>96</v>
      </c>
      <c r="I28" s="145"/>
      <c r="J28" s="145"/>
      <c r="K28" s="145"/>
    </row>
    <row r="29" spans="1:14" ht="15" customHeight="1">
      <c r="A29" s="1595"/>
      <c r="B29" s="337" t="s">
        <v>560</v>
      </c>
      <c r="C29" s="337" t="s">
        <v>561</v>
      </c>
      <c r="D29" s="1598"/>
      <c r="E29" s="339">
        <v>0.92500000000000004</v>
      </c>
      <c r="F29" s="1595"/>
      <c r="G29" s="331" t="s">
        <v>96</v>
      </c>
    </row>
    <row r="30" spans="1:14" ht="15" customHeight="1">
      <c r="A30" s="1595"/>
      <c r="B30" s="337" t="s">
        <v>561</v>
      </c>
      <c r="C30" s="337" t="s">
        <v>562</v>
      </c>
      <c r="D30" s="1598"/>
      <c r="E30" s="339">
        <f>(959+937+963+951+957+959+951+973+918+965)/1000</f>
        <v>9.5329999999999995</v>
      </c>
      <c r="F30" s="1595"/>
      <c r="G30" s="331" t="s">
        <v>97</v>
      </c>
    </row>
    <row r="31" spans="1:14" ht="15" customHeight="1">
      <c r="A31" s="1595"/>
      <c r="B31" s="337" t="s">
        <v>562</v>
      </c>
      <c r="C31" s="337" t="s">
        <v>563</v>
      </c>
      <c r="D31" s="1598"/>
      <c r="E31" s="339">
        <f>(966+953+959)/1000</f>
        <v>2.8780000000000001</v>
      </c>
      <c r="F31" s="1595"/>
      <c r="G31" s="331" t="s">
        <v>96</v>
      </c>
    </row>
    <row r="32" spans="1:14" ht="15" customHeight="1">
      <c r="A32" s="1595"/>
      <c r="B32" s="337" t="s">
        <v>563</v>
      </c>
      <c r="C32" s="302" t="s">
        <v>870</v>
      </c>
      <c r="D32" s="1598"/>
      <c r="E32" s="339">
        <f>(891+977+1000+1000+846+908+100)/1000</f>
        <v>5.7220000000000004</v>
      </c>
      <c r="F32" s="1595"/>
      <c r="G32" s="331" t="s">
        <v>97</v>
      </c>
    </row>
    <row r="33" spans="1:15" ht="15" customHeight="1">
      <c r="A33" s="1595"/>
      <c r="B33" s="302" t="s">
        <v>870</v>
      </c>
      <c r="C33" s="302" t="s">
        <v>858</v>
      </c>
      <c r="D33" s="1598"/>
      <c r="E33" s="339">
        <f>((967-100)+923+959+969+934+948+944+1000+903+969+911+984+929+970)/1000</f>
        <v>13.21</v>
      </c>
      <c r="F33" s="1595"/>
      <c r="G33" s="331" t="s">
        <v>96</v>
      </c>
    </row>
    <row r="34" spans="1:15" ht="15" customHeight="1">
      <c r="A34" s="1595"/>
      <c r="B34" s="302" t="s">
        <v>858</v>
      </c>
      <c r="C34" s="302" t="s">
        <v>867</v>
      </c>
      <c r="D34" s="1598"/>
      <c r="E34" s="339">
        <f>(954+955+300)/1000</f>
        <v>2.2090000000000001</v>
      </c>
      <c r="F34" s="1595"/>
      <c r="G34" s="331" t="s">
        <v>98</v>
      </c>
      <c r="O34">
        <f>40.724-44.77</f>
        <v>-4.0460000000000065</v>
      </c>
    </row>
    <row r="35" spans="1:15" ht="15" customHeight="1" thickBot="1">
      <c r="A35" s="1596"/>
      <c r="B35" s="326" t="s">
        <v>867</v>
      </c>
      <c r="C35" s="338" t="s">
        <v>534</v>
      </c>
      <c r="D35" s="1599"/>
      <c r="E35" s="341">
        <f>((944-300)+961+922+970+514)/1000</f>
        <v>4.0110000000000001</v>
      </c>
      <c r="F35" s="1596"/>
      <c r="G35" s="332" t="s">
        <v>96</v>
      </c>
    </row>
    <row r="36" spans="1:15">
      <c r="E36" s="961"/>
    </row>
    <row r="37" spans="1:15">
      <c r="E37" s="111"/>
      <c r="G37" s="883"/>
    </row>
    <row r="38" spans="1:15">
      <c r="A38" s="56" t="s">
        <v>314</v>
      </c>
      <c r="E38" s="111"/>
      <c r="L38">
        <f>40+47+15+25</f>
        <v>127</v>
      </c>
    </row>
    <row r="39" spans="1:15">
      <c r="E39" s="111"/>
    </row>
    <row r="40" spans="1:15">
      <c r="E40" s="111"/>
    </row>
    <row r="41" spans="1:15" ht="9.9499999999999993" customHeight="1">
      <c r="E41" s="1589" t="s">
        <v>84</v>
      </c>
      <c r="F41" s="1590"/>
    </row>
    <row r="42" spans="1:15" ht="9.9499999999999993" customHeight="1">
      <c r="E42" s="197" t="s">
        <v>96</v>
      </c>
      <c r="F42" s="193" t="s">
        <v>85</v>
      </c>
    </row>
    <row r="43" spans="1:15" ht="9.9499999999999993" customHeight="1">
      <c r="E43" s="196" t="s">
        <v>97</v>
      </c>
      <c r="F43" s="193" t="s">
        <v>86</v>
      </c>
    </row>
    <row r="44" spans="1:15" ht="9.9499999999999993" customHeight="1">
      <c r="E44" s="195" t="s">
        <v>98</v>
      </c>
      <c r="F44" s="193" t="s">
        <v>87</v>
      </c>
    </row>
    <row r="45" spans="1:15">
      <c r="E45" s="111"/>
    </row>
    <row r="46" spans="1:15">
      <c r="E46" s="1585" t="s">
        <v>440</v>
      </c>
      <c r="F46" s="1585"/>
      <c r="G46" s="1585"/>
    </row>
    <row r="47" spans="1:15">
      <c r="E47" s="111"/>
    </row>
    <row r="48" spans="1:15">
      <c r="E48" s="111"/>
    </row>
    <row r="49" spans="5:5">
      <c r="E49" s="111"/>
    </row>
    <row r="50" spans="5:5">
      <c r="E50" s="111"/>
    </row>
  </sheetData>
  <mergeCells count="28">
    <mergeCell ref="E46:G46"/>
    <mergeCell ref="A10:A11"/>
    <mergeCell ref="B10:B11"/>
    <mergeCell ref="C10:C11"/>
    <mergeCell ref="D10:D11"/>
    <mergeCell ref="E10:E11"/>
    <mergeCell ref="G10:G11"/>
    <mergeCell ref="A12:A13"/>
    <mergeCell ref="D12:D13"/>
    <mergeCell ref="F12:F13"/>
    <mergeCell ref="F27:F35"/>
    <mergeCell ref="D18:D22"/>
    <mergeCell ref="A18:A22"/>
    <mergeCell ref="F14:F17"/>
    <mergeCell ref="F18:F22"/>
    <mergeCell ref="D23:D26"/>
    <mergeCell ref="C8:D8"/>
    <mergeCell ref="E41:F41"/>
    <mergeCell ref="A1:G1"/>
    <mergeCell ref="A2:G2"/>
    <mergeCell ref="A4:G4"/>
    <mergeCell ref="A6:G6"/>
    <mergeCell ref="A14:A17"/>
    <mergeCell ref="D14:D17"/>
    <mergeCell ref="A27:A35"/>
    <mergeCell ref="D27:D35"/>
    <mergeCell ref="A23:A26"/>
    <mergeCell ref="F23:F26"/>
  </mergeCells>
  <phoneticPr fontId="3" type="noConversion"/>
  <conditionalFormatting sqref="G12 G26:G35">
    <cfRule type="expression" dxfId="193" priority="7" stopIfTrue="1">
      <formula>G12="M"</formula>
    </cfRule>
    <cfRule type="expression" dxfId="192" priority="8" stopIfTrue="1">
      <formula>G12="R"</formula>
    </cfRule>
    <cfRule type="expression" dxfId="191" priority="9" stopIfTrue="1">
      <formula>G12="B"</formula>
    </cfRule>
  </conditionalFormatting>
  <conditionalFormatting sqref="G13:G25">
    <cfRule type="expression" dxfId="190" priority="4" stopIfTrue="1">
      <formula>G13="M"</formula>
    </cfRule>
    <cfRule type="expression" dxfId="189" priority="5" stopIfTrue="1">
      <formula>G13="R"</formula>
    </cfRule>
    <cfRule type="expression" dxfId="188" priority="6" stopIfTrue="1">
      <formula>G13="B"</formula>
    </cfRule>
  </conditionalFormatting>
  <hyperlinks>
    <hyperlink ref="E46" location="'TABLA DE CONTENIDO'!A1" display="VOLVER A TABLA DE CONTENIDO"/>
  </hyperlinks>
  <printOptions horizontalCentered="1" verticalCentered="1"/>
  <pageMargins left="0.74803149606299213" right="0.39370078740157483" top="0.59055118110236227" bottom="0.98425196850393704" header="0.19685039370078741" footer="0"/>
  <pageSetup scale="78" orientation="landscape" horizontalDpi="300" verticalDpi="300" r:id="rId1"/>
  <headerFooter alignWithMargins="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J73"/>
  <sheetViews>
    <sheetView showGridLines="0" view="pageBreakPreview" zoomScaleNormal="75" zoomScaleSheetLayoutView="100" workbookViewId="0">
      <selection activeCell="CW10" sqref="CW10"/>
    </sheetView>
  </sheetViews>
  <sheetFormatPr baseColWidth="10" defaultColWidth="12.5703125" defaultRowHeight="15"/>
  <cols>
    <col min="1" max="1" width="30.42578125" style="445" customWidth="1"/>
    <col min="2" max="96" width="0.5703125" style="445" customWidth="1"/>
    <col min="97" max="97" width="2.140625" style="445" customWidth="1"/>
    <col min="98" max="98" width="2.85546875" style="445" customWidth="1"/>
    <col min="99" max="101" width="2.140625" style="445" customWidth="1"/>
    <col min="102" max="102" width="2.85546875" style="445" customWidth="1"/>
    <col min="103" max="104" width="2.42578125" style="445" customWidth="1"/>
    <col min="105" max="105" width="4.28515625" style="445" customWidth="1"/>
    <col min="106" max="106" width="4" style="445" customWidth="1"/>
    <col min="107" max="107" width="2.5703125" style="445" customWidth="1"/>
    <col min="108" max="108" width="3.5703125" style="445" customWidth="1"/>
    <col min="109" max="16384" width="12.5703125" style="445"/>
  </cols>
  <sheetData>
    <row r="1" spans="1:109" customFormat="1" ht="23.25">
      <c r="A1" s="1583" t="s">
        <v>48</v>
      </c>
      <c r="B1" s="1583"/>
      <c r="C1" s="1583"/>
      <c r="D1" s="1583"/>
      <c r="E1" s="1583"/>
      <c r="F1" s="1583"/>
      <c r="G1" s="1583"/>
      <c r="H1" s="1583"/>
      <c r="I1" s="1583"/>
      <c r="J1" s="1583"/>
      <c r="K1" s="1583"/>
      <c r="L1" s="1583"/>
      <c r="M1" s="1583"/>
      <c r="N1" s="1583"/>
      <c r="O1" s="1583"/>
      <c r="P1" s="1583"/>
      <c r="Q1" s="1583"/>
      <c r="R1" s="1583"/>
      <c r="S1" s="1583"/>
      <c r="T1" s="1583"/>
      <c r="U1" s="1583"/>
      <c r="V1" s="1583"/>
      <c r="W1" s="1583"/>
      <c r="X1" s="1583"/>
      <c r="Y1" s="1583"/>
      <c r="Z1" s="1583"/>
      <c r="AA1" s="1583"/>
      <c r="AB1" s="1583"/>
      <c r="AC1" s="1583"/>
      <c r="AD1" s="1583"/>
      <c r="AE1" s="1583"/>
      <c r="AF1" s="1583"/>
      <c r="AG1" s="1583"/>
      <c r="AH1" s="1583"/>
      <c r="AI1" s="1583"/>
      <c r="AJ1" s="1583"/>
      <c r="AK1" s="1583"/>
      <c r="AL1" s="1583"/>
      <c r="AM1" s="1583"/>
      <c r="AN1" s="1583"/>
      <c r="AO1" s="1583"/>
      <c r="AP1" s="1583"/>
      <c r="AQ1" s="1583"/>
      <c r="AR1" s="1583"/>
      <c r="AS1" s="1583"/>
      <c r="AT1" s="1583"/>
      <c r="AU1" s="1583"/>
      <c r="AV1" s="1583"/>
      <c r="AW1" s="1583"/>
      <c r="AX1" s="1583"/>
      <c r="AY1" s="1583"/>
      <c r="AZ1" s="1583"/>
      <c r="BA1" s="1583"/>
      <c r="BB1" s="1583"/>
      <c r="BC1" s="1583"/>
      <c r="BD1" s="1583"/>
      <c r="BE1" s="1583"/>
      <c r="BF1" s="1583"/>
      <c r="BG1" s="1583"/>
      <c r="BH1" s="1583"/>
      <c r="BI1" s="1583"/>
      <c r="BJ1" s="1583"/>
      <c r="BK1" s="1583"/>
      <c r="BL1" s="1583"/>
      <c r="BM1" s="1583"/>
      <c r="BN1" s="1583"/>
      <c r="BO1" s="1583"/>
      <c r="BP1" s="1583"/>
      <c r="BQ1" s="1583"/>
      <c r="BR1" s="1583"/>
      <c r="BS1" s="1583"/>
      <c r="BT1" s="1583"/>
      <c r="BU1" s="1583"/>
      <c r="BV1" s="1583"/>
      <c r="BW1" s="1583"/>
      <c r="BX1" s="1583"/>
      <c r="BY1" s="1583"/>
      <c r="BZ1" s="1583"/>
      <c r="CA1" s="1583"/>
      <c r="CB1" s="1583"/>
      <c r="CC1" s="1583"/>
      <c r="CD1" s="1583"/>
      <c r="CE1" s="1583"/>
      <c r="CF1" s="1583"/>
      <c r="CG1" s="1583"/>
      <c r="CH1" s="1583"/>
      <c r="CI1" s="1583"/>
      <c r="CJ1" s="1583"/>
      <c r="CK1" s="1583"/>
      <c r="CL1" s="1583"/>
      <c r="CM1" s="1583"/>
      <c r="CN1" s="1583"/>
      <c r="CO1" s="1583"/>
      <c r="CP1" s="1583"/>
      <c r="CQ1" s="1583"/>
      <c r="CR1" s="1583"/>
      <c r="CS1" s="1583"/>
      <c r="CT1" s="1583"/>
      <c r="CU1" s="1583"/>
      <c r="CV1" s="1583"/>
      <c r="CW1" s="1583"/>
      <c r="CX1" s="1583"/>
      <c r="CY1" s="1583"/>
      <c r="CZ1" s="1583"/>
      <c r="DA1" s="1583"/>
      <c r="DB1" s="1583"/>
      <c r="DC1" s="1583"/>
      <c r="DD1" s="1583"/>
    </row>
    <row r="2" spans="1:109" customFormat="1" ht="18">
      <c r="A2" s="1576" t="s">
        <v>531</v>
      </c>
      <c r="B2" s="1576"/>
      <c r="C2" s="1576"/>
      <c r="D2" s="1576"/>
      <c r="E2" s="1576"/>
      <c r="F2" s="1576"/>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576"/>
      <c r="AZ2" s="1576"/>
      <c r="BA2" s="1576"/>
      <c r="BB2" s="1576"/>
      <c r="BC2" s="1576"/>
      <c r="BD2" s="1576"/>
      <c r="BE2" s="1576"/>
      <c r="BF2" s="1576"/>
      <c r="BG2" s="1576"/>
      <c r="BH2" s="1576"/>
      <c r="BI2" s="1576"/>
      <c r="BJ2" s="1576"/>
      <c r="BK2" s="1576"/>
      <c r="BL2" s="1576"/>
      <c r="BM2" s="1576"/>
      <c r="BN2" s="1576"/>
      <c r="BO2" s="1576"/>
      <c r="BP2" s="1576"/>
      <c r="BQ2" s="1576"/>
      <c r="BR2" s="1576"/>
      <c r="BS2" s="1576"/>
      <c r="BT2" s="1576"/>
      <c r="BU2" s="1576"/>
      <c r="BV2" s="1576"/>
      <c r="BW2" s="1576"/>
      <c r="BX2" s="1576"/>
      <c r="BY2" s="1576"/>
      <c r="BZ2" s="1576"/>
      <c r="CA2" s="1576"/>
      <c r="CB2" s="1576"/>
      <c r="CC2" s="1576"/>
      <c r="CD2" s="1576"/>
      <c r="CE2" s="1576"/>
      <c r="CF2" s="1576"/>
      <c r="CG2" s="1576"/>
      <c r="CH2" s="1576"/>
      <c r="CI2" s="1576"/>
      <c r="CJ2" s="1576"/>
      <c r="CK2" s="1576"/>
      <c r="CL2" s="1576"/>
      <c r="CM2" s="1576"/>
      <c r="CN2" s="1576"/>
      <c r="CO2" s="1576"/>
      <c r="CP2" s="1576"/>
      <c r="CQ2" s="1576"/>
      <c r="CR2" s="1576"/>
      <c r="CS2" s="1576"/>
      <c r="CT2" s="1576"/>
      <c r="CU2" s="1576"/>
      <c r="CV2" s="1576"/>
      <c r="CW2" s="1576"/>
      <c r="CX2" s="1576"/>
      <c r="CY2" s="1576"/>
      <c r="CZ2" s="1576"/>
      <c r="DA2" s="1576"/>
      <c r="DB2" s="1576"/>
      <c r="DC2" s="1576"/>
      <c r="DD2" s="1576"/>
    </row>
    <row r="3" spans="1:109" s="51" customFormat="1" ht="15.75" customHeight="1">
      <c r="A3" s="1576" t="s">
        <v>149</v>
      </c>
      <c r="B3" s="1576"/>
      <c r="C3" s="1576"/>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576"/>
      <c r="AZ3" s="1576"/>
      <c r="BA3" s="1576"/>
      <c r="BB3" s="1576"/>
      <c r="BC3" s="1576"/>
      <c r="BD3" s="1576"/>
      <c r="BE3" s="1576"/>
      <c r="BF3" s="1576"/>
      <c r="BG3" s="1576"/>
      <c r="BH3" s="1576"/>
      <c r="BI3" s="1576"/>
      <c r="BJ3" s="1576"/>
      <c r="BK3" s="1576"/>
      <c r="BL3" s="1576"/>
      <c r="BM3" s="1576"/>
      <c r="BN3" s="1576"/>
      <c r="BO3" s="1576"/>
      <c r="BP3" s="1576"/>
      <c r="BQ3" s="1576"/>
      <c r="BR3" s="1576"/>
      <c r="BS3" s="1576"/>
      <c r="BT3" s="1576"/>
      <c r="BU3" s="1576"/>
      <c r="BV3" s="1576"/>
      <c r="BW3" s="1576"/>
      <c r="BX3" s="1576"/>
      <c r="BY3" s="1576"/>
      <c r="BZ3" s="1576"/>
      <c r="CA3" s="1576"/>
      <c r="CB3" s="1576"/>
      <c r="CC3" s="1576"/>
      <c r="CD3" s="1576"/>
      <c r="CE3" s="1576"/>
      <c r="CF3" s="1576"/>
      <c r="CG3" s="1576"/>
      <c r="CH3" s="1576"/>
      <c r="CI3" s="1576"/>
      <c r="CJ3" s="1576"/>
      <c r="CK3" s="1576"/>
      <c r="CL3" s="1576"/>
      <c r="CM3" s="1576"/>
      <c r="CN3" s="1576"/>
      <c r="CO3" s="1576"/>
      <c r="CP3" s="1576"/>
      <c r="CQ3" s="1576"/>
      <c r="CR3" s="1576"/>
      <c r="CS3" s="1576"/>
      <c r="CT3" s="1576"/>
      <c r="CU3" s="1576"/>
      <c r="CV3" s="1576"/>
      <c r="CW3" s="1576"/>
      <c r="CX3" s="1576"/>
      <c r="CY3" s="1576"/>
      <c r="CZ3" s="1576"/>
      <c r="DA3" s="1576"/>
      <c r="DB3" s="1576"/>
      <c r="DC3" s="1576"/>
      <c r="DD3" s="1576"/>
    </row>
    <row r="4" spans="1:109" s="51" customFormat="1" ht="18">
      <c r="A4" s="1576" t="s">
        <v>510</v>
      </c>
      <c r="B4" s="1576"/>
      <c r="C4" s="1576"/>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76"/>
      <c r="BB4" s="1576"/>
      <c r="BC4" s="1576"/>
      <c r="BD4" s="1576"/>
      <c r="BE4" s="1576"/>
      <c r="BF4" s="1576"/>
      <c r="BG4" s="1576"/>
      <c r="BH4" s="1576"/>
      <c r="BI4" s="1576"/>
      <c r="BJ4" s="1576"/>
      <c r="BK4" s="1576"/>
      <c r="BL4" s="1576"/>
      <c r="BM4" s="1576"/>
      <c r="BN4" s="1576"/>
      <c r="BO4" s="1576"/>
      <c r="BP4" s="1576"/>
      <c r="BQ4" s="1576"/>
      <c r="BR4" s="1576"/>
      <c r="BS4" s="1576"/>
      <c r="BT4" s="1576"/>
      <c r="BU4" s="1576"/>
      <c r="BV4" s="1576"/>
      <c r="BW4" s="1576"/>
      <c r="BX4" s="1576"/>
      <c r="BY4" s="1576"/>
      <c r="BZ4" s="1576"/>
      <c r="CA4" s="1576"/>
      <c r="CB4" s="1576"/>
      <c r="CC4" s="1576"/>
      <c r="CD4" s="1576"/>
      <c r="CE4" s="1576"/>
      <c r="CF4" s="1576"/>
      <c r="CG4" s="1576"/>
      <c r="CH4" s="1576"/>
      <c r="CI4" s="1576"/>
      <c r="CJ4" s="1576"/>
      <c r="CK4" s="1576"/>
      <c r="CL4" s="1576"/>
      <c r="CM4" s="1576"/>
      <c r="CN4" s="1576"/>
      <c r="CO4" s="1576"/>
      <c r="CP4" s="1576"/>
      <c r="CQ4" s="1576"/>
      <c r="CR4" s="1576"/>
      <c r="CS4" s="1576"/>
      <c r="CT4" s="1576"/>
      <c r="CU4" s="1576"/>
      <c r="CV4" s="1576"/>
      <c r="CW4" s="1576"/>
      <c r="CX4" s="1576"/>
      <c r="CY4" s="1576"/>
      <c r="CZ4" s="1576"/>
      <c r="DA4" s="1576"/>
      <c r="DB4" s="1576"/>
      <c r="DC4" s="1576"/>
      <c r="DD4" s="1576"/>
    </row>
    <row r="5" spans="1:109" s="51" customFormat="1" ht="18">
      <c r="A5" s="194"/>
      <c r="B5" s="194"/>
      <c r="C5" s="194"/>
      <c r="D5" s="194"/>
      <c r="E5" s="194"/>
      <c r="F5" s="194"/>
      <c r="G5" s="194"/>
      <c r="H5" s="194"/>
      <c r="I5" s="194"/>
      <c r="J5" s="194"/>
      <c r="K5" s="194"/>
      <c r="L5" s="194"/>
      <c r="M5" s="194"/>
      <c r="N5" s="194"/>
      <c r="O5" s="194"/>
      <c r="P5" s="194"/>
      <c r="Q5" s="194"/>
      <c r="R5" s="194"/>
    </row>
    <row r="6" spans="1:109" s="51" customFormat="1" ht="12" customHeight="1">
      <c r="A6" s="52"/>
      <c r="B6" s="342"/>
      <c r="C6" s="342"/>
      <c r="D6" s="342"/>
      <c r="E6" s="342"/>
      <c r="F6" s="342"/>
      <c r="G6" s="342"/>
      <c r="H6" s="342"/>
      <c r="I6" s="342"/>
      <c r="J6" s="342"/>
      <c r="K6" s="342"/>
      <c r="L6" s="342"/>
      <c r="M6" s="342"/>
      <c r="N6" s="342"/>
      <c r="O6" s="342"/>
      <c r="P6" s="342"/>
      <c r="Q6" s="342"/>
      <c r="R6" s="342"/>
    </row>
    <row r="7" spans="1:109" customFormat="1" ht="12.75">
      <c r="A7" s="53" t="s">
        <v>584</v>
      </c>
      <c r="B7" s="53"/>
      <c r="C7" s="54"/>
      <c r="D7" s="54"/>
      <c r="E7" s="54"/>
      <c r="F7" s="54"/>
      <c r="G7" s="54"/>
      <c r="H7" s="54"/>
      <c r="J7" s="56"/>
      <c r="K7" s="56"/>
      <c r="L7" s="54"/>
      <c r="M7" s="54"/>
      <c r="N7" s="54"/>
      <c r="O7" s="54"/>
      <c r="P7" s="54"/>
      <c r="Q7" s="342"/>
      <c r="R7" s="342"/>
      <c r="BL7" s="55"/>
      <c r="BP7" s="55" t="s">
        <v>89</v>
      </c>
      <c r="CN7" s="1687">
        <v>3602</v>
      </c>
      <c r="CO7" s="1687"/>
      <c r="CP7" s="1687"/>
      <c r="CQ7" s="1687"/>
      <c r="CR7" s="1687"/>
      <c r="CS7" s="1687"/>
      <c r="CT7" s="1687"/>
      <c r="CU7" s="1687"/>
      <c r="CV7" s="1687"/>
    </row>
    <row r="8" spans="1:109" customFormat="1" ht="9.75" customHeight="1">
      <c r="A8" s="53"/>
      <c r="B8" s="53"/>
      <c r="C8" s="54"/>
      <c r="D8" s="54"/>
      <c r="E8" s="54"/>
      <c r="F8" s="54"/>
      <c r="G8" s="54"/>
      <c r="H8" s="54"/>
      <c r="I8" s="55"/>
      <c r="J8" s="56"/>
      <c r="K8" s="56"/>
      <c r="L8" s="54"/>
      <c r="M8" s="54"/>
      <c r="N8" s="54"/>
      <c r="O8" s="54"/>
      <c r="P8" s="54"/>
      <c r="Q8" s="342"/>
      <c r="R8" s="342"/>
    </row>
    <row r="9" spans="1:109" customFormat="1" ht="18" customHeight="1">
      <c r="A9" s="55" t="s">
        <v>52</v>
      </c>
      <c r="B9" s="1688" t="s">
        <v>49</v>
      </c>
      <c r="C9" s="1689"/>
      <c r="D9" s="1689"/>
      <c r="E9" s="1689"/>
      <c r="F9" s="1689"/>
      <c r="G9" s="1690"/>
      <c r="H9" s="505"/>
      <c r="I9" s="514" t="s">
        <v>585</v>
      </c>
      <c r="J9" s="537" t="s">
        <v>595</v>
      </c>
      <c r="K9" s="490"/>
      <c r="L9" s="490"/>
      <c r="M9" s="490"/>
      <c r="N9" s="490"/>
      <c r="O9" s="490"/>
      <c r="P9" s="490"/>
      <c r="Q9" s="491"/>
      <c r="R9" s="491"/>
      <c r="S9" s="492"/>
      <c r="T9" s="492"/>
      <c r="U9" s="492"/>
      <c r="V9" s="492"/>
      <c r="W9" s="492"/>
      <c r="X9" s="492"/>
      <c r="Y9" s="492"/>
      <c r="Z9" s="492"/>
      <c r="AA9" s="492"/>
      <c r="AB9" s="492"/>
      <c r="AC9" s="492"/>
      <c r="AD9" s="492"/>
      <c r="AE9" s="492"/>
      <c r="AF9" s="492"/>
      <c r="AG9" s="492"/>
      <c r="AH9" s="13"/>
      <c r="AI9" s="13"/>
      <c r="AJ9" s="13"/>
      <c r="AK9" s="13"/>
      <c r="AL9" s="13"/>
      <c r="AM9" s="13"/>
      <c r="AN9" s="13"/>
      <c r="AO9" s="538"/>
      <c r="AP9" s="13"/>
      <c r="AQ9" s="13"/>
      <c r="AR9" s="13"/>
      <c r="AS9" s="13"/>
      <c r="AT9" s="13"/>
      <c r="AU9" s="13"/>
      <c r="AV9" s="5"/>
      <c r="BP9" s="442" t="s">
        <v>596</v>
      </c>
    </row>
    <row r="10" spans="1:109" customFormat="1" ht="18" customHeight="1">
      <c r="A10" s="71"/>
      <c r="B10" s="1688" t="s">
        <v>50</v>
      </c>
      <c r="C10" s="1689"/>
      <c r="D10" s="1689"/>
      <c r="E10" s="1689"/>
      <c r="F10" s="1689"/>
      <c r="G10" s="1690"/>
      <c r="H10" s="520"/>
      <c r="I10" s="521" t="s">
        <v>587</v>
      </c>
      <c r="J10" s="539" t="s">
        <v>597</v>
      </c>
      <c r="K10" s="343"/>
      <c r="L10" s="343"/>
      <c r="M10" s="343"/>
      <c r="N10" s="343"/>
      <c r="O10" s="343"/>
      <c r="P10" s="343"/>
      <c r="Q10" s="344"/>
      <c r="R10" s="344"/>
      <c r="S10" s="249"/>
      <c r="T10" s="249"/>
      <c r="U10" s="249"/>
      <c r="V10" s="249"/>
      <c r="W10" s="249"/>
      <c r="X10" s="249"/>
      <c r="Y10" s="249"/>
      <c r="Z10" s="249"/>
      <c r="AA10" s="249"/>
      <c r="AB10" s="249"/>
      <c r="AC10" s="249"/>
      <c r="AD10" s="249"/>
      <c r="AE10" s="249"/>
      <c r="AF10" s="249"/>
      <c r="AG10" s="249"/>
      <c r="AO10" s="403"/>
      <c r="AV10" s="7"/>
      <c r="BP10" s="442" t="s">
        <v>598</v>
      </c>
    </row>
    <row r="11" spans="1:109" customFormat="1" ht="18" customHeight="1">
      <c r="A11" s="71"/>
      <c r="B11" s="1688" t="s">
        <v>51</v>
      </c>
      <c r="C11" s="1689"/>
      <c r="D11" s="1689"/>
      <c r="E11" s="1689"/>
      <c r="F11" s="1689"/>
      <c r="G11" s="1690"/>
      <c r="H11" s="505"/>
      <c r="I11" s="514" t="s">
        <v>589</v>
      </c>
      <c r="J11" s="537" t="s">
        <v>599</v>
      </c>
      <c r="K11" s="490"/>
      <c r="L11" s="490"/>
      <c r="M11" s="490"/>
      <c r="N11" s="490"/>
      <c r="O11" s="490"/>
      <c r="P11" s="490"/>
      <c r="Q11" s="491"/>
      <c r="R11" s="491"/>
      <c r="S11" s="492"/>
      <c r="T11" s="492"/>
      <c r="U11" s="492"/>
      <c r="V11" s="492"/>
      <c r="W11" s="492"/>
      <c r="X11" s="492"/>
      <c r="Y11" s="492"/>
      <c r="Z11" s="492"/>
      <c r="AA11" s="492"/>
      <c r="AB11" s="492"/>
      <c r="AC11" s="492"/>
      <c r="AD11" s="492"/>
      <c r="AE11" s="492"/>
      <c r="AF11" s="492"/>
      <c r="AG11" s="492"/>
      <c r="AH11" s="13"/>
      <c r="AI11" s="13"/>
      <c r="AJ11" s="13"/>
      <c r="AK11" s="13"/>
      <c r="AL11" s="13"/>
      <c r="AM11" s="13"/>
      <c r="AN11" s="13"/>
      <c r="AO11" s="538"/>
      <c r="AP11" s="13"/>
      <c r="AQ11" s="13"/>
      <c r="AR11" s="13"/>
      <c r="AS11" s="13"/>
      <c r="AT11" s="13"/>
      <c r="AU11" s="13"/>
      <c r="AV11" s="5"/>
      <c r="BP11" s="442" t="s">
        <v>600</v>
      </c>
    </row>
    <row r="12" spans="1:109" customFormat="1" ht="18" customHeight="1">
      <c r="A12" s="71"/>
      <c r="B12" s="1688" t="s">
        <v>53</v>
      </c>
      <c r="C12" s="1689"/>
      <c r="D12" s="1689"/>
      <c r="E12" s="1689"/>
      <c r="F12" s="1689"/>
      <c r="G12" s="1690"/>
      <c r="H12" s="520"/>
      <c r="I12" s="521" t="s">
        <v>591</v>
      </c>
      <c r="J12" s="539" t="s">
        <v>601</v>
      </c>
      <c r="K12" s="343"/>
      <c r="L12" s="343"/>
      <c r="M12" s="343"/>
      <c r="N12" s="343"/>
      <c r="O12" s="343"/>
      <c r="P12" s="343"/>
      <c r="Q12" s="344"/>
      <c r="R12" s="344"/>
      <c r="S12" s="249"/>
      <c r="T12" s="249"/>
      <c r="U12" s="249"/>
      <c r="V12" s="249"/>
      <c r="W12" s="249"/>
      <c r="X12" s="249"/>
      <c r="Y12" s="249"/>
      <c r="Z12" s="249"/>
      <c r="AA12" s="249"/>
      <c r="AB12" s="249"/>
      <c r="AC12" s="249"/>
      <c r="AD12" s="249"/>
      <c r="AE12" s="249"/>
      <c r="AF12" s="249"/>
      <c r="AG12" s="249"/>
      <c r="AO12" s="403"/>
      <c r="AV12" s="7"/>
      <c r="BP12" s="442" t="s">
        <v>602</v>
      </c>
    </row>
    <row r="13" spans="1:109" customFormat="1" ht="18" customHeight="1">
      <c r="A13" s="71"/>
      <c r="B13" s="1688" t="s">
        <v>603</v>
      </c>
      <c r="C13" s="1689"/>
      <c r="D13" s="1689"/>
      <c r="E13" s="1689"/>
      <c r="F13" s="1689"/>
      <c r="G13" s="1690"/>
      <c r="H13" s="505"/>
      <c r="I13" s="514" t="s">
        <v>591</v>
      </c>
      <c r="J13" s="537" t="s">
        <v>604</v>
      </c>
      <c r="K13" s="490"/>
      <c r="L13" s="490"/>
      <c r="M13" s="490"/>
      <c r="N13" s="490"/>
      <c r="O13" s="490"/>
      <c r="P13" s="490"/>
      <c r="Q13" s="491"/>
      <c r="R13" s="491"/>
      <c r="S13" s="492"/>
      <c r="T13" s="492"/>
      <c r="U13" s="492"/>
      <c r="V13" s="492"/>
      <c r="W13" s="492"/>
      <c r="X13" s="492"/>
      <c r="Y13" s="492"/>
      <c r="Z13" s="492"/>
      <c r="AA13" s="492"/>
      <c r="AB13" s="492"/>
      <c r="AC13" s="492"/>
      <c r="AD13" s="492"/>
      <c r="AE13" s="492"/>
      <c r="AF13" s="492"/>
      <c r="AG13" s="492"/>
      <c r="AH13" s="13"/>
      <c r="AI13" s="13"/>
      <c r="AJ13" s="13"/>
      <c r="AK13" s="13"/>
      <c r="AL13" s="13"/>
      <c r="AM13" s="13"/>
      <c r="AN13" s="13"/>
      <c r="AO13" s="538"/>
      <c r="AP13" s="13"/>
      <c r="AQ13" s="13"/>
      <c r="AR13" s="13"/>
      <c r="AS13" s="13"/>
      <c r="AT13" s="13"/>
      <c r="AU13" s="13"/>
      <c r="AV13" s="5"/>
      <c r="BP13" s="442" t="s">
        <v>605</v>
      </c>
    </row>
    <row r="14" spans="1:109" customFormat="1" ht="8.25" customHeight="1">
      <c r="A14" s="71"/>
      <c r="B14" s="345"/>
      <c r="C14" s="345"/>
      <c r="D14" s="345"/>
      <c r="E14" s="345"/>
      <c r="F14" s="345"/>
      <c r="G14" s="345"/>
      <c r="H14" s="343"/>
      <c r="I14" s="344"/>
      <c r="J14" s="343"/>
      <c r="K14" s="343"/>
      <c r="L14" s="343"/>
      <c r="M14" s="343"/>
      <c r="N14" s="343"/>
      <c r="O14" s="343"/>
      <c r="P14" s="343"/>
      <c r="Q14" s="344"/>
      <c r="R14" s="344"/>
      <c r="S14" s="249"/>
      <c r="T14" s="249"/>
      <c r="U14" s="249"/>
      <c r="V14" s="249"/>
      <c r="W14" s="249"/>
      <c r="X14" s="249"/>
      <c r="Y14" s="249"/>
      <c r="Z14" s="249"/>
      <c r="AA14" s="249"/>
      <c r="AB14" s="249"/>
      <c r="AC14" s="249"/>
      <c r="AD14" s="249"/>
      <c r="AE14" s="249"/>
      <c r="AF14" s="249"/>
      <c r="AG14" s="249"/>
    </row>
    <row r="15" spans="1:109" s="56" customFormat="1" ht="18" customHeight="1">
      <c r="A15" s="55" t="s">
        <v>1074</v>
      </c>
      <c r="B15" s="55"/>
      <c r="C15" s="55"/>
      <c r="D15" s="55"/>
      <c r="E15" s="55"/>
      <c r="F15" s="55" t="str">
        <f>'CUMPLIMIENTO % '!C7</f>
        <v>LUIS GABRIEL IBARRA ANGEL</v>
      </c>
      <c r="G15" s="55"/>
      <c r="H15" s="55"/>
      <c r="I15" s="55"/>
      <c r="J15" s="55"/>
      <c r="K15" s="55"/>
      <c r="L15" s="55"/>
      <c r="M15" s="55"/>
      <c r="N15" s="55"/>
      <c r="O15" s="55"/>
      <c r="P15" s="55"/>
      <c r="Q15" s="391"/>
      <c r="R15" s="391"/>
      <c r="BF15" s="55" t="s">
        <v>567</v>
      </c>
      <c r="BG15" s="55"/>
      <c r="BH15" s="55"/>
      <c r="BI15" s="55"/>
      <c r="BJ15" s="55"/>
      <c r="BK15" s="55"/>
      <c r="BL15" s="55"/>
      <c r="BM15" s="55"/>
      <c r="BN15" s="55"/>
      <c r="BO15" s="55"/>
      <c r="BP15" s="55"/>
      <c r="BQ15" s="55"/>
      <c r="BR15" s="55"/>
      <c r="BS15" s="55"/>
      <c r="BT15" s="55"/>
      <c r="BU15" s="55"/>
      <c r="BV15" s="55"/>
      <c r="BW15" s="55"/>
      <c r="BX15" s="55"/>
      <c r="BY15" s="55"/>
      <c r="BZ15" s="55"/>
      <c r="CA15" s="55"/>
      <c r="CB15" s="55"/>
      <c r="CC15" s="55"/>
      <c r="CD15" s="55"/>
      <c r="CE15" s="55"/>
      <c r="CF15" s="55"/>
      <c r="CG15" s="55"/>
      <c r="CH15" s="55"/>
      <c r="CI15" s="55"/>
      <c r="CJ15" s="55"/>
      <c r="CK15" s="55"/>
      <c r="CL15" s="55"/>
      <c r="CM15" s="55"/>
      <c r="CN15" s="55"/>
      <c r="CO15" s="1699" t="str">
        <f>PORTADA!C31</f>
        <v>OCTUBRE - DICIEMBRE DEL 2020</v>
      </c>
      <c r="CP15" s="1699"/>
      <c r="CQ15" s="1699"/>
      <c r="CR15" s="1699"/>
      <c r="CS15" s="1699"/>
      <c r="CT15" s="1699"/>
      <c r="CU15" s="1699"/>
      <c r="CV15" s="1699"/>
      <c r="CW15" s="1699"/>
      <c r="CX15" s="1699"/>
      <c r="CY15" s="1699"/>
      <c r="CZ15" s="1699"/>
      <c r="DA15" s="1699"/>
      <c r="DB15" s="1699"/>
      <c r="DC15" s="1699"/>
      <c r="DD15" s="1699"/>
      <c r="DE15" s="879"/>
    </row>
    <row r="16" spans="1:109" ht="16.5" thickBot="1">
      <c r="A16" s="443"/>
      <c r="B16" s="444"/>
      <c r="C16" s="443"/>
      <c r="D16" s="443"/>
      <c r="E16" s="443"/>
      <c r="F16" s="443"/>
      <c r="G16" s="443"/>
      <c r="H16" s="443"/>
      <c r="I16" s="443"/>
      <c r="J16" s="443"/>
      <c r="K16" s="443"/>
      <c r="L16" s="443"/>
      <c r="M16" s="443"/>
      <c r="N16" s="443"/>
      <c r="O16" s="443"/>
      <c r="P16" s="443"/>
      <c r="Q16" s="443"/>
      <c r="R16" s="443"/>
      <c r="S16" s="443"/>
      <c r="T16" s="443"/>
      <c r="U16" s="443"/>
      <c r="V16" s="443"/>
      <c r="W16" s="443"/>
      <c r="X16" s="443"/>
      <c r="Y16" s="443"/>
      <c r="Z16" s="443"/>
      <c r="AA16" s="443"/>
      <c r="AB16" s="443"/>
      <c r="AC16" s="443"/>
      <c r="AD16" s="443"/>
      <c r="AE16" s="443"/>
      <c r="AF16" s="443"/>
      <c r="AG16" s="443"/>
      <c r="AH16" s="443"/>
      <c r="AI16" s="443"/>
      <c r="AJ16" s="443"/>
      <c r="AK16" s="443"/>
      <c r="AL16" s="443"/>
      <c r="AM16" s="443"/>
      <c r="AN16" s="443"/>
      <c r="AO16" s="443"/>
      <c r="AP16" s="443"/>
      <c r="AQ16" s="443"/>
      <c r="AR16" s="443"/>
      <c r="AS16" s="443"/>
      <c r="AT16" s="443"/>
      <c r="AU16" s="443"/>
      <c r="AV16" s="443"/>
      <c r="AW16" s="443"/>
      <c r="AX16" s="443"/>
      <c r="AY16" s="443"/>
      <c r="AZ16" s="443"/>
      <c r="BA16" s="443"/>
      <c r="BB16" s="443"/>
      <c r="BC16" s="443"/>
      <c r="BD16" s="443"/>
      <c r="BE16" s="443"/>
      <c r="BF16" s="443"/>
      <c r="BG16" s="443"/>
      <c r="BH16" s="443"/>
      <c r="BI16" s="443"/>
      <c r="BJ16" s="351"/>
      <c r="BK16" s="351"/>
      <c r="BL16" s="351"/>
      <c r="BM16" s="351"/>
      <c r="BN16" s="351"/>
      <c r="BO16" s="351"/>
      <c r="BP16" s="351"/>
      <c r="BQ16" s="351"/>
      <c r="BR16" s="351"/>
      <c r="BS16" s="351"/>
      <c r="BT16" s="351"/>
      <c r="BU16" s="351"/>
      <c r="BV16" s="351"/>
      <c r="BW16" s="351"/>
      <c r="BX16" s="351"/>
      <c r="BY16" s="351"/>
      <c r="BZ16" s="351"/>
      <c r="CA16" s="351"/>
      <c r="CB16" s="351"/>
      <c r="CC16" s="351"/>
      <c r="CD16" s="351"/>
      <c r="CE16" s="351"/>
      <c r="CF16" s="351"/>
      <c r="CG16" s="351"/>
      <c r="CH16" s="351"/>
      <c r="CI16" s="351"/>
      <c r="CJ16" s="351"/>
      <c r="CK16" s="351"/>
      <c r="CL16" s="351"/>
      <c r="CM16" s="351"/>
      <c r="CN16" s="351"/>
      <c r="CO16" s="351"/>
      <c r="CP16" s="351"/>
      <c r="CQ16" s="351"/>
      <c r="CR16" s="351"/>
      <c r="CS16" s="351"/>
      <c r="CT16" s="351"/>
      <c r="CU16" s="351"/>
      <c r="CV16" s="351"/>
      <c r="CW16" s="351"/>
      <c r="CX16" s="351"/>
      <c r="CY16" s="351"/>
      <c r="CZ16" s="351"/>
      <c r="DA16" s="351"/>
      <c r="DB16" s="351"/>
      <c r="DC16" s="351"/>
      <c r="DD16" s="351"/>
    </row>
    <row r="17" spans="1:108" ht="21.95" customHeight="1">
      <c r="A17" s="446"/>
      <c r="B17" s="447"/>
      <c r="C17" s="447"/>
      <c r="D17" s="447"/>
      <c r="E17" s="447"/>
      <c r="F17" s="447"/>
      <c r="G17" s="447"/>
      <c r="H17" s="447"/>
      <c r="I17" s="447"/>
      <c r="J17" s="447"/>
      <c r="K17" s="447"/>
      <c r="L17" s="447"/>
      <c r="M17" s="447"/>
      <c r="N17" s="447"/>
      <c r="O17" s="447"/>
      <c r="P17" s="447"/>
      <c r="Q17" s="447"/>
      <c r="R17" s="447"/>
      <c r="S17" s="447"/>
      <c r="T17" s="447"/>
      <c r="U17" s="447"/>
      <c r="V17" s="447"/>
      <c r="W17" s="447"/>
      <c r="X17" s="447"/>
      <c r="Y17" s="447"/>
      <c r="Z17" s="447"/>
      <c r="AA17" s="447"/>
      <c r="AB17" s="447"/>
      <c r="AC17" s="447"/>
      <c r="AD17" s="447"/>
      <c r="AE17" s="447"/>
      <c r="AF17" s="447"/>
      <c r="AG17" s="447"/>
      <c r="AH17" s="447"/>
      <c r="AI17" s="447"/>
      <c r="AJ17" s="447"/>
      <c r="AK17" s="447"/>
      <c r="AL17" s="447"/>
      <c r="AM17" s="447"/>
      <c r="AN17" s="447"/>
      <c r="AO17" s="447"/>
      <c r="AP17" s="447"/>
      <c r="AQ17" s="447"/>
      <c r="AR17" s="447"/>
      <c r="AS17" s="447"/>
      <c r="AT17" s="447"/>
      <c r="AU17" s="447"/>
      <c r="AV17" s="447"/>
      <c r="AW17" s="447"/>
      <c r="AX17" s="447"/>
      <c r="AY17" s="447"/>
      <c r="AZ17" s="447"/>
      <c r="BA17" s="447"/>
      <c r="BB17" s="447"/>
      <c r="BC17" s="447"/>
      <c r="BD17" s="447"/>
      <c r="BE17" s="447"/>
      <c r="BF17" s="447"/>
      <c r="BG17" s="447"/>
      <c r="BH17" s="447"/>
      <c r="BI17" s="447"/>
      <c r="BJ17" s="447"/>
      <c r="BK17" s="447"/>
      <c r="BL17" s="447"/>
      <c r="BM17" s="447"/>
      <c r="BN17" s="447"/>
      <c r="BO17" s="447"/>
      <c r="BP17" s="447"/>
      <c r="BQ17" s="447"/>
      <c r="BR17" s="447"/>
      <c r="BS17" s="447"/>
      <c r="BT17" s="447"/>
      <c r="BU17" s="447"/>
      <c r="BV17" s="447"/>
      <c r="BW17" s="447"/>
      <c r="BX17" s="447"/>
      <c r="BY17" s="447"/>
      <c r="BZ17" s="447"/>
      <c r="CA17" s="447"/>
      <c r="CB17" s="447"/>
      <c r="CC17" s="447"/>
      <c r="CD17" s="447"/>
      <c r="CE17" s="447"/>
      <c r="CF17" s="447"/>
      <c r="CG17" s="447"/>
      <c r="CH17" s="447"/>
      <c r="CI17" s="447"/>
      <c r="CJ17" s="447"/>
      <c r="CK17" s="447"/>
      <c r="CL17" s="447"/>
      <c r="CM17" s="447"/>
      <c r="CN17" s="447"/>
      <c r="CO17" s="447"/>
      <c r="CP17" s="447"/>
      <c r="CQ17" s="447"/>
      <c r="CR17" s="447"/>
      <c r="CS17" s="447"/>
      <c r="CT17" s="447"/>
      <c r="CU17" s="447"/>
      <c r="CV17" s="447"/>
      <c r="CW17" s="447"/>
      <c r="CX17" s="447"/>
      <c r="CY17" s="447"/>
      <c r="CZ17" s="447"/>
      <c r="DA17" s="447"/>
      <c r="DB17" s="447"/>
      <c r="DC17" s="447"/>
      <c r="DD17" s="448"/>
    </row>
    <row r="18" spans="1:108" ht="21.95" customHeight="1">
      <c r="A18" s="449"/>
      <c r="DD18" s="450"/>
    </row>
    <row r="19" spans="1:108" ht="21.95" customHeight="1">
      <c r="A19" s="449"/>
      <c r="DD19" s="450"/>
    </row>
    <row r="20" spans="1:108" ht="21.95" customHeight="1">
      <c r="A20" s="449"/>
      <c r="DD20" s="450"/>
    </row>
    <row r="21" spans="1:108" ht="21.95" customHeight="1">
      <c r="A21" s="449"/>
      <c r="DD21" s="450"/>
    </row>
    <row r="22" spans="1:108" ht="21.95" customHeight="1">
      <c r="A22" s="449"/>
      <c r="DD22" s="450"/>
    </row>
    <row r="23" spans="1:108" ht="21.95" customHeight="1">
      <c r="A23" s="449"/>
      <c r="DD23" s="450"/>
    </row>
    <row r="24" spans="1:108" ht="21.95" customHeight="1">
      <c r="A24" s="449"/>
      <c r="DD24" s="450"/>
    </row>
    <row r="25" spans="1:108" ht="21.95" customHeight="1">
      <c r="A25" s="449"/>
      <c r="DD25" s="450"/>
    </row>
    <row r="26" spans="1:108" ht="21.95" customHeight="1">
      <c r="A26" s="449"/>
      <c r="DD26" s="450"/>
    </row>
    <row r="27" spans="1:108" ht="21.95" customHeight="1">
      <c r="A27" s="449"/>
      <c r="DD27" s="450"/>
    </row>
    <row r="28" spans="1:108" ht="21.95" customHeight="1">
      <c r="A28" s="449"/>
      <c r="DD28" s="450"/>
    </row>
    <row r="29" spans="1:108" ht="21.95" customHeight="1">
      <c r="A29" s="449"/>
      <c r="DD29" s="450"/>
    </row>
    <row r="30" spans="1:108" ht="21.95" customHeight="1">
      <c r="A30" s="449"/>
      <c r="DD30" s="450"/>
    </row>
    <row r="31" spans="1:108" ht="21.95" customHeight="1">
      <c r="A31" s="449"/>
      <c r="DD31" s="450"/>
    </row>
    <row r="32" spans="1:108" ht="21.95" customHeight="1">
      <c r="A32" s="449"/>
      <c r="DD32" s="450"/>
    </row>
    <row r="33" spans="1:114" ht="21.95" customHeight="1">
      <c r="A33" s="449"/>
      <c r="DD33" s="450"/>
    </row>
    <row r="34" spans="1:114" ht="21.95" customHeight="1" thickBot="1">
      <c r="A34" s="451"/>
      <c r="B34" s="452"/>
      <c r="C34" s="452"/>
      <c r="D34" s="452"/>
      <c r="E34" s="452"/>
      <c r="F34" s="452"/>
      <c r="G34" s="452"/>
      <c r="H34" s="452"/>
      <c r="I34" s="452"/>
      <c r="J34" s="452"/>
      <c r="K34" s="452"/>
      <c r="L34" s="452"/>
      <c r="M34" s="452"/>
      <c r="N34" s="452"/>
      <c r="O34" s="452"/>
      <c r="P34" s="452"/>
      <c r="Q34" s="452"/>
      <c r="R34" s="452"/>
      <c r="S34" s="452"/>
      <c r="T34" s="452"/>
      <c r="U34" s="452"/>
      <c r="V34" s="452"/>
      <c r="W34" s="452"/>
      <c r="X34" s="452"/>
      <c r="Y34" s="452"/>
      <c r="Z34" s="452"/>
      <c r="AA34" s="452"/>
      <c r="AB34" s="452"/>
      <c r="AC34" s="452"/>
      <c r="AD34" s="452"/>
      <c r="AE34" s="452"/>
      <c r="AF34" s="452"/>
      <c r="AG34" s="452"/>
      <c r="AH34" s="452"/>
      <c r="AI34" s="452"/>
      <c r="AJ34" s="452"/>
      <c r="AK34" s="452"/>
      <c r="AL34" s="452"/>
      <c r="AM34" s="452"/>
      <c r="AN34" s="452"/>
      <c r="AO34" s="452"/>
      <c r="AP34" s="452"/>
      <c r="AQ34" s="452"/>
      <c r="AR34" s="452"/>
      <c r="AS34" s="452"/>
      <c r="AT34" s="452"/>
      <c r="AU34" s="452"/>
      <c r="AV34" s="452"/>
      <c r="AW34" s="452"/>
      <c r="AX34" s="452"/>
      <c r="AY34" s="452"/>
      <c r="AZ34" s="452"/>
      <c r="BA34" s="452"/>
      <c r="BB34" s="452"/>
      <c r="BC34" s="452"/>
      <c r="BD34" s="452"/>
      <c r="BE34" s="452"/>
      <c r="BF34" s="452"/>
      <c r="BG34" s="452"/>
      <c r="BH34" s="452"/>
      <c r="BI34" s="452"/>
      <c r="BJ34" s="452"/>
      <c r="BK34" s="452"/>
      <c r="BL34" s="452"/>
      <c r="BM34" s="452"/>
      <c r="BN34" s="452"/>
      <c r="BO34" s="452"/>
      <c r="BP34" s="452"/>
      <c r="BQ34" s="452"/>
      <c r="BR34" s="452"/>
      <c r="BS34" s="452"/>
      <c r="BT34" s="452"/>
      <c r="BU34" s="452"/>
      <c r="BV34" s="452"/>
      <c r="BW34" s="452"/>
      <c r="BX34" s="452"/>
      <c r="BY34" s="452"/>
      <c r="BZ34" s="452"/>
      <c r="CA34" s="452"/>
      <c r="CB34" s="452"/>
      <c r="CC34" s="452"/>
      <c r="CD34" s="452"/>
      <c r="CE34" s="452"/>
      <c r="CF34" s="452"/>
      <c r="CG34" s="452"/>
      <c r="CH34" s="452"/>
      <c r="CI34" s="452"/>
      <c r="CJ34" s="452"/>
      <c r="CK34" s="452"/>
      <c r="CL34" s="452"/>
      <c r="CM34" s="452"/>
      <c r="CN34" s="452"/>
      <c r="CO34" s="452"/>
      <c r="CP34" s="452"/>
      <c r="CQ34" s="452"/>
      <c r="CR34" s="452"/>
      <c r="CS34" s="452"/>
      <c r="CT34" s="452"/>
      <c r="CU34" s="452"/>
      <c r="CV34" s="452"/>
      <c r="CW34" s="452"/>
      <c r="CX34" s="452"/>
      <c r="CY34" s="452"/>
      <c r="CZ34" s="452"/>
      <c r="DA34" s="452"/>
      <c r="DB34" s="452"/>
      <c r="DC34" s="452"/>
      <c r="DD34" s="453"/>
    </row>
    <row r="35" spans="1:114" ht="16.5" customHeight="1">
      <c r="A35" s="1673" t="s">
        <v>7</v>
      </c>
      <c r="B35" s="1691" t="s">
        <v>52</v>
      </c>
      <c r="C35" s="1692"/>
      <c r="D35" s="1692"/>
      <c r="E35" s="1692"/>
      <c r="F35" s="1692"/>
      <c r="G35" s="1692"/>
      <c r="H35" s="1692"/>
      <c r="I35" s="1692"/>
      <c r="J35" s="1692"/>
      <c r="K35" s="1692"/>
      <c r="L35" s="1692"/>
      <c r="M35" s="1692"/>
      <c r="N35" s="1692"/>
      <c r="O35" s="1692"/>
      <c r="P35" s="1692"/>
      <c r="Q35" s="1692"/>
      <c r="R35" s="1692"/>
      <c r="S35" s="1692"/>
      <c r="T35" s="1692"/>
      <c r="U35" s="1692"/>
      <c r="V35" s="1692"/>
      <c r="W35" s="1692"/>
      <c r="X35" s="1692"/>
      <c r="Y35" s="1692"/>
      <c r="Z35" s="1692"/>
      <c r="AA35" s="1692"/>
      <c r="AB35" s="1692"/>
      <c r="AC35" s="1692"/>
      <c r="AD35" s="1692"/>
      <c r="AE35" s="1692"/>
      <c r="AF35" s="1692"/>
      <c r="AG35" s="1692"/>
      <c r="AH35" s="1692"/>
      <c r="AI35" s="1692"/>
      <c r="AJ35" s="1692"/>
      <c r="AK35" s="1692"/>
      <c r="AL35" s="1692"/>
      <c r="AM35" s="1692"/>
      <c r="AN35" s="1692"/>
      <c r="AO35" s="1692"/>
      <c r="AP35" s="1692"/>
      <c r="AQ35" s="1692"/>
      <c r="AR35" s="1692"/>
      <c r="AS35" s="1692"/>
      <c r="AT35" s="1692"/>
      <c r="AU35" s="1692"/>
      <c r="AV35" s="1692"/>
      <c r="AW35" s="1692"/>
      <c r="AX35" s="1692"/>
      <c r="AY35" s="1692"/>
      <c r="AZ35" s="1692"/>
      <c r="BA35" s="1692"/>
      <c r="BB35" s="1692"/>
      <c r="BC35" s="1692"/>
      <c r="BD35" s="1692"/>
      <c r="BE35" s="1692"/>
      <c r="BF35" s="1692"/>
      <c r="BG35" s="1692"/>
      <c r="BH35" s="1692"/>
      <c r="BI35" s="1692"/>
      <c r="BJ35" s="1692"/>
      <c r="BK35" s="1692"/>
      <c r="BL35" s="1692"/>
      <c r="BM35" s="1692"/>
      <c r="BN35" s="1692"/>
      <c r="BO35" s="1692"/>
      <c r="BP35" s="1692"/>
      <c r="BQ35" s="1692"/>
      <c r="BR35" s="1692"/>
      <c r="BS35" s="1692"/>
      <c r="BT35" s="1692"/>
      <c r="BU35" s="1692"/>
      <c r="BV35" s="1692"/>
      <c r="BW35" s="1692"/>
      <c r="BX35" s="1692"/>
      <c r="BY35" s="1692"/>
      <c r="BZ35" s="1692"/>
      <c r="CA35" s="1692"/>
      <c r="CB35" s="1692"/>
      <c r="CC35" s="1692"/>
      <c r="CD35" s="1692"/>
      <c r="CE35" s="1692"/>
      <c r="CF35" s="1692"/>
      <c r="CG35" s="1692"/>
      <c r="CH35" s="1692"/>
      <c r="CI35" s="1692"/>
      <c r="CJ35" s="1692"/>
      <c r="CK35" s="1692"/>
      <c r="CL35" s="1692"/>
      <c r="CM35" s="1692"/>
      <c r="CN35" s="1692"/>
      <c r="CO35" s="1692"/>
      <c r="CP35" s="1692"/>
      <c r="CQ35" s="1692"/>
      <c r="CR35" s="1693"/>
      <c r="CS35" s="1663" t="s">
        <v>91</v>
      </c>
      <c r="CT35" s="1664"/>
      <c r="CU35" s="1664"/>
      <c r="CV35" s="1664"/>
      <c r="CW35" s="1664"/>
      <c r="CX35" s="1664"/>
      <c r="CY35" s="1664"/>
      <c r="CZ35" s="1664"/>
      <c r="DA35" s="1664"/>
      <c r="DB35" s="1664"/>
      <c r="DC35" s="1664"/>
      <c r="DD35" s="1665"/>
    </row>
    <row r="36" spans="1:114" ht="16.5" customHeight="1" thickBot="1">
      <c r="A36" s="1674"/>
      <c r="B36" s="1696">
        <v>1</v>
      </c>
      <c r="C36" s="1696"/>
      <c r="D36" s="1696"/>
      <c r="E36" s="1696"/>
      <c r="F36" s="1696"/>
      <c r="G36" s="1696"/>
      <c r="H36" s="1696"/>
      <c r="I36" s="1696"/>
      <c r="J36" s="1696"/>
      <c r="K36" s="1696"/>
      <c r="L36" s="1696"/>
      <c r="M36" s="1696"/>
      <c r="N36" s="1696"/>
      <c r="O36" s="1696"/>
      <c r="P36" s="1696"/>
      <c r="Q36" s="1696">
        <v>2</v>
      </c>
      <c r="R36" s="1696"/>
      <c r="S36" s="1696"/>
      <c r="T36" s="1696"/>
      <c r="U36" s="1696"/>
      <c r="V36" s="1696"/>
      <c r="W36" s="1696"/>
      <c r="X36" s="1696"/>
      <c r="Y36" s="1696"/>
      <c r="Z36" s="1696">
        <v>3</v>
      </c>
      <c r="AA36" s="1696"/>
      <c r="AB36" s="1696"/>
      <c r="AC36" s="1696"/>
      <c r="AD36" s="1696"/>
      <c r="AE36" s="1696"/>
      <c r="AF36" s="1696"/>
      <c r="AG36" s="1696"/>
      <c r="AH36" s="1696">
        <v>4</v>
      </c>
      <c r="AI36" s="1696"/>
      <c r="AJ36" s="1696"/>
      <c r="AK36" s="1696"/>
      <c r="AL36" s="1696"/>
      <c r="AM36" s="1696"/>
      <c r="AN36" s="1696"/>
      <c r="AO36" s="1696"/>
      <c r="AP36" s="1696"/>
      <c r="AQ36" s="1696"/>
      <c r="AR36" s="1696"/>
      <c r="AS36" s="1696"/>
      <c r="AT36" s="1696"/>
      <c r="AU36" s="1696"/>
      <c r="AV36" s="1696"/>
      <c r="AW36" s="1696"/>
      <c r="AX36" s="1696"/>
      <c r="AY36" s="1696"/>
      <c r="AZ36" s="1696"/>
      <c r="BA36" s="1696"/>
      <c r="BB36" s="1696">
        <v>5</v>
      </c>
      <c r="BC36" s="1696"/>
      <c r="BD36" s="1696"/>
      <c r="BE36" s="1696"/>
      <c r="BF36" s="1696"/>
      <c r="BG36" s="1696"/>
      <c r="BH36" s="1696"/>
      <c r="BI36" s="1696"/>
      <c r="BJ36" s="1696"/>
      <c r="BK36" s="1696"/>
      <c r="BL36" s="1696"/>
      <c r="BM36" s="1696"/>
      <c r="BN36" s="1696"/>
      <c r="BO36" s="1696"/>
      <c r="BP36" s="1696"/>
      <c r="BQ36" s="1696"/>
      <c r="BR36" s="1696"/>
      <c r="BS36" s="1696"/>
      <c r="BT36" s="1696"/>
      <c r="BU36" s="1696"/>
      <c r="BV36" s="1696"/>
      <c r="BW36" s="1696"/>
      <c r="BX36" s="1696"/>
      <c r="BY36" s="1696"/>
      <c r="BZ36" s="1696"/>
      <c r="CA36" s="1696"/>
      <c r="CB36" s="1696"/>
      <c r="CC36" s="1696"/>
      <c r="CD36" s="1696"/>
      <c r="CE36" s="1696"/>
      <c r="CF36" s="1696"/>
      <c r="CG36" s="1696"/>
      <c r="CH36" s="1696"/>
      <c r="CI36" s="1696"/>
      <c r="CJ36" s="1696"/>
      <c r="CK36" s="1696"/>
      <c r="CL36" s="1696"/>
      <c r="CM36" s="1696"/>
      <c r="CN36" s="1696"/>
      <c r="CO36" s="1696"/>
      <c r="CP36" s="1696"/>
      <c r="CQ36" s="1696"/>
      <c r="CR36" s="1696"/>
      <c r="CS36" s="1666" t="s">
        <v>92</v>
      </c>
      <c r="CT36" s="1666"/>
      <c r="CU36" s="1666"/>
      <c r="CV36" s="1666"/>
      <c r="CW36" s="1666"/>
      <c r="CX36" s="1666"/>
      <c r="CY36" s="1666"/>
      <c r="CZ36" s="1666"/>
      <c r="DA36" s="1666"/>
      <c r="DB36" s="1666"/>
      <c r="DC36" s="1666"/>
      <c r="DD36" s="1667"/>
    </row>
    <row r="37" spans="1:114" ht="16.5" thickBot="1">
      <c r="A37" s="362" t="s">
        <v>24</v>
      </c>
      <c r="B37" s="1694" t="s">
        <v>606</v>
      </c>
      <c r="C37" s="1694"/>
      <c r="D37" s="1694"/>
      <c r="E37" s="1694"/>
      <c r="F37" s="1694"/>
      <c r="G37" s="1694"/>
      <c r="H37" s="1694"/>
      <c r="I37" s="1694"/>
      <c r="J37" s="1694"/>
      <c r="K37" s="1694"/>
      <c r="L37" s="1695" t="s">
        <v>54</v>
      </c>
      <c r="M37" s="1695"/>
      <c r="N37" s="1695"/>
      <c r="O37" s="1695"/>
      <c r="P37" s="1695"/>
      <c r="Q37" s="1695"/>
      <c r="R37" s="1695"/>
      <c r="S37" s="1695"/>
      <c r="T37" s="1695"/>
      <c r="U37" s="1695"/>
      <c r="V37" s="1695" t="s">
        <v>54</v>
      </c>
      <c r="W37" s="1695"/>
      <c r="X37" s="1695"/>
      <c r="Y37" s="1695"/>
      <c r="Z37" s="1695"/>
      <c r="AA37" s="1695"/>
      <c r="AB37" s="1695"/>
      <c r="AC37" s="1695"/>
      <c r="AD37" s="1695"/>
      <c r="AE37" s="1695"/>
      <c r="AF37" s="1695" t="s">
        <v>54</v>
      </c>
      <c r="AG37" s="1695"/>
      <c r="AH37" s="1695"/>
      <c r="AI37" s="1695"/>
      <c r="AJ37" s="1695"/>
      <c r="AK37" s="1695"/>
      <c r="AL37" s="1695"/>
      <c r="AM37" s="1695"/>
      <c r="AN37" s="1695"/>
      <c r="AO37" s="1695"/>
      <c r="AP37" s="1695"/>
      <c r="AQ37" s="1695"/>
      <c r="AR37" s="1695"/>
      <c r="AS37" s="1695"/>
      <c r="AT37" s="1695"/>
      <c r="AU37" s="1695"/>
      <c r="AV37" s="1695"/>
      <c r="AW37" s="1695"/>
      <c r="AX37" s="1695"/>
      <c r="AY37" s="1695"/>
      <c r="AZ37" s="1697"/>
      <c r="BA37" s="1697"/>
      <c r="BB37" s="1697"/>
      <c r="BC37" s="1697"/>
      <c r="BD37" s="1697"/>
      <c r="BE37" s="1697"/>
      <c r="BF37" s="1697"/>
      <c r="BG37" s="1697"/>
      <c r="BH37" s="1697"/>
      <c r="BI37" s="1697"/>
      <c r="BJ37" s="1697"/>
      <c r="BK37" s="1697"/>
      <c r="BL37" s="1697"/>
      <c r="BM37" s="1697"/>
      <c r="BN37" s="1697"/>
      <c r="BO37" s="1697"/>
      <c r="BP37" s="1697"/>
      <c r="BQ37" s="1697"/>
      <c r="BR37" s="1697"/>
      <c r="BS37" s="1697"/>
      <c r="BT37" s="1697"/>
      <c r="BU37" s="1697"/>
      <c r="BV37" s="1697"/>
      <c r="BW37" s="1697"/>
      <c r="BX37" s="1697"/>
      <c r="BY37" s="1697"/>
      <c r="BZ37" s="1697"/>
      <c r="CA37" s="1697"/>
      <c r="CB37" s="1697"/>
      <c r="CC37" s="1697"/>
      <c r="CD37" s="1697"/>
      <c r="CE37" s="1697"/>
      <c r="CF37" s="1697"/>
      <c r="CG37" s="1697"/>
      <c r="CH37" s="1697"/>
      <c r="CI37" s="1697"/>
      <c r="CJ37" s="1697"/>
      <c r="CK37" s="1697"/>
      <c r="CL37" s="1697"/>
      <c r="CM37" s="1697"/>
      <c r="CN37" s="1697"/>
      <c r="CO37" s="1697"/>
      <c r="CP37" s="1697"/>
      <c r="CQ37" s="1697"/>
      <c r="CR37" s="1698"/>
      <c r="CS37" s="1668" t="s">
        <v>93</v>
      </c>
      <c r="CT37" s="1669"/>
      <c r="CU37" s="1669"/>
      <c r="CV37" s="1669"/>
      <c r="CW37" s="1669"/>
      <c r="CX37" s="1669"/>
      <c r="CY37" s="1669"/>
      <c r="CZ37" s="1669"/>
      <c r="DA37" s="1669"/>
      <c r="DB37" s="1669"/>
      <c r="DC37" s="1669"/>
      <c r="DD37" s="1670"/>
    </row>
    <row r="38" spans="1:114" ht="12.75" customHeight="1">
      <c r="A38" s="526" t="s">
        <v>132</v>
      </c>
      <c r="B38" s="1679" t="s">
        <v>608</v>
      </c>
      <c r="C38" s="1680"/>
      <c r="D38" s="1680"/>
      <c r="E38" s="1680"/>
      <c r="F38" s="1680"/>
      <c r="G38" s="1680"/>
      <c r="H38" s="1680"/>
      <c r="I38" s="1680"/>
      <c r="J38" s="1680"/>
      <c r="K38" s="1681"/>
      <c r="L38" s="1679" t="s">
        <v>609</v>
      </c>
      <c r="M38" s="1680"/>
      <c r="N38" s="1680"/>
      <c r="O38" s="1680"/>
      <c r="P38" s="1680"/>
      <c r="Q38" s="1680"/>
      <c r="R38" s="1680"/>
      <c r="S38" s="1680"/>
      <c r="T38" s="1680"/>
      <c r="U38" s="1681"/>
      <c r="V38" s="1679" t="s">
        <v>610</v>
      </c>
      <c r="W38" s="1680"/>
      <c r="X38" s="1680"/>
      <c r="Y38" s="1680"/>
      <c r="Z38" s="1680"/>
      <c r="AA38" s="1680"/>
      <c r="AB38" s="1680"/>
      <c r="AC38" s="1680"/>
      <c r="AD38" s="1680"/>
      <c r="AE38" s="1681"/>
      <c r="AF38" s="1679" t="s">
        <v>611</v>
      </c>
      <c r="AG38" s="1680"/>
      <c r="AH38" s="1680"/>
      <c r="AI38" s="1680"/>
      <c r="AJ38" s="1680"/>
      <c r="AK38" s="1680"/>
      <c r="AL38" s="1680"/>
      <c r="AM38" s="1680"/>
      <c r="AN38" s="1680"/>
      <c r="AO38" s="1681"/>
      <c r="AP38" s="1679" t="s">
        <v>612</v>
      </c>
      <c r="AQ38" s="1680"/>
      <c r="AR38" s="1680"/>
      <c r="AS38" s="1680"/>
      <c r="AT38" s="1680"/>
      <c r="AU38" s="1680"/>
      <c r="AV38" s="1680"/>
      <c r="AW38" s="1680"/>
      <c r="AX38" s="1680"/>
      <c r="AY38" s="1681"/>
      <c r="AZ38" s="1679" t="s">
        <v>613</v>
      </c>
      <c r="BA38" s="1680"/>
      <c r="BB38" s="1680"/>
      <c r="BC38" s="1680"/>
      <c r="BD38" s="1680"/>
      <c r="BE38" s="1680"/>
      <c r="BF38" s="1680"/>
      <c r="BG38" s="1680"/>
      <c r="BH38" s="1680"/>
      <c r="BI38" s="1681"/>
      <c r="BJ38" s="1679" t="s">
        <v>614</v>
      </c>
      <c r="BK38" s="1680"/>
      <c r="BL38" s="1680"/>
      <c r="BM38" s="1680"/>
      <c r="BN38" s="1680"/>
      <c r="BO38" s="1680"/>
      <c r="BP38" s="1680"/>
      <c r="BQ38" s="1680"/>
      <c r="BR38" s="1680"/>
      <c r="BS38" s="1681"/>
      <c r="BT38" s="1622">
        <v>40</v>
      </c>
      <c r="BU38" s="1623"/>
      <c r="BV38" s="1623"/>
      <c r="BW38" s="1623"/>
      <c r="BX38" s="1623"/>
      <c r="BY38" s="1623"/>
      <c r="BZ38" s="1623"/>
      <c r="CA38" s="1623"/>
      <c r="CB38" s="1623"/>
      <c r="CC38" s="1682"/>
      <c r="CD38" s="1622" t="s">
        <v>534</v>
      </c>
      <c r="CE38" s="1623"/>
      <c r="CF38" s="1623"/>
      <c r="CG38" s="1623"/>
      <c r="CH38" s="1623"/>
      <c r="CI38" s="1623"/>
      <c r="CJ38" s="1623"/>
      <c r="CK38" s="1623"/>
      <c r="CL38" s="1623"/>
      <c r="CM38" s="1623"/>
      <c r="CN38" s="1623"/>
      <c r="CO38" s="1623"/>
      <c r="CP38" s="1623"/>
      <c r="CQ38" s="1623"/>
      <c r="CR38" s="1624"/>
      <c r="CS38" s="1625" t="s">
        <v>96</v>
      </c>
      <c r="CT38" s="1626"/>
      <c r="CU38" s="1626"/>
      <c r="CV38" s="1627"/>
      <c r="CW38" s="1628" t="s">
        <v>97</v>
      </c>
      <c r="CX38" s="1629"/>
      <c r="CY38" s="1629"/>
      <c r="CZ38" s="1630"/>
      <c r="DA38" s="1628" t="s">
        <v>98</v>
      </c>
      <c r="DB38" s="1629"/>
      <c r="DC38" s="1629"/>
      <c r="DD38" s="1631"/>
      <c r="DE38" s="364" t="s">
        <v>572</v>
      </c>
      <c r="DF38" s="364" t="s">
        <v>14</v>
      </c>
      <c r="DG38" s="364" t="s">
        <v>573</v>
      </c>
    </row>
    <row r="39" spans="1:114" ht="12.75" customHeight="1" thickBot="1">
      <c r="A39" s="456"/>
      <c r="B39" s="457"/>
      <c r="C39" s="458"/>
      <c r="D39" s="458"/>
      <c r="E39" s="458"/>
      <c r="F39" s="458"/>
      <c r="G39" s="458"/>
      <c r="H39" s="458"/>
      <c r="I39" s="458"/>
      <c r="J39" s="458"/>
      <c r="K39" s="459"/>
      <c r="L39" s="458"/>
      <c r="M39" s="458"/>
      <c r="N39" s="458"/>
      <c r="O39" s="458"/>
      <c r="P39" s="458"/>
      <c r="Q39" s="458"/>
      <c r="R39" s="458"/>
      <c r="S39" s="458"/>
      <c r="T39" s="458"/>
      <c r="U39" s="459"/>
      <c r="V39" s="458"/>
      <c r="W39" s="458"/>
      <c r="X39" s="458"/>
      <c r="Y39" s="458"/>
      <c r="Z39" s="458"/>
      <c r="AA39" s="458"/>
      <c r="AB39" s="458"/>
      <c r="AC39" s="458"/>
      <c r="AD39" s="458"/>
      <c r="AE39" s="459"/>
      <c r="AF39" s="458"/>
      <c r="AG39" s="458"/>
      <c r="AH39" s="458"/>
      <c r="AI39" s="458"/>
      <c r="AJ39" s="458"/>
      <c r="AK39" s="458"/>
      <c r="AL39" s="458"/>
      <c r="AM39" s="458"/>
      <c r="AN39" s="458"/>
      <c r="AO39" s="459"/>
      <c r="AP39" s="458"/>
      <c r="AQ39" s="458"/>
      <c r="AR39" s="458"/>
      <c r="AS39" s="458"/>
      <c r="AT39" s="458"/>
      <c r="AU39" s="458"/>
      <c r="AV39" s="458"/>
      <c r="AW39" s="458"/>
      <c r="AX39" s="458"/>
      <c r="AY39" s="459"/>
      <c r="AZ39" s="458"/>
      <c r="BA39" s="458"/>
      <c r="BB39" s="458"/>
      <c r="BC39" s="458"/>
      <c r="BD39" s="458"/>
      <c r="BE39" s="458"/>
      <c r="BF39" s="458"/>
      <c r="BG39" s="458"/>
      <c r="BH39" s="458"/>
      <c r="BI39" s="459"/>
      <c r="BJ39" s="458"/>
      <c r="BK39" s="458"/>
      <c r="BL39" s="458"/>
      <c r="BM39" s="458"/>
      <c r="BN39" s="458"/>
      <c r="BO39" s="458"/>
      <c r="BP39" s="458"/>
      <c r="BQ39" s="458"/>
      <c r="BR39" s="458"/>
      <c r="BS39" s="459"/>
      <c r="BT39" s="460"/>
      <c r="BU39" s="460"/>
      <c r="BV39" s="460"/>
      <c r="BW39" s="460"/>
      <c r="BX39" s="460"/>
      <c r="BY39" s="460"/>
      <c r="BZ39" s="460"/>
      <c r="CA39" s="460"/>
      <c r="CB39" s="460"/>
      <c r="CC39" s="461"/>
      <c r="CD39" s="460"/>
      <c r="CE39" s="460"/>
      <c r="CF39" s="460"/>
      <c r="CG39" s="460"/>
      <c r="CH39" s="460"/>
      <c r="CI39" s="460"/>
      <c r="CJ39" s="460"/>
      <c r="CK39" s="460"/>
      <c r="CL39" s="460"/>
      <c r="CM39" s="460"/>
      <c r="CN39" s="460"/>
      <c r="CO39" s="460"/>
      <c r="CP39" s="460"/>
      <c r="CQ39" s="460"/>
      <c r="CR39" s="462"/>
      <c r="CS39" s="1671" t="s">
        <v>617</v>
      </c>
      <c r="CT39" s="1613"/>
      <c r="CU39" s="1612" t="s">
        <v>39</v>
      </c>
      <c r="CV39" s="1612"/>
      <c r="CW39" s="1672" t="s">
        <v>617</v>
      </c>
      <c r="CX39" s="1613"/>
      <c r="CY39" s="1612" t="s">
        <v>39</v>
      </c>
      <c r="CZ39" s="1613"/>
      <c r="DA39" s="1612" t="s">
        <v>617</v>
      </c>
      <c r="DB39" s="1613"/>
      <c r="DC39" s="1612" t="s">
        <v>39</v>
      </c>
      <c r="DD39" s="1613"/>
      <c r="DE39" s="364"/>
      <c r="DF39" s="364"/>
      <c r="DG39" s="364"/>
    </row>
    <row r="40" spans="1:114" ht="13.5" customHeight="1">
      <c r="A40" s="1675" t="s">
        <v>55</v>
      </c>
      <c r="B40" s="463"/>
      <c r="C40" s="447"/>
      <c r="D40" s="447"/>
      <c r="E40" s="447"/>
      <c r="F40" s="447"/>
      <c r="G40" s="447"/>
      <c r="H40" s="447"/>
      <c r="I40" s="447"/>
      <c r="J40" s="447"/>
      <c r="K40" s="464"/>
      <c r="L40" s="447"/>
      <c r="M40" s="447"/>
      <c r="N40" s="447"/>
      <c r="O40" s="447"/>
      <c r="P40" s="447"/>
      <c r="Q40" s="447"/>
      <c r="R40" s="447"/>
      <c r="S40" s="447"/>
      <c r="T40" s="447"/>
      <c r="U40" s="464"/>
      <c r="V40" s="447"/>
      <c r="W40" s="447"/>
      <c r="X40" s="447"/>
      <c r="Y40" s="447"/>
      <c r="Z40" s="447"/>
      <c r="AA40" s="447"/>
      <c r="AB40" s="447"/>
      <c r="AC40" s="447"/>
      <c r="AD40" s="447"/>
      <c r="AE40" s="464"/>
      <c r="AF40" s="447"/>
      <c r="AG40" s="447"/>
      <c r="AH40" s="447"/>
      <c r="AI40" s="447"/>
      <c r="AJ40" s="447"/>
      <c r="AK40" s="447"/>
      <c r="AL40" s="447"/>
      <c r="AM40" s="447"/>
      <c r="AN40" s="447"/>
      <c r="AO40" s="464"/>
      <c r="AP40" s="447"/>
      <c r="AQ40" s="447"/>
      <c r="AR40" s="447"/>
      <c r="AS40" s="447"/>
      <c r="AT40" s="447"/>
      <c r="AU40" s="447"/>
      <c r="AV40" s="447"/>
      <c r="AW40" s="447"/>
      <c r="AX40" s="447"/>
      <c r="AY40" s="464"/>
      <c r="AZ40" s="447"/>
      <c r="BA40" s="447"/>
      <c r="BB40" s="447"/>
      <c r="BC40" s="447"/>
      <c r="BD40" s="447"/>
      <c r="BE40" s="447"/>
      <c r="BF40" s="447"/>
      <c r="BG40" s="447"/>
      <c r="BH40" s="447"/>
      <c r="BI40" s="464"/>
      <c r="BJ40" s="447"/>
      <c r="BK40" s="447"/>
      <c r="BL40" s="447"/>
      <c r="BM40" s="447"/>
      <c r="BN40" s="447"/>
      <c r="BO40" s="447"/>
      <c r="BP40" s="447"/>
      <c r="BQ40" s="447"/>
      <c r="BR40" s="447"/>
      <c r="BS40" s="464"/>
      <c r="BT40" s="447"/>
      <c r="BU40" s="447"/>
      <c r="BV40" s="447"/>
      <c r="BW40" s="447"/>
      <c r="BX40" s="447"/>
      <c r="BY40" s="447"/>
      <c r="BZ40" s="447"/>
      <c r="CA40" s="447"/>
      <c r="CB40" s="447"/>
      <c r="CC40" s="464"/>
      <c r="CD40" s="447"/>
      <c r="CE40" s="447"/>
      <c r="CF40" s="447"/>
      <c r="CG40" s="447"/>
      <c r="CH40" s="447"/>
      <c r="CI40" s="447"/>
      <c r="CJ40" s="447"/>
      <c r="CK40" s="447"/>
      <c r="CL40" s="447"/>
      <c r="CM40" s="464"/>
      <c r="CN40" s="447"/>
      <c r="CO40" s="447"/>
      <c r="CP40" s="447"/>
      <c r="CQ40" s="447"/>
      <c r="CR40" s="448"/>
      <c r="CS40" s="1651" t="s">
        <v>54</v>
      </c>
      <c r="CT40" s="1652"/>
      <c r="CU40" s="1652"/>
      <c r="CV40" s="1652"/>
      <c r="CW40" s="1683" t="s">
        <v>54</v>
      </c>
      <c r="CX40" s="1684"/>
      <c r="CY40" s="1684"/>
      <c r="CZ40" s="1685"/>
      <c r="DA40" s="1654" t="s">
        <v>54</v>
      </c>
      <c r="DB40" s="1654"/>
      <c r="DC40" s="1654"/>
      <c r="DD40" s="1686"/>
      <c r="DE40" s="367"/>
      <c r="DF40" s="465"/>
      <c r="DG40" s="368">
        <v>44.77</v>
      </c>
      <c r="DH40" s="543" t="s">
        <v>96</v>
      </c>
      <c r="DI40" s="543" t="s">
        <v>97</v>
      </c>
      <c r="DJ40" s="543" t="s">
        <v>98</v>
      </c>
    </row>
    <row r="41" spans="1:114" ht="4.5" customHeight="1">
      <c r="A41" s="1645"/>
      <c r="B41" s="486"/>
      <c r="C41" s="467"/>
      <c r="D41" s="467"/>
      <c r="E41" s="467"/>
      <c r="F41" s="467"/>
      <c r="G41" s="467"/>
      <c r="H41" s="467"/>
      <c r="I41" s="467"/>
      <c r="J41" s="468"/>
      <c r="K41" s="469"/>
      <c r="L41" s="467"/>
      <c r="M41" s="467"/>
      <c r="N41" s="467"/>
      <c r="O41" s="467"/>
      <c r="P41" s="467"/>
      <c r="Q41" s="467"/>
      <c r="R41" s="466"/>
      <c r="S41" s="466"/>
      <c r="T41" s="466"/>
      <c r="U41" s="470"/>
      <c r="V41" s="466"/>
      <c r="W41" s="466"/>
      <c r="X41" s="466"/>
      <c r="Y41" s="466"/>
      <c r="Z41" s="466"/>
      <c r="AA41" s="466"/>
      <c r="AB41" s="466"/>
      <c r="AC41" s="466"/>
      <c r="AD41" s="466"/>
      <c r="AE41" s="470"/>
      <c r="AF41" s="466"/>
      <c r="AG41" s="466"/>
      <c r="AH41" s="466"/>
      <c r="AI41" s="466"/>
      <c r="AJ41" s="466"/>
      <c r="AK41" s="466"/>
      <c r="AL41" s="468"/>
      <c r="AM41" s="468"/>
      <c r="AN41" s="467"/>
      <c r="AO41" s="471"/>
      <c r="AP41" s="467"/>
      <c r="AQ41" s="467"/>
      <c r="AR41" s="466"/>
      <c r="AS41" s="466"/>
      <c r="AT41" s="466"/>
      <c r="AU41" s="466"/>
      <c r="AV41" s="466"/>
      <c r="AW41" s="466"/>
      <c r="AX41" s="466"/>
      <c r="AY41" s="470"/>
      <c r="AZ41" s="466"/>
      <c r="BA41" s="540"/>
      <c r="BB41" s="540"/>
      <c r="BC41" s="540"/>
      <c r="BD41" s="468"/>
      <c r="BE41" s="468"/>
      <c r="BF41" s="468"/>
      <c r="BG41" s="468"/>
      <c r="BH41" s="468"/>
      <c r="BI41" s="469"/>
      <c r="BJ41" s="468"/>
      <c r="BK41" s="468"/>
      <c r="BL41" s="468"/>
      <c r="BM41" s="468"/>
      <c r="BN41" s="468"/>
      <c r="BO41" s="468"/>
      <c r="BP41" s="468"/>
      <c r="BQ41" s="468"/>
      <c r="BR41" s="468"/>
      <c r="BS41" s="469"/>
      <c r="BT41" s="468"/>
      <c r="BU41" s="468"/>
      <c r="BV41" s="468"/>
      <c r="BW41" s="468"/>
      <c r="BX41" s="468"/>
      <c r="BY41" s="468"/>
      <c r="BZ41" s="468"/>
      <c r="CA41" s="468"/>
      <c r="CB41" s="468"/>
      <c r="CC41" s="469"/>
      <c r="CD41" s="468"/>
      <c r="CE41" s="468"/>
      <c r="CF41" s="944"/>
      <c r="CG41" s="944"/>
      <c r="CH41" s="944"/>
      <c r="CI41" s="944"/>
      <c r="CJ41" s="944"/>
      <c r="CK41" s="468"/>
      <c r="CL41" s="468"/>
      <c r="CM41" s="469"/>
      <c r="CN41" s="468"/>
      <c r="CO41" s="468"/>
      <c r="CP41" s="468"/>
      <c r="CQ41" s="468"/>
      <c r="CR41" s="450"/>
      <c r="CS41" s="1634"/>
      <c r="CT41" s="1635"/>
      <c r="CU41" s="1635"/>
      <c r="CV41" s="1635"/>
      <c r="CW41" s="1617"/>
      <c r="CX41" s="1618"/>
      <c r="CY41" s="1618"/>
      <c r="CZ41" s="1619"/>
      <c r="DA41" s="1618"/>
      <c r="DB41" s="1618"/>
      <c r="DC41" s="1618"/>
      <c r="DD41" s="1621"/>
      <c r="DE41" s="377"/>
      <c r="DF41" s="377"/>
      <c r="DG41" s="377"/>
      <c r="DH41" s="544"/>
      <c r="DI41" s="544"/>
      <c r="DJ41" s="544"/>
    </row>
    <row r="42" spans="1:114" ht="13.5" customHeight="1" thickBot="1">
      <c r="A42" s="1646"/>
      <c r="B42" s="473"/>
      <c r="C42" s="474"/>
      <c r="D42" s="474"/>
      <c r="E42" s="474"/>
      <c r="F42" s="474"/>
      <c r="G42" s="474"/>
      <c r="H42" s="474"/>
      <c r="I42" s="474"/>
      <c r="J42" s="474"/>
      <c r="K42" s="475"/>
      <c r="L42" s="474"/>
      <c r="M42" s="474"/>
      <c r="N42" s="474"/>
      <c r="O42" s="474"/>
      <c r="P42" s="474"/>
      <c r="Q42" s="474"/>
      <c r="R42" s="474"/>
      <c r="S42" s="474"/>
      <c r="T42" s="474"/>
      <c r="U42" s="475"/>
      <c r="V42" s="474"/>
      <c r="W42" s="474"/>
      <c r="X42" s="474"/>
      <c r="Y42" s="474"/>
      <c r="Z42" s="474"/>
      <c r="AA42" s="474"/>
      <c r="AB42" s="474"/>
      <c r="AC42" s="474"/>
      <c r="AD42" s="474"/>
      <c r="AE42" s="475"/>
      <c r="AF42" s="474"/>
      <c r="AG42" s="474"/>
      <c r="AH42" s="474"/>
      <c r="AI42" s="474"/>
      <c r="AJ42" s="474"/>
      <c r="AK42" s="474"/>
      <c r="AL42" s="474"/>
      <c r="AM42" s="474"/>
      <c r="AN42" s="474"/>
      <c r="AO42" s="475"/>
      <c r="AP42" s="474"/>
      <c r="AQ42" s="474"/>
      <c r="AR42" s="474"/>
      <c r="AS42" s="474"/>
      <c r="AT42" s="474"/>
      <c r="AU42" s="474"/>
      <c r="AV42" s="474"/>
      <c r="AW42" s="474"/>
      <c r="AX42" s="474"/>
      <c r="AY42" s="475"/>
      <c r="AZ42" s="474"/>
      <c r="BA42" s="474"/>
      <c r="BB42" s="474"/>
      <c r="BC42" s="474"/>
      <c r="BD42" s="474"/>
      <c r="BE42" s="474"/>
      <c r="BF42" s="474"/>
      <c r="BG42" s="474"/>
      <c r="BH42" s="474"/>
      <c r="BI42" s="475"/>
      <c r="BJ42" s="474"/>
      <c r="BK42" s="474"/>
      <c r="BL42" s="474"/>
      <c r="BM42" s="474"/>
      <c r="BN42" s="474"/>
      <c r="BO42" s="474"/>
      <c r="BP42" s="474"/>
      <c r="BQ42" s="474"/>
      <c r="BR42" s="474"/>
      <c r="BS42" s="475"/>
      <c r="BT42" s="474"/>
      <c r="BU42" s="474"/>
      <c r="BV42" s="474"/>
      <c r="BW42" s="474"/>
      <c r="BX42" s="474"/>
      <c r="BY42" s="474"/>
      <c r="BZ42" s="474"/>
      <c r="CA42" s="474"/>
      <c r="CB42" s="474"/>
      <c r="CC42" s="475"/>
      <c r="CD42" s="474"/>
      <c r="CE42" s="474"/>
      <c r="CF42" s="474"/>
      <c r="CG42" s="474"/>
      <c r="CH42" s="474"/>
      <c r="CI42" s="474"/>
      <c r="CJ42" s="474"/>
      <c r="CK42" s="474"/>
      <c r="CL42" s="474"/>
      <c r="CM42" s="475"/>
      <c r="CN42" s="474"/>
      <c r="CO42" s="474"/>
      <c r="CP42" s="474"/>
      <c r="CQ42" s="474"/>
      <c r="CR42" s="476"/>
      <c r="CS42" s="1647">
        <f>'ESTADO RED VIS'!I27</f>
        <v>26.44</v>
      </c>
      <c r="CT42" s="1648"/>
      <c r="CU42" s="1649">
        <f>+CS42/DG40</f>
        <v>0.59057404511949962</v>
      </c>
      <c r="CV42" s="1650"/>
      <c r="CW42" s="1638">
        <f>'ESTADO RED VIS'!J27</f>
        <v>15.254999999999999</v>
      </c>
      <c r="CX42" s="1639"/>
      <c r="CY42" s="1640">
        <f>+CW42/DG40</f>
        <v>0.34074156801429523</v>
      </c>
      <c r="CZ42" s="1641"/>
      <c r="DA42" s="1642">
        <f>'ESTADO RED VIS'!K27</f>
        <v>2.2090000000000001</v>
      </c>
      <c r="DB42" s="1643"/>
      <c r="DC42" s="1636">
        <f>+DA42/DG40</f>
        <v>4.9341076613803887E-2</v>
      </c>
      <c r="DD42" s="1637"/>
      <c r="DE42" s="367">
        <f>CS42+CW42+DA42</f>
        <v>43.904000000000003</v>
      </c>
      <c r="DF42" s="381">
        <f>CU42+CY42+DC42</f>
        <v>0.98065668974759879</v>
      </c>
      <c r="DG42" s="367"/>
      <c r="DH42" s="545">
        <f>CU42</f>
        <v>0.59057404511949962</v>
      </c>
      <c r="DI42" s="545">
        <f>CY42</f>
        <v>0.34074156801429523</v>
      </c>
      <c r="DJ42" s="545">
        <f>DC42</f>
        <v>4.9341076613803887E-2</v>
      </c>
    </row>
    <row r="43" spans="1:114" ht="13.5" customHeight="1">
      <c r="A43" s="1676" t="s">
        <v>88</v>
      </c>
      <c r="B43" s="533"/>
      <c r="C43" s="534"/>
      <c r="D43" s="534"/>
      <c r="E43" s="534"/>
      <c r="F43" s="534"/>
      <c r="G43" s="534"/>
      <c r="H43" s="534"/>
      <c r="I43" s="534"/>
      <c r="J43" s="534"/>
      <c r="K43" s="535"/>
      <c r="L43" s="534"/>
      <c r="M43" s="534"/>
      <c r="N43" s="534"/>
      <c r="O43" s="534"/>
      <c r="P43" s="534"/>
      <c r="Q43" s="534"/>
      <c r="R43" s="534"/>
      <c r="S43" s="534"/>
      <c r="T43" s="534"/>
      <c r="U43" s="535"/>
      <c r="V43" s="534"/>
      <c r="W43" s="534"/>
      <c r="X43" s="534"/>
      <c r="Y43" s="534"/>
      <c r="Z43" s="534"/>
      <c r="AA43" s="534"/>
      <c r="AB43" s="534"/>
      <c r="AC43" s="534"/>
      <c r="AD43" s="534"/>
      <c r="AE43" s="535"/>
      <c r="AF43" s="534"/>
      <c r="AG43" s="534"/>
      <c r="AH43" s="534"/>
      <c r="AI43" s="534"/>
      <c r="AJ43" s="534"/>
      <c r="AK43" s="534"/>
      <c r="AL43" s="534"/>
      <c r="AM43" s="534"/>
      <c r="AN43" s="534"/>
      <c r="AO43" s="535"/>
      <c r="AP43" s="534"/>
      <c r="AQ43" s="534"/>
      <c r="AR43" s="534"/>
      <c r="AS43" s="534"/>
      <c r="AT43" s="534"/>
      <c r="AU43" s="534"/>
      <c r="AV43" s="534"/>
      <c r="AW43" s="534"/>
      <c r="AX43" s="534"/>
      <c r="AY43" s="535"/>
      <c r="AZ43" s="534"/>
      <c r="BA43" s="534"/>
      <c r="BB43" s="534"/>
      <c r="BC43" s="534"/>
      <c r="BD43" s="534"/>
      <c r="BE43" s="534"/>
      <c r="BF43" s="534"/>
      <c r="BG43" s="534"/>
      <c r="BH43" s="534"/>
      <c r="BI43" s="535"/>
      <c r="BJ43" s="534"/>
      <c r="BK43" s="534"/>
      <c r="BL43" s="534"/>
      <c r="BM43" s="534"/>
      <c r="BN43" s="534"/>
      <c r="BO43" s="534"/>
      <c r="BP43" s="534"/>
      <c r="BQ43" s="534"/>
      <c r="BR43" s="534"/>
      <c r="BS43" s="535"/>
      <c r="BT43" s="534"/>
      <c r="BU43" s="534"/>
      <c r="BV43" s="534"/>
      <c r="BW43" s="534"/>
      <c r="BX43" s="534"/>
      <c r="BY43" s="534"/>
      <c r="BZ43" s="534"/>
      <c r="CA43" s="534"/>
      <c r="CB43" s="534"/>
      <c r="CC43" s="535"/>
      <c r="CD43" s="534"/>
      <c r="CE43" s="534"/>
      <c r="CF43" s="534"/>
      <c r="CG43" s="534"/>
      <c r="CH43" s="534"/>
      <c r="CI43" s="534"/>
      <c r="CJ43" s="534"/>
      <c r="CK43" s="534"/>
      <c r="CL43" s="534"/>
      <c r="CM43" s="535"/>
      <c r="CN43" s="534"/>
      <c r="CO43" s="534"/>
      <c r="CP43" s="534"/>
      <c r="CQ43" s="534"/>
      <c r="CR43" s="536"/>
      <c r="CS43" s="1632"/>
      <c r="CT43" s="1633"/>
      <c r="CU43" s="1633"/>
      <c r="CV43" s="1633"/>
      <c r="CW43" s="1614"/>
      <c r="CX43" s="1615"/>
      <c r="CY43" s="1615"/>
      <c r="CZ43" s="1616"/>
      <c r="DA43" s="1615"/>
      <c r="DB43" s="1615"/>
      <c r="DC43" s="1615"/>
      <c r="DD43" s="1620"/>
      <c r="DE43" s="367"/>
      <c r="DF43" s="381"/>
      <c r="DG43" s="367"/>
    </row>
    <row r="44" spans="1:114" ht="5.25" customHeight="1">
      <c r="A44" s="1677"/>
      <c r="B44" s="478"/>
      <c r="K44" s="479"/>
      <c r="U44" s="479"/>
      <c r="AE44" s="479"/>
      <c r="AO44" s="479"/>
      <c r="AY44" s="479"/>
      <c r="BI44" s="479"/>
      <c r="BS44" s="479"/>
      <c r="CC44" s="479"/>
      <c r="CM44" s="479"/>
      <c r="CR44" s="450"/>
      <c r="CS44" s="1634"/>
      <c r="CT44" s="1635"/>
      <c r="CU44" s="1635"/>
      <c r="CV44" s="1635"/>
      <c r="CW44" s="1617"/>
      <c r="CX44" s="1618"/>
      <c r="CY44" s="1618"/>
      <c r="CZ44" s="1619"/>
      <c r="DA44" s="1618"/>
      <c r="DB44" s="1618"/>
      <c r="DC44" s="1618"/>
      <c r="DD44" s="1621"/>
      <c r="DE44" s="367"/>
      <c r="DF44" s="381"/>
      <c r="DG44" s="367"/>
    </row>
    <row r="45" spans="1:114" ht="13.5" customHeight="1">
      <c r="A45" s="1678"/>
      <c r="B45" s="473"/>
      <c r="C45" s="474"/>
      <c r="D45" s="474"/>
      <c r="E45" s="474"/>
      <c r="F45" s="474"/>
      <c r="G45" s="474"/>
      <c r="H45" s="474"/>
      <c r="I45" s="474"/>
      <c r="J45" s="474"/>
      <c r="K45" s="475"/>
      <c r="L45" s="474"/>
      <c r="M45" s="474"/>
      <c r="N45" s="474"/>
      <c r="O45" s="474"/>
      <c r="P45" s="474"/>
      <c r="Q45" s="474"/>
      <c r="R45" s="474"/>
      <c r="S45" s="474"/>
      <c r="T45" s="474"/>
      <c r="U45" s="475"/>
      <c r="V45" s="474"/>
      <c r="W45" s="474"/>
      <c r="X45" s="474"/>
      <c r="Y45" s="474"/>
      <c r="Z45" s="474"/>
      <c r="AA45" s="474"/>
      <c r="AB45" s="474"/>
      <c r="AC45" s="474"/>
      <c r="AD45" s="474"/>
      <c r="AE45" s="475"/>
      <c r="AF45" s="474"/>
      <c r="AG45" s="474"/>
      <c r="AH45" s="474"/>
      <c r="AI45" s="474"/>
      <c r="AJ45" s="474"/>
      <c r="AK45" s="474"/>
      <c r="AL45" s="474"/>
      <c r="AM45" s="474"/>
      <c r="AN45" s="474"/>
      <c r="AO45" s="475"/>
      <c r="AP45" s="474"/>
      <c r="AQ45" s="474"/>
      <c r="AR45" s="474"/>
      <c r="AS45" s="474"/>
      <c r="AT45" s="474"/>
      <c r="AU45" s="474"/>
      <c r="AV45" s="474"/>
      <c r="AW45" s="474"/>
      <c r="AX45" s="474"/>
      <c r="AY45" s="475"/>
      <c r="AZ45" s="474"/>
      <c r="BA45" s="474"/>
      <c r="BB45" s="474"/>
      <c r="BC45" s="474"/>
      <c r="BD45" s="474"/>
      <c r="BE45" s="474"/>
      <c r="BF45" s="474"/>
      <c r="BG45" s="474"/>
      <c r="BH45" s="474"/>
      <c r="BI45" s="475"/>
      <c r="BJ45" s="474"/>
      <c r="BK45" s="474"/>
      <c r="BL45" s="474"/>
      <c r="BM45" s="474"/>
      <c r="BN45" s="474"/>
      <c r="BO45" s="474"/>
      <c r="BP45" s="474"/>
      <c r="BQ45" s="474"/>
      <c r="BR45" s="474"/>
      <c r="BS45" s="475"/>
      <c r="BT45" s="474"/>
      <c r="BU45" s="474"/>
      <c r="BV45" s="474"/>
      <c r="BW45" s="474"/>
      <c r="BX45" s="474"/>
      <c r="BY45" s="474"/>
      <c r="BZ45" s="474"/>
      <c r="CA45" s="474"/>
      <c r="CB45" s="474"/>
      <c r="CC45" s="475"/>
      <c r="CD45" s="474"/>
      <c r="CE45" s="474"/>
      <c r="CF45" s="474"/>
      <c r="CG45" s="474"/>
      <c r="CH45" s="474"/>
      <c r="CI45" s="474"/>
      <c r="CJ45" s="474"/>
      <c r="CK45" s="474"/>
      <c r="CL45" s="474"/>
      <c r="CM45" s="475"/>
      <c r="CN45" s="474"/>
      <c r="CO45" s="474"/>
      <c r="CP45" s="474"/>
      <c r="CQ45" s="474"/>
      <c r="CR45" s="476"/>
      <c r="CS45" s="1647"/>
      <c r="CT45" s="1648"/>
      <c r="CU45" s="1649"/>
      <c r="CV45" s="1650"/>
      <c r="CW45" s="1638"/>
      <c r="CX45" s="1639"/>
      <c r="CY45" s="1640"/>
      <c r="CZ45" s="1641"/>
      <c r="DA45" s="1642"/>
      <c r="DB45" s="1643"/>
      <c r="DC45" s="1636"/>
      <c r="DD45" s="1637"/>
      <c r="DE45" s="367"/>
      <c r="DF45" s="381"/>
      <c r="DG45" s="367"/>
    </row>
    <row r="46" spans="1:114" ht="13.5" customHeight="1">
      <c r="A46" s="1645" t="s">
        <v>621</v>
      </c>
      <c r="B46" s="478"/>
      <c r="K46" s="479"/>
      <c r="U46" s="479"/>
      <c r="Z46" s="480"/>
      <c r="AE46" s="479"/>
      <c r="AI46" s="467"/>
      <c r="AO46" s="479"/>
      <c r="AT46" s="467"/>
      <c r="AY46" s="479"/>
      <c r="BA46" s="467"/>
      <c r="BI46" s="479"/>
      <c r="BM46" s="467"/>
      <c r="BS46" s="479"/>
      <c r="BX46" s="467"/>
      <c r="CB46" s="467"/>
      <c r="CC46" s="479"/>
      <c r="CM46" s="479"/>
      <c r="CR46" s="450"/>
      <c r="CS46" s="1651" t="s">
        <v>54</v>
      </c>
      <c r="CT46" s="1652"/>
      <c r="CU46" s="1652"/>
      <c r="CV46" s="1652"/>
      <c r="CW46" s="1653" t="s">
        <v>54</v>
      </c>
      <c r="CX46" s="1654"/>
      <c r="CY46" s="1654"/>
      <c r="CZ46" s="1655"/>
      <c r="DA46" s="1656" t="s">
        <v>54</v>
      </c>
      <c r="DB46" s="1656"/>
      <c r="DC46" s="1656"/>
      <c r="DD46" s="1657"/>
      <c r="DE46" s="481"/>
      <c r="DF46" s="349"/>
      <c r="DG46" s="377"/>
    </row>
    <row r="47" spans="1:114" ht="4.5" customHeight="1">
      <c r="A47" s="1645"/>
      <c r="B47" s="478"/>
      <c r="K47" s="479"/>
      <c r="U47" s="479"/>
      <c r="Z47" s="480"/>
      <c r="AE47" s="479"/>
      <c r="AI47" s="467"/>
      <c r="AO47" s="479"/>
      <c r="AT47" s="467"/>
      <c r="AY47" s="479"/>
      <c r="BA47" s="467"/>
      <c r="BI47" s="479"/>
      <c r="BM47" s="467"/>
      <c r="BS47" s="479"/>
      <c r="BX47" s="467"/>
      <c r="CB47" s="467"/>
      <c r="CC47" s="479"/>
      <c r="CM47" s="479"/>
      <c r="CR47" s="450"/>
      <c r="CS47" s="1634"/>
      <c r="CT47" s="1635"/>
      <c r="CU47" s="1635"/>
      <c r="CV47" s="1635"/>
      <c r="CW47" s="1617"/>
      <c r="CX47" s="1618"/>
      <c r="CY47" s="1618"/>
      <c r="CZ47" s="1619"/>
      <c r="DA47" s="1658"/>
      <c r="DB47" s="1658"/>
      <c r="DC47" s="1658"/>
      <c r="DD47" s="1659"/>
      <c r="DE47" s="367" t="s">
        <v>54</v>
      </c>
      <c r="DF47" s="381" t="s">
        <v>54</v>
      </c>
      <c r="DG47" s="377"/>
    </row>
    <row r="48" spans="1:114" ht="13.5" customHeight="1">
      <c r="A48" s="1646"/>
      <c r="B48" s="473"/>
      <c r="C48" s="474"/>
      <c r="D48" s="474"/>
      <c r="E48" s="474"/>
      <c r="F48" s="474"/>
      <c r="G48" s="474"/>
      <c r="H48" s="474"/>
      <c r="I48" s="474"/>
      <c r="J48" s="474"/>
      <c r="K48" s="475"/>
      <c r="L48" s="474"/>
      <c r="M48" s="474"/>
      <c r="N48" s="474"/>
      <c r="O48" s="474"/>
      <c r="P48" s="474"/>
      <c r="Q48" s="474"/>
      <c r="R48" s="474"/>
      <c r="S48" s="474"/>
      <c r="T48" s="474"/>
      <c r="U48" s="475"/>
      <c r="V48" s="474"/>
      <c r="W48" s="474"/>
      <c r="X48" s="474"/>
      <c r="Y48" s="474"/>
      <c r="Z48" s="483"/>
      <c r="AA48" s="474"/>
      <c r="AB48" s="474"/>
      <c r="AC48" s="474"/>
      <c r="AD48" s="474"/>
      <c r="AE48" s="475"/>
      <c r="AF48" s="474"/>
      <c r="AG48" s="474"/>
      <c r="AH48" s="474"/>
      <c r="AI48" s="484"/>
      <c r="AJ48" s="474"/>
      <c r="AK48" s="474"/>
      <c r="AL48" s="474"/>
      <c r="AM48" s="474"/>
      <c r="AN48" s="474"/>
      <c r="AO48" s="475"/>
      <c r="AP48" s="474"/>
      <c r="AQ48" s="474"/>
      <c r="AR48" s="474"/>
      <c r="AS48" s="474"/>
      <c r="AT48" s="484"/>
      <c r="AU48" s="474"/>
      <c r="AV48" s="474"/>
      <c r="AW48" s="474"/>
      <c r="AX48" s="474"/>
      <c r="AY48" s="475"/>
      <c r="AZ48" s="474"/>
      <c r="BA48" s="484"/>
      <c r="BB48" s="474"/>
      <c r="BC48" s="474"/>
      <c r="BD48" s="474"/>
      <c r="BE48" s="474"/>
      <c r="BF48" s="474"/>
      <c r="BG48" s="474"/>
      <c r="BH48" s="474"/>
      <c r="BI48" s="475"/>
      <c r="BJ48" s="474"/>
      <c r="BK48" s="474"/>
      <c r="BL48" s="474"/>
      <c r="BM48" s="484"/>
      <c r="BN48" s="474"/>
      <c r="BO48" s="474"/>
      <c r="BP48" s="474"/>
      <c r="BQ48" s="474"/>
      <c r="BR48" s="474"/>
      <c r="BS48" s="475"/>
      <c r="BT48" s="474"/>
      <c r="BU48" s="474"/>
      <c r="BV48" s="474"/>
      <c r="BW48" s="474"/>
      <c r="BX48" s="484"/>
      <c r="BY48" s="474"/>
      <c r="BZ48" s="474"/>
      <c r="CA48" s="474"/>
      <c r="CB48" s="484"/>
      <c r="CC48" s="475"/>
      <c r="CD48" s="474"/>
      <c r="CE48" s="474"/>
      <c r="CF48" s="474"/>
      <c r="CG48" s="474"/>
      <c r="CH48" s="474"/>
      <c r="CI48" s="474"/>
      <c r="CJ48" s="474"/>
      <c r="CK48" s="474"/>
      <c r="CL48" s="474"/>
      <c r="CM48" s="475"/>
      <c r="CN48" s="474"/>
      <c r="CO48" s="474"/>
      <c r="CP48" s="474"/>
      <c r="CQ48" s="474"/>
      <c r="CR48" s="476"/>
      <c r="CS48" s="1660">
        <v>6</v>
      </c>
      <c r="CT48" s="1661"/>
      <c r="CU48" s="1649">
        <v>1</v>
      </c>
      <c r="CV48" s="1650"/>
      <c r="CW48" s="1638">
        <v>0</v>
      </c>
      <c r="CX48" s="1639"/>
      <c r="CY48" s="1640">
        <v>0</v>
      </c>
      <c r="CZ48" s="1641"/>
      <c r="DA48" s="1642">
        <v>0</v>
      </c>
      <c r="DB48" s="1643"/>
      <c r="DC48" s="1636">
        <v>0</v>
      </c>
      <c r="DD48" s="1637"/>
      <c r="DE48" s="385">
        <f>CS48+CW48+DA48</f>
        <v>6</v>
      </c>
      <c r="DF48" s="381">
        <f>CU48+CY48+DC48</f>
        <v>1</v>
      </c>
      <c r="DG48" s="377"/>
    </row>
    <row r="49" spans="1:114" ht="13.5" customHeight="1">
      <c r="A49" s="1644" t="s">
        <v>56</v>
      </c>
      <c r="B49" s="478"/>
      <c r="K49" s="479"/>
      <c r="U49" s="479"/>
      <c r="AE49" s="479"/>
      <c r="AO49" s="479"/>
      <c r="AY49" s="479"/>
      <c r="BI49" s="479"/>
      <c r="BS49" s="479"/>
      <c r="CC49" s="479"/>
      <c r="CM49" s="479"/>
      <c r="CR49" s="450"/>
      <c r="CS49" s="1651" t="s">
        <v>54</v>
      </c>
      <c r="CT49" s="1652"/>
      <c r="CU49" s="1652"/>
      <c r="CV49" s="1652"/>
      <c r="CW49" s="1653" t="s">
        <v>54</v>
      </c>
      <c r="CX49" s="1654"/>
      <c r="CY49" s="1654"/>
      <c r="CZ49" s="1655"/>
      <c r="DA49" s="1656" t="s">
        <v>54</v>
      </c>
      <c r="DB49" s="1656"/>
      <c r="DC49" s="1656"/>
      <c r="DD49" s="1657"/>
      <c r="DE49" s="367" t="s">
        <v>54</v>
      </c>
      <c r="DF49" s="381" t="s">
        <v>54</v>
      </c>
      <c r="DG49" s="377"/>
      <c r="DH49" s="485"/>
    </row>
    <row r="50" spans="1:114" ht="3.75" customHeight="1">
      <c r="A50" s="1645"/>
      <c r="B50" s="486"/>
      <c r="C50" s="467"/>
      <c r="D50" s="467"/>
      <c r="E50" s="467"/>
      <c r="F50" s="467"/>
      <c r="G50" s="467"/>
      <c r="H50" s="467"/>
      <c r="I50" s="467"/>
      <c r="J50" s="467"/>
      <c r="K50" s="471"/>
      <c r="L50" s="467"/>
      <c r="M50" s="467"/>
      <c r="N50" s="467"/>
      <c r="O50" s="467"/>
      <c r="P50" s="467"/>
      <c r="Q50" s="467"/>
      <c r="R50" s="467"/>
      <c r="S50" s="467"/>
      <c r="T50" s="467"/>
      <c r="U50" s="471"/>
      <c r="V50" s="467"/>
      <c r="W50" s="467"/>
      <c r="X50" s="467"/>
      <c r="Y50" s="467"/>
      <c r="Z50" s="467"/>
      <c r="AA50" s="467"/>
      <c r="AB50" s="467"/>
      <c r="AC50" s="467"/>
      <c r="AD50" s="467"/>
      <c r="AE50" s="471"/>
      <c r="AF50" s="467"/>
      <c r="AG50" s="467"/>
      <c r="AH50" s="467"/>
      <c r="AI50" s="467"/>
      <c r="AJ50" s="467"/>
      <c r="AK50" s="467"/>
      <c r="AL50" s="467"/>
      <c r="AM50" s="467"/>
      <c r="AN50" s="467"/>
      <c r="AO50" s="471"/>
      <c r="AP50" s="467"/>
      <c r="AQ50" s="467"/>
      <c r="AR50" s="467"/>
      <c r="AS50" s="467"/>
      <c r="AT50" s="467"/>
      <c r="AU50" s="467"/>
      <c r="AV50" s="467"/>
      <c r="AW50" s="467"/>
      <c r="AX50" s="467"/>
      <c r="AY50" s="471"/>
      <c r="AZ50" s="467"/>
      <c r="BA50" s="467"/>
      <c r="BB50" s="467"/>
      <c r="BC50" s="467"/>
      <c r="BD50" s="467"/>
      <c r="BE50" s="467"/>
      <c r="BF50" s="467"/>
      <c r="BG50" s="467"/>
      <c r="BH50" s="467"/>
      <c r="BI50" s="471"/>
      <c r="BJ50" s="467"/>
      <c r="BK50" s="467"/>
      <c r="BL50" s="467"/>
      <c r="BM50" s="467"/>
      <c r="BN50" s="467"/>
      <c r="BO50" s="467"/>
      <c r="BP50" s="467"/>
      <c r="BQ50" s="467"/>
      <c r="BR50" s="467"/>
      <c r="BS50" s="471"/>
      <c r="BT50" s="467"/>
      <c r="BU50" s="467"/>
      <c r="BV50" s="467"/>
      <c r="BW50" s="467"/>
      <c r="BX50" s="467"/>
      <c r="BY50" s="467"/>
      <c r="BZ50" s="467"/>
      <c r="CA50" s="467"/>
      <c r="CB50" s="467"/>
      <c r="CC50" s="471"/>
      <c r="CD50" s="467"/>
      <c r="CE50" s="467"/>
      <c r="CF50" s="467"/>
      <c r="CG50" s="467"/>
      <c r="CH50" s="467"/>
      <c r="CI50" s="467"/>
      <c r="CJ50" s="467"/>
      <c r="CK50" s="467"/>
      <c r="CL50" s="467"/>
      <c r="CM50" s="471"/>
      <c r="CN50" s="467"/>
      <c r="CO50" s="467"/>
      <c r="CP50" s="467"/>
      <c r="CQ50" s="467"/>
      <c r="CR50" s="450"/>
      <c r="CS50" s="1634"/>
      <c r="CT50" s="1635"/>
      <c r="CU50" s="1635"/>
      <c r="CV50" s="1635"/>
      <c r="CW50" s="1617"/>
      <c r="CX50" s="1618"/>
      <c r="CY50" s="1618"/>
      <c r="CZ50" s="1619"/>
      <c r="DA50" s="1658"/>
      <c r="DB50" s="1658"/>
      <c r="DC50" s="1658"/>
      <c r="DD50" s="1659"/>
      <c r="DE50" s="367"/>
      <c r="DF50" s="381"/>
      <c r="DG50" s="377"/>
    </row>
    <row r="51" spans="1:114" ht="13.5" customHeight="1">
      <c r="A51" s="1646"/>
      <c r="B51" s="473"/>
      <c r="C51" s="474"/>
      <c r="D51" s="474"/>
      <c r="E51" s="474"/>
      <c r="F51" s="474"/>
      <c r="G51" s="474"/>
      <c r="H51" s="474"/>
      <c r="I51" s="474"/>
      <c r="J51" s="474"/>
      <c r="K51" s="475"/>
      <c r="L51" s="474"/>
      <c r="M51" s="474"/>
      <c r="N51" s="474"/>
      <c r="O51" s="474"/>
      <c r="P51" s="474"/>
      <c r="Q51" s="474"/>
      <c r="R51" s="474"/>
      <c r="S51" s="474"/>
      <c r="T51" s="474"/>
      <c r="U51" s="475"/>
      <c r="V51" s="474"/>
      <c r="W51" s="474"/>
      <c r="X51" s="474"/>
      <c r="Y51" s="474"/>
      <c r="Z51" s="474"/>
      <c r="AA51" s="474"/>
      <c r="AB51" s="474"/>
      <c r="AC51" s="474"/>
      <c r="AD51" s="474"/>
      <c r="AE51" s="475"/>
      <c r="AF51" s="474"/>
      <c r="AG51" s="474"/>
      <c r="AH51" s="474"/>
      <c r="AI51" s="474"/>
      <c r="AJ51" s="474"/>
      <c r="AK51" s="474"/>
      <c r="AL51" s="474"/>
      <c r="AM51" s="474"/>
      <c r="AN51" s="474"/>
      <c r="AO51" s="475"/>
      <c r="AP51" s="474"/>
      <c r="AQ51" s="474"/>
      <c r="AR51" s="474"/>
      <c r="AS51" s="474"/>
      <c r="AT51" s="474"/>
      <c r="AU51" s="474"/>
      <c r="AV51" s="474"/>
      <c r="AW51" s="474"/>
      <c r="AX51" s="474"/>
      <c r="AY51" s="475"/>
      <c r="AZ51" s="474"/>
      <c r="BA51" s="474"/>
      <c r="BB51" s="474"/>
      <c r="BC51" s="474"/>
      <c r="BD51" s="474"/>
      <c r="BE51" s="474"/>
      <c r="BF51" s="474"/>
      <c r="BG51" s="474"/>
      <c r="BH51" s="474"/>
      <c r="BI51" s="475"/>
      <c r="BJ51" s="474"/>
      <c r="BK51" s="474"/>
      <c r="BL51" s="474"/>
      <c r="BM51" s="474"/>
      <c r="BN51" s="474"/>
      <c r="BO51" s="474"/>
      <c r="BP51" s="474"/>
      <c r="BQ51" s="474"/>
      <c r="BR51" s="474"/>
      <c r="BS51" s="475"/>
      <c r="BT51" s="474"/>
      <c r="BU51" s="474"/>
      <c r="BV51" s="474"/>
      <c r="BW51" s="474"/>
      <c r="BX51" s="474"/>
      <c r="BY51" s="474"/>
      <c r="BZ51" s="474"/>
      <c r="CA51" s="474"/>
      <c r="CB51" s="474"/>
      <c r="CC51" s="475"/>
      <c r="CD51" s="474"/>
      <c r="CE51" s="474"/>
      <c r="CF51" s="474"/>
      <c r="CG51" s="474"/>
      <c r="CH51" s="474"/>
      <c r="CI51" s="474"/>
      <c r="CJ51" s="474"/>
      <c r="CK51" s="474"/>
      <c r="CL51" s="474"/>
      <c r="CM51" s="475"/>
      <c r="CN51" s="474"/>
      <c r="CO51" s="474"/>
      <c r="CP51" s="474"/>
      <c r="CQ51" s="474"/>
      <c r="CR51" s="476"/>
      <c r="CS51" s="1647">
        <f>+DG40</f>
        <v>44.77</v>
      </c>
      <c r="CT51" s="1648"/>
      <c r="CU51" s="1649">
        <f>+CS51/DG40</f>
        <v>1</v>
      </c>
      <c r="CV51" s="1650"/>
      <c r="CW51" s="1638">
        <v>0</v>
      </c>
      <c r="CX51" s="1639"/>
      <c r="CY51" s="1640">
        <f>+CW51/DG40</f>
        <v>0</v>
      </c>
      <c r="CZ51" s="1641"/>
      <c r="DA51" s="1642">
        <v>0</v>
      </c>
      <c r="DB51" s="1643"/>
      <c r="DC51" s="1636">
        <f>+DA51/DG40</f>
        <v>0</v>
      </c>
      <c r="DD51" s="1637"/>
      <c r="DE51" s="367">
        <f>CS51+CW51+DA51</f>
        <v>44.77</v>
      </c>
      <c r="DF51" s="381">
        <f>CU51+CY51+DC51</f>
        <v>1</v>
      </c>
      <c r="DG51" s="377"/>
    </row>
    <row r="52" spans="1:114" ht="13.5" customHeight="1">
      <c r="A52" s="1644" t="s">
        <v>229</v>
      </c>
      <c r="B52" s="478"/>
      <c r="K52" s="479"/>
      <c r="U52" s="479"/>
      <c r="AE52" s="479"/>
      <c r="AO52" s="479"/>
      <c r="AY52" s="479"/>
      <c r="BI52" s="479"/>
      <c r="BS52" s="479"/>
      <c r="CC52" s="479"/>
      <c r="CM52" s="479"/>
      <c r="CR52" s="450"/>
      <c r="CS52" s="1651" t="s">
        <v>54</v>
      </c>
      <c r="CT52" s="1652"/>
      <c r="CU52" s="1652"/>
      <c r="CV52" s="1652"/>
      <c r="CW52" s="1653" t="s">
        <v>54</v>
      </c>
      <c r="CX52" s="1654"/>
      <c r="CY52" s="1654"/>
      <c r="CZ52" s="1655"/>
      <c r="DA52" s="1656" t="s">
        <v>54</v>
      </c>
      <c r="DB52" s="1656"/>
      <c r="DC52" s="1656"/>
      <c r="DD52" s="1657"/>
      <c r="DE52" s="367"/>
      <c r="DF52" s="381"/>
      <c r="DG52" s="377"/>
      <c r="DJ52" s="1028"/>
    </row>
    <row r="53" spans="1:114" ht="4.5" customHeight="1">
      <c r="A53" s="1645"/>
      <c r="B53" s="486"/>
      <c r="C53" s="467"/>
      <c r="D53" s="467"/>
      <c r="E53" s="467"/>
      <c r="F53" s="467"/>
      <c r="G53" s="467"/>
      <c r="H53" s="467"/>
      <c r="I53" s="467"/>
      <c r="J53" s="467"/>
      <c r="K53" s="471"/>
      <c r="L53" s="467"/>
      <c r="M53" s="467"/>
      <c r="N53" s="467"/>
      <c r="O53" s="467"/>
      <c r="P53" s="467"/>
      <c r="Q53" s="467"/>
      <c r="R53" s="467"/>
      <c r="S53" s="467"/>
      <c r="T53" s="467"/>
      <c r="U53" s="471"/>
      <c r="V53" s="467"/>
      <c r="W53" s="467"/>
      <c r="X53" s="467"/>
      <c r="Y53" s="467"/>
      <c r="Z53" s="467"/>
      <c r="AA53" s="467"/>
      <c r="AB53" s="467"/>
      <c r="AC53" s="467"/>
      <c r="AD53" s="467"/>
      <c r="AE53" s="471"/>
      <c r="AF53" s="467"/>
      <c r="AG53" s="467"/>
      <c r="AH53" s="467"/>
      <c r="AI53" s="467"/>
      <c r="AJ53" s="467"/>
      <c r="AK53" s="467"/>
      <c r="AL53" s="467"/>
      <c r="AM53" s="467"/>
      <c r="AN53" s="467"/>
      <c r="AO53" s="471"/>
      <c r="AP53" s="467"/>
      <c r="AQ53" s="467"/>
      <c r="AR53" s="467"/>
      <c r="AS53" s="467"/>
      <c r="AT53" s="467"/>
      <c r="AU53" s="467"/>
      <c r="AV53" s="467"/>
      <c r="AW53" s="467"/>
      <c r="AX53" s="467"/>
      <c r="AY53" s="471"/>
      <c r="AZ53" s="467"/>
      <c r="BA53" s="467"/>
      <c r="BB53" s="467"/>
      <c r="BC53" s="467"/>
      <c r="BD53" s="467"/>
      <c r="BE53" s="467"/>
      <c r="BF53" s="467"/>
      <c r="BG53" s="467"/>
      <c r="BH53" s="467"/>
      <c r="BI53" s="471"/>
      <c r="BJ53" s="467"/>
      <c r="BK53" s="467"/>
      <c r="BL53" s="467"/>
      <c r="BM53" s="467"/>
      <c r="BN53" s="467"/>
      <c r="BO53" s="467"/>
      <c r="BP53" s="467"/>
      <c r="BQ53" s="467"/>
      <c r="BR53" s="467"/>
      <c r="BS53" s="471"/>
      <c r="BT53" s="467"/>
      <c r="BU53" s="467"/>
      <c r="BV53" s="467"/>
      <c r="BW53" s="467"/>
      <c r="BX53" s="467"/>
      <c r="BY53" s="467"/>
      <c r="BZ53" s="467"/>
      <c r="CA53" s="467"/>
      <c r="CB53" s="467"/>
      <c r="CC53" s="471"/>
      <c r="CD53" s="467"/>
      <c r="CE53" s="467"/>
      <c r="CF53" s="467"/>
      <c r="CG53" s="467"/>
      <c r="CH53" s="467"/>
      <c r="CI53" s="467"/>
      <c r="CJ53" s="467"/>
      <c r="CK53" s="467"/>
      <c r="CL53" s="467"/>
      <c r="CM53" s="471"/>
      <c r="CN53" s="467"/>
      <c r="CO53" s="467"/>
      <c r="CP53" s="467"/>
      <c r="CQ53" s="467"/>
      <c r="CR53" s="450"/>
      <c r="CS53" s="1634"/>
      <c r="CT53" s="1635"/>
      <c r="CU53" s="1635"/>
      <c r="CV53" s="1635"/>
      <c r="CW53" s="1617"/>
      <c r="CX53" s="1618"/>
      <c r="CY53" s="1618"/>
      <c r="CZ53" s="1619"/>
      <c r="DA53" s="1658"/>
      <c r="DB53" s="1658"/>
      <c r="DC53" s="1658"/>
      <c r="DD53" s="1659"/>
      <c r="DE53" s="367" t="s">
        <v>54</v>
      </c>
      <c r="DF53" s="381" t="s">
        <v>54</v>
      </c>
      <c r="DG53" s="367"/>
    </row>
    <row r="54" spans="1:114" ht="13.5" customHeight="1">
      <c r="A54" s="1646"/>
      <c r="B54" s="473"/>
      <c r="C54" s="474"/>
      <c r="D54" s="474"/>
      <c r="E54" s="474"/>
      <c r="F54" s="474"/>
      <c r="G54" s="474"/>
      <c r="H54" s="474"/>
      <c r="I54" s="474"/>
      <c r="J54" s="474"/>
      <c r="K54" s="475"/>
      <c r="L54" s="474"/>
      <c r="M54" s="474"/>
      <c r="N54" s="474"/>
      <c r="O54" s="474"/>
      <c r="P54" s="474"/>
      <c r="Q54" s="474"/>
      <c r="R54" s="474"/>
      <c r="S54" s="474"/>
      <c r="T54" s="474"/>
      <c r="U54" s="475"/>
      <c r="V54" s="474"/>
      <c r="W54" s="474"/>
      <c r="X54" s="474"/>
      <c r="Y54" s="474"/>
      <c r="Z54" s="474"/>
      <c r="AA54" s="474"/>
      <c r="AB54" s="474"/>
      <c r="AC54" s="474"/>
      <c r="AD54" s="474"/>
      <c r="AE54" s="475"/>
      <c r="AF54" s="474"/>
      <c r="AG54" s="474"/>
      <c r="AH54" s="474"/>
      <c r="AI54" s="474"/>
      <c r="AJ54" s="474"/>
      <c r="AK54" s="474"/>
      <c r="AL54" s="474"/>
      <c r="AM54" s="474"/>
      <c r="AN54" s="474"/>
      <c r="AO54" s="475"/>
      <c r="AP54" s="474"/>
      <c r="AQ54" s="474"/>
      <c r="AR54" s="474"/>
      <c r="AS54" s="474"/>
      <c r="AT54" s="474"/>
      <c r="AU54" s="474"/>
      <c r="AV54" s="474"/>
      <c r="AW54" s="474"/>
      <c r="AX54" s="474"/>
      <c r="AY54" s="475"/>
      <c r="AZ54" s="474"/>
      <c r="BA54" s="474"/>
      <c r="BB54" s="474"/>
      <c r="BC54" s="474"/>
      <c r="BD54" s="474"/>
      <c r="BE54" s="474"/>
      <c r="BF54" s="474"/>
      <c r="BG54" s="474"/>
      <c r="BH54" s="474"/>
      <c r="BI54" s="475"/>
      <c r="BJ54" s="474"/>
      <c r="BK54" s="474"/>
      <c r="BL54" s="474"/>
      <c r="BM54" s="474"/>
      <c r="BN54" s="474"/>
      <c r="BO54" s="474"/>
      <c r="BP54" s="474"/>
      <c r="BQ54" s="474"/>
      <c r="BR54" s="474"/>
      <c r="BS54" s="475"/>
      <c r="BT54" s="474"/>
      <c r="BU54" s="474"/>
      <c r="BV54" s="474"/>
      <c r="BW54" s="474"/>
      <c r="BX54" s="474"/>
      <c r="BY54" s="474"/>
      <c r="BZ54" s="474"/>
      <c r="CA54" s="474"/>
      <c r="CB54" s="474"/>
      <c r="CC54" s="475"/>
      <c r="CD54" s="474"/>
      <c r="CE54" s="474"/>
      <c r="CF54" s="474"/>
      <c r="CG54" s="474"/>
      <c r="CH54" s="474"/>
      <c r="CI54" s="474"/>
      <c r="CJ54" s="474"/>
      <c r="CK54" s="474"/>
      <c r="CL54" s="474"/>
      <c r="CM54" s="475"/>
      <c r="CN54" s="474"/>
      <c r="CO54" s="474"/>
      <c r="CP54" s="474"/>
      <c r="CQ54" s="474"/>
      <c r="CR54" s="476"/>
      <c r="CS54" s="1647">
        <v>44.77</v>
      </c>
      <c r="CT54" s="1648"/>
      <c r="CU54" s="1649">
        <f>+CS54/DG40</f>
        <v>1</v>
      </c>
      <c r="CV54" s="1650"/>
      <c r="CW54" s="1638">
        <f>+DG40-CS54</f>
        <v>0</v>
      </c>
      <c r="CX54" s="1639"/>
      <c r="CY54" s="1640">
        <f>+CW54/DG40</f>
        <v>0</v>
      </c>
      <c r="CZ54" s="1641"/>
      <c r="DA54" s="1642">
        <v>0</v>
      </c>
      <c r="DB54" s="1643"/>
      <c r="DC54" s="1636">
        <f>+DA54/DG40</f>
        <v>0</v>
      </c>
      <c r="DD54" s="1637"/>
      <c r="DE54" s="367">
        <f>CS54+CW54+DA54</f>
        <v>44.77</v>
      </c>
      <c r="DF54" s="381">
        <f>CU54+CY54+DC54</f>
        <v>1</v>
      </c>
      <c r="DG54" s="377"/>
    </row>
    <row r="55" spans="1:114" ht="13.5" customHeight="1">
      <c r="A55" s="1644" t="s">
        <v>57</v>
      </c>
      <c r="B55" s="478"/>
      <c r="K55" s="479"/>
      <c r="U55" s="479"/>
      <c r="AE55" s="479"/>
      <c r="AO55" s="479"/>
      <c r="AY55" s="479"/>
      <c r="BI55" s="479"/>
      <c r="BS55" s="479"/>
      <c r="CC55" s="479"/>
      <c r="CM55" s="479"/>
      <c r="CR55" s="450"/>
      <c r="CS55" s="1651" t="s">
        <v>54</v>
      </c>
      <c r="CT55" s="1652"/>
      <c r="CU55" s="1652"/>
      <c r="CV55" s="1652"/>
      <c r="CW55" s="1653" t="s">
        <v>54</v>
      </c>
      <c r="CX55" s="1654"/>
      <c r="CY55" s="1654"/>
      <c r="CZ55" s="1655"/>
      <c r="DA55" s="1656" t="s">
        <v>54</v>
      </c>
      <c r="DB55" s="1656"/>
      <c r="DC55" s="1656"/>
      <c r="DD55" s="1657"/>
      <c r="DE55" s="367" t="s">
        <v>54</v>
      </c>
      <c r="DF55" s="381" t="s">
        <v>54</v>
      </c>
      <c r="DG55" s="367"/>
    </row>
    <row r="56" spans="1:114" ht="3.75" customHeight="1">
      <c r="A56" s="1645"/>
      <c r="B56" s="486"/>
      <c r="C56" s="467"/>
      <c r="D56" s="467"/>
      <c r="E56" s="467"/>
      <c r="F56" s="467"/>
      <c r="G56" s="467"/>
      <c r="H56" s="467"/>
      <c r="I56" s="467"/>
      <c r="J56" s="467"/>
      <c r="K56" s="471"/>
      <c r="L56" s="467"/>
      <c r="M56" s="467"/>
      <c r="N56" s="467"/>
      <c r="O56" s="467"/>
      <c r="P56" s="467"/>
      <c r="Q56" s="467"/>
      <c r="R56" s="466"/>
      <c r="S56" s="466"/>
      <c r="T56" s="466"/>
      <c r="U56" s="470"/>
      <c r="V56" s="466"/>
      <c r="W56" s="466"/>
      <c r="X56" s="466"/>
      <c r="Y56" s="466"/>
      <c r="Z56" s="466"/>
      <c r="AA56" s="466"/>
      <c r="AB56" s="466"/>
      <c r="AC56" s="466"/>
      <c r="AD56" s="466"/>
      <c r="AE56" s="470"/>
      <c r="AF56" s="466"/>
      <c r="AG56" s="466"/>
      <c r="AH56" s="466"/>
      <c r="AI56" s="466"/>
      <c r="AJ56" s="466"/>
      <c r="AK56" s="466"/>
      <c r="AL56" s="466"/>
      <c r="AM56" s="466"/>
      <c r="AN56" s="466"/>
      <c r="AO56" s="470"/>
      <c r="AP56" s="466"/>
      <c r="AQ56" s="466"/>
      <c r="AR56" s="466"/>
      <c r="AS56" s="466"/>
      <c r="AT56" s="466"/>
      <c r="AU56" s="466"/>
      <c r="AV56" s="466"/>
      <c r="AW56" s="466"/>
      <c r="AX56" s="466"/>
      <c r="AY56" s="470"/>
      <c r="AZ56" s="466"/>
      <c r="BA56" s="466"/>
      <c r="BB56" s="466"/>
      <c r="BC56" s="466"/>
      <c r="BD56" s="468"/>
      <c r="BE56" s="468"/>
      <c r="BF56" s="468"/>
      <c r="BG56" s="468"/>
      <c r="BH56" s="468"/>
      <c r="BI56" s="469"/>
      <c r="BJ56" s="468"/>
      <c r="BK56" s="468"/>
      <c r="BL56" s="468"/>
      <c r="BM56" s="468"/>
      <c r="BN56" s="468"/>
      <c r="BO56" s="468"/>
      <c r="BP56" s="468"/>
      <c r="BQ56" s="468"/>
      <c r="BR56" s="468"/>
      <c r="BS56" s="469"/>
      <c r="BT56" s="468"/>
      <c r="BU56" s="468"/>
      <c r="BV56" s="468"/>
      <c r="BW56" s="468"/>
      <c r="BX56" s="468"/>
      <c r="BY56" s="468"/>
      <c r="BZ56" s="468"/>
      <c r="CA56" s="468"/>
      <c r="CB56" s="468"/>
      <c r="CC56" s="469"/>
      <c r="CD56" s="468"/>
      <c r="CE56" s="468"/>
      <c r="CF56" s="468"/>
      <c r="CG56" s="468"/>
      <c r="CH56" s="468"/>
      <c r="CI56" s="468"/>
      <c r="CJ56" s="468"/>
      <c r="CK56" s="468"/>
      <c r="CL56" s="468"/>
      <c r="CM56" s="469"/>
      <c r="CN56" s="468"/>
      <c r="CO56" s="468"/>
      <c r="CP56" s="468"/>
      <c r="CQ56" s="468"/>
      <c r="CR56" s="450"/>
      <c r="CS56" s="1634"/>
      <c r="CT56" s="1635"/>
      <c r="CU56" s="1635"/>
      <c r="CV56" s="1635"/>
      <c r="CW56" s="1617"/>
      <c r="CX56" s="1618"/>
      <c r="CY56" s="1618"/>
      <c r="CZ56" s="1619"/>
      <c r="DA56" s="1658"/>
      <c r="DB56" s="1658"/>
      <c r="DC56" s="1658"/>
      <c r="DD56" s="1659"/>
      <c r="DE56" s="367"/>
      <c r="DF56" s="381"/>
      <c r="DG56" s="377"/>
    </row>
    <row r="57" spans="1:114" ht="13.5" customHeight="1" thickBot="1">
      <c r="A57" s="1646"/>
      <c r="B57" s="473"/>
      <c r="C57" s="474"/>
      <c r="D57" s="474"/>
      <c r="E57" s="474"/>
      <c r="F57" s="474"/>
      <c r="G57" s="474"/>
      <c r="H57" s="474"/>
      <c r="I57" s="474"/>
      <c r="J57" s="474"/>
      <c r="K57" s="475"/>
      <c r="L57" s="474"/>
      <c r="M57" s="474"/>
      <c r="N57" s="474"/>
      <c r="O57" s="474"/>
      <c r="P57" s="474"/>
      <c r="Q57" s="474"/>
      <c r="R57" s="474"/>
      <c r="S57" s="474"/>
      <c r="T57" s="474"/>
      <c r="U57" s="475"/>
      <c r="V57" s="474"/>
      <c r="W57" s="474"/>
      <c r="X57" s="474"/>
      <c r="Y57" s="474"/>
      <c r="Z57" s="474"/>
      <c r="AA57" s="474"/>
      <c r="AB57" s="474"/>
      <c r="AC57" s="474"/>
      <c r="AD57" s="474"/>
      <c r="AE57" s="475"/>
      <c r="AF57" s="474"/>
      <c r="AG57" s="474"/>
      <c r="AH57" s="474"/>
      <c r="AI57" s="474"/>
      <c r="AJ57" s="474"/>
      <c r="AK57" s="474"/>
      <c r="AL57" s="474"/>
      <c r="AM57" s="474"/>
      <c r="AN57" s="474"/>
      <c r="AO57" s="475"/>
      <c r="AP57" s="474"/>
      <c r="AQ57" s="474"/>
      <c r="AR57" s="474"/>
      <c r="AS57" s="474"/>
      <c r="AT57" s="474"/>
      <c r="AU57" s="474"/>
      <c r="AV57" s="474"/>
      <c r="AW57" s="474"/>
      <c r="AX57" s="474"/>
      <c r="AY57" s="475"/>
      <c r="AZ57" s="474"/>
      <c r="BA57" s="474"/>
      <c r="BB57" s="474"/>
      <c r="BC57" s="474"/>
      <c r="BD57" s="474"/>
      <c r="BE57" s="474"/>
      <c r="BF57" s="474"/>
      <c r="BG57" s="474"/>
      <c r="BH57" s="474"/>
      <c r="BI57" s="475"/>
      <c r="BJ57" s="474"/>
      <c r="BK57" s="474"/>
      <c r="BL57" s="474"/>
      <c r="BM57" s="474"/>
      <c r="BN57" s="474"/>
      <c r="BO57" s="474"/>
      <c r="BP57" s="474"/>
      <c r="BQ57" s="474"/>
      <c r="BR57" s="474"/>
      <c r="BS57" s="475"/>
      <c r="BT57" s="474"/>
      <c r="BU57" s="474"/>
      <c r="BV57" s="474"/>
      <c r="BW57" s="474"/>
      <c r="BX57" s="474"/>
      <c r="BY57" s="474"/>
      <c r="BZ57" s="474"/>
      <c r="CA57" s="474"/>
      <c r="CB57" s="474"/>
      <c r="CC57" s="475"/>
      <c r="CD57" s="474"/>
      <c r="CE57" s="474"/>
      <c r="CF57" s="474"/>
      <c r="CG57" s="474"/>
      <c r="CH57" s="474"/>
      <c r="CI57" s="474"/>
      <c r="CJ57" s="474"/>
      <c r="CK57" s="474"/>
      <c r="CL57" s="474"/>
      <c r="CM57" s="475"/>
      <c r="CN57" s="474"/>
      <c r="CO57" s="474"/>
      <c r="CP57" s="474"/>
      <c r="CQ57" s="474"/>
      <c r="CR57" s="476"/>
      <c r="CS57" s="1647">
        <f>DG40-DA57-CW57</f>
        <v>26.741000000000007</v>
      </c>
      <c r="CT57" s="1648"/>
      <c r="CU57" s="1649">
        <f>+CS57/DG40</f>
        <v>0.59729729729729741</v>
      </c>
      <c r="CV57" s="1650"/>
      <c r="CW57" s="1638">
        <f>15.87+8.5-6.341</f>
        <v>18.028999999999996</v>
      </c>
      <c r="CX57" s="1639"/>
      <c r="CY57" s="1640">
        <f>+CW57/DG40</f>
        <v>0.40270270270270259</v>
      </c>
      <c r="CZ57" s="1641"/>
      <c r="DA57" s="1642">
        <v>0</v>
      </c>
      <c r="DB57" s="1643"/>
      <c r="DC57" s="1636">
        <f>+DA57/DG40</f>
        <v>0</v>
      </c>
      <c r="DD57" s="1637"/>
      <c r="DE57" s="367">
        <f>CS57+CW57+DA57</f>
        <v>44.77</v>
      </c>
      <c r="DF57" s="381">
        <f>CU57+CY57+DC57</f>
        <v>1</v>
      </c>
      <c r="DG57" s="377"/>
    </row>
    <row r="58" spans="1:114" ht="13.5" customHeight="1">
      <c r="A58" s="1644" t="s">
        <v>58</v>
      </c>
      <c r="B58" s="478"/>
      <c r="K58" s="479"/>
      <c r="U58" s="479"/>
      <c r="AE58" s="479"/>
      <c r="AO58" s="479"/>
      <c r="AY58" s="479"/>
      <c r="BI58" s="479"/>
      <c r="BS58" s="479"/>
      <c r="CC58" s="479"/>
      <c r="CM58" s="479"/>
      <c r="CR58" s="450"/>
      <c r="CS58" s="1632" t="s">
        <v>54</v>
      </c>
      <c r="CT58" s="1633"/>
      <c r="CU58" s="1652"/>
      <c r="CV58" s="1652"/>
      <c r="CW58" s="1653" t="s">
        <v>54</v>
      </c>
      <c r="CX58" s="1654"/>
      <c r="CY58" s="1654"/>
      <c r="CZ58" s="1655"/>
      <c r="DA58" s="1656" t="s">
        <v>54</v>
      </c>
      <c r="DB58" s="1656"/>
      <c r="DC58" s="1656"/>
      <c r="DD58" s="1657"/>
      <c r="DE58" s="367"/>
      <c r="DF58" s="381"/>
      <c r="DG58" s="377"/>
    </row>
    <row r="59" spans="1:114" ht="3.75" customHeight="1">
      <c r="A59" s="1645"/>
      <c r="B59" s="486"/>
      <c r="C59" s="468"/>
      <c r="D59" s="468"/>
      <c r="E59" s="468"/>
      <c r="F59" s="468"/>
      <c r="G59" s="468"/>
      <c r="H59" s="468"/>
      <c r="I59" s="468"/>
      <c r="J59" s="468"/>
      <c r="K59" s="469"/>
      <c r="L59" s="468"/>
      <c r="M59" s="468"/>
      <c r="N59" s="468"/>
      <c r="O59" s="468"/>
      <c r="P59" s="468"/>
      <c r="Q59" s="468"/>
      <c r="R59" s="468"/>
      <c r="S59" s="468"/>
      <c r="T59" s="468"/>
      <c r="U59" s="469"/>
      <c r="V59" s="468"/>
      <c r="W59" s="468"/>
      <c r="X59" s="468"/>
      <c r="Y59" s="468"/>
      <c r="Z59" s="468"/>
      <c r="AA59" s="468"/>
      <c r="AB59" s="468"/>
      <c r="AC59" s="468"/>
      <c r="AD59" s="468"/>
      <c r="AE59" s="469"/>
      <c r="AF59" s="468"/>
      <c r="AG59" s="468"/>
      <c r="AH59" s="468"/>
      <c r="AI59" s="468"/>
      <c r="AJ59" s="468"/>
      <c r="AK59" s="468"/>
      <c r="AL59" s="468"/>
      <c r="AM59" s="468"/>
      <c r="AN59" s="468"/>
      <c r="AO59" s="469"/>
      <c r="AP59" s="468"/>
      <c r="AQ59" s="468"/>
      <c r="AR59" s="468"/>
      <c r="AS59" s="468"/>
      <c r="AT59" s="468"/>
      <c r="AU59" s="468"/>
      <c r="AV59" s="468"/>
      <c r="AW59" s="468"/>
      <c r="AX59" s="468"/>
      <c r="AY59" s="469"/>
      <c r="AZ59" s="468"/>
      <c r="BA59" s="468"/>
      <c r="BB59" s="468"/>
      <c r="BC59" s="468"/>
      <c r="BD59" s="468"/>
      <c r="BE59" s="468"/>
      <c r="BF59" s="468"/>
      <c r="BG59" s="468"/>
      <c r="BH59" s="468"/>
      <c r="BI59" s="469"/>
      <c r="BJ59" s="468"/>
      <c r="BK59" s="468"/>
      <c r="BL59" s="468"/>
      <c r="BM59" s="468"/>
      <c r="BN59" s="468"/>
      <c r="BO59" s="468"/>
      <c r="BP59" s="468"/>
      <c r="BQ59" s="468"/>
      <c r="BR59" s="468"/>
      <c r="BS59" s="469"/>
      <c r="BT59" s="468"/>
      <c r="BU59" s="468"/>
      <c r="BV59" s="468"/>
      <c r="BW59" s="468"/>
      <c r="BX59" s="468"/>
      <c r="BY59" s="468"/>
      <c r="BZ59" s="468"/>
      <c r="CA59" s="468"/>
      <c r="CB59" s="468"/>
      <c r="CC59" s="469"/>
      <c r="CD59" s="468"/>
      <c r="CE59" s="468"/>
      <c r="CF59" s="468"/>
      <c r="CG59" s="468"/>
      <c r="CH59" s="468"/>
      <c r="CI59" s="468"/>
      <c r="CJ59" s="468"/>
      <c r="CK59" s="468"/>
      <c r="CL59" s="468"/>
      <c r="CM59" s="469"/>
      <c r="CN59" s="468"/>
      <c r="CO59" s="468"/>
      <c r="CP59" s="468"/>
      <c r="CQ59" s="468"/>
      <c r="CR59" s="450"/>
      <c r="CS59" s="1634"/>
      <c r="CT59" s="1635"/>
      <c r="CU59" s="1635"/>
      <c r="CV59" s="1635"/>
      <c r="CW59" s="1617"/>
      <c r="CX59" s="1618"/>
      <c r="CY59" s="1618"/>
      <c r="CZ59" s="1619"/>
      <c r="DA59" s="1658"/>
      <c r="DB59" s="1658"/>
      <c r="DC59" s="1658"/>
      <c r="DD59" s="1659"/>
      <c r="DE59" s="367" t="s">
        <v>54</v>
      </c>
      <c r="DF59" s="381" t="s">
        <v>54</v>
      </c>
      <c r="DG59" s="367"/>
    </row>
    <row r="60" spans="1:114" ht="13.5" customHeight="1">
      <c r="A60" s="1646"/>
      <c r="B60" s="473"/>
      <c r="C60" s="474"/>
      <c r="D60" s="474"/>
      <c r="E60" s="474"/>
      <c r="F60" s="474"/>
      <c r="G60" s="474"/>
      <c r="H60" s="474"/>
      <c r="I60" s="474"/>
      <c r="J60" s="474"/>
      <c r="K60" s="475"/>
      <c r="L60" s="474"/>
      <c r="M60" s="474"/>
      <c r="N60" s="474"/>
      <c r="O60" s="474"/>
      <c r="P60" s="474"/>
      <c r="Q60" s="474"/>
      <c r="R60" s="474"/>
      <c r="S60" s="474"/>
      <c r="T60" s="474"/>
      <c r="U60" s="475"/>
      <c r="V60" s="474"/>
      <c r="W60" s="474"/>
      <c r="X60" s="474"/>
      <c r="Y60" s="474"/>
      <c r="Z60" s="474"/>
      <c r="AA60" s="474"/>
      <c r="AB60" s="474"/>
      <c r="AC60" s="474"/>
      <c r="AD60" s="474"/>
      <c r="AE60" s="475"/>
      <c r="AF60" s="474"/>
      <c r="AG60" s="474"/>
      <c r="AH60" s="474"/>
      <c r="AI60" s="474"/>
      <c r="AJ60" s="474"/>
      <c r="AK60" s="474"/>
      <c r="AL60" s="474"/>
      <c r="AM60" s="474"/>
      <c r="AN60" s="474"/>
      <c r="AO60" s="475"/>
      <c r="AP60" s="474"/>
      <c r="AQ60" s="474"/>
      <c r="AR60" s="474"/>
      <c r="AS60" s="474"/>
      <c r="AT60" s="474"/>
      <c r="AU60" s="474"/>
      <c r="AV60" s="474"/>
      <c r="AW60" s="474"/>
      <c r="AX60" s="474"/>
      <c r="AY60" s="475"/>
      <c r="AZ60" s="474"/>
      <c r="BA60" s="474"/>
      <c r="BB60" s="474"/>
      <c r="BC60" s="474"/>
      <c r="BD60" s="474"/>
      <c r="BE60" s="474"/>
      <c r="BF60" s="474"/>
      <c r="BG60" s="474"/>
      <c r="BH60" s="474"/>
      <c r="BI60" s="475"/>
      <c r="BJ60" s="474"/>
      <c r="BK60" s="474"/>
      <c r="BL60" s="474"/>
      <c r="BM60" s="474"/>
      <c r="BN60" s="474"/>
      <c r="BO60" s="474"/>
      <c r="BP60" s="474"/>
      <c r="BQ60" s="474"/>
      <c r="BR60" s="474"/>
      <c r="BS60" s="475"/>
      <c r="BT60" s="474"/>
      <c r="BU60" s="474"/>
      <c r="BV60" s="474"/>
      <c r="BW60" s="474"/>
      <c r="BX60" s="474"/>
      <c r="BY60" s="474"/>
      <c r="BZ60" s="474"/>
      <c r="CA60" s="474"/>
      <c r="CB60" s="474"/>
      <c r="CC60" s="475"/>
      <c r="CD60" s="474"/>
      <c r="CE60" s="474"/>
      <c r="CF60" s="474"/>
      <c r="CG60" s="474"/>
      <c r="CH60" s="474"/>
      <c r="CI60" s="474"/>
      <c r="CJ60" s="474"/>
      <c r="CK60" s="474"/>
      <c r="CL60" s="474"/>
      <c r="CM60" s="475"/>
      <c r="CN60" s="474"/>
      <c r="CO60" s="474"/>
      <c r="CP60" s="474"/>
      <c r="CQ60" s="474"/>
      <c r="CR60" s="476"/>
      <c r="CS60" s="1647">
        <f>+DG40</f>
        <v>44.77</v>
      </c>
      <c r="CT60" s="1648"/>
      <c r="CU60" s="1649">
        <f>+CS60/DG40</f>
        <v>1</v>
      </c>
      <c r="CV60" s="1650"/>
      <c r="CW60" s="1638">
        <v>0</v>
      </c>
      <c r="CX60" s="1639"/>
      <c r="CY60" s="1640">
        <f>+CW60/DG40</f>
        <v>0</v>
      </c>
      <c r="CZ60" s="1641"/>
      <c r="DA60" s="1642">
        <v>0</v>
      </c>
      <c r="DB60" s="1643"/>
      <c r="DC60" s="1636">
        <f>+DA60/DG40</f>
        <v>0</v>
      </c>
      <c r="DD60" s="1637"/>
      <c r="DE60" s="367">
        <f>CS60+CW60+DA60</f>
        <v>44.77</v>
      </c>
      <c r="DF60" s="381">
        <f>CU60+CY60+DC60</f>
        <v>1</v>
      </c>
      <c r="DG60" s="377"/>
    </row>
    <row r="61" spans="1:114" ht="13.5" customHeight="1">
      <c r="A61" s="1644" t="s">
        <v>59</v>
      </c>
      <c r="B61" s="478"/>
      <c r="K61" s="479"/>
      <c r="U61" s="479"/>
      <c r="AE61" s="479"/>
      <c r="AO61" s="479"/>
      <c r="AY61" s="479"/>
      <c r="BI61" s="479"/>
      <c r="BS61" s="479"/>
      <c r="CC61" s="479"/>
      <c r="CM61" s="479"/>
      <c r="CR61" s="450"/>
      <c r="CS61" s="1651" t="s">
        <v>54</v>
      </c>
      <c r="CT61" s="1652"/>
      <c r="CU61" s="1652"/>
      <c r="CV61" s="1652"/>
      <c r="CW61" s="1653" t="s">
        <v>54</v>
      </c>
      <c r="CX61" s="1654"/>
      <c r="CY61" s="1654"/>
      <c r="CZ61" s="1655"/>
      <c r="DA61" s="1656" t="s">
        <v>54</v>
      </c>
      <c r="DB61" s="1656"/>
      <c r="DC61" s="1656"/>
      <c r="DD61" s="1657"/>
      <c r="DE61" s="367" t="s">
        <v>54</v>
      </c>
      <c r="DF61" s="381" t="s">
        <v>54</v>
      </c>
      <c r="DG61" s="377"/>
    </row>
    <row r="62" spans="1:114" ht="3.75" customHeight="1">
      <c r="A62" s="1645"/>
      <c r="B62" s="486"/>
      <c r="C62" s="467"/>
      <c r="D62" s="467"/>
      <c r="E62" s="467"/>
      <c r="F62" s="467"/>
      <c r="G62" s="467"/>
      <c r="H62" s="467"/>
      <c r="I62" s="467"/>
      <c r="J62" s="467"/>
      <c r="K62" s="471"/>
      <c r="L62" s="467"/>
      <c r="M62" s="467"/>
      <c r="N62" s="467"/>
      <c r="O62" s="467"/>
      <c r="P62" s="467"/>
      <c r="Q62" s="467"/>
      <c r="R62" s="467"/>
      <c r="S62" s="467"/>
      <c r="T62" s="467"/>
      <c r="U62" s="471"/>
      <c r="V62" s="467"/>
      <c r="W62" s="467"/>
      <c r="X62" s="467"/>
      <c r="Y62" s="467"/>
      <c r="Z62" s="467"/>
      <c r="AA62" s="467"/>
      <c r="AB62" s="467"/>
      <c r="AC62" s="467"/>
      <c r="AD62" s="467"/>
      <c r="AE62" s="471"/>
      <c r="AF62" s="467"/>
      <c r="AG62" s="467"/>
      <c r="AH62" s="467"/>
      <c r="AI62" s="467"/>
      <c r="AJ62" s="467"/>
      <c r="AK62" s="467"/>
      <c r="AL62" s="467"/>
      <c r="AM62" s="467"/>
      <c r="AN62" s="467"/>
      <c r="AO62" s="471"/>
      <c r="AP62" s="467"/>
      <c r="AQ62" s="467"/>
      <c r="AR62" s="467"/>
      <c r="AS62" s="467"/>
      <c r="AT62" s="467"/>
      <c r="AU62" s="467"/>
      <c r="AV62" s="467"/>
      <c r="AW62" s="467"/>
      <c r="AX62" s="467"/>
      <c r="AY62" s="471"/>
      <c r="AZ62" s="467"/>
      <c r="BA62" s="467"/>
      <c r="BB62" s="467"/>
      <c r="BC62" s="467"/>
      <c r="BD62" s="467"/>
      <c r="BE62" s="467"/>
      <c r="BF62" s="467"/>
      <c r="BG62" s="467"/>
      <c r="BH62" s="467"/>
      <c r="BI62" s="471"/>
      <c r="BJ62" s="467"/>
      <c r="BK62" s="467"/>
      <c r="BL62" s="467"/>
      <c r="BM62" s="467"/>
      <c r="BN62" s="467"/>
      <c r="BO62" s="467"/>
      <c r="BP62" s="467"/>
      <c r="BQ62" s="467"/>
      <c r="BR62" s="467"/>
      <c r="BS62" s="471"/>
      <c r="BT62" s="467"/>
      <c r="BU62" s="467"/>
      <c r="BV62" s="467"/>
      <c r="BW62" s="467"/>
      <c r="BX62" s="467"/>
      <c r="BY62" s="467"/>
      <c r="BZ62" s="467"/>
      <c r="CA62" s="467"/>
      <c r="CB62" s="467"/>
      <c r="CC62" s="471"/>
      <c r="CD62" s="467"/>
      <c r="CE62" s="467"/>
      <c r="CF62" s="467"/>
      <c r="CG62" s="467"/>
      <c r="CH62" s="467"/>
      <c r="CI62" s="467"/>
      <c r="CJ62" s="467"/>
      <c r="CK62" s="467"/>
      <c r="CL62" s="467"/>
      <c r="CM62" s="471"/>
      <c r="CN62" s="467"/>
      <c r="CO62" s="467"/>
      <c r="CP62" s="467"/>
      <c r="CQ62" s="467"/>
      <c r="CR62" s="450"/>
      <c r="CS62" s="1634"/>
      <c r="CT62" s="1635"/>
      <c r="CU62" s="1635"/>
      <c r="CV62" s="1635"/>
      <c r="CW62" s="1617"/>
      <c r="CX62" s="1618"/>
      <c r="CY62" s="1618"/>
      <c r="CZ62" s="1619"/>
      <c r="DA62" s="1658"/>
      <c r="DB62" s="1658"/>
      <c r="DC62" s="1658"/>
      <c r="DD62" s="1659"/>
      <c r="DE62" s="367"/>
      <c r="DF62" s="377"/>
      <c r="DG62" s="377"/>
    </row>
    <row r="63" spans="1:114" ht="13.5" customHeight="1">
      <c r="A63" s="1646"/>
      <c r="B63" s="473"/>
      <c r="C63" s="474"/>
      <c r="D63" s="474"/>
      <c r="E63" s="474"/>
      <c r="F63" s="474"/>
      <c r="G63" s="474"/>
      <c r="H63" s="474"/>
      <c r="I63" s="474"/>
      <c r="J63" s="474"/>
      <c r="K63" s="475"/>
      <c r="L63" s="474"/>
      <c r="M63" s="474"/>
      <c r="N63" s="474"/>
      <c r="O63" s="474"/>
      <c r="P63" s="474"/>
      <c r="Q63" s="474"/>
      <c r="R63" s="474"/>
      <c r="S63" s="474"/>
      <c r="T63" s="474"/>
      <c r="U63" s="475"/>
      <c r="V63" s="474"/>
      <c r="W63" s="474"/>
      <c r="X63" s="474"/>
      <c r="Y63" s="474"/>
      <c r="Z63" s="474"/>
      <c r="AA63" s="474"/>
      <c r="AB63" s="474"/>
      <c r="AC63" s="474"/>
      <c r="AD63" s="474"/>
      <c r="AE63" s="475"/>
      <c r="AF63" s="474"/>
      <c r="AG63" s="474"/>
      <c r="AH63" s="474"/>
      <c r="AI63" s="474"/>
      <c r="AJ63" s="474"/>
      <c r="AK63" s="474"/>
      <c r="AL63" s="474"/>
      <c r="AM63" s="474"/>
      <c r="AN63" s="474"/>
      <c r="AO63" s="475"/>
      <c r="AP63" s="474"/>
      <c r="AQ63" s="474"/>
      <c r="AR63" s="474"/>
      <c r="AS63" s="474"/>
      <c r="AT63" s="474"/>
      <c r="AU63" s="474"/>
      <c r="AV63" s="474"/>
      <c r="AW63" s="474"/>
      <c r="AX63" s="474"/>
      <c r="AY63" s="475"/>
      <c r="AZ63" s="474"/>
      <c r="BA63" s="474"/>
      <c r="BB63" s="474"/>
      <c r="BC63" s="474"/>
      <c r="BD63" s="474"/>
      <c r="BE63" s="474"/>
      <c r="BF63" s="474"/>
      <c r="BG63" s="474"/>
      <c r="BH63" s="474"/>
      <c r="BI63" s="475"/>
      <c r="BJ63" s="474"/>
      <c r="BK63" s="474"/>
      <c r="BL63" s="474"/>
      <c r="BM63" s="474"/>
      <c r="BN63" s="474"/>
      <c r="BO63" s="474"/>
      <c r="BP63" s="474"/>
      <c r="BQ63" s="474"/>
      <c r="BR63" s="474"/>
      <c r="BS63" s="475"/>
      <c r="BT63" s="474"/>
      <c r="BU63" s="474"/>
      <c r="BV63" s="474"/>
      <c r="BW63" s="474"/>
      <c r="BX63" s="474"/>
      <c r="BY63" s="474"/>
      <c r="BZ63" s="474"/>
      <c r="CA63" s="474"/>
      <c r="CB63" s="474"/>
      <c r="CC63" s="475"/>
      <c r="CD63" s="474"/>
      <c r="CE63" s="474"/>
      <c r="CF63" s="474"/>
      <c r="CG63" s="474"/>
      <c r="CH63" s="474"/>
      <c r="CI63" s="474"/>
      <c r="CJ63" s="474"/>
      <c r="CK63" s="474"/>
      <c r="CL63" s="474"/>
      <c r="CM63" s="475"/>
      <c r="CN63" s="474"/>
      <c r="CO63" s="474"/>
      <c r="CP63" s="474"/>
      <c r="CQ63" s="474"/>
      <c r="CR63" s="476"/>
      <c r="CS63" s="1647">
        <f>+DG40</f>
        <v>44.77</v>
      </c>
      <c r="CT63" s="1648"/>
      <c r="CU63" s="1649">
        <f>+CS63/DG40</f>
        <v>1</v>
      </c>
      <c r="CV63" s="1650"/>
      <c r="CW63" s="1638">
        <v>0</v>
      </c>
      <c r="CX63" s="1639"/>
      <c r="CY63" s="1640">
        <f>+CW63/DG40</f>
        <v>0</v>
      </c>
      <c r="CZ63" s="1641"/>
      <c r="DA63" s="1642">
        <v>0</v>
      </c>
      <c r="DB63" s="1643"/>
      <c r="DC63" s="1636">
        <f>+DA63/DG40</f>
        <v>0</v>
      </c>
      <c r="DD63" s="1637"/>
      <c r="DE63" s="367">
        <f>CS63+CW63+DA63</f>
        <v>44.77</v>
      </c>
      <c r="DF63" s="381">
        <f>CU63+CY63+DC63</f>
        <v>1</v>
      </c>
      <c r="DG63" s="349"/>
    </row>
    <row r="64" spans="1:114" ht="13.5" customHeight="1">
      <c r="A64" s="1644" t="s">
        <v>575</v>
      </c>
      <c r="B64" s="478"/>
      <c r="K64" s="479"/>
      <c r="U64" s="479"/>
      <c r="AE64" s="479"/>
      <c r="AO64" s="479"/>
      <c r="AY64" s="479"/>
      <c r="BI64" s="479"/>
      <c r="BS64" s="479"/>
      <c r="CC64" s="479"/>
      <c r="CM64" s="479"/>
      <c r="CR64" s="450"/>
      <c r="CS64" s="1651" t="s">
        <v>54</v>
      </c>
      <c r="CT64" s="1652"/>
      <c r="CU64" s="1652"/>
      <c r="CV64" s="1652"/>
      <c r="CW64" s="1653" t="s">
        <v>54</v>
      </c>
      <c r="CX64" s="1654"/>
      <c r="CY64" s="1654"/>
      <c r="CZ64" s="1655"/>
      <c r="DA64" s="1656" t="s">
        <v>54</v>
      </c>
      <c r="DB64" s="1656"/>
      <c r="DC64" s="1656"/>
      <c r="DD64" s="1657"/>
      <c r="DE64" s="387"/>
      <c r="DF64" s="349"/>
      <c r="DG64" s="349"/>
    </row>
    <row r="65" spans="1:111" ht="3.75" customHeight="1">
      <c r="A65" s="1645"/>
      <c r="B65" s="486"/>
      <c r="C65" s="467"/>
      <c r="D65" s="467"/>
      <c r="E65" s="467"/>
      <c r="F65" s="467"/>
      <c r="G65" s="467"/>
      <c r="H65" s="467"/>
      <c r="I65" s="467"/>
      <c r="J65" s="467"/>
      <c r="K65" s="471"/>
      <c r="L65" s="467"/>
      <c r="M65" s="467"/>
      <c r="N65" s="467"/>
      <c r="O65" s="467"/>
      <c r="P65" s="467"/>
      <c r="Q65" s="467"/>
      <c r="R65" s="467"/>
      <c r="S65" s="467"/>
      <c r="T65" s="467"/>
      <c r="U65" s="471"/>
      <c r="V65" s="467"/>
      <c r="W65" s="467"/>
      <c r="X65" s="467"/>
      <c r="Y65" s="467"/>
      <c r="Z65" s="467"/>
      <c r="AA65" s="467"/>
      <c r="AB65" s="467"/>
      <c r="AC65" s="467"/>
      <c r="AD65" s="467"/>
      <c r="AE65" s="471"/>
      <c r="AF65" s="467"/>
      <c r="AG65" s="467"/>
      <c r="AH65" s="467"/>
      <c r="AI65" s="467"/>
      <c r="AJ65" s="467"/>
      <c r="AK65" s="467"/>
      <c r="AL65" s="467"/>
      <c r="AM65" s="467"/>
      <c r="AN65" s="467"/>
      <c r="AO65" s="471"/>
      <c r="AP65" s="467"/>
      <c r="AQ65" s="467"/>
      <c r="AR65" s="467"/>
      <c r="AS65" s="467"/>
      <c r="AT65" s="467"/>
      <c r="AU65" s="467"/>
      <c r="AV65" s="467"/>
      <c r="AW65" s="467"/>
      <c r="AX65" s="467"/>
      <c r="AY65" s="471"/>
      <c r="AZ65" s="467"/>
      <c r="BA65" s="467"/>
      <c r="BB65" s="467"/>
      <c r="BC65" s="467"/>
      <c r="BD65" s="467"/>
      <c r="BE65" s="467"/>
      <c r="BF65" s="467"/>
      <c r="BG65" s="467"/>
      <c r="BH65" s="467"/>
      <c r="BI65" s="471"/>
      <c r="BJ65" s="467"/>
      <c r="BK65" s="467"/>
      <c r="BL65" s="467"/>
      <c r="BM65" s="467"/>
      <c r="BN65" s="467"/>
      <c r="BO65" s="467"/>
      <c r="BP65" s="467"/>
      <c r="BQ65" s="467"/>
      <c r="BR65" s="467"/>
      <c r="BS65" s="471"/>
      <c r="BT65" s="467"/>
      <c r="BU65" s="467"/>
      <c r="BV65" s="467"/>
      <c r="BW65" s="467"/>
      <c r="BX65" s="467"/>
      <c r="BY65" s="467"/>
      <c r="BZ65" s="467"/>
      <c r="CA65" s="467"/>
      <c r="CB65" s="467"/>
      <c r="CC65" s="471"/>
      <c r="CD65" s="467"/>
      <c r="CE65" s="467"/>
      <c r="CF65" s="467"/>
      <c r="CG65" s="467"/>
      <c r="CH65" s="467"/>
      <c r="CI65" s="467"/>
      <c r="CJ65" s="467"/>
      <c r="CK65" s="467"/>
      <c r="CL65" s="467"/>
      <c r="CM65" s="471"/>
      <c r="CN65" s="467"/>
      <c r="CO65" s="467"/>
      <c r="CP65" s="467"/>
      <c r="CQ65" s="467"/>
      <c r="CR65" s="450"/>
      <c r="CS65" s="1634"/>
      <c r="CT65" s="1635"/>
      <c r="CU65" s="1635"/>
      <c r="CV65" s="1635"/>
      <c r="CW65" s="1617"/>
      <c r="CX65" s="1618"/>
      <c r="CY65" s="1618"/>
      <c r="CZ65" s="1619"/>
      <c r="DA65" s="1658"/>
      <c r="DB65" s="1658"/>
      <c r="DC65" s="1658"/>
      <c r="DD65" s="1659"/>
      <c r="DE65" s="387"/>
      <c r="DF65" s="349"/>
      <c r="DG65" s="349"/>
    </row>
    <row r="66" spans="1:111" ht="13.5" customHeight="1" thickBot="1">
      <c r="A66" s="1662"/>
      <c r="B66" s="487"/>
      <c r="C66" s="452"/>
      <c r="D66" s="452"/>
      <c r="E66" s="452"/>
      <c r="F66" s="452"/>
      <c r="G66" s="452"/>
      <c r="H66" s="452"/>
      <c r="I66" s="452"/>
      <c r="J66" s="452"/>
      <c r="K66" s="488"/>
      <c r="L66" s="452"/>
      <c r="M66" s="452"/>
      <c r="N66" s="452"/>
      <c r="O66" s="452"/>
      <c r="P66" s="452"/>
      <c r="Q66" s="452"/>
      <c r="R66" s="452"/>
      <c r="S66" s="452"/>
      <c r="T66" s="452"/>
      <c r="U66" s="488"/>
      <c r="V66" s="452"/>
      <c r="W66" s="452"/>
      <c r="X66" s="452"/>
      <c r="Y66" s="452"/>
      <c r="Z66" s="452"/>
      <c r="AA66" s="452"/>
      <c r="AB66" s="452"/>
      <c r="AC66" s="452"/>
      <c r="AD66" s="452"/>
      <c r="AE66" s="488"/>
      <c r="AF66" s="452"/>
      <c r="AG66" s="452"/>
      <c r="AH66" s="452"/>
      <c r="AI66" s="452"/>
      <c r="AJ66" s="452"/>
      <c r="AK66" s="452"/>
      <c r="AL66" s="452"/>
      <c r="AM66" s="452"/>
      <c r="AN66" s="452"/>
      <c r="AO66" s="488"/>
      <c r="AP66" s="452"/>
      <c r="AQ66" s="452"/>
      <c r="AR66" s="452"/>
      <c r="AS66" s="452"/>
      <c r="AT66" s="452"/>
      <c r="AU66" s="452"/>
      <c r="AV66" s="452"/>
      <c r="AW66" s="452"/>
      <c r="AX66" s="452"/>
      <c r="AY66" s="488"/>
      <c r="AZ66" s="452"/>
      <c r="BA66" s="452"/>
      <c r="BB66" s="452"/>
      <c r="BC66" s="452"/>
      <c r="BD66" s="452"/>
      <c r="BE66" s="452"/>
      <c r="BF66" s="452"/>
      <c r="BG66" s="452"/>
      <c r="BH66" s="452"/>
      <c r="BI66" s="488"/>
      <c r="BJ66" s="452"/>
      <c r="BK66" s="452"/>
      <c r="BL66" s="452"/>
      <c r="BM66" s="452"/>
      <c r="BN66" s="452"/>
      <c r="BO66" s="452"/>
      <c r="BP66" s="452"/>
      <c r="BQ66" s="452"/>
      <c r="BR66" s="452"/>
      <c r="BS66" s="488"/>
      <c r="BT66" s="452"/>
      <c r="BU66" s="452"/>
      <c r="BV66" s="452"/>
      <c r="BW66" s="452"/>
      <c r="BX66" s="452"/>
      <c r="BY66" s="452"/>
      <c r="BZ66" s="452"/>
      <c r="CA66" s="452"/>
      <c r="CB66" s="452"/>
      <c r="CC66" s="488"/>
      <c r="CD66" s="452"/>
      <c r="CE66" s="452"/>
      <c r="CF66" s="452"/>
      <c r="CG66" s="452"/>
      <c r="CH66" s="452"/>
      <c r="CI66" s="452"/>
      <c r="CJ66" s="452"/>
      <c r="CK66" s="452"/>
      <c r="CL66" s="452"/>
      <c r="CM66" s="488"/>
      <c r="CN66" s="452"/>
      <c r="CO66" s="452"/>
      <c r="CP66" s="452"/>
      <c r="CQ66" s="452"/>
      <c r="CR66" s="453"/>
      <c r="CS66" s="1647">
        <f>+DG40</f>
        <v>44.77</v>
      </c>
      <c r="CT66" s="1648"/>
      <c r="CU66" s="1700">
        <f>+CS66/DG40</f>
        <v>1</v>
      </c>
      <c r="CV66" s="1701"/>
      <c r="CW66" s="1702">
        <v>0</v>
      </c>
      <c r="CX66" s="1703"/>
      <c r="CY66" s="1704">
        <f>+CW66/DG40</f>
        <v>0</v>
      </c>
      <c r="CZ66" s="1705"/>
      <c r="DA66" s="1706">
        <v>0</v>
      </c>
      <c r="DB66" s="1707"/>
      <c r="DC66" s="1636">
        <f>+DA66/DG40</f>
        <v>0</v>
      </c>
      <c r="DD66" s="1637"/>
      <c r="DE66" s="367">
        <f>CS66+CW66+DA66</f>
        <v>44.77</v>
      </c>
      <c r="DF66" s="381">
        <f>CU66+CY66+DC66</f>
        <v>1</v>
      </c>
      <c r="DG66" s="349"/>
    </row>
    <row r="67" spans="1:111">
      <c r="A67" s="442"/>
      <c r="CS67" s="489"/>
      <c r="CT67" s="489"/>
      <c r="CU67" s="489"/>
      <c r="CV67" s="489"/>
      <c r="CW67" s="489"/>
      <c r="CX67" s="489"/>
      <c r="CY67" s="489"/>
      <c r="CZ67" s="489"/>
      <c r="DA67" s="489"/>
      <c r="DB67" s="489"/>
      <c r="DC67" s="489"/>
      <c r="DD67" s="489"/>
      <c r="DE67" s="349"/>
      <c r="DF67" s="349"/>
      <c r="DG67" s="349"/>
    </row>
    <row r="68" spans="1:111">
      <c r="A68" s="442"/>
      <c r="CS68" s="390" t="s">
        <v>440</v>
      </c>
      <c r="CT68" s="489"/>
      <c r="CU68" s="489"/>
      <c r="CV68" s="489"/>
      <c r="CW68" s="489"/>
      <c r="CX68" s="489"/>
      <c r="CY68" s="489"/>
      <c r="CZ68" s="489"/>
      <c r="DA68" s="489"/>
      <c r="DB68" s="489"/>
      <c r="DC68" s="489"/>
      <c r="DD68" s="489"/>
    </row>
    <row r="69" spans="1:111">
      <c r="A69" s="442"/>
      <c r="CS69" s="489"/>
      <c r="CT69" s="489"/>
      <c r="CU69" s="489"/>
      <c r="CV69" s="489"/>
      <c r="CW69" s="489"/>
      <c r="CX69" s="489"/>
      <c r="CY69" s="489"/>
      <c r="CZ69" s="489"/>
      <c r="DA69" s="489"/>
      <c r="DB69" s="489"/>
      <c r="DC69" s="489"/>
      <c r="DD69" s="489"/>
    </row>
    <row r="70" spans="1:111">
      <c r="CS70" s="489"/>
      <c r="CT70" s="489"/>
      <c r="CU70" s="489"/>
      <c r="CV70" s="489"/>
      <c r="CW70" s="489"/>
      <c r="CX70" s="489"/>
      <c r="CY70" s="489"/>
      <c r="CZ70" s="489"/>
      <c r="DA70" s="489"/>
      <c r="DB70" s="489"/>
      <c r="DC70" s="489"/>
      <c r="DD70" s="489"/>
    </row>
    <row r="71" spans="1:111">
      <c r="CS71" s="489"/>
      <c r="CT71" s="489"/>
      <c r="CU71" s="489"/>
      <c r="CV71" s="489"/>
      <c r="CW71" s="489"/>
      <c r="CX71" s="489"/>
      <c r="CY71" s="489"/>
      <c r="CZ71" s="489"/>
      <c r="DA71" s="489"/>
      <c r="DB71" s="489"/>
      <c r="DC71" s="489"/>
      <c r="DD71" s="489"/>
    </row>
    <row r="72" spans="1:111">
      <c r="CS72" s="489"/>
      <c r="CT72" s="489"/>
      <c r="CU72" s="489"/>
      <c r="CV72" s="489"/>
      <c r="CW72" s="489"/>
      <c r="CX72" s="489"/>
      <c r="CY72" s="489"/>
      <c r="CZ72" s="489"/>
      <c r="DA72" s="489"/>
      <c r="DB72" s="489"/>
      <c r="DC72" s="489"/>
      <c r="DD72" s="489"/>
    </row>
    <row r="73" spans="1:111">
      <c r="CS73" s="489"/>
      <c r="CT73" s="489"/>
      <c r="CU73" s="489"/>
      <c r="CV73" s="489"/>
      <c r="CW73" s="489"/>
      <c r="CX73" s="489"/>
      <c r="CY73" s="489"/>
      <c r="CZ73" s="489"/>
      <c r="DA73" s="489"/>
      <c r="DB73" s="489"/>
      <c r="DC73" s="489"/>
      <c r="DD73" s="489"/>
    </row>
  </sheetData>
  <mergeCells count="138">
    <mergeCell ref="CS66:CT66"/>
    <mergeCell ref="CU66:CV66"/>
    <mergeCell ref="CW66:CX66"/>
    <mergeCell ref="CY66:CZ66"/>
    <mergeCell ref="DA66:DB66"/>
    <mergeCell ref="DC66:DD66"/>
    <mergeCell ref="CS63:CT63"/>
    <mergeCell ref="CU63:CV63"/>
    <mergeCell ref="CW63:CX63"/>
    <mergeCell ref="CY63:CZ63"/>
    <mergeCell ref="DA63:DB63"/>
    <mergeCell ref="DC63:DD63"/>
    <mergeCell ref="CS64:CV65"/>
    <mergeCell ref="CW64:CZ65"/>
    <mergeCell ref="DA64:DD65"/>
    <mergeCell ref="CS60:CT60"/>
    <mergeCell ref="CU60:CV60"/>
    <mergeCell ref="CW60:CX60"/>
    <mergeCell ref="CY60:CZ60"/>
    <mergeCell ref="DA60:DB60"/>
    <mergeCell ref="DC60:DD60"/>
    <mergeCell ref="CS61:CV62"/>
    <mergeCell ref="CW61:CZ62"/>
    <mergeCell ref="DA61:DD62"/>
    <mergeCell ref="CS57:CT57"/>
    <mergeCell ref="CU57:CV57"/>
    <mergeCell ref="CW57:CX57"/>
    <mergeCell ref="CY57:CZ57"/>
    <mergeCell ref="DA57:DB57"/>
    <mergeCell ref="DC57:DD57"/>
    <mergeCell ref="CS58:CV59"/>
    <mergeCell ref="CW58:CZ59"/>
    <mergeCell ref="DA58:DD59"/>
    <mergeCell ref="CS54:CT54"/>
    <mergeCell ref="CU54:CV54"/>
    <mergeCell ref="CW54:CX54"/>
    <mergeCell ref="CY54:CZ54"/>
    <mergeCell ref="DA54:DB54"/>
    <mergeCell ref="DC54:DD54"/>
    <mergeCell ref="CS55:CV56"/>
    <mergeCell ref="CW55:CZ56"/>
    <mergeCell ref="DA55:DD56"/>
    <mergeCell ref="CW49:CZ50"/>
    <mergeCell ref="DA49:DD50"/>
    <mergeCell ref="CS51:CT51"/>
    <mergeCell ref="CU51:CV51"/>
    <mergeCell ref="CW51:CX51"/>
    <mergeCell ref="CY51:CZ51"/>
    <mergeCell ref="DA51:DB51"/>
    <mergeCell ref="DC51:DD51"/>
    <mergeCell ref="CS52:CV53"/>
    <mergeCell ref="CW52:CZ53"/>
    <mergeCell ref="DA52:DD53"/>
    <mergeCell ref="B13:G13"/>
    <mergeCell ref="B35:CR35"/>
    <mergeCell ref="B37:K37"/>
    <mergeCell ref="L37:U37"/>
    <mergeCell ref="V37:AE37"/>
    <mergeCell ref="AF37:AO37"/>
    <mergeCell ref="B36:P36"/>
    <mergeCell ref="BT37:CC37"/>
    <mergeCell ref="CD37:CR37"/>
    <mergeCell ref="CO15:DD15"/>
    <mergeCell ref="Q36:Y36"/>
    <mergeCell ref="Z36:AG36"/>
    <mergeCell ref="AH36:BA36"/>
    <mergeCell ref="BB36:CR36"/>
    <mergeCell ref="AP37:AY37"/>
    <mergeCell ref="AZ37:BI37"/>
    <mergeCell ref="BJ37:BS37"/>
    <mergeCell ref="A1:DD1"/>
    <mergeCell ref="A2:DD2"/>
    <mergeCell ref="A3:DD3"/>
    <mergeCell ref="A4:DD4"/>
    <mergeCell ref="CN7:CV7"/>
    <mergeCell ref="B9:G9"/>
    <mergeCell ref="B10:G10"/>
    <mergeCell ref="B11:G11"/>
    <mergeCell ref="B12:G12"/>
    <mergeCell ref="A64:A66"/>
    <mergeCell ref="CS35:DD35"/>
    <mergeCell ref="CS36:DD36"/>
    <mergeCell ref="CS37:DD37"/>
    <mergeCell ref="CS39:CT39"/>
    <mergeCell ref="CU39:CV39"/>
    <mergeCell ref="CW39:CX39"/>
    <mergeCell ref="A35:A36"/>
    <mergeCell ref="A40:A42"/>
    <mergeCell ref="A43:A45"/>
    <mergeCell ref="A46:A48"/>
    <mergeCell ref="A49:A51"/>
    <mergeCell ref="A52:A54"/>
    <mergeCell ref="B38:K38"/>
    <mergeCell ref="L38:U38"/>
    <mergeCell ref="V38:AE38"/>
    <mergeCell ref="AF38:AO38"/>
    <mergeCell ref="AP38:AY38"/>
    <mergeCell ref="AZ38:BI38"/>
    <mergeCell ref="BJ38:BS38"/>
    <mergeCell ref="BT38:CC38"/>
    <mergeCell ref="CS40:CV41"/>
    <mergeCell ref="CW40:CZ41"/>
    <mergeCell ref="DA40:DD41"/>
    <mergeCell ref="CW45:CX45"/>
    <mergeCell ref="CY45:CZ45"/>
    <mergeCell ref="DA45:DB45"/>
    <mergeCell ref="A55:A57"/>
    <mergeCell ref="A58:A60"/>
    <mergeCell ref="A61:A63"/>
    <mergeCell ref="CS42:CT42"/>
    <mergeCell ref="CU42:CV42"/>
    <mergeCell ref="CW42:CX42"/>
    <mergeCell ref="CY42:CZ42"/>
    <mergeCell ref="DA42:DB42"/>
    <mergeCell ref="CS46:CV47"/>
    <mergeCell ref="CW46:CZ47"/>
    <mergeCell ref="DA46:DD47"/>
    <mergeCell ref="CS48:CT48"/>
    <mergeCell ref="CU48:CV48"/>
    <mergeCell ref="CW48:CX48"/>
    <mergeCell ref="CY48:CZ48"/>
    <mergeCell ref="DA48:DB48"/>
    <mergeCell ref="DC48:DD48"/>
    <mergeCell ref="CS49:CV50"/>
    <mergeCell ref="DC45:DD45"/>
    <mergeCell ref="CS45:CT45"/>
    <mergeCell ref="CU45:CV45"/>
    <mergeCell ref="CY39:CZ39"/>
    <mergeCell ref="DA39:DB39"/>
    <mergeCell ref="DC39:DD39"/>
    <mergeCell ref="CW43:CZ44"/>
    <mergeCell ref="DA43:DD44"/>
    <mergeCell ref="CD38:CR38"/>
    <mergeCell ref="CS38:CV38"/>
    <mergeCell ref="CW38:CZ38"/>
    <mergeCell ref="DA38:DD38"/>
    <mergeCell ref="CS43:CV44"/>
    <mergeCell ref="DC42:DD42"/>
  </mergeCells>
  <hyperlinks>
    <hyperlink ref="CS68" location="'TABLA DE CONTENIDO'!A1" display="VOLVER A TABLA DE CONTENIDO"/>
  </hyperlinks>
  <printOptions horizontalCentered="1"/>
  <pageMargins left="0.39370078740157483" right="0.39370078740157483" top="0.39370078740157483" bottom="0.39370078740157483" header="0.27559055118110237" footer="0.43307086614173229"/>
  <pageSetup scale="70" orientation="portrait" copies="2" r:id="rId1"/>
  <headerFooter alignWithMargins="0"/>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V72"/>
  <sheetViews>
    <sheetView showGridLines="0" view="pageBreakPreview" zoomScale="90" zoomScaleNormal="130" zoomScaleSheetLayoutView="90" workbookViewId="0">
      <selection activeCell="CR24" sqref="CR24"/>
    </sheetView>
  </sheetViews>
  <sheetFormatPr baseColWidth="10" defaultColWidth="12.5703125" defaultRowHeight="15"/>
  <cols>
    <col min="1" max="1" width="28.140625" style="407" customWidth="1"/>
    <col min="2" max="2" width="0.5703125" style="407" customWidth="1"/>
    <col min="3" max="81" width="0.7109375" style="407" customWidth="1"/>
    <col min="82" max="82" width="2.140625" style="407" customWidth="1"/>
    <col min="83" max="83" width="3.85546875" style="407" customWidth="1"/>
    <col min="84" max="84" width="2.140625" style="407" customWidth="1"/>
    <col min="85" max="85" width="2.5703125" style="407" customWidth="1"/>
    <col min="86" max="87" width="2.140625" style="407" customWidth="1"/>
    <col min="88" max="88" width="2.85546875" style="407" customWidth="1"/>
    <col min="89" max="89" width="2.7109375" style="407" customWidth="1"/>
    <col min="90" max="90" width="2.140625" style="407" customWidth="1"/>
    <col min="91" max="91" width="2" style="407" customWidth="1"/>
    <col min="92" max="92" width="2.140625" style="407" customWidth="1"/>
    <col min="93" max="93" width="4.7109375" style="407" customWidth="1"/>
    <col min="94" max="94" width="1" style="407" customWidth="1"/>
    <col min="95" max="16384" width="12.5703125" style="407"/>
  </cols>
  <sheetData>
    <row r="1" spans="1:93" customFormat="1" ht="23.25">
      <c r="A1" s="1583" t="s">
        <v>48</v>
      </c>
      <c r="B1" s="1583"/>
      <c r="C1" s="1583"/>
      <c r="D1" s="1583"/>
      <c r="E1" s="1583"/>
      <c r="F1" s="1583"/>
      <c r="G1" s="1583"/>
      <c r="H1" s="1583"/>
      <c r="I1" s="1583"/>
      <c r="J1" s="1583"/>
      <c r="K1" s="1583"/>
      <c r="L1" s="1583"/>
      <c r="M1" s="1583"/>
      <c r="N1" s="1583"/>
      <c r="O1" s="1583"/>
      <c r="P1" s="1583"/>
      <c r="Q1" s="1583"/>
      <c r="R1" s="1583"/>
      <c r="S1" s="1583"/>
      <c r="T1" s="1583"/>
      <c r="U1" s="1583"/>
      <c r="V1" s="1583"/>
      <c r="W1" s="1583"/>
      <c r="X1" s="1583"/>
      <c r="Y1" s="1583"/>
      <c r="Z1" s="1583"/>
      <c r="AA1" s="1583"/>
      <c r="AB1" s="1583"/>
      <c r="AC1" s="1583"/>
      <c r="AD1" s="1583"/>
      <c r="AE1" s="1583"/>
      <c r="AF1" s="1583"/>
      <c r="AG1" s="1583"/>
      <c r="AH1" s="1583"/>
      <c r="AI1" s="1583"/>
      <c r="AJ1" s="1583"/>
      <c r="AK1" s="1583"/>
      <c r="AL1" s="1583"/>
      <c r="AM1" s="1583"/>
      <c r="AN1" s="1583"/>
      <c r="AO1" s="1583"/>
      <c r="AP1" s="1583"/>
      <c r="AQ1" s="1583"/>
      <c r="AR1" s="1583"/>
      <c r="AS1" s="1583"/>
      <c r="AT1" s="1583"/>
      <c r="AU1" s="1583"/>
      <c r="AV1" s="1583"/>
      <c r="AW1" s="1583"/>
      <c r="AX1" s="1583"/>
      <c r="AY1" s="1583"/>
      <c r="AZ1" s="1583"/>
      <c r="BA1" s="1583"/>
      <c r="BB1" s="1583"/>
      <c r="BC1" s="1583"/>
      <c r="BD1" s="1583"/>
      <c r="BE1" s="1583"/>
      <c r="BF1" s="1583"/>
      <c r="BG1" s="1583"/>
      <c r="BH1" s="1583"/>
      <c r="BI1" s="1583"/>
      <c r="BJ1" s="1583"/>
      <c r="BK1" s="1583"/>
      <c r="BL1" s="1583"/>
      <c r="BM1" s="1583"/>
      <c r="BN1" s="1583"/>
      <c r="BO1" s="1583"/>
      <c r="BP1" s="1583"/>
      <c r="BQ1" s="1583"/>
      <c r="BR1" s="1583"/>
      <c r="BS1" s="1583"/>
      <c r="BT1" s="1583"/>
      <c r="BU1" s="1583"/>
      <c r="BV1" s="1583"/>
      <c r="BW1" s="1583"/>
      <c r="BX1" s="1583"/>
      <c r="BY1" s="1583"/>
      <c r="BZ1" s="1583"/>
      <c r="CA1" s="1583"/>
      <c r="CB1" s="1583"/>
      <c r="CC1" s="1583"/>
      <c r="CD1" s="1583"/>
      <c r="CE1" s="1583"/>
      <c r="CF1" s="1583"/>
      <c r="CG1" s="1583"/>
      <c r="CH1" s="1583"/>
      <c r="CI1" s="1583"/>
      <c r="CJ1" s="1583"/>
      <c r="CK1" s="1583"/>
      <c r="CL1" s="1583"/>
      <c r="CM1" s="1583"/>
      <c r="CN1" s="1583"/>
      <c r="CO1" s="1583"/>
    </row>
    <row r="2" spans="1:93" customFormat="1" ht="18">
      <c r="A2" s="1576" t="s">
        <v>531</v>
      </c>
      <c r="B2" s="1576"/>
      <c r="C2" s="1576"/>
      <c r="D2" s="1576"/>
      <c r="E2" s="1576"/>
      <c r="F2" s="1576"/>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576"/>
      <c r="AZ2" s="1576"/>
      <c r="BA2" s="1576"/>
      <c r="BB2" s="1576"/>
      <c r="BC2" s="1576"/>
      <c r="BD2" s="1576"/>
      <c r="BE2" s="1576"/>
      <c r="BF2" s="1576"/>
      <c r="BG2" s="1576"/>
      <c r="BH2" s="1576"/>
      <c r="BI2" s="1576"/>
      <c r="BJ2" s="1576"/>
      <c r="BK2" s="1576"/>
      <c r="BL2" s="1576"/>
      <c r="BM2" s="1576"/>
      <c r="BN2" s="1576"/>
      <c r="BO2" s="1576"/>
      <c r="BP2" s="1576"/>
      <c r="BQ2" s="1576"/>
      <c r="BR2" s="1576"/>
      <c r="BS2" s="1576"/>
      <c r="BT2" s="1576"/>
      <c r="BU2" s="1576"/>
      <c r="BV2" s="1576"/>
      <c r="BW2" s="1576"/>
      <c r="BX2" s="1576"/>
      <c r="BY2" s="1576"/>
      <c r="BZ2" s="1576"/>
      <c r="CA2" s="1576"/>
      <c r="CB2" s="1576"/>
      <c r="CC2" s="1576"/>
      <c r="CD2" s="1576"/>
      <c r="CE2" s="1576"/>
      <c r="CF2" s="1576"/>
      <c r="CG2" s="1576"/>
      <c r="CH2" s="1576"/>
      <c r="CI2" s="1576"/>
      <c r="CJ2" s="1576"/>
      <c r="CK2" s="1576"/>
      <c r="CL2" s="1576"/>
      <c r="CM2" s="1576"/>
      <c r="CN2" s="1576"/>
      <c r="CO2" s="1576"/>
    </row>
    <row r="3" spans="1:93" s="51" customFormat="1" ht="15.75" customHeight="1">
      <c r="A3" s="1576" t="s">
        <v>149</v>
      </c>
      <c r="B3" s="1576"/>
      <c r="C3" s="1576"/>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576"/>
      <c r="AZ3" s="1576"/>
      <c r="BA3" s="1576"/>
      <c r="BB3" s="1576"/>
      <c r="BC3" s="1576"/>
      <c r="BD3" s="1576"/>
      <c r="BE3" s="1576"/>
      <c r="BF3" s="1576"/>
      <c r="BG3" s="1576"/>
      <c r="BH3" s="1576"/>
      <c r="BI3" s="1576"/>
      <c r="BJ3" s="1576"/>
      <c r="BK3" s="1576"/>
      <c r="BL3" s="1576"/>
      <c r="BM3" s="1576"/>
      <c r="BN3" s="1576"/>
      <c r="BO3" s="1576"/>
      <c r="BP3" s="1576"/>
      <c r="BQ3" s="1576"/>
      <c r="BR3" s="1576"/>
      <c r="BS3" s="1576"/>
      <c r="BT3" s="1576"/>
      <c r="BU3" s="1576"/>
      <c r="BV3" s="1576"/>
      <c r="BW3" s="1576"/>
      <c r="BX3" s="1576"/>
      <c r="BY3" s="1576"/>
      <c r="BZ3" s="1576"/>
      <c r="CA3" s="1576"/>
      <c r="CB3" s="1576"/>
      <c r="CC3" s="1576"/>
      <c r="CD3" s="1576"/>
      <c r="CE3" s="1576"/>
      <c r="CF3" s="1576"/>
      <c r="CG3" s="1576"/>
      <c r="CH3" s="1576"/>
      <c r="CI3" s="1576"/>
      <c r="CJ3" s="1576"/>
      <c r="CK3" s="1576"/>
      <c r="CL3" s="1576"/>
      <c r="CM3" s="1576"/>
      <c r="CN3" s="1576"/>
      <c r="CO3" s="1576"/>
    </row>
    <row r="4" spans="1:93" s="51" customFormat="1" ht="18">
      <c r="A4" s="1576" t="s">
        <v>510</v>
      </c>
      <c r="B4" s="1576"/>
      <c r="C4" s="1576"/>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76"/>
      <c r="BB4" s="1576"/>
      <c r="BC4" s="1576"/>
      <c r="BD4" s="1576"/>
      <c r="BE4" s="1576"/>
      <c r="BF4" s="1576"/>
      <c r="BG4" s="1576"/>
      <c r="BH4" s="1576"/>
      <c r="BI4" s="1576"/>
      <c r="BJ4" s="1576"/>
      <c r="BK4" s="1576"/>
      <c r="BL4" s="1576"/>
      <c r="BM4" s="1576"/>
      <c r="BN4" s="1576"/>
      <c r="BO4" s="1576"/>
      <c r="BP4" s="1576"/>
      <c r="BQ4" s="1576"/>
      <c r="BR4" s="1576"/>
      <c r="BS4" s="1576"/>
      <c r="BT4" s="1576"/>
      <c r="BU4" s="1576"/>
      <c r="BV4" s="1576"/>
      <c r="BW4" s="1576"/>
      <c r="BX4" s="1576"/>
      <c r="BY4" s="1576"/>
      <c r="BZ4" s="1576"/>
      <c r="CA4" s="1576"/>
      <c r="CB4" s="1576"/>
      <c r="CC4" s="1576"/>
      <c r="CD4" s="1576"/>
      <c r="CE4" s="1576"/>
      <c r="CF4" s="1576"/>
      <c r="CG4" s="1576"/>
      <c r="CH4" s="1576"/>
      <c r="CI4" s="1576"/>
      <c r="CJ4" s="1576"/>
      <c r="CK4" s="1576"/>
      <c r="CL4" s="1576"/>
      <c r="CM4" s="1576"/>
      <c r="CN4" s="1576"/>
      <c r="CO4" s="1576"/>
    </row>
    <row r="5" spans="1:93" s="51" customFormat="1" ht="18">
      <c r="A5" s="194"/>
      <c r="B5" s="194"/>
      <c r="C5" s="194"/>
      <c r="D5" s="194"/>
      <c r="E5" s="194"/>
      <c r="F5" s="194"/>
      <c r="G5" s="194"/>
      <c r="H5" s="194"/>
      <c r="I5" s="194"/>
      <c r="J5" s="194"/>
      <c r="K5" s="194"/>
      <c r="L5" s="194"/>
      <c r="M5" s="194"/>
      <c r="N5" s="194"/>
      <c r="O5" s="194"/>
      <c r="P5" s="194"/>
      <c r="Q5" s="194"/>
      <c r="R5" s="194"/>
    </row>
    <row r="6" spans="1:93" s="51" customFormat="1" ht="12" customHeight="1">
      <c r="A6" s="52"/>
      <c r="B6" s="342"/>
      <c r="C6" s="342"/>
      <c r="D6" s="342"/>
      <c r="E6" s="342"/>
      <c r="F6" s="342"/>
      <c r="G6" s="342"/>
      <c r="H6" s="342"/>
      <c r="I6" s="342"/>
      <c r="J6" s="342"/>
      <c r="K6" s="342"/>
      <c r="L6" s="342"/>
      <c r="M6" s="342"/>
      <c r="N6" s="342"/>
      <c r="O6" s="342"/>
      <c r="P6" s="342"/>
      <c r="Q6" s="342"/>
      <c r="R6" s="342"/>
    </row>
    <row r="7" spans="1:93" customFormat="1" ht="12.75">
      <c r="A7" s="53" t="s">
        <v>878</v>
      </c>
      <c r="B7" s="53"/>
      <c r="C7" s="54"/>
      <c r="D7" s="54"/>
      <c r="E7" s="54"/>
      <c r="F7" s="54"/>
      <c r="G7" s="54"/>
      <c r="H7" s="54"/>
      <c r="J7" s="56"/>
      <c r="K7" s="56"/>
      <c r="L7" s="54"/>
      <c r="M7" s="54"/>
      <c r="N7" s="54"/>
      <c r="O7" s="54"/>
      <c r="P7" s="54"/>
      <c r="Q7" s="342"/>
      <c r="R7" s="342"/>
      <c r="BF7" s="55" t="s">
        <v>89</v>
      </c>
      <c r="BY7" s="1727">
        <v>3603</v>
      </c>
      <c r="BZ7" s="1727"/>
      <c r="CA7" s="1727"/>
      <c r="CB7" s="1727"/>
      <c r="CC7" s="1727"/>
      <c r="CD7" s="1727"/>
    </row>
    <row r="8" spans="1:93" customFormat="1" ht="9.75" customHeight="1">
      <c r="A8" s="53"/>
      <c r="B8" s="53"/>
      <c r="C8" s="54"/>
      <c r="D8" s="54"/>
      <c r="E8" s="54"/>
      <c r="F8" s="54"/>
      <c r="G8" s="54"/>
      <c r="H8" s="54"/>
      <c r="I8" s="55"/>
      <c r="J8" s="56"/>
      <c r="K8" s="56"/>
      <c r="L8" s="54"/>
      <c r="M8" s="54"/>
      <c r="N8" s="54"/>
      <c r="O8" s="54"/>
      <c r="P8" s="54"/>
      <c r="Q8" s="342"/>
      <c r="R8" s="342"/>
    </row>
    <row r="9" spans="1:93" customFormat="1" ht="18" customHeight="1">
      <c r="A9" s="55" t="s">
        <v>52</v>
      </c>
      <c r="B9" s="1688" t="s">
        <v>49</v>
      </c>
      <c r="C9" s="1689"/>
      <c r="D9" s="1689"/>
      <c r="E9" s="1689"/>
      <c r="F9" s="1689"/>
      <c r="G9" s="1690"/>
      <c r="H9" s="505"/>
      <c r="I9" s="514" t="s">
        <v>585</v>
      </c>
      <c r="J9" s="490"/>
      <c r="K9" s="490"/>
      <c r="L9" s="490"/>
      <c r="M9" s="490"/>
      <c r="N9" s="490"/>
      <c r="O9" s="490"/>
      <c r="P9" s="490"/>
      <c r="Q9" s="491"/>
      <c r="R9" s="491"/>
      <c r="S9" s="492"/>
      <c r="T9" s="492"/>
      <c r="U9" s="492"/>
      <c r="V9" s="492"/>
      <c r="W9" s="492"/>
      <c r="X9" s="492"/>
      <c r="Y9" s="492"/>
      <c r="Z9" s="492"/>
      <c r="AA9" s="492"/>
      <c r="AB9" s="492"/>
      <c r="AC9" s="492"/>
      <c r="AD9" s="492"/>
      <c r="AE9" s="492"/>
      <c r="AF9" s="492"/>
      <c r="AG9" s="492"/>
      <c r="AH9" s="13"/>
      <c r="AI9" s="13"/>
      <c r="AJ9" s="13"/>
      <c r="AK9" s="13"/>
      <c r="AL9" s="13"/>
      <c r="AM9" s="13"/>
      <c r="AN9" s="5"/>
      <c r="BF9" s="403" t="s">
        <v>586</v>
      </c>
    </row>
    <row r="10" spans="1:93" customFormat="1" ht="18" customHeight="1">
      <c r="A10" s="71"/>
      <c r="B10" s="1688" t="s">
        <v>50</v>
      </c>
      <c r="C10" s="1689"/>
      <c r="D10" s="1689"/>
      <c r="E10" s="1689"/>
      <c r="F10" s="1689"/>
      <c r="G10" s="1690"/>
      <c r="H10" s="515"/>
      <c r="I10" s="516" t="s">
        <v>587</v>
      </c>
      <c r="J10" s="517"/>
      <c r="K10" s="517"/>
      <c r="L10" s="517"/>
      <c r="M10" s="517"/>
      <c r="N10" s="517"/>
      <c r="O10" s="517"/>
      <c r="P10" s="517"/>
      <c r="Q10" s="518"/>
      <c r="R10" s="518"/>
      <c r="S10" s="519"/>
      <c r="T10" s="519"/>
      <c r="U10" s="519"/>
      <c r="V10" s="519"/>
      <c r="W10" s="519"/>
      <c r="X10" s="519"/>
      <c r="Y10" s="519"/>
      <c r="Z10" s="519"/>
      <c r="AA10" s="519"/>
      <c r="AB10" s="519"/>
      <c r="AC10" s="519"/>
      <c r="AD10" s="519"/>
      <c r="AE10" s="519"/>
      <c r="AF10" s="519"/>
      <c r="AG10" s="519"/>
      <c r="AH10" s="25"/>
      <c r="AI10" s="25"/>
      <c r="AJ10" s="25"/>
      <c r="AK10" s="25"/>
      <c r="AL10" s="25"/>
      <c r="AM10" s="25"/>
      <c r="AN10" s="12"/>
      <c r="BF10" s="403" t="s">
        <v>588</v>
      </c>
    </row>
    <row r="11" spans="1:93" customFormat="1" ht="18" customHeight="1">
      <c r="A11" s="71"/>
      <c r="B11" s="1688" t="s">
        <v>51</v>
      </c>
      <c r="C11" s="1689"/>
      <c r="D11" s="1689"/>
      <c r="E11" s="1689"/>
      <c r="F11" s="1689"/>
      <c r="G11" s="1690"/>
      <c r="H11" s="505"/>
      <c r="I11" s="514" t="s">
        <v>589</v>
      </c>
      <c r="J11" s="490"/>
      <c r="K11" s="490"/>
      <c r="L11" s="490"/>
      <c r="M11" s="490"/>
      <c r="N11" s="490"/>
      <c r="O11" s="490"/>
      <c r="P11" s="490"/>
      <c r="Q11" s="491"/>
      <c r="R11" s="491"/>
      <c r="S11" s="492"/>
      <c r="T11" s="492"/>
      <c r="U11" s="492"/>
      <c r="V11" s="492"/>
      <c r="W11" s="492"/>
      <c r="X11" s="492"/>
      <c r="Y11" s="492"/>
      <c r="Z11" s="492"/>
      <c r="AA11" s="492"/>
      <c r="AB11" s="492"/>
      <c r="AC11" s="492"/>
      <c r="AD11" s="492"/>
      <c r="AE11" s="492"/>
      <c r="AF11" s="492"/>
      <c r="AG11" s="492"/>
      <c r="AH11" s="13"/>
      <c r="AI11" s="13"/>
      <c r="AJ11" s="13"/>
      <c r="AK11" s="13"/>
      <c r="AL11" s="13"/>
      <c r="AM11" s="13"/>
      <c r="AN11" s="5"/>
      <c r="BF11" s="403" t="s">
        <v>590</v>
      </c>
    </row>
    <row r="12" spans="1:93" customFormat="1" ht="18" customHeight="1">
      <c r="A12" s="71"/>
      <c r="B12" s="1688" t="s">
        <v>53</v>
      </c>
      <c r="C12" s="1689"/>
      <c r="D12" s="1689"/>
      <c r="E12" s="1689"/>
      <c r="F12" s="1689"/>
      <c r="G12" s="1690"/>
      <c r="H12" s="522"/>
      <c r="I12" s="523" t="s">
        <v>591</v>
      </c>
      <c r="J12" s="524"/>
      <c r="K12" s="524"/>
      <c r="L12" s="524"/>
      <c r="M12" s="524"/>
      <c r="N12" s="524"/>
      <c r="O12" s="524"/>
      <c r="P12" s="524"/>
      <c r="Q12" s="525"/>
      <c r="R12" s="525"/>
      <c r="S12" s="278"/>
      <c r="T12" s="278"/>
      <c r="U12" s="278"/>
      <c r="V12" s="278"/>
      <c r="W12" s="278"/>
      <c r="X12" s="278"/>
      <c r="Y12" s="278"/>
      <c r="Z12" s="278"/>
      <c r="AA12" s="278"/>
      <c r="AB12" s="278"/>
      <c r="AC12" s="278"/>
      <c r="AD12" s="278"/>
      <c r="AE12" s="278"/>
      <c r="AF12" s="278"/>
      <c r="AG12" s="278"/>
      <c r="AH12" s="3"/>
      <c r="AI12" s="3"/>
      <c r="AJ12" s="3"/>
      <c r="AK12" s="3"/>
      <c r="AL12" s="3"/>
      <c r="AM12" s="3"/>
      <c r="AN12" s="4"/>
      <c r="BF12" s="403" t="s">
        <v>592</v>
      </c>
    </row>
    <row r="13" spans="1:93" customFormat="1" ht="8.25" customHeight="1">
      <c r="A13" s="71"/>
      <c r="B13" s="345"/>
      <c r="C13" s="345"/>
      <c r="D13" s="345"/>
      <c r="E13" s="345"/>
      <c r="F13" s="345"/>
      <c r="G13" s="345"/>
      <c r="H13" s="343"/>
      <c r="I13" s="344"/>
      <c r="J13" s="343"/>
      <c r="K13" s="343"/>
      <c r="L13" s="343"/>
      <c r="M13" s="343"/>
      <c r="N13" s="343"/>
      <c r="O13" s="343"/>
      <c r="P13" s="343"/>
      <c r="Q13" s="344"/>
      <c r="R13" s="344"/>
      <c r="S13" s="249"/>
      <c r="T13" s="249"/>
      <c r="U13" s="249"/>
      <c r="V13" s="249"/>
      <c r="W13" s="249"/>
      <c r="X13" s="249"/>
      <c r="Y13" s="249"/>
      <c r="Z13" s="249"/>
      <c r="AA13" s="249"/>
      <c r="AB13" s="249"/>
      <c r="AC13" s="249"/>
      <c r="AD13" s="249"/>
      <c r="AE13" s="249"/>
      <c r="AF13" s="249"/>
      <c r="AG13" s="249"/>
    </row>
    <row r="14" spans="1:93" s="56" customFormat="1" ht="18" customHeight="1">
      <c r="A14" s="55" t="s">
        <v>147</v>
      </c>
      <c r="B14" s="55"/>
      <c r="C14" s="55" t="str">
        <f>'CUMPLIMIENTO % '!C7</f>
        <v>LUIS GABRIEL IBARRA ANGEL</v>
      </c>
      <c r="D14" s="55"/>
      <c r="E14" s="55"/>
      <c r="F14" s="55"/>
      <c r="G14" s="55"/>
      <c r="H14" s="55"/>
      <c r="I14" s="55"/>
      <c r="J14" s="55"/>
      <c r="K14" s="55"/>
      <c r="L14" s="55"/>
      <c r="M14" s="55"/>
      <c r="N14" s="55"/>
      <c r="O14" s="55"/>
      <c r="P14" s="55"/>
      <c r="Q14" s="391"/>
      <c r="R14" s="391"/>
      <c r="AV14" s="55" t="s">
        <v>567</v>
      </c>
      <c r="BF14" s="55"/>
      <c r="BW14" s="55"/>
      <c r="BY14" s="1708" t="str">
        <f>PORTADA!C31</f>
        <v>OCTUBRE - DICIEMBRE DEL 2020</v>
      </c>
      <c r="BZ14" s="1708"/>
      <c r="CA14" s="1708"/>
      <c r="CB14" s="1708"/>
      <c r="CC14" s="1708"/>
      <c r="CD14" s="1708"/>
      <c r="CE14" s="1708"/>
      <c r="CF14" s="1708"/>
      <c r="CG14" s="1708"/>
      <c r="CH14" s="1708"/>
      <c r="CI14" s="1708"/>
      <c r="CJ14" s="1708"/>
      <c r="CK14" s="1708"/>
      <c r="CL14" s="1708"/>
      <c r="CM14" s="1708"/>
      <c r="CN14" s="1708"/>
      <c r="CO14" s="1708"/>
    </row>
    <row r="15" spans="1:93" ht="6.75" customHeight="1" thickBot="1">
      <c r="A15" s="408"/>
      <c r="CO15" s="409"/>
    </row>
    <row r="16" spans="1:93" ht="21.95" customHeight="1">
      <c r="A16" s="404"/>
      <c r="B16" s="405"/>
      <c r="C16" s="405"/>
      <c r="D16" s="405"/>
      <c r="E16" s="405"/>
      <c r="F16" s="405"/>
      <c r="G16" s="405"/>
      <c r="H16" s="405"/>
      <c r="I16" s="405"/>
      <c r="J16" s="405"/>
      <c r="K16" s="405"/>
      <c r="L16" s="405"/>
      <c r="M16" s="405"/>
      <c r="N16" s="405"/>
      <c r="O16" s="405"/>
      <c r="P16" s="405"/>
      <c r="Q16" s="405"/>
      <c r="R16" s="405"/>
      <c r="S16" s="405"/>
      <c r="T16" s="405"/>
      <c r="U16" s="405"/>
      <c r="V16" s="405"/>
      <c r="W16" s="405"/>
      <c r="X16" s="405"/>
      <c r="Y16" s="405"/>
      <c r="Z16" s="405"/>
      <c r="AA16" s="405"/>
      <c r="AB16" s="405"/>
      <c r="AC16" s="405"/>
      <c r="AD16" s="405"/>
      <c r="AE16" s="405"/>
      <c r="AF16" s="405"/>
      <c r="AG16" s="405"/>
      <c r="AH16" s="405"/>
      <c r="AI16" s="405"/>
      <c r="AJ16" s="405"/>
      <c r="AK16" s="405"/>
      <c r="AL16" s="405"/>
      <c r="AM16" s="405"/>
      <c r="AN16" s="405"/>
      <c r="AO16" s="405"/>
      <c r="AP16" s="405"/>
      <c r="AQ16" s="405"/>
      <c r="AR16" s="405"/>
      <c r="AS16" s="405"/>
      <c r="AT16" s="405"/>
      <c r="AU16" s="405"/>
      <c r="AV16" s="405"/>
      <c r="AW16" s="405"/>
      <c r="AX16" s="405"/>
      <c r="AY16" s="405"/>
      <c r="AZ16" s="405"/>
      <c r="BA16" s="405"/>
      <c r="BB16" s="405"/>
      <c r="BC16" s="405"/>
      <c r="BD16" s="405"/>
      <c r="BE16" s="405"/>
      <c r="BF16" s="405"/>
      <c r="BG16" s="405"/>
      <c r="BH16" s="405"/>
      <c r="BI16" s="405"/>
      <c r="BJ16" s="405"/>
      <c r="BK16" s="405"/>
      <c r="BL16" s="405"/>
      <c r="BM16" s="405"/>
      <c r="BN16" s="405"/>
      <c r="BO16" s="405"/>
      <c r="BP16" s="405"/>
      <c r="BQ16" s="405"/>
      <c r="BR16" s="405"/>
      <c r="BS16" s="405"/>
      <c r="BT16" s="405"/>
      <c r="BU16" s="405"/>
      <c r="BV16" s="405"/>
      <c r="BW16" s="405"/>
      <c r="BX16" s="405"/>
      <c r="BY16" s="405"/>
      <c r="BZ16" s="405"/>
      <c r="CA16" s="405"/>
      <c r="CB16" s="405"/>
      <c r="CC16" s="405"/>
      <c r="CD16" s="405"/>
      <c r="CE16" s="405"/>
      <c r="CF16" s="405"/>
      <c r="CG16" s="405"/>
      <c r="CH16" s="405"/>
      <c r="CI16" s="405"/>
      <c r="CJ16" s="405"/>
      <c r="CK16" s="405"/>
      <c r="CL16" s="405"/>
      <c r="CM16" s="405"/>
      <c r="CN16" s="405"/>
      <c r="CO16" s="406"/>
    </row>
    <row r="17" spans="1:93" ht="21.95" customHeight="1">
      <c r="A17" s="408"/>
      <c r="CO17" s="409"/>
    </row>
    <row r="18" spans="1:93" ht="21.95" customHeight="1">
      <c r="A18" s="408"/>
      <c r="CO18" s="409"/>
    </row>
    <row r="19" spans="1:93" ht="21.95" customHeight="1">
      <c r="A19" s="408"/>
      <c r="CO19" s="409"/>
    </row>
    <row r="20" spans="1:93" ht="21.95" customHeight="1">
      <c r="A20" s="408"/>
      <c r="CO20" s="409"/>
    </row>
    <row r="21" spans="1:93" ht="21.95" customHeight="1">
      <c r="A21" s="408"/>
      <c r="CO21" s="409"/>
    </row>
    <row r="22" spans="1:93" ht="21.95" customHeight="1">
      <c r="A22" s="408"/>
      <c r="CO22" s="409"/>
    </row>
    <row r="23" spans="1:93" ht="21.95" customHeight="1">
      <c r="A23" s="408"/>
      <c r="CO23" s="409"/>
    </row>
    <row r="24" spans="1:93" ht="21.95" customHeight="1">
      <c r="A24" s="408"/>
      <c r="CO24" s="409"/>
    </row>
    <row r="25" spans="1:93" ht="21.95" customHeight="1">
      <c r="A25" s="408"/>
      <c r="CO25" s="409"/>
    </row>
    <row r="26" spans="1:93" ht="21.95" customHeight="1">
      <c r="A26" s="408"/>
      <c r="CO26" s="409"/>
    </row>
    <row r="27" spans="1:93" ht="21.95" customHeight="1">
      <c r="A27" s="408"/>
      <c r="CO27" s="409"/>
    </row>
    <row r="28" spans="1:93" ht="21.95" customHeight="1">
      <c r="A28" s="408"/>
      <c r="CO28" s="409"/>
    </row>
    <row r="29" spans="1:93" ht="21.95" customHeight="1">
      <c r="A29" s="408"/>
      <c r="CO29" s="409"/>
    </row>
    <row r="30" spans="1:93" ht="21.95" customHeight="1">
      <c r="A30" s="408"/>
      <c r="CO30" s="409"/>
    </row>
    <row r="31" spans="1:93" ht="21.95" customHeight="1">
      <c r="A31" s="408"/>
      <c r="CO31" s="409"/>
    </row>
    <row r="32" spans="1:93" ht="21.95" customHeight="1" thickBot="1">
      <c r="A32" s="410"/>
      <c r="B32" s="411"/>
      <c r="C32" s="411"/>
      <c r="D32" s="411"/>
      <c r="E32" s="411"/>
      <c r="F32" s="411"/>
      <c r="G32" s="411"/>
      <c r="H32" s="411"/>
      <c r="I32" s="411"/>
      <c r="J32" s="411"/>
      <c r="K32" s="411"/>
      <c r="L32" s="411"/>
      <c r="M32" s="411"/>
      <c r="N32" s="411"/>
      <c r="O32" s="411"/>
      <c r="P32" s="411"/>
      <c r="Q32" s="411"/>
      <c r="R32" s="411"/>
      <c r="S32" s="411"/>
      <c r="T32" s="411"/>
      <c r="U32" s="411"/>
      <c r="V32" s="411"/>
      <c r="W32" s="411"/>
      <c r="X32" s="411"/>
      <c r="Y32" s="411"/>
      <c r="Z32" s="411"/>
      <c r="AA32" s="411"/>
      <c r="AB32" s="411"/>
      <c r="AC32" s="411"/>
      <c r="AD32" s="411"/>
      <c r="AE32" s="411"/>
      <c r="AF32" s="411"/>
      <c r="AG32" s="411"/>
      <c r="AH32" s="411"/>
      <c r="AI32" s="411"/>
      <c r="AJ32" s="411"/>
      <c r="AK32" s="411"/>
      <c r="AL32" s="411"/>
      <c r="AM32" s="411"/>
      <c r="AN32" s="411"/>
      <c r="AO32" s="411"/>
      <c r="AP32" s="411"/>
      <c r="AQ32" s="411"/>
      <c r="AR32" s="411"/>
      <c r="AS32" s="411"/>
      <c r="AT32" s="411"/>
      <c r="AU32" s="411"/>
      <c r="AV32" s="411"/>
      <c r="AW32" s="411"/>
      <c r="AX32" s="411"/>
      <c r="AY32" s="411"/>
      <c r="AZ32" s="411"/>
      <c r="BA32" s="411"/>
      <c r="BB32" s="411"/>
      <c r="BC32" s="411"/>
      <c r="BD32" s="411"/>
      <c r="BE32" s="411"/>
      <c r="BF32" s="411"/>
      <c r="BG32" s="411"/>
      <c r="BH32" s="411"/>
      <c r="BI32" s="411"/>
      <c r="BJ32" s="411"/>
      <c r="BK32" s="411"/>
      <c r="BL32" s="411"/>
      <c r="BM32" s="411"/>
      <c r="BN32" s="411"/>
      <c r="BO32" s="411"/>
      <c r="BP32" s="411"/>
      <c r="BQ32" s="411"/>
      <c r="BR32" s="411"/>
      <c r="BS32" s="411"/>
      <c r="BT32" s="411"/>
      <c r="BU32" s="411"/>
      <c r="BV32" s="411"/>
      <c r="BW32" s="411"/>
      <c r="BX32" s="411"/>
      <c r="BY32" s="411"/>
      <c r="BZ32" s="411"/>
      <c r="CA32" s="411"/>
      <c r="CB32" s="411"/>
      <c r="CC32" s="411"/>
      <c r="CD32" s="411"/>
      <c r="CE32" s="411"/>
      <c r="CF32" s="411"/>
      <c r="CG32" s="411"/>
      <c r="CH32" s="411"/>
      <c r="CI32" s="411"/>
      <c r="CJ32" s="411"/>
      <c r="CK32" s="411"/>
      <c r="CL32" s="411"/>
      <c r="CM32" s="411"/>
      <c r="CN32" s="411"/>
      <c r="CO32" s="412"/>
    </row>
    <row r="33" spans="1:100" ht="16.5" customHeight="1">
      <c r="A33" s="1673" t="s">
        <v>7</v>
      </c>
      <c r="B33" s="1719" t="s">
        <v>52</v>
      </c>
      <c r="C33" s="1720"/>
      <c r="D33" s="1720"/>
      <c r="E33" s="1720"/>
      <c r="F33" s="1720"/>
      <c r="G33" s="1720"/>
      <c r="H33" s="1720"/>
      <c r="I33" s="1720"/>
      <c r="J33" s="1720"/>
      <c r="K33" s="1720"/>
      <c r="L33" s="1720"/>
      <c r="M33" s="1720"/>
      <c r="N33" s="1720"/>
      <c r="O33" s="1720"/>
      <c r="P33" s="1720"/>
      <c r="Q33" s="1720"/>
      <c r="R33" s="1720"/>
      <c r="S33" s="1720"/>
      <c r="T33" s="1720"/>
      <c r="U33" s="1720"/>
      <c r="V33" s="1720"/>
      <c r="W33" s="1720"/>
      <c r="X33" s="1720"/>
      <c r="Y33" s="1720"/>
      <c r="Z33" s="1720"/>
      <c r="AA33" s="1720"/>
      <c r="AB33" s="1720"/>
      <c r="AC33" s="1720"/>
      <c r="AD33" s="1720"/>
      <c r="AE33" s="1720"/>
      <c r="AF33" s="1720"/>
      <c r="AG33" s="1720"/>
      <c r="AH33" s="1720"/>
      <c r="AI33" s="1720"/>
      <c r="AJ33" s="1720"/>
      <c r="AK33" s="1720"/>
      <c r="AL33" s="1720"/>
      <c r="AM33" s="1720"/>
      <c r="AN33" s="1720"/>
      <c r="AO33" s="1720"/>
      <c r="AP33" s="1720"/>
      <c r="AQ33" s="1720"/>
      <c r="AR33" s="1720"/>
      <c r="AS33" s="1720"/>
      <c r="AT33" s="1720"/>
      <c r="AU33" s="1720"/>
      <c r="AV33" s="1720"/>
      <c r="AW33" s="1720"/>
      <c r="AX33" s="1720"/>
      <c r="AY33" s="1720"/>
      <c r="AZ33" s="1720"/>
      <c r="BA33" s="1720"/>
      <c r="BB33" s="1720"/>
      <c r="BC33" s="1720"/>
      <c r="BD33" s="1720"/>
      <c r="BE33" s="1720"/>
      <c r="BF33" s="1720"/>
      <c r="BG33" s="1720"/>
      <c r="BH33" s="1720"/>
      <c r="BI33" s="1720"/>
      <c r="BJ33" s="1720"/>
      <c r="BK33" s="1720"/>
      <c r="BL33" s="1720"/>
      <c r="BM33" s="1720"/>
      <c r="BN33" s="1720"/>
      <c r="BO33" s="1720"/>
      <c r="BP33" s="1720"/>
      <c r="BQ33" s="1720"/>
      <c r="BR33" s="1720"/>
      <c r="BS33" s="1720"/>
      <c r="BT33" s="1720"/>
      <c r="BU33" s="1720"/>
      <c r="BV33" s="1720"/>
      <c r="BW33" s="1720"/>
      <c r="BX33" s="1720"/>
      <c r="BY33" s="1720"/>
      <c r="BZ33" s="1720"/>
      <c r="CA33" s="1720"/>
      <c r="CB33" s="1720"/>
      <c r="CC33" s="1720"/>
      <c r="CD33" s="1663" t="s">
        <v>91</v>
      </c>
      <c r="CE33" s="1664"/>
      <c r="CF33" s="1664"/>
      <c r="CG33" s="1664"/>
      <c r="CH33" s="1664"/>
      <c r="CI33" s="1664"/>
      <c r="CJ33" s="1664"/>
      <c r="CK33" s="1664"/>
      <c r="CL33" s="1664"/>
      <c r="CM33" s="1664"/>
      <c r="CN33" s="1664"/>
      <c r="CO33" s="1665"/>
    </row>
    <row r="34" spans="1:100" ht="16.5" customHeight="1" thickBot="1">
      <c r="A34" s="1674"/>
      <c r="B34" s="1709">
        <v>1</v>
      </c>
      <c r="C34" s="1710"/>
      <c r="D34" s="1710"/>
      <c r="E34" s="1710"/>
      <c r="F34" s="1710"/>
      <c r="G34" s="1710"/>
      <c r="H34" s="1710"/>
      <c r="I34" s="1710"/>
      <c r="J34" s="1710"/>
      <c r="K34" s="1710"/>
      <c r="L34" s="1710"/>
      <c r="M34" s="1710"/>
      <c r="N34" s="1710"/>
      <c r="O34" s="1710"/>
      <c r="P34" s="1710"/>
      <c r="Q34" s="1710"/>
      <c r="R34" s="1710"/>
      <c r="S34" s="1710"/>
      <c r="T34" s="1710"/>
      <c r="U34" s="1710"/>
      <c r="V34" s="1711"/>
      <c r="W34" s="1709">
        <v>2</v>
      </c>
      <c r="X34" s="1710"/>
      <c r="Y34" s="1710"/>
      <c r="Z34" s="1710"/>
      <c r="AA34" s="1710"/>
      <c r="AB34" s="1710"/>
      <c r="AC34" s="1710"/>
      <c r="AD34" s="1710"/>
      <c r="AE34" s="1710"/>
      <c r="AF34" s="1710"/>
      <c r="AG34" s="1710"/>
      <c r="AH34" s="1710"/>
      <c r="AI34" s="1710"/>
      <c r="AJ34" s="1710"/>
      <c r="AK34" s="1710"/>
      <c r="AL34" s="1710"/>
      <c r="AM34" s="1710"/>
      <c r="AN34" s="1710"/>
      <c r="AO34" s="1711"/>
      <c r="AP34" s="1709">
        <v>3</v>
      </c>
      <c r="AQ34" s="1710"/>
      <c r="AR34" s="1710"/>
      <c r="AS34" s="1710"/>
      <c r="AT34" s="1710"/>
      <c r="AU34" s="1710"/>
      <c r="AV34" s="1710"/>
      <c r="AW34" s="1710"/>
      <c r="AX34" s="1710"/>
      <c r="AY34" s="1710"/>
      <c r="AZ34" s="1710"/>
      <c r="BA34" s="1710"/>
      <c r="BB34" s="1710"/>
      <c r="BC34" s="1710"/>
      <c r="BD34" s="1710"/>
      <c r="BE34" s="1710"/>
      <c r="BF34" s="1710"/>
      <c r="BG34" s="1710"/>
      <c r="BH34" s="1710"/>
      <c r="BI34" s="1710"/>
      <c r="BJ34" s="1710"/>
      <c r="BK34" s="1710"/>
      <c r="BL34" s="1710"/>
      <c r="BM34" s="1710"/>
      <c r="BN34" s="1710"/>
      <c r="BO34" s="1710"/>
      <c r="BP34" s="1710"/>
      <c r="BQ34" s="1710"/>
      <c r="BR34" s="1711"/>
      <c r="BS34" s="1709">
        <v>4</v>
      </c>
      <c r="BT34" s="1710"/>
      <c r="BU34" s="1710"/>
      <c r="BV34" s="1710"/>
      <c r="BW34" s="1710"/>
      <c r="BX34" s="1710"/>
      <c r="BY34" s="1710"/>
      <c r="BZ34" s="1710"/>
      <c r="CA34" s="1710"/>
      <c r="CB34" s="1710"/>
      <c r="CC34" s="1712"/>
      <c r="CD34" s="1713" t="s">
        <v>92</v>
      </c>
      <c r="CE34" s="1666"/>
      <c r="CF34" s="1666"/>
      <c r="CG34" s="1666"/>
      <c r="CH34" s="1666"/>
      <c r="CI34" s="1666"/>
      <c r="CJ34" s="1666"/>
      <c r="CK34" s="1666"/>
      <c r="CL34" s="1666"/>
      <c r="CM34" s="1666"/>
      <c r="CN34" s="1666"/>
      <c r="CO34" s="1667"/>
    </row>
    <row r="35" spans="1:100" ht="15.75">
      <c r="A35" s="362" t="s">
        <v>24</v>
      </c>
      <c r="B35" s="1721" t="s">
        <v>569</v>
      </c>
      <c r="C35" s="1722"/>
      <c r="D35" s="1722"/>
      <c r="E35" s="1722"/>
      <c r="F35" s="1722"/>
      <c r="G35" s="1722"/>
      <c r="H35" s="1722"/>
      <c r="I35" s="1722"/>
      <c r="J35" s="1722"/>
      <c r="K35" s="1722"/>
      <c r="L35" s="1723"/>
      <c r="M35" s="1723"/>
      <c r="N35" s="1723"/>
      <c r="O35" s="1723"/>
      <c r="P35" s="1723"/>
      <c r="Q35" s="1723"/>
      <c r="R35" s="1723"/>
      <c r="S35" s="1723"/>
      <c r="T35" s="1723"/>
      <c r="U35" s="1723"/>
      <c r="V35" s="1724" t="s">
        <v>54</v>
      </c>
      <c r="W35" s="1724"/>
      <c r="X35" s="1724"/>
      <c r="Y35" s="1724"/>
      <c r="Z35" s="1724"/>
      <c r="AA35" s="1724"/>
      <c r="AB35" s="1724"/>
      <c r="AC35" s="1724"/>
      <c r="AD35" s="1724"/>
      <c r="AE35" s="1724"/>
      <c r="AF35" s="1724" t="s">
        <v>54</v>
      </c>
      <c r="AG35" s="1724"/>
      <c r="AH35" s="1724"/>
      <c r="AI35" s="1724"/>
      <c r="AJ35" s="1724"/>
      <c r="AK35" s="1724"/>
      <c r="AL35" s="1724"/>
      <c r="AM35" s="1724"/>
      <c r="AN35" s="1724"/>
      <c r="AO35" s="1724"/>
      <c r="AP35" s="1724"/>
      <c r="AQ35" s="1724"/>
      <c r="AR35" s="1724"/>
      <c r="AS35" s="1724"/>
      <c r="AT35" s="1724"/>
      <c r="AU35" s="1724"/>
      <c r="AV35" s="1724"/>
      <c r="AW35" s="1724"/>
      <c r="AX35" s="1724"/>
      <c r="AY35" s="1724"/>
      <c r="AZ35" s="1724"/>
      <c r="BA35" s="1724"/>
      <c r="BB35" s="1724"/>
      <c r="BC35" s="1724"/>
      <c r="BD35" s="1724"/>
      <c r="BE35" s="1724"/>
      <c r="BF35" s="1724"/>
      <c r="BG35" s="1724"/>
      <c r="BH35" s="1724"/>
      <c r="BI35" s="1724"/>
      <c r="BJ35" s="1724" t="s">
        <v>54</v>
      </c>
      <c r="BK35" s="1724"/>
      <c r="BL35" s="1724"/>
      <c r="BM35" s="1724"/>
      <c r="BN35" s="1724"/>
      <c r="BO35" s="1724"/>
      <c r="BP35" s="1724"/>
      <c r="BQ35" s="1724"/>
      <c r="BR35" s="1724"/>
      <c r="BS35" s="1724"/>
      <c r="BT35" s="1724"/>
      <c r="BU35" s="1724"/>
      <c r="BV35" s="1724"/>
      <c r="BW35" s="1724"/>
      <c r="BX35" s="1724"/>
      <c r="BY35" s="1724"/>
      <c r="BZ35" s="1724"/>
      <c r="CA35" s="1724"/>
      <c r="CB35" s="1724"/>
      <c r="CC35" s="1725"/>
      <c r="CD35" s="1668" t="s">
        <v>93</v>
      </c>
      <c r="CE35" s="1669"/>
      <c r="CF35" s="1669"/>
      <c r="CG35" s="1669"/>
      <c r="CH35" s="1669"/>
      <c r="CI35" s="1669"/>
      <c r="CJ35" s="1669"/>
      <c r="CK35" s="1669"/>
      <c r="CL35" s="1669"/>
      <c r="CM35" s="1669"/>
      <c r="CN35" s="1669"/>
      <c r="CO35" s="1670"/>
    </row>
    <row r="36" spans="1:100" ht="15.75">
      <c r="A36" s="526" t="s">
        <v>132</v>
      </c>
      <c r="B36" s="1726">
        <v>5</v>
      </c>
      <c r="C36" s="1715"/>
      <c r="D36" s="1715"/>
      <c r="E36" s="1715"/>
      <c r="F36" s="1715"/>
      <c r="G36" s="1715"/>
      <c r="H36" s="1715"/>
      <c r="I36" s="1715"/>
      <c r="J36" s="1715"/>
      <c r="K36" s="1716"/>
      <c r="L36" s="1714">
        <v>10</v>
      </c>
      <c r="M36" s="1715"/>
      <c r="N36" s="1715"/>
      <c r="O36" s="1715"/>
      <c r="P36" s="1715"/>
      <c r="Q36" s="1715"/>
      <c r="R36" s="1715"/>
      <c r="S36" s="1715"/>
      <c r="T36" s="1715"/>
      <c r="U36" s="1716"/>
      <c r="V36" s="1714">
        <v>15</v>
      </c>
      <c r="W36" s="1715"/>
      <c r="X36" s="1715"/>
      <c r="Y36" s="1715"/>
      <c r="Z36" s="1715"/>
      <c r="AA36" s="1715"/>
      <c r="AB36" s="1715"/>
      <c r="AC36" s="1715"/>
      <c r="AD36" s="1715"/>
      <c r="AE36" s="1716"/>
      <c r="AF36" s="1714">
        <v>20</v>
      </c>
      <c r="AG36" s="1715"/>
      <c r="AH36" s="1715"/>
      <c r="AI36" s="1715"/>
      <c r="AJ36" s="1715"/>
      <c r="AK36" s="1715"/>
      <c r="AL36" s="1715"/>
      <c r="AM36" s="1715"/>
      <c r="AN36" s="1715"/>
      <c r="AO36" s="1716"/>
      <c r="AP36" s="1714">
        <v>25</v>
      </c>
      <c r="AQ36" s="1715"/>
      <c r="AR36" s="1715"/>
      <c r="AS36" s="1715"/>
      <c r="AT36" s="1715"/>
      <c r="AU36" s="1715"/>
      <c r="AV36" s="1715"/>
      <c r="AW36" s="1715"/>
      <c r="AX36" s="1715"/>
      <c r="AY36" s="1716"/>
      <c r="AZ36" s="1714">
        <v>30</v>
      </c>
      <c r="BA36" s="1715"/>
      <c r="BB36" s="1715"/>
      <c r="BC36" s="1715"/>
      <c r="BD36" s="1715"/>
      <c r="BE36" s="1715"/>
      <c r="BF36" s="1715"/>
      <c r="BG36" s="1715"/>
      <c r="BH36" s="1715"/>
      <c r="BI36" s="1716"/>
      <c r="BJ36" s="1714">
        <v>35</v>
      </c>
      <c r="BK36" s="1715"/>
      <c r="BL36" s="1715"/>
      <c r="BM36" s="1715"/>
      <c r="BN36" s="1715"/>
      <c r="BO36" s="1715"/>
      <c r="BP36" s="1715"/>
      <c r="BQ36" s="1715"/>
      <c r="BR36" s="1715"/>
      <c r="BS36" s="1716"/>
      <c r="BT36" s="1717" t="s">
        <v>593</v>
      </c>
      <c r="BU36" s="1717"/>
      <c r="BV36" s="1717"/>
      <c r="BW36" s="1717"/>
      <c r="BX36" s="1717"/>
      <c r="BY36" s="1717"/>
      <c r="BZ36" s="1717"/>
      <c r="CA36" s="1717"/>
      <c r="CB36" s="1717"/>
      <c r="CC36" s="1718"/>
      <c r="CD36" s="1625" t="s">
        <v>96</v>
      </c>
      <c r="CE36" s="1626"/>
      <c r="CF36" s="1626"/>
      <c r="CG36" s="1627"/>
      <c r="CH36" s="1628" t="s">
        <v>97</v>
      </c>
      <c r="CI36" s="1629"/>
      <c r="CJ36" s="1629"/>
      <c r="CK36" s="1630"/>
      <c r="CL36" s="1628" t="s">
        <v>98</v>
      </c>
      <c r="CM36" s="1629"/>
      <c r="CN36" s="1629"/>
      <c r="CO36" s="1631"/>
      <c r="CQ36" s="364" t="s">
        <v>572</v>
      </c>
      <c r="CR36" s="364" t="s">
        <v>14</v>
      </c>
      <c r="CS36" s="364" t="s">
        <v>573</v>
      </c>
    </row>
    <row r="37" spans="1:100" ht="15.75">
      <c r="A37" s="527"/>
      <c r="B37" s="530"/>
      <c r="C37" s="530"/>
      <c r="D37" s="530"/>
      <c r="E37" s="530"/>
      <c r="F37" s="530"/>
      <c r="G37" s="530"/>
      <c r="H37" s="530"/>
      <c r="I37" s="530"/>
      <c r="J37" s="530"/>
      <c r="K37" s="531"/>
      <c r="L37" s="530"/>
      <c r="M37" s="530"/>
      <c r="N37" s="530"/>
      <c r="O37" s="530"/>
      <c r="P37" s="530"/>
      <c r="Q37" s="530"/>
      <c r="R37" s="530"/>
      <c r="S37" s="530"/>
      <c r="T37" s="530"/>
      <c r="U37" s="531"/>
      <c r="V37" s="530"/>
      <c r="W37" s="530"/>
      <c r="X37" s="530"/>
      <c r="Y37" s="530"/>
      <c r="Z37" s="530"/>
      <c r="AA37" s="530"/>
      <c r="AB37" s="530"/>
      <c r="AC37" s="530"/>
      <c r="AD37" s="530"/>
      <c r="AE37" s="531"/>
      <c r="AF37" s="530"/>
      <c r="AG37" s="530"/>
      <c r="AH37" s="530"/>
      <c r="AI37" s="530"/>
      <c r="AJ37" s="530"/>
      <c r="AK37" s="530"/>
      <c r="AL37" s="530"/>
      <c r="AM37" s="530"/>
      <c r="AN37" s="530"/>
      <c r="AO37" s="531"/>
      <c r="AP37" s="530"/>
      <c r="AQ37" s="530"/>
      <c r="AR37" s="530"/>
      <c r="AS37" s="530"/>
      <c r="AT37" s="530"/>
      <c r="AU37" s="530"/>
      <c r="AV37" s="530"/>
      <c r="AW37" s="530"/>
      <c r="AX37" s="530"/>
      <c r="AY37" s="531"/>
      <c r="AZ37" s="530"/>
      <c r="BA37" s="530"/>
      <c r="BB37" s="530"/>
      <c r="BC37" s="530"/>
      <c r="BD37" s="530"/>
      <c r="BE37" s="530"/>
      <c r="BF37" s="530"/>
      <c r="BG37" s="530"/>
      <c r="BH37" s="530"/>
      <c r="BI37" s="531"/>
      <c r="BJ37" s="530"/>
      <c r="BK37" s="530"/>
      <c r="BL37" s="530"/>
      <c r="BM37" s="530"/>
      <c r="BN37" s="530"/>
      <c r="BO37" s="530"/>
      <c r="BP37" s="530"/>
      <c r="BQ37" s="530"/>
      <c r="BR37" s="530"/>
      <c r="BS37" s="531"/>
      <c r="BT37" s="532"/>
      <c r="BU37" s="532"/>
      <c r="BV37" s="532"/>
      <c r="BW37" s="532"/>
      <c r="BX37" s="532"/>
      <c r="BY37" s="532"/>
      <c r="BZ37" s="532"/>
      <c r="CA37" s="532"/>
      <c r="CB37" s="532"/>
      <c r="CC37" s="532"/>
      <c r="CD37" s="1671" t="s">
        <v>617</v>
      </c>
      <c r="CE37" s="1613"/>
      <c r="CF37" s="1612" t="s">
        <v>39</v>
      </c>
      <c r="CG37" s="1612"/>
      <c r="CH37" s="1672" t="s">
        <v>617</v>
      </c>
      <c r="CI37" s="1613"/>
      <c r="CJ37" s="1612" t="s">
        <v>39</v>
      </c>
      <c r="CK37" s="1613"/>
      <c r="CL37" s="1612" t="s">
        <v>617</v>
      </c>
      <c r="CM37" s="1613"/>
      <c r="CN37" s="1612" t="s">
        <v>39</v>
      </c>
      <c r="CO37" s="1613"/>
      <c r="CQ37" s="364"/>
      <c r="CR37" s="364"/>
      <c r="CS37" s="364"/>
    </row>
    <row r="38" spans="1:100" ht="10.5" customHeight="1">
      <c r="A38" s="1645" t="s">
        <v>55</v>
      </c>
      <c r="K38" s="417"/>
      <c r="U38" s="417"/>
      <c r="AE38" s="417"/>
      <c r="AO38" s="417"/>
      <c r="AY38" s="417"/>
      <c r="BI38" s="417"/>
      <c r="BS38" s="417"/>
      <c r="CD38" s="1651" t="s">
        <v>54</v>
      </c>
      <c r="CE38" s="1652"/>
      <c r="CF38" s="1652"/>
      <c r="CG38" s="1652"/>
      <c r="CH38" s="1683" t="s">
        <v>54</v>
      </c>
      <c r="CI38" s="1684"/>
      <c r="CJ38" s="1684"/>
      <c r="CK38" s="1685"/>
      <c r="CL38" s="1654" t="s">
        <v>54</v>
      </c>
      <c r="CM38" s="1654"/>
      <c r="CN38" s="1654"/>
      <c r="CO38" s="1686"/>
      <c r="CQ38" s="367"/>
      <c r="CR38" s="368" t="s">
        <v>54</v>
      </c>
      <c r="CS38" s="369">
        <v>35.770000000000003</v>
      </c>
      <c r="CT38" s="543" t="s">
        <v>96</v>
      </c>
      <c r="CU38" s="543" t="s">
        <v>97</v>
      </c>
      <c r="CV38" s="543" t="s">
        <v>98</v>
      </c>
    </row>
    <row r="39" spans="1:100" ht="3.75" customHeight="1">
      <c r="A39" s="1645"/>
      <c r="B39" s="423"/>
      <c r="C39" s="423"/>
      <c r="D39" s="423"/>
      <c r="E39" s="423"/>
      <c r="F39" s="422"/>
      <c r="G39" s="422"/>
      <c r="H39" s="422"/>
      <c r="I39" s="422"/>
      <c r="J39" s="422"/>
      <c r="K39" s="424"/>
      <c r="L39" s="423"/>
      <c r="M39" s="423"/>
      <c r="N39" s="423"/>
      <c r="O39" s="423"/>
      <c r="P39" s="423"/>
      <c r="Q39" s="423"/>
      <c r="R39" s="423"/>
      <c r="S39" s="423"/>
      <c r="T39" s="423"/>
      <c r="U39" s="423"/>
      <c r="V39" s="423"/>
      <c r="W39" s="423"/>
      <c r="X39" s="423"/>
      <c r="Y39" s="423"/>
      <c r="Z39" s="423"/>
      <c r="AA39" s="423"/>
      <c r="AB39" s="423"/>
      <c r="AC39" s="423"/>
      <c r="AD39" s="423"/>
      <c r="AE39" s="423"/>
      <c r="AF39" s="423"/>
      <c r="AG39" s="423"/>
      <c r="AH39" s="423"/>
      <c r="AI39" s="423"/>
      <c r="AJ39" s="423"/>
      <c r="AK39" s="423"/>
      <c r="AL39" s="423"/>
      <c r="AM39" s="423"/>
      <c r="AN39" s="437"/>
      <c r="AO39" s="438"/>
      <c r="AP39" s="423"/>
      <c r="AQ39" s="423"/>
      <c r="AR39" s="423"/>
      <c r="AS39" s="423"/>
      <c r="AT39" s="423"/>
      <c r="AU39" s="423"/>
      <c r="AV39" s="423"/>
      <c r="AW39" s="423"/>
      <c r="AX39" s="423"/>
      <c r="AY39" s="433"/>
      <c r="AZ39" s="423"/>
      <c r="BA39" s="423"/>
      <c r="BB39" s="423"/>
      <c r="BC39" s="423"/>
      <c r="BD39" s="423"/>
      <c r="BE39" s="423"/>
      <c r="BF39" s="423"/>
      <c r="BG39" s="423"/>
      <c r="BH39" s="423"/>
      <c r="BI39" s="433"/>
      <c r="BJ39" s="423"/>
      <c r="BK39" s="423"/>
      <c r="BL39" s="423"/>
      <c r="BM39" s="423"/>
      <c r="BN39" s="423"/>
      <c r="BO39" s="423"/>
      <c r="BP39" s="423"/>
      <c r="BQ39" s="423"/>
      <c r="BR39" s="423"/>
      <c r="BS39" s="433"/>
      <c r="BT39" s="423"/>
      <c r="BU39" s="423"/>
      <c r="BV39" s="423"/>
      <c r="BW39" s="423"/>
      <c r="BX39" s="423"/>
      <c r="BY39" s="423"/>
      <c r="BZ39" s="423"/>
      <c r="CA39" s="423"/>
      <c r="CB39" s="423"/>
      <c r="CC39" s="423"/>
      <c r="CD39" s="1634"/>
      <c r="CE39" s="1635"/>
      <c r="CF39" s="1635"/>
      <c r="CG39" s="1635"/>
      <c r="CH39" s="1617"/>
      <c r="CI39" s="1618"/>
      <c r="CJ39" s="1618"/>
      <c r="CK39" s="1619"/>
      <c r="CL39" s="1618"/>
      <c r="CM39" s="1618"/>
      <c r="CN39" s="1618"/>
      <c r="CO39" s="1621"/>
      <c r="CQ39" s="377"/>
      <c r="CR39" s="377"/>
      <c r="CS39" s="377"/>
      <c r="CT39" s="544"/>
      <c r="CU39" s="544"/>
      <c r="CV39" s="544"/>
    </row>
    <row r="40" spans="1:100" ht="13.5" customHeight="1" thickBot="1">
      <c r="A40" s="1646"/>
      <c r="B40" s="426"/>
      <c r="C40" s="426"/>
      <c r="D40" s="426"/>
      <c r="E40" s="426"/>
      <c r="F40" s="426"/>
      <c r="G40" s="426"/>
      <c r="H40" s="426"/>
      <c r="I40" s="426"/>
      <c r="J40" s="426"/>
      <c r="K40" s="427"/>
      <c r="L40" s="426"/>
      <c r="M40" s="426"/>
      <c r="N40" s="426"/>
      <c r="O40" s="426"/>
      <c r="P40" s="426"/>
      <c r="Q40" s="426"/>
      <c r="R40" s="426"/>
      <c r="S40" s="426"/>
      <c r="T40" s="426"/>
      <c r="U40" s="427"/>
      <c r="V40" s="426"/>
      <c r="W40" s="426"/>
      <c r="X40" s="426"/>
      <c r="Y40" s="426"/>
      <c r="Z40" s="426"/>
      <c r="AA40" s="426"/>
      <c r="AB40" s="426"/>
      <c r="AC40" s="426"/>
      <c r="AD40" s="426"/>
      <c r="AE40" s="427"/>
      <c r="AF40" s="426"/>
      <c r="AG40" s="426"/>
      <c r="AH40" s="426"/>
      <c r="AI40" s="426"/>
      <c r="AJ40" s="426"/>
      <c r="AK40" s="426"/>
      <c r="AL40" s="426"/>
      <c r="AM40" s="426"/>
      <c r="AN40" s="426"/>
      <c r="AO40" s="427"/>
      <c r="AP40" s="426"/>
      <c r="AQ40" s="426"/>
      <c r="AR40" s="426"/>
      <c r="AS40" s="426"/>
      <c r="AT40" s="426"/>
      <c r="AU40" s="426"/>
      <c r="AV40" s="426"/>
      <c r="AW40" s="426"/>
      <c r="AX40" s="426"/>
      <c r="AY40" s="427"/>
      <c r="AZ40" s="426"/>
      <c r="BA40" s="426"/>
      <c r="BB40" s="426"/>
      <c r="BC40" s="426"/>
      <c r="BD40" s="426"/>
      <c r="BE40" s="426"/>
      <c r="BF40" s="426"/>
      <c r="BG40" s="426"/>
      <c r="BH40" s="426"/>
      <c r="BI40" s="427"/>
      <c r="BJ40" s="426"/>
      <c r="BK40" s="426"/>
      <c r="BL40" s="426"/>
      <c r="BM40" s="426"/>
      <c r="BN40" s="426"/>
      <c r="BO40" s="426"/>
      <c r="BP40" s="426"/>
      <c r="BQ40" s="426"/>
      <c r="BR40" s="426"/>
      <c r="BS40" s="427"/>
      <c r="BT40" s="426"/>
      <c r="BU40" s="426"/>
      <c r="BV40" s="426"/>
      <c r="BW40" s="426"/>
      <c r="BX40" s="426"/>
      <c r="BY40" s="426"/>
      <c r="BZ40" s="426"/>
      <c r="CA40" s="426"/>
      <c r="CB40" s="426"/>
      <c r="CC40" s="426"/>
      <c r="CD40" s="1647">
        <f>'ESTADO RED VIS'!I23</f>
        <v>32.905999999999999</v>
      </c>
      <c r="CE40" s="1648"/>
      <c r="CF40" s="1649">
        <f>CD40/CS38</f>
        <v>0.91993290466871669</v>
      </c>
      <c r="CG40" s="1650"/>
      <c r="CH40" s="1638">
        <f>'ESTADO RED VIS'!J23</f>
        <v>0</v>
      </c>
      <c r="CI40" s="1639"/>
      <c r="CJ40" s="1640">
        <f>CH40/CS38</f>
        <v>0</v>
      </c>
      <c r="CK40" s="1641"/>
      <c r="CL40" s="1642">
        <f>'ESTADO RED VIS'!K23</f>
        <v>2.9</v>
      </c>
      <c r="CM40" s="1643"/>
      <c r="CN40" s="1636">
        <f>+CL40/CS38</f>
        <v>8.1073525300531163E-2</v>
      </c>
      <c r="CO40" s="1637"/>
      <c r="CQ40" s="367">
        <f>CD40+CH40+CL40</f>
        <v>35.805999999999997</v>
      </c>
      <c r="CR40" s="381">
        <f>CF40+CJ40+CN40</f>
        <v>1.0010064299692478</v>
      </c>
      <c r="CS40" s="439"/>
      <c r="CT40" s="545">
        <f>CF40</f>
        <v>0.91993290466871669</v>
      </c>
      <c r="CU40" s="545">
        <f>CJ40</f>
        <v>0</v>
      </c>
      <c r="CV40" s="545">
        <f>CN40</f>
        <v>8.1073525300531163E-2</v>
      </c>
    </row>
    <row r="41" spans="1:100" ht="13.5" customHeight="1">
      <c r="A41" s="1676" t="s">
        <v>88</v>
      </c>
      <c r="K41" s="417"/>
      <c r="U41" s="417"/>
      <c r="AE41" s="417"/>
      <c r="AO41" s="417"/>
      <c r="AY41" s="417"/>
      <c r="BI41" s="417"/>
      <c r="BS41" s="417"/>
      <c r="CD41" s="1632"/>
      <c r="CE41" s="1633"/>
      <c r="CF41" s="1633"/>
      <c r="CG41" s="1633"/>
      <c r="CH41" s="1614"/>
      <c r="CI41" s="1615"/>
      <c r="CJ41" s="1615"/>
      <c r="CK41" s="1616"/>
      <c r="CL41" s="1615"/>
      <c r="CM41" s="1615"/>
      <c r="CN41" s="1615"/>
      <c r="CO41" s="1620"/>
      <c r="CQ41" s="367"/>
      <c r="CR41" s="381"/>
      <c r="CS41" s="439"/>
    </row>
    <row r="42" spans="1:100" ht="4.5" customHeight="1">
      <c r="A42" s="1677"/>
      <c r="K42" s="417"/>
      <c r="U42" s="417"/>
      <c r="AE42" s="417"/>
      <c r="AO42" s="417"/>
      <c r="AY42" s="417"/>
      <c r="BI42" s="417"/>
      <c r="BS42" s="417"/>
      <c r="CD42" s="1634"/>
      <c r="CE42" s="1635"/>
      <c r="CF42" s="1635"/>
      <c r="CG42" s="1635"/>
      <c r="CH42" s="1617"/>
      <c r="CI42" s="1618"/>
      <c r="CJ42" s="1618"/>
      <c r="CK42" s="1619"/>
      <c r="CL42" s="1618"/>
      <c r="CM42" s="1618"/>
      <c r="CN42" s="1618"/>
      <c r="CO42" s="1621"/>
      <c r="CQ42" s="367"/>
      <c r="CR42" s="381"/>
      <c r="CS42" s="439"/>
    </row>
    <row r="43" spans="1:100" ht="13.5" customHeight="1">
      <c r="A43" s="1678"/>
      <c r="B43" s="426"/>
      <c r="C43" s="426"/>
      <c r="D43" s="426"/>
      <c r="E43" s="426"/>
      <c r="F43" s="426"/>
      <c r="G43" s="426"/>
      <c r="H43" s="426"/>
      <c r="I43" s="426"/>
      <c r="J43" s="426"/>
      <c r="K43" s="427"/>
      <c r="L43" s="426"/>
      <c r="M43" s="426"/>
      <c r="N43" s="426"/>
      <c r="O43" s="426"/>
      <c r="P43" s="426"/>
      <c r="Q43" s="426"/>
      <c r="R43" s="426"/>
      <c r="S43" s="426"/>
      <c r="T43" s="426"/>
      <c r="U43" s="427"/>
      <c r="V43" s="426"/>
      <c r="W43" s="426"/>
      <c r="X43" s="426"/>
      <c r="Y43" s="426"/>
      <c r="Z43" s="426"/>
      <c r="AA43" s="426"/>
      <c r="AB43" s="426"/>
      <c r="AC43" s="426"/>
      <c r="AD43" s="426"/>
      <c r="AE43" s="427"/>
      <c r="AF43" s="426"/>
      <c r="AG43" s="426"/>
      <c r="AH43" s="426"/>
      <c r="AI43" s="426"/>
      <c r="AJ43" s="426"/>
      <c r="AK43" s="426"/>
      <c r="AL43" s="426"/>
      <c r="AM43" s="426"/>
      <c r="AN43" s="426"/>
      <c r="AO43" s="427"/>
      <c r="AP43" s="426"/>
      <c r="AQ43" s="426"/>
      <c r="AR43" s="426"/>
      <c r="AS43" s="426"/>
      <c r="AT43" s="426"/>
      <c r="AU43" s="426"/>
      <c r="AV43" s="426"/>
      <c r="AW43" s="426"/>
      <c r="AX43" s="426"/>
      <c r="AY43" s="427"/>
      <c r="AZ43" s="426"/>
      <c r="BA43" s="426"/>
      <c r="BB43" s="426"/>
      <c r="BC43" s="426"/>
      <c r="BD43" s="426"/>
      <c r="BE43" s="426"/>
      <c r="BF43" s="426"/>
      <c r="BG43" s="426"/>
      <c r="BH43" s="426"/>
      <c r="BI43" s="427"/>
      <c r="BJ43" s="426"/>
      <c r="BK43" s="426"/>
      <c r="BL43" s="426"/>
      <c r="BM43" s="426"/>
      <c r="BN43" s="426"/>
      <c r="BO43" s="426"/>
      <c r="BP43" s="426"/>
      <c r="BQ43" s="426"/>
      <c r="BR43" s="426"/>
      <c r="BS43" s="427"/>
      <c r="BT43" s="426"/>
      <c r="BU43" s="426"/>
      <c r="BV43" s="426"/>
      <c r="BW43" s="426"/>
      <c r="BX43" s="426"/>
      <c r="BY43" s="426"/>
      <c r="BZ43" s="426"/>
      <c r="CA43" s="426"/>
      <c r="CB43" s="426"/>
      <c r="CC43" s="426"/>
      <c r="CD43" s="1647"/>
      <c r="CE43" s="1648"/>
      <c r="CF43" s="1649"/>
      <c r="CG43" s="1650"/>
      <c r="CH43" s="1638"/>
      <c r="CI43" s="1639"/>
      <c r="CJ43" s="1640"/>
      <c r="CK43" s="1641"/>
      <c r="CL43" s="1642"/>
      <c r="CM43" s="1643"/>
      <c r="CN43" s="1636"/>
      <c r="CO43" s="1637"/>
      <c r="CQ43" s="367"/>
      <c r="CR43" s="381"/>
      <c r="CS43" s="439"/>
    </row>
    <row r="44" spans="1:100" ht="10.5" customHeight="1">
      <c r="A44" s="1645" t="s">
        <v>621</v>
      </c>
      <c r="K44" s="417"/>
      <c r="P44" s="423"/>
      <c r="U44" s="417"/>
      <c r="AA44" s="954"/>
      <c r="AE44" s="417"/>
      <c r="AO44" s="417"/>
      <c r="AP44" s="954"/>
      <c r="AT44" s="423"/>
      <c r="AY44" s="417"/>
      <c r="BA44" s="422"/>
      <c r="BI44" s="417"/>
      <c r="BJ44" s="423"/>
      <c r="BS44" s="417"/>
      <c r="CD44" s="1651" t="s">
        <v>54</v>
      </c>
      <c r="CE44" s="1652"/>
      <c r="CF44" s="1652"/>
      <c r="CG44" s="1652"/>
      <c r="CH44" s="1653" t="s">
        <v>54</v>
      </c>
      <c r="CI44" s="1654"/>
      <c r="CJ44" s="1654"/>
      <c r="CK44" s="1655"/>
      <c r="CL44" s="1656" t="s">
        <v>54</v>
      </c>
      <c r="CM44" s="1656"/>
      <c r="CN44" s="1656"/>
      <c r="CO44" s="1657"/>
      <c r="CQ44" s="349"/>
      <c r="CR44" s="349"/>
      <c r="CS44" s="377"/>
    </row>
    <row r="45" spans="1:100" ht="3.75" customHeight="1">
      <c r="A45" s="1645"/>
      <c r="K45" s="417"/>
      <c r="P45" s="423"/>
      <c r="U45" s="417"/>
      <c r="AA45" s="423"/>
      <c r="AE45" s="417"/>
      <c r="AO45" s="417"/>
      <c r="AP45" s="423"/>
      <c r="AT45" s="423"/>
      <c r="AY45" s="417"/>
      <c r="BA45" s="422"/>
      <c r="BI45" s="417"/>
      <c r="BJ45" s="423"/>
      <c r="BS45" s="417"/>
      <c r="CD45" s="1634"/>
      <c r="CE45" s="1635"/>
      <c r="CF45" s="1635"/>
      <c r="CG45" s="1635"/>
      <c r="CH45" s="1617"/>
      <c r="CI45" s="1618"/>
      <c r="CJ45" s="1618"/>
      <c r="CK45" s="1619"/>
      <c r="CL45" s="1658"/>
      <c r="CM45" s="1658"/>
      <c r="CN45" s="1658"/>
      <c r="CO45" s="1659"/>
      <c r="CQ45" s="367" t="s">
        <v>54</v>
      </c>
      <c r="CR45" s="381" t="s">
        <v>54</v>
      </c>
      <c r="CS45" s="377"/>
    </row>
    <row r="46" spans="1:100" ht="13.5" customHeight="1">
      <c r="A46" s="1646"/>
      <c r="B46" s="426"/>
      <c r="C46" s="426"/>
      <c r="D46" s="426"/>
      <c r="E46" s="426"/>
      <c r="F46" s="426"/>
      <c r="G46" s="426"/>
      <c r="H46" s="426"/>
      <c r="I46" s="426"/>
      <c r="J46" s="426"/>
      <c r="K46" s="427"/>
      <c r="L46" s="426"/>
      <c r="M46" s="426"/>
      <c r="N46" s="426"/>
      <c r="O46" s="426"/>
      <c r="P46" s="431"/>
      <c r="Q46" s="426"/>
      <c r="R46" s="426"/>
      <c r="S46" s="426"/>
      <c r="T46" s="426"/>
      <c r="U46" s="427"/>
      <c r="V46" s="426"/>
      <c r="W46" s="426"/>
      <c r="X46" s="426"/>
      <c r="Y46" s="426"/>
      <c r="Z46" s="426"/>
      <c r="AA46" s="431"/>
      <c r="AB46" s="426"/>
      <c r="AC46" s="426"/>
      <c r="AD46" s="426"/>
      <c r="AE46" s="427"/>
      <c r="AF46" s="426"/>
      <c r="AG46" s="426"/>
      <c r="AH46" s="426"/>
      <c r="AI46" s="426"/>
      <c r="AJ46" s="426"/>
      <c r="AK46" s="426"/>
      <c r="AL46" s="426"/>
      <c r="AM46" s="426"/>
      <c r="AN46" s="426"/>
      <c r="AO46" s="427"/>
      <c r="AP46" s="431"/>
      <c r="AQ46" s="426"/>
      <c r="AR46" s="426"/>
      <c r="AS46" s="426"/>
      <c r="AT46" s="431"/>
      <c r="AU46" s="426"/>
      <c r="AV46" s="426"/>
      <c r="AW46" s="426"/>
      <c r="AX46" s="426"/>
      <c r="AY46" s="427"/>
      <c r="AZ46" s="426"/>
      <c r="BA46" s="894"/>
      <c r="BB46" s="426"/>
      <c r="BC46" s="426"/>
      <c r="BD46" s="426"/>
      <c r="BE46" s="426"/>
      <c r="BF46" s="426"/>
      <c r="BG46" s="426"/>
      <c r="BH46" s="426"/>
      <c r="BI46" s="427"/>
      <c r="BJ46" s="431"/>
      <c r="BK46" s="426"/>
      <c r="BL46" s="426"/>
      <c r="BM46" s="426"/>
      <c r="BN46" s="426"/>
      <c r="BO46" s="426"/>
      <c r="BP46" s="426"/>
      <c r="BQ46" s="426"/>
      <c r="BR46" s="426"/>
      <c r="BS46" s="427"/>
      <c r="BT46" s="426"/>
      <c r="BU46" s="426"/>
      <c r="BV46" s="426"/>
      <c r="BW46" s="426"/>
      <c r="BX46" s="426"/>
      <c r="BY46" s="426"/>
      <c r="BZ46" s="426"/>
      <c r="CA46" s="426"/>
      <c r="CB46" s="426"/>
      <c r="CC46" s="426"/>
      <c r="CD46" s="1660">
        <v>5</v>
      </c>
      <c r="CE46" s="1661"/>
      <c r="CF46" s="1649">
        <v>0.83299999999999996</v>
      </c>
      <c r="CG46" s="1650"/>
      <c r="CH46" s="1638">
        <v>0</v>
      </c>
      <c r="CI46" s="1639"/>
      <c r="CJ46" s="1640">
        <v>0</v>
      </c>
      <c r="CK46" s="1641"/>
      <c r="CL46" s="1642">
        <v>1</v>
      </c>
      <c r="CM46" s="1643"/>
      <c r="CN46" s="1636">
        <v>0.16700000000000001</v>
      </c>
      <c r="CO46" s="1637"/>
      <c r="CQ46" s="385">
        <f>CD46+CH46+CL46</f>
        <v>6</v>
      </c>
      <c r="CR46" s="381">
        <f>CF46+CJ46+CN46</f>
        <v>1</v>
      </c>
      <c r="CS46" s="377"/>
    </row>
    <row r="47" spans="1:100" ht="10.5" customHeight="1">
      <c r="A47" s="1644" t="s">
        <v>56</v>
      </c>
      <c r="K47" s="417"/>
      <c r="U47" s="417"/>
      <c r="AE47" s="417"/>
      <c r="AO47" s="417"/>
      <c r="AY47" s="417"/>
      <c r="BI47" s="417"/>
      <c r="BS47" s="417"/>
      <c r="CD47" s="1651" t="s">
        <v>54</v>
      </c>
      <c r="CE47" s="1652"/>
      <c r="CF47" s="1652"/>
      <c r="CG47" s="1652"/>
      <c r="CH47" s="1653" t="s">
        <v>54</v>
      </c>
      <c r="CI47" s="1654"/>
      <c r="CJ47" s="1654"/>
      <c r="CK47" s="1655"/>
      <c r="CL47" s="1656" t="s">
        <v>54</v>
      </c>
      <c r="CM47" s="1656"/>
      <c r="CN47" s="1656"/>
      <c r="CO47" s="1657"/>
      <c r="CQ47" s="367" t="s">
        <v>54</v>
      </c>
      <c r="CR47" s="381" t="s">
        <v>54</v>
      </c>
      <c r="CS47" s="377"/>
    </row>
    <row r="48" spans="1:100" ht="3.75" customHeight="1">
      <c r="A48" s="1645"/>
      <c r="B48" s="423"/>
      <c r="C48" s="423"/>
      <c r="D48" s="423"/>
      <c r="E48" s="423"/>
      <c r="F48" s="423"/>
      <c r="G48" s="423"/>
      <c r="H48" s="423"/>
      <c r="I48" s="423"/>
      <c r="J48" s="423"/>
      <c r="K48" s="433"/>
      <c r="L48" s="423"/>
      <c r="M48" s="423"/>
      <c r="N48" s="423"/>
      <c r="O48" s="423"/>
      <c r="P48" s="423"/>
      <c r="Q48" s="423"/>
      <c r="R48" s="423"/>
      <c r="S48" s="423"/>
      <c r="T48" s="423"/>
      <c r="U48" s="433"/>
      <c r="V48" s="419"/>
      <c r="W48" s="419"/>
      <c r="X48" s="419"/>
      <c r="Y48" s="419"/>
      <c r="Z48" s="419"/>
      <c r="AA48" s="419"/>
      <c r="AB48" s="419"/>
      <c r="AC48" s="419"/>
      <c r="AD48" s="419"/>
      <c r="AE48" s="420"/>
      <c r="AF48" s="419"/>
      <c r="AG48" s="419"/>
      <c r="AH48" s="419"/>
      <c r="AI48" s="419"/>
      <c r="AJ48" s="419"/>
      <c r="AK48" s="419"/>
      <c r="AL48" s="423"/>
      <c r="AM48" s="423"/>
      <c r="AN48" s="423"/>
      <c r="AO48" s="433"/>
      <c r="AP48" s="423"/>
      <c r="AQ48" s="423"/>
      <c r="AR48" s="423"/>
      <c r="AS48" s="423"/>
      <c r="AT48" s="423"/>
      <c r="AU48" s="423"/>
      <c r="AV48" s="423"/>
      <c r="AW48" s="423"/>
      <c r="AX48" s="423"/>
      <c r="AY48" s="433"/>
      <c r="AZ48" s="423"/>
      <c r="BA48" s="423"/>
      <c r="BB48" s="423"/>
      <c r="BC48" s="423"/>
      <c r="BD48" s="423"/>
      <c r="BE48" s="423"/>
      <c r="BF48" s="423"/>
      <c r="BG48" s="423"/>
      <c r="BH48" s="423"/>
      <c r="BI48" s="433"/>
      <c r="BJ48" s="423"/>
      <c r="BK48" s="423"/>
      <c r="BL48" s="423"/>
      <c r="BM48" s="423"/>
      <c r="BN48" s="423"/>
      <c r="BO48" s="423"/>
      <c r="BP48" s="423"/>
      <c r="BQ48" s="423"/>
      <c r="BR48" s="423"/>
      <c r="BS48" s="420"/>
      <c r="BT48" s="419"/>
      <c r="BU48" s="419"/>
      <c r="BV48" s="419"/>
      <c r="BW48" s="419"/>
      <c r="BX48" s="419"/>
      <c r="BY48" s="419"/>
      <c r="BZ48" s="419"/>
      <c r="CA48" s="419"/>
      <c r="CB48" s="419"/>
      <c r="CC48" s="419"/>
      <c r="CD48" s="1634"/>
      <c r="CE48" s="1635"/>
      <c r="CF48" s="1635"/>
      <c r="CG48" s="1635"/>
      <c r="CH48" s="1617"/>
      <c r="CI48" s="1618"/>
      <c r="CJ48" s="1618"/>
      <c r="CK48" s="1619"/>
      <c r="CL48" s="1658"/>
      <c r="CM48" s="1658"/>
      <c r="CN48" s="1658"/>
      <c r="CO48" s="1659"/>
      <c r="CQ48" s="367"/>
      <c r="CR48" s="381"/>
      <c r="CS48" s="377"/>
    </row>
    <row r="49" spans="1:99" ht="13.5" customHeight="1">
      <c r="A49" s="1646"/>
      <c r="B49" s="426"/>
      <c r="C49" s="426"/>
      <c r="D49" s="426"/>
      <c r="E49" s="426"/>
      <c r="F49" s="426"/>
      <c r="G49" s="426"/>
      <c r="H49" s="426"/>
      <c r="I49" s="426"/>
      <c r="J49" s="426"/>
      <c r="K49" s="427"/>
      <c r="L49" s="426"/>
      <c r="M49" s="426"/>
      <c r="N49" s="426"/>
      <c r="O49" s="426"/>
      <c r="P49" s="426"/>
      <c r="Q49" s="426"/>
      <c r="R49" s="426"/>
      <c r="S49" s="426"/>
      <c r="T49" s="426"/>
      <c r="U49" s="427"/>
      <c r="V49" s="426"/>
      <c r="W49" s="426"/>
      <c r="X49" s="426"/>
      <c r="Y49" s="426"/>
      <c r="Z49" s="426"/>
      <c r="AA49" s="426"/>
      <c r="AB49" s="426"/>
      <c r="AC49" s="426"/>
      <c r="AD49" s="426"/>
      <c r="AE49" s="427"/>
      <c r="AF49" s="426"/>
      <c r="AG49" s="426"/>
      <c r="AH49" s="426"/>
      <c r="AI49" s="426"/>
      <c r="AJ49" s="426"/>
      <c r="AK49" s="426"/>
      <c r="AL49" s="426"/>
      <c r="AM49" s="426"/>
      <c r="AN49" s="426"/>
      <c r="AO49" s="427"/>
      <c r="AP49" s="426"/>
      <c r="AQ49" s="426"/>
      <c r="AR49" s="426"/>
      <c r="AS49" s="426"/>
      <c r="AT49" s="426"/>
      <c r="AU49" s="426"/>
      <c r="AV49" s="426"/>
      <c r="AW49" s="426"/>
      <c r="AX49" s="426"/>
      <c r="AY49" s="427"/>
      <c r="AZ49" s="426"/>
      <c r="BA49" s="426"/>
      <c r="BB49" s="426"/>
      <c r="BC49" s="426"/>
      <c r="BD49" s="426"/>
      <c r="BE49" s="426"/>
      <c r="BF49" s="426"/>
      <c r="BG49" s="426"/>
      <c r="BH49" s="426"/>
      <c r="BI49" s="427"/>
      <c r="BJ49" s="426"/>
      <c r="BK49" s="426"/>
      <c r="BL49" s="426"/>
      <c r="BM49" s="426"/>
      <c r="BN49" s="426"/>
      <c r="BO49" s="426"/>
      <c r="BP49" s="426"/>
      <c r="BQ49" s="426"/>
      <c r="BR49" s="426"/>
      <c r="BS49" s="427"/>
      <c r="BT49" s="426"/>
      <c r="BU49" s="426"/>
      <c r="BV49" s="426"/>
      <c r="BW49" s="426"/>
      <c r="BX49" s="426"/>
      <c r="BY49" s="426"/>
      <c r="BZ49" s="426"/>
      <c r="CA49" s="426"/>
      <c r="CB49" s="426"/>
      <c r="CC49" s="426"/>
      <c r="CD49" s="1647">
        <v>25</v>
      </c>
      <c r="CE49" s="1648"/>
      <c r="CF49" s="1649">
        <f>CD49/CS38</f>
        <v>0.69890970086664794</v>
      </c>
      <c r="CG49" s="1650"/>
      <c r="CH49" s="1638">
        <v>10.77</v>
      </c>
      <c r="CI49" s="1639"/>
      <c r="CJ49" s="1640">
        <f>CH49/CS38</f>
        <v>0.30109029913335195</v>
      </c>
      <c r="CK49" s="1641"/>
      <c r="CL49" s="1642">
        <v>0</v>
      </c>
      <c r="CM49" s="1643"/>
      <c r="CN49" s="1636">
        <f>CL49/CS38</f>
        <v>0</v>
      </c>
      <c r="CO49" s="1637"/>
      <c r="CQ49" s="367">
        <f>CD49+CH49+CL49</f>
        <v>35.769999999999996</v>
      </c>
      <c r="CR49" s="381">
        <f>CF49+CJ49+CN49</f>
        <v>0.99999999999999989</v>
      </c>
      <c r="CS49" s="377"/>
      <c r="CT49" s="434"/>
    </row>
    <row r="50" spans="1:99" ht="10.5" customHeight="1">
      <c r="A50" s="1644" t="s">
        <v>229</v>
      </c>
      <c r="K50" s="417"/>
      <c r="U50" s="417"/>
      <c r="AE50" s="417"/>
      <c r="AO50" s="417"/>
      <c r="AY50" s="417"/>
      <c r="BI50" s="417"/>
      <c r="BS50" s="417"/>
      <c r="CD50" s="1651" t="s">
        <v>54</v>
      </c>
      <c r="CE50" s="1652"/>
      <c r="CF50" s="1652"/>
      <c r="CG50" s="1652"/>
      <c r="CH50" s="1653" t="s">
        <v>54</v>
      </c>
      <c r="CI50" s="1654"/>
      <c r="CJ50" s="1654"/>
      <c r="CK50" s="1655"/>
      <c r="CL50" s="1656" t="s">
        <v>54</v>
      </c>
      <c r="CM50" s="1656"/>
      <c r="CN50" s="1656"/>
      <c r="CO50" s="1657"/>
      <c r="CQ50" s="367"/>
      <c r="CR50" s="381"/>
      <c r="CS50" s="377"/>
    </row>
    <row r="51" spans="1:99" ht="3.75" customHeight="1">
      <c r="A51" s="1645"/>
      <c r="B51" s="423"/>
      <c r="C51" s="423"/>
      <c r="D51" s="423"/>
      <c r="E51" s="423"/>
      <c r="F51" s="423"/>
      <c r="G51" s="423"/>
      <c r="H51" s="423"/>
      <c r="I51" s="423"/>
      <c r="J51" s="423"/>
      <c r="K51" s="433"/>
      <c r="L51" s="423"/>
      <c r="M51" s="423"/>
      <c r="N51" s="423"/>
      <c r="O51" s="423"/>
      <c r="P51" s="423"/>
      <c r="Q51" s="419"/>
      <c r="R51" s="419"/>
      <c r="S51" s="419"/>
      <c r="T51" s="423"/>
      <c r="U51" s="433"/>
      <c r="V51" s="423"/>
      <c r="W51" s="423"/>
      <c r="X51" s="423"/>
      <c r="Y51" s="423"/>
      <c r="Z51" s="423"/>
      <c r="AA51" s="423"/>
      <c r="AB51" s="423"/>
      <c r="AC51" s="423"/>
      <c r="AD51" s="423"/>
      <c r="AE51" s="433"/>
      <c r="AF51" s="423"/>
      <c r="AG51" s="423"/>
      <c r="AH51" s="423"/>
      <c r="AI51" s="423"/>
      <c r="AJ51" s="423"/>
      <c r="AK51" s="423"/>
      <c r="AL51" s="423"/>
      <c r="AM51" s="423"/>
      <c r="AN51" s="423"/>
      <c r="AO51" s="420"/>
      <c r="AP51" s="419"/>
      <c r="AQ51" s="419"/>
      <c r="AR51" s="419"/>
      <c r="AS51" s="419"/>
      <c r="AT51" s="423"/>
      <c r="AU51" s="423"/>
      <c r="AV51" s="423"/>
      <c r="AW51" s="423"/>
      <c r="AX51" s="423"/>
      <c r="AY51" s="433"/>
      <c r="AZ51" s="423"/>
      <c r="BA51" s="423"/>
      <c r="BB51" s="423"/>
      <c r="BC51" s="423"/>
      <c r="BD51" s="423"/>
      <c r="BE51" s="423"/>
      <c r="BF51" s="423"/>
      <c r="BG51" s="423"/>
      <c r="BH51" s="423"/>
      <c r="BI51" s="433"/>
      <c r="BJ51" s="423"/>
      <c r="BK51" s="423"/>
      <c r="BL51" s="419"/>
      <c r="BM51" s="419"/>
      <c r="BN51" s="419"/>
      <c r="BO51" s="419"/>
      <c r="BP51" s="419"/>
      <c r="BQ51" s="423"/>
      <c r="BR51" s="423"/>
      <c r="BS51" s="433"/>
      <c r="BT51" s="423"/>
      <c r="BU51" s="423"/>
      <c r="BV51" s="423"/>
      <c r="BW51" s="423"/>
      <c r="BX51" s="423"/>
      <c r="BY51" s="423"/>
      <c r="BZ51" s="423"/>
      <c r="CA51" s="423"/>
      <c r="CB51" s="423"/>
      <c r="CC51" s="423"/>
      <c r="CD51" s="1634"/>
      <c r="CE51" s="1635"/>
      <c r="CF51" s="1635"/>
      <c r="CG51" s="1635"/>
      <c r="CH51" s="1617"/>
      <c r="CI51" s="1618"/>
      <c r="CJ51" s="1618"/>
      <c r="CK51" s="1619"/>
      <c r="CL51" s="1658"/>
      <c r="CM51" s="1658"/>
      <c r="CN51" s="1658"/>
      <c r="CO51" s="1659"/>
      <c r="CQ51" s="367" t="s">
        <v>54</v>
      </c>
      <c r="CR51" s="381" t="s">
        <v>54</v>
      </c>
      <c r="CS51" s="367"/>
    </row>
    <row r="52" spans="1:99" ht="13.5" customHeight="1">
      <c r="A52" s="1646"/>
      <c r="B52" s="426"/>
      <c r="C52" s="426"/>
      <c r="D52" s="426"/>
      <c r="E52" s="426"/>
      <c r="F52" s="426"/>
      <c r="G52" s="426"/>
      <c r="H52" s="426"/>
      <c r="I52" s="426"/>
      <c r="J52" s="426"/>
      <c r="K52" s="427"/>
      <c r="L52" s="426"/>
      <c r="M52" s="426"/>
      <c r="N52" s="426"/>
      <c r="O52" s="426"/>
      <c r="P52" s="426"/>
      <c r="Q52" s="426"/>
      <c r="R52" s="426"/>
      <c r="S52" s="426"/>
      <c r="T52" s="426"/>
      <c r="U52" s="427"/>
      <c r="V52" s="426"/>
      <c r="W52" s="426"/>
      <c r="X52" s="426"/>
      <c r="Y52" s="426"/>
      <c r="Z52" s="426"/>
      <c r="AA52" s="426"/>
      <c r="AB52" s="426"/>
      <c r="AC52" s="426"/>
      <c r="AD52" s="426"/>
      <c r="AE52" s="427"/>
      <c r="AF52" s="426"/>
      <c r="AG52" s="426"/>
      <c r="AH52" s="426"/>
      <c r="AI52" s="426"/>
      <c r="AJ52" s="426"/>
      <c r="AK52" s="426"/>
      <c r="AL52" s="426"/>
      <c r="AM52" s="426"/>
      <c r="AN52" s="426"/>
      <c r="AO52" s="427"/>
      <c r="AP52" s="426"/>
      <c r="AQ52" s="426"/>
      <c r="AR52" s="426"/>
      <c r="AS52" s="426"/>
      <c r="AT52" s="426"/>
      <c r="AU52" s="426"/>
      <c r="AV52" s="426"/>
      <c r="AW52" s="426"/>
      <c r="AX52" s="426"/>
      <c r="AY52" s="427"/>
      <c r="AZ52" s="426"/>
      <c r="BA52" s="426"/>
      <c r="BB52" s="426"/>
      <c r="BC52" s="426"/>
      <c r="BD52" s="426"/>
      <c r="BE52" s="426"/>
      <c r="BF52" s="426"/>
      <c r="BG52" s="426"/>
      <c r="BH52" s="426"/>
      <c r="BI52" s="427"/>
      <c r="BJ52" s="426"/>
      <c r="BK52" s="426"/>
      <c r="BL52" s="426"/>
      <c r="BM52" s="426"/>
      <c r="BN52" s="426"/>
      <c r="BO52" s="426"/>
      <c r="BP52" s="426"/>
      <c r="BQ52" s="426"/>
      <c r="BR52" s="426"/>
      <c r="BS52" s="427"/>
      <c r="BT52" s="426"/>
      <c r="BU52" s="426"/>
      <c r="BV52" s="426"/>
      <c r="BW52" s="426"/>
      <c r="BX52" s="426"/>
      <c r="BY52" s="426"/>
      <c r="BZ52" s="426"/>
      <c r="CA52" s="426"/>
      <c r="CB52" s="426"/>
      <c r="CC52" s="426"/>
      <c r="CD52" s="1647">
        <v>26</v>
      </c>
      <c r="CE52" s="1648"/>
      <c r="CF52" s="1649">
        <f>CD52/CS38</f>
        <v>0.72686608890131388</v>
      </c>
      <c r="CG52" s="1650"/>
      <c r="CH52" s="1638">
        <v>9.77</v>
      </c>
      <c r="CI52" s="1639"/>
      <c r="CJ52" s="1640">
        <f>CH52/CS38</f>
        <v>0.27313391109868601</v>
      </c>
      <c r="CK52" s="1641"/>
      <c r="CL52" s="1642">
        <v>0</v>
      </c>
      <c r="CM52" s="1643"/>
      <c r="CN52" s="1636">
        <f>CL52/CS38</f>
        <v>0</v>
      </c>
      <c r="CO52" s="1637"/>
      <c r="CQ52" s="367">
        <f>CD52+CH52+CL52</f>
        <v>35.769999999999996</v>
      </c>
      <c r="CR52" s="381">
        <f>CF52+CJ52+CN52</f>
        <v>0.99999999999999989</v>
      </c>
      <c r="CS52" s="367" t="s">
        <v>54</v>
      </c>
      <c r="CT52" s="440"/>
      <c r="CU52" s="440"/>
    </row>
    <row r="53" spans="1:99" ht="10.5" customHeight="1">
      <c r="A53" s="1644" t="s">
        <v>57</v>
      </c>
      <c r="K53" s="417"/>
      <c r="U53" s="417"/>
      <c r="AE53" s="417"/>
      <c r="AO53" s="417"/>
      <c r="AY53" s="417"/>
      <c r="BI53" s="417"/>
      <c r="BS53" s="417"/>
      <c r="CD53" s="1728" t="s">
        <v>54</v>
      </c>
      <c r="CE53" s="1729"/>
      <c r="CF53" s="1729"/>
      <c r="CG53" s="1730"/>
      <c r="CH53" s="1653" t="s">
        <v>54</v>
      </c>
      <c r="CI53" s="1654"/>
      <c r="CJ53" s="1654"/>
      <c r="CK53" s="1655"/>
      <c r="CL53" s="1656" t="s">
        <v>54</v>
      </c>
      <c r="CM53" s="1656"/>
      <c r="CN53" s="1656"/>
      <c r="CO53" s="1657"/>
      <c r="CQ53" s="367" t="s">
        <v>54</v>
      </c>
      <c r="CR53" s="381" t="s">
        <v>54</v>
      </c>
      <c r="CS53" s="367"/>
    </row>
    <row r="54" spans="1:99" ht="3.75" customHeight="1">
      <c r="A54" s="1645"/>
      <c r="B54" s="423"/>
      <c r="C54" s="437"/>
      <c r="D54" s="437"/>
      <c r="E54" s="437"/>
      <c r="F54" s="437"/>
      <c r="G54" s="437"/>
      <c r="H54" s="437"/>
      <c r="I54" s="437"/>
      <c r="J54" s="437"/>
      <c r="K54" s="437"/>
      <c r="L54" s="437"/>
      <c r="M54" s="437"/>
      <c r="N54" s="437"/>
      <c r="O54" s="437"/>
      <c r="P54" s="437"/>
      <c r="Q54" s="437"/>
      <c r="R54" s="437"/>
      <c r="S54" s="437"/>
      <c r="T54" s="437"/>
      <c r="U54" s="437"/>
      <c r="V54" s="437"/>
      <c r="W54" s="437"/>
      <c r="X54" s="437"/>
      <c r="Y54" s="437"/>
      <c r="Z54" s="437"/>
      <c r="AA54" s="437"/>
      <c r="AB54" s="437"/>
      <c r="AC54" s="437"/>
      <c r="AD54" s="437"/>
      <c r="AE54" s="438"/>
      <c r="AF54" s="437"/>
      <c r="AG54" s="423"/>
      <c r="AH54" s="423"/>
      <c r="AI54" s="423"/>
      <c r="AJ54" s="423"/>
      <c r="AK54" s="423"/>
      <c r="AL54" s="423"/>
      <c r="AM54" s="423"/>
      <c r="AN54" s="423"/>
      <c r="AO54" s="433"/>
      <c r="AP54" s="423"/>
      <c r="AQ54" s="423"/>
      <c r="AR54" s="423"/>
      <c r="AS54" s="423"/>
      <c r="AT54" s="423"/>
      <c r="AU54" s="423"/>
      <c r="AV54" s="423"/>
      <c r="AW54" s="423"/>
      <c r="AX54" s="423"/>
      <c r="AY54" s="433"/>
      <c r="AZ54" s="423"/>
      <c r="BA54" s="423"/>
      <c r="BB54" s="423"/>
      <c r="BC54" s="423"/>
      <c r="BD54" s="423"/>
      <c r="BE54" s="423"/>
      <c r="BF54" s="423"/>
      <c r="BG54" s="423"/>
      <c r="BH54" s="423"/>
      <c r="BI54" s="433"/>
      <c r="BJ54" s="423"/>
      <c r="BK54" s="423"/>
      <c r="BL54" s="423"/>
      <c r="BM54" s="423"/>
      <c r="BN54" s="423"/>
      <c r="BO54" s="423"/>
      <c r="BP54" s="423"/>
      <c r="BQ54" s="423"/>
      <c r="BR54" s="423"/>
      <c r="BS54" s="433"/>
      <c r="BT54" s="423"/>
      <c r="BU54" s="423"/>
      <c r="BV54" s="423"/>
      <c r="BW54" s="423"/>
      <c r="BX54" s="423"/>
      <c r="BY54" s="423"/>
      <c r="BZ54" s="423"/>
      <c r="CA54" s="423"/>
      <c r="CB54" s="423"/>
      <c r="CC54" s="423"/>
      <c r="CD54" s="1634"/>
      <c r="CE54" s="1635"/>
      <c r="CF54" s="1635"/>
      <c r="CG54" s="1731"/>
      <c r="CH54" s="1617"/>
      <c r="CI54" s="1618"/>
      <c r="CJ54" s="1618"/>
      <c r="CK54" s="1619"/>
      <c r="CL54" s="1658"/>
      <c r="CM54" s="1658"/>
      <c r="CN54" s="1658"/>
      <c r="CO54" s="1659"/>
      <c r="CQ54" s="367"/>
      <c r="CR54" s="381"/>
      <c r="CS54" s="377"/>
    </row>
    <row r="55" spans="1:99" ht="13.5" customHeight="1">
      <c r="A55" s="1646"/>
      <c r="B55" s="426"/>
      <c r="C55" s="426"/>
      <c r="D55" s="426"/>
      <c r="E55" s="426"/>
      <c r="F55" s="426"/>
      <c r="G55" s="426"/>
      <c r="H55" s="426"/>
      <c r="I55" s="426"/>
      <c r="J55" s="426"/>
      <c r="K55" s="427"/>
      <c r="L55" s="426"/>
      <c r="M55" s="426"/>
      <c r="N55" s="426"/>
      <c r="O55" s="426"/>
      <c r="P55" s="426"/>
      <c r="Q55" s="426"/>
      <c r="R55" s="426"/>
      <c r="S55" s="426"/>
      <c r="T55" s="426"/>
      <c r="U55" s="427"/>
      <c r="V55" s="426"/>
      <c r="W55" s="426"/>
      <c r="X55" s="426"/>
      <c r="Y55" s="426"/>
      <c r="Z55" s="426"/>
      <c r="AA55" s="426"/>
      <c r="AB55" s="426"/>
      <c r="AC55" s="426"/>
      <c r="AD55" s="426"/>
      <c r="AE55" s="427"/>
      <c r="AF55" s="426"/>
      <c r="AG55" s="426"/>
      <c r="AH55" s="426"/>
      <c r="AI55" s="426"/>
      <c r="AJ55" s="426"/>
      <c r="AK55" s="426"/>
      <c r="AL55" s="426"/>
      <c r="AM55" s="426"/>
      <c r="AN55" s="426"/>
      <c r="AO55" s="427"/>
      <c r="AP55" s="426"/>
      <c r="AQ55" s="426"/>
      <c r="AR55" s="426"/>
      <c r="AS55" s="426"/>
      <c r="AT55" s="426"/>
      <c r="AU55" s="426"/>
      <c r="AV55" s="426"/>
      <c r="AW55" s="426"/>
      <c r="AX55" s="426"/>
      <c r="AY55" s="427"/>
      <c r="AZ55" s="426"/>
      <c r="BA55" s="426"/>
      <c r="BB55" s="426"/>
      <c r="BC55" s="426"/>
      <c r="BD55" s="426"/>
      <c r="BE55" s="426"/>
      <c r="BF55" s="426"/>
      <c r="BG55" s="426"/>
      <c r="BH55" s="426"/>
      <c r="BI55" s="427"/>
      <c r="BJ55" s="426"/>
      <c r="BK55" s="426"/>
      <c r="BL55" s="426"/>
      <c r="BM55" s="426"/>
      <c r="BN55" s="426"/>
      <c r="BO55" s="426"/>
      <c r="BP55" s="426"/>
      <c r="BQ55" s="426"/>
      <c r="BR55" s="426"/>
      <c r="BS55" s="427"/>
      <c r="BT55" s="426"/>
      <c r="BU55" s="426"/>
      <c r="BV55" s="426"/>
      <c r="BW55" s="426"/>
      <c r="BX55" s="426"/>
      <c r="BY55" s="426"/>
      <c r="BZ55" s="426"/>
      <c r="CA55" s="426"/>
      <c r="CB55" s="426"/>
      <c r="CC55" s="426"/>
      <c r="CD55" s="1647">
        <f>+CQ40-CL55</f>
        <v>32.256</v>
      </c>
      <c r="CE55" s="1648"/>
      <c r="CF55" s="1649">
        <f>CD55/CS38</f>
        <v>0.90176125244618388</v>
      </c>
      <c r="CG55" s="1650"/>
      <c r="CH55" s="1638">
        <v>0</v>
      </c>
      <c r="CI55" s="1639"/>
      <c r="CJ55" s="1640">
        <f>CH55/CS38</f>
        <v>0</v>
      </c>
      <c r="CK55" s="1641"/>
      <c r="CL55" s="1642">
        <v>3.55</v>
      </c>
      <c r="CM55" s="1643"/>
      <c r="CN55" s="1636">
        <f>CL55/CS38</f>
        <v>9.9245177523064013E-2</v>
      </c>
      <c r="CO55" s="1637"/>
      <c r="CQ55" s="367">
        <f>+CD55+CH55+CL55</f>
        <v>35.805999999999997</v>
      </c>
      <c r="CR55" s="381">
        <f>CF55+CJ55+CN55</f>
        <v>1.0010064299692478</v>
      </c>
      <c r="CS55" s="367" t="s">
        <v>54</v>
      </c>
    </row>
    <row r="56" spans="1:99" ht="10.5" customHeight="1">
      <c r="A56" s="1644" t="s">
        <v>58</v>
      </c>
      <c r="K56" s="417"/>
      <c r="U56" s="417"/>
      <c r="AE56" s="417"/>
      <c r="AO56" s="417"/>
      <c r="AY56" s="417"/>
      <c r="BI56" s="417"/>
      <c r="BS56" s="417"/>
      <c r="CD56" s="1651" t="s">
        <v>54</v>
      </c>
      <c r="CE56" s="1652"/>
      <c r="CF56" s="1652"/>
      <c r="CG56" s="1652"/>
      <c r="CH56" s="1653" t="s">
        <v>54</v>
      </c>
      <c r="CI56" s="1654"/>
      <c r="CJ56" s="1654"/>
      <c r="CK56" s="1655"/>
      <c r="CL56" s="1656" t="s">
        <v>54</v>
      </c>
      <c r="CM56" s="1656"/>
      <c r="CN56" s="1656"/>
      <c r="CO56" s="1657"/>
      <c r="CQ56" s="367"/>
      <c r="CR56" s="381"/>
      <c r="CS56" s="377"/>
    </row>
    <row r="57" spans="1:99" ht="3.75" customHeight="1">
      <c r="A57" s="1645"/>
      <c r="B57" s="423"/>
      <c r="C57" s="423"/>
      <c r="D57" s="423"/>
      <c r="E57" s="423"/>
      <c r="F57" s="423"/>
      <c r="G57" s="423"/>
      <c r="H57" s="423"/>
      <c r="I57" s="423"/>
      <c r="J57" s="423"/>
      <c r="K57" s="433"/>
      <c r="L57" s="423"/>
      <c r="M57" s="423"/>
      <c r="N57" s="423"/>
      <c r="O57" s="423"/>
      <c r="P57" s="423"/>
      <c r="Q57" s="423"/>
      <c r="R57" s="423"/>
      <c r="S57" s="423"/>
      <c r="T57" s="423"/>
      <c r="U57" s="433"/>
      <c r="V57" s="423"/>
      <c r="W57" s="423"/>
      <c r="X57" s="423"/>
      <c r="Y57" s="423"/>
      <c r="Z57" s="423"/>
      <c r="AA57" s="423"/>
      <c r="AB57" s="423"/>
      <c r="AC57" s="423"/>
      <c r="AD57" s="423"/>
      <c r="AE57" s="433"/>
      <c r="AF57" s="423"/>
      <c r="AG57" s="423"/>
      <c r="AH57" s="423"/>
      <c r="AI57" s="423"/>
      <c r="AJ57" s="423"/>
      <c r="AK57" s="423"/>
      <c r="AL57" s="423"/>
      <c r="AM57" s="423"/>
      <c r="AN57" s="423"/>
      <c r="AO57" s="433"/>
      <c r="AP57" s="423"/>
      <c r="AQ57" s="423"/>
      <c r="AR57" s="423"/>
      <c r="AS57" s="423"/>
      <c r="AT57" s="423"/>
      <c r="AU57" s="423"/>
      <c r="AV57" s="423"/>
      <c r="AW57" s="423"/>
      <c r="AX57" s="423"/>
      <c r="AY57" s="433"/>
      <c r="AZ57" s="423"/>
      <c r="BA57" s="423"/>
      <c r="BB57" s="423"/>
      <c r="BC57" s="423"/>
      <c r="BD57" s="423"/>
      <c r="BE57" s="423"/>
      <c r="BF57" s="423"/>
      <c r="BG57" s="423"/>
      <c r="BH57" s="423"/>
      <c r="BI57" s="433"/>
      <c r="BJ57" s="423"/>
      <c r="BK57" s="423"/>
      <c r="BL57" s="423"/>
      <c r="BM57" s="423"/>
      <c r="BN57" s="423"/>
      <c r="BO57" s="423"/>
      <c r="BP57" s="423"/>
      <c r="BQ57" s="423"/>
      <c r="BR57" s="423"/>
      <c r="BS57" s="433"/>
      <c r="BT57" s="423"/>
      <c r="BU57" s="423"/>
      <c r="BV57" s="423"/>
      <c r="BW57" s="423"/>
      <c r="BX57" s="423"/>
      <c r="BY57" s="423"/>
      <c r="BZ57" s="423"/>
      <c r="CA57" s="423"/>
      <c r="CB57" s="423"/>
      <c r="CC57" s="423"/>
      <c r="CD57" s="1634"/>
      <c r="CE57" s="1635"/>
      <c r="CF57" s="1635"/>
      <c r="CG57" s="1635"/>
      <c r="CH57" s="1617"/>
      <c r="CI57" s="1618"/>
      <c r="CJ57" s="1618"/>
      <c r="CK57" s="1619"/>
      <c r="CL57" s="1658"/>
      <c r="CM57" s="1658"/>
      <c r="CN57" s="1658"/>
      <c r="CO57" s="1659"/>
      <c r="CQ57" s="367" t="s">
        <v>54</v>
      </c>
      <c r="CR57" s="381" t="s">
        <v>54</v>
      </c>
      <c r="CS57" s="367"/>
    </row>
    <row r="58" spans="1:99" ht="13.5" customHeight="1">
      <c r="A58" s="1646"/>
      <c r="B58" s="426"/>
      <c r="C58" s="426"/>
      <c r="D58" s="426"/>
      <c r="E58" s="426"/>
      <c r="F58" s="426"/>
      <c r="G58" s="426"/>
      <c r="H58" s="426"/>
      <c r="I58" s="426"/>
      <c r="J58" s="426"/>
      <c r="K58" s="427"/>
      <c r="L58" s="426"/>
      <c r="M58" s="426"/>
      <c r="N58" s="426"/>
      <c r="O58" s="426"/>
      <c r="P58" s="426"/>
      <c r="Q58" s="426"/>
      <c r="R58" s="426"/>
      <c r="S58" s="426"/>
      <c r="T58" s="426"/>
      <c r="U58" s="427"/>
      <c r="V58" s="426"/>
      <c r="W58" s="426"/>
      <c r="X58" s="426"/>
      <c r="Y58" s="426"/>
      <c r="Z58" s="426"/>
      <c r="AA58" s="426"/>
      <c r="AB58" s="426"/>
      <c r="AC58" s="426"/>
      <c r="AD58" s="426"/>
      <c r="AE58" s="427"/>
      <c r="AF58" s="426"/>
      <c r="AG58" s="426"/>
      <c r="AH58" s="426"/>
      <c r="AI58" s="426"/>
      <c r="AJ58" s="426"/>
      <c r="AK58" s="426"/>
      <c r="AL58" s="426"/>
      <c r="AM58" s="426"/>
      <c r="AN58" s="426"/>
      <c r="AO58" s="427"/>
      <c r="AP58" s="426"/>
      <c r="AQ58" s="426"/>
      <c r="AR58" s="426"/>
      <c r="AS58" s="426"/>
      <c r="AT58" s="426"/>
      <c r="AU58" s="426"/>
      <c r="AV58" s="426"/>
      <c r="AW58" s="426"/>
      <c r="AX58" s="426"/>
      <c r="AY58" s="427"/>
      <c r="AZ58" s="426"/>
      <c r="BA58" s="426"/>
      <c r="BB58" s="426"/>
      <c r="BC58" s="426"/>
      <c r="BD58" s="426"/>
      <c r="BE58" s="426"/>
      <c r="BF58" s="426"/>
      <c r="BG58" s="426"/>
      <c r="BH58" s="426"/>
      <c r="BI58" s="427"/>
      <c r="BJ58" s="426"/>
      <c r="BK58" s="426"/>
      <c r="BL58" s="426"/>
      <c r="BM58" s="426"/>
      <c r="BN58" s="426"/>
      <c r="BO58" s="426"/>
      <c r="BP58" s="426"/>
      <c r="BQ58" s="426"/>
      <c r="BR58" s="426"/>
      <c r="BS58" s="427"/>
      <c r="BT58" s="426"/>
      <c r="BU58" s="426"/>
      <c r="BV58" s="426"/>
      <c r="BW58" s="426"/>
      <c r="BX58" s="426"/>
      <c r="BY58" s="426"/>
      <c r="BZ58" s="426"/>
      <c r="CA58" s="426"/>
      <c r="CB58" s="426"/>
      <c r="CC58" s="426"/>
      <c r="CD58" s="1647">
        <f>+CS38</f>
        <v>35.770000000000003</v>
      </c>
      <c r="CE58" s="1648"/>
      <c r="CF58" s="1649">
        <f>CD58/CS38</f>
        <v>1</v>
      </c>
      <c r="CG58" s="1650"/>
      <c r="CH58" s="1638">
        <v>0</v>
      </c>
      <c r="CI58" s="1639"/>
      <c r="CJ58" s="1640">
        <f>CH58/CS38</f>
        <v>0</v>
      </c>
      <c r="CK58" s="1641"/>
      <c r="CL58" s="1642">
        <v>0</v>
      </c>
      <c r="CM58" s="1643"/>
      <c r="CN58" s="1636">
        <f>CL58/CS38</f>
        <v>0</v>
      </c>
      <c r="CO58" s="1637"/>
      <c r="CQ58" s="367">
        <f>CD58+CH58+CL58</f>
        <v>35.770000000000003</v>
      </c>
      <c r="CR58" s="381">
        <f>CF58+CJ58+CN58</f>
        <v>1</v>
      </c>
      <c r="CS58" s="377"/>
    </row>
    <row r="59" spans="1:99" ht="10.5" customHeight="1">
      <c r="A59" s="1644" t="s">
        <v>59</v>
      </c>
      <c r="K59" s="417"/>
      <c r="U59" s="417"/>
      <c r="AE59" s="417"/>
      <c r="AO59" s="417"/>
      <c r="AY59" s="417"/>
      <c r="BI59" s="417"/>
      <c r="BS59" s="417"/>
      <c r="CD59" s="1651" t="s">
        <v>54</v>
      </c>
      <c r="CE59" s="1652"/>
      <c r="CF59" s="1652"/>
      <c r="CG59" s="1652"/>
      <c r="CH59" s="1653" t="s">
        <v>54</v>
      </c>
      <c r="CI59" s="1654"/>
      <c r="CJ59" s="1654"/>
      <c r="CK59" s="1655"/>
      <c r="CL59" s="1656" t="s">
        <v>54</v>
      </c>
      <c r="CM59" s="1656"/>
      <c r="CN59" s="1656"/>
      <c r="CO59" s="1657"/>
      <c r="CQ59" s="367" t="s">
        <v>54</v>
      </c>
      <c r="CR59" s="381" t="s">
        <v>54</v>
      </c>
      <c r="CS59" s="377"/>
    </row>
    <row r="60" spans="1:99" ht="3.75" customHeight="1">
      <c r="A60" s="1645"/>
      <c r="B60" s="423"/>
      <c r="C60" s="423"/>
      <c r="D60" s="423"/>
      <c r="E60" s="423"/>
      <c r="F60" s="423"/>
      <c r="G60" s="423"/>
      <c r="H60" s="423"/>
      <c r="I60" s="423"/>
      <c r="J60" s="423"/>
      <c r="K60" s="433"/>
      <c r="L60" s="423"/>
      <c r="M60" s="423"/>
      <c r="N60" s="423"/>
      <c r="O60" s="423"/>
      <c r="P60" s="423"/>
      <c r="Q60" s="423"/>
      <c r="R60" s="423"/>
      <c r="S60" s="423"/>
      <c r="T60" s="423"/>
      <c r="U60" s="433"/>
      <c r="V60" s="423"/>
      <c r="W60" s="423"/>
      <c r="X60" s="423"/>
      <c r="Y60" s="423"/>
      <c r="Z60" s="423"/>
      <c r="AA60" s="423"/>
      <c r="AB60" s="423"/>
      <c r="AC60" s="423"/>
      <c r="AD60" s="423"/>
      <c r="AE60" s="433"/>
      <c r="AF60" s="423"/>
      <c r="AG60" s="423"/>
      <c r="AH60" s="423"/>
      <c r="AI60" s="423"/>
      <c r="AJ60" s="423"/>
      <c r="AK60" s="423"/>
      <c r="AL60" s="423"/>
      <c r="AM60" s="423"/>
      <c r="AN60" s="423"/>
      <c r="AO60" s="433"/>
      <c r="AP60" s="423"/>
      <c r="AQ60" s="423"/>
      <c r="AR60" s="423"/>
      <c r="AS60" s="423"/>
      <c r="AT60" s="423"/>
      <c r="AU60" s="423"/>
      <c r="AV60" s="423"/>
      <c r="AW60" s="423"/>
      <c r="AX60" s="423"/>
      <c r="AY60" s="433"/>
      <c r="AZ60" s="423"/>
      <c r="BA60" s="423"/>
      <c r="BB60" s="423"/>
      <c r="BC60" s="423"/>
      <c r="BD60" s="423"/>
      <c r="BE60" s="423"/>
      <c r="BF60" s="423"/>
      <c r="BG60" s="423"/>
      <c r="BH60" s="423"/>
      <c r="BI60" s="433"/>
      <c r="BJ60" s="423"/>
      <c r="BK60" s="423"/>
      <c r="BL60" s="423"/>
      <c r="BM60" s="423"/>
      <c r="BN60" s="423"/>
      <c r="BO60" s="423"/>
      <c r="BP60" s="423"/>
      <c r="BQ60" s="423"/>
      <c r="BR60" s="423"/>
      <c r="BS60" s="433"/>
      <c r="BT60" s="423"/>
      <c r="BU60" s="423"/>
      <c r="BV60" s="423"/>
      <c r="BW60" s="423"/>
      <c r="BX60" s="423"/>
      <c r="BY60" s="423"/>
      <c r="BZ60" s="423"/>
      <c r="CA60" s="423"/>
      <c r="CB60" s="423"/>
      <c r="CC60" s="423"/>
      <c r="CD60" s="1634"/>
      <c r="CE60" s="1635"/>
      <c r="CF60" s="1635"/>
      <c r="CG60" s="1635"/>
      <c r="CH60" s="1617"/>
      <c r="CI60" s="1618"/>
      <c r="CJ60" s="1618"/>
      <c r="CK60" s="1619"/>
      <c r="CL60" s="1658"/>
      <c r="CM60" s="1658"/>
      <c r="CN60" s="1658"/>
      <c r="CO60" s="1659"/>
      <c r="CQ60" s="377"/>
      <c r="CR60" s="377"/>
      <c r="CS60" s="377"/>
    </row>
    <row r="61" spans="1:99" ht="13.5" customHeight="1">
      <c r="A61" s="1646"/>
      <c r="B61" s="426"/>
      <c r="C61" s="426"/>
      <c r="D61" s="426"/>
      <c r="E61" s="426"/>
      <c r="F61" s="426"/>
      <c r="G61" s="426"/>
      <c r="H61" s="426"/>
      <c r="I61" s="426"/>
      <c r="J61" s="426"/>
      <c r="K61" s="427"/>
      <c r="L61" s="426"/>
      <c r="M61" s="426"/>
      <c r="N61" s="426"/>
      <c r="O61" s="426"/>
      <c r="P61" s="426"/>
      <c r="Q61" s="426"/>
      <c r="R61" s="426"/>
      <c r="S61" s="426"/>
      <c r="T61" s="426"/>
      <c r="U61" s="427"/>
      <c r="V61" s="426"/>
      <c r="W61" s="426"/>
      <c r="X61" s="426"/>
      <c r="Y61" s="426"/>
      <c r="Z61" s="426"/>
      <c r="AA61" s="426"/>
      <c r="AB61" s="426"/>
      <c r="AC61" s="426"/>
      <c r="AD61" s="426"/>
      <c r="AE61" s="427"/>
      <c r="AF61" s="426"/>
      <c r="AG61" s="426"/>
      <c r="AH61" s="426"/>
      <c r="AI61" s="426"/>
      <c r="AJ61" s="426"/>
      <c r="AK61" s="426"/>
      <c r="AL61" s="426"/>
      <c r="AM61" s="426"/>
      <c r="AN61" s="426"/>
      <c r="AO61" s="427"/>
      <c r="AP61" s="426"/>
      <c r="AQ61" s="426"/>
      <c r="AR61" s="426"/>
      <c r="AS61" s="426"/>
      <c r="AT61" s="426"/>
      <c r="AU61" s="426"/>
      <c r="AV61" s="426"/>
      <c r="AW61" s="426"/>
      <c r="AX61" s="426"/>
      <c r="AY61" s="427"/>
      <c r="AZ61" s="426"/>
      <c r="BA61" s="426"/>
      <c r="BB61" s="426"/>
      <c r="BC61" s="426"/>
      <c r="BD61" s="426"/>
      <c r="BE61" s="426"/>
      <c r="BF61" s="426"/>
      <c r="BG61" s="426"/>
      <c r="BH61" s="426"/>
      <c r="BI61" s="427"/>
      <c r="BJ61" s="426"/>
      <c r="BK61" s="426"/>
      <c r="BL61" s="426"/>
      <c r="BM61" s="426"/>
      <c r="BN61" s="426"/>
      <c r="BO61" s="426"/>
      <c r="BP61" s="426"/>
      <c r="BQ61" s="426"/>
      <c r="BR61" s="426"/>
      <c r="BS61" s="427"/>
      <c r="BT61" s="426"/>
      <c r="BU61" s="426"/>
      <c r="BV61" s="426"/>
      <c r="BW61" s="426"/>
      <c r="BX61" s="426"/>
      <c r="BY61" s="426"/>
      <c r="BZ61" s="426"/>
      <c r="CA61" s="426"/>
      <c r="CB61" s="426"/>
      <c r="CC61" s="426"/>
      <c r="CD61" s="1647">
        <f>+CS38</f>
        <v>35.770000000000003</v>
      </c>
      <c r="CE61" s="1648"/>
      <c r="CF61" s="1649">
        <f>CD61/CS38</f>
        <v>1</v>
      </c>
      <c r="CG61" s="1650"/>
      <c r="CH61" s="1638">
        <v>0</v>
      </c>
      <c r="CI61" s="1639"/>
      <c r="CJ61" s="1640">
        <f>CH61/CS38</f>
        <v>0</v>
      </c>
      <c r="CK61" s="1641"/>
      <c r="CL61" s="1642">
        <v>0</v>
      </c>
      <c r="CM61" s="1643"/>
      <c r="CN61" s="1636">
        <f>CL61/CS38</f>
        <v>0</v>
      </c>
      <c r="CO61" s="1637"/>
      <c r="CQ61" s="367">
        <f>CD61+CH61+CL61</f>
        <v>35.770000000000003</v>
      </c>
      <c r="CR61" s="381">
        <f>CF61+CJ61+CN61</f>
        <v>1</v>
      </c>
      <c r="CS61" s="349"/>
    </row>
    <row r="62" spans="1:99" ht="10.5" customHeight="1">
      <c r="A62" s="1644" t="s">
        <v>575</v>
      </c>
      <c r="K62" s="417"/>
      <c r="U62" s="417"/>
      <c r="AE62" s="417"/>
      <c r="AO62" s="417"/>
      <c r="AY62" s="417"/>
      <c r="BI62" s="417"/>
      <c r="BS62" s="417"/>
      <c r="CD62" s="1651" t="s">
        <v>54</v>
      </c>
      <c r="CE62" s="1652"/>
      <c r="CF62" s="1652"/>
      <c r="CG62" s="1652"/>
      <c r="CH62" s="1653" t="s">
        <v>54</v>
      </c>
      <c r="CI62" s="1654"/>
      <c r="CJ62" s="1654"/>
      <c r="CK62" s="1655"/>
      <c r="CL62" s="1656" t="s">
        <v>54</v>
      </c>
      <c r="CM62" s="1656"/>
      <c r="CN62" s="1656"/>
      <c r="CO62" s="1657"/>
      <c r="CQ62" s="387"/>
      <c r="CR62" s="349"/>
      <c r="CS62" s="349"/>
    </row>
    <row r="63" spans="1:99" ht="3.75" customHeight="1">
      <c r="A63" s="1645"/>
      <c r="B63" s="423"/>
      <c r="C63" s="423"/>
      <c r="D63" s="423"/>
      <c r="E63" s="423"/>
      <c r="F63" s="423"/>
      <c r="G63" s="423"/>
      <c r="H63" s="423"/>
      <c r="I63" s="423"/>
      <c r="J63" s="423"/>
      <c r="K63" s="433"/>
      <c r="L63" s="423"/>
      <c r="M63" s="423"/>
      <c r="N63" s="423"/>
      <c r="O63" s="423"/>
      <c r="P63" s="423"/>
      <c r="Q63" s="423"/>
      <c r="R63" s="423"/>
      <c r="S63" s="423"/>
      <c r="T63" s="423"/>
      <c r="U63" s="433"/>
      <c r="V63" s="423"/>
      <c r="W63" s="423"/>
      <c r="X63" s="423"/>
      <c r="Y63" s="423"/>
      <c r="Z63" s="423"/>
      <c r="AA63" s="423"/>
      <c r="AB63" s="423"/>
      <c r="AC63" s="423"/>
      <c r="AD63" s="423"/>
      <c r="AE63" s="433"/>
      <c r="AF63" s="423"/>
      <c r="AG63" s="423"/>
      <c r="AH63" s="423"/>
      <c r="AI63" s="423"/>
      <c r="AJ63" s="423"/>
      <c r="AK63" s="423"/>
      <c r="AL63" s="423"/>
      <c r="AM63" s="423"/>
      <c r="AN63" s="423"/>
      <c r="AO63" s="433"/>
      <c r="AP63" s="423"/>
      <c r="AQ63" s="423"/>
      <c r="AR63" s="423"/>
      <c r="AS63" s="423"/>
      <c r="AT63" s="423"/>
      <c r="AU63" s="423"/>
      <c r="AV63" s="423"/>
      <c r="AW63" s="423"/>
      <c r="AX63" s="423"/>
      <c r="AY63" s="433"/>
      <c r="AZ63" s="423"/>
      <c r="BA63" s="423"/>
      <c r="BB63" s="423"/>
      <c r="BC63" s="423"/>
      <c r="BD63" s="423"/>
      <c r="BE63" s="423"/>
      <c r="BF63" s="423"/>
      <c r="BG63" s="423"/>
      <c r="BH63" s="423"/>
      <c r="BI63" s="433"/>
      <c r="BJ63" s="423"/>
      <c r="BK63" s="423"/>
      <c r="BL63" s="423"/>
      <c r="BM63" s="423"/>
      <c r="BN63" s="423"/>
      <c r="BO63" s="423"/>
      <c r="BP63" s="423"/>
      <c r="BQ63" s="423"/>
      <c r="BR63" s="423"/>
      <c r="BS63" s="433"/>
      <c r="BT63" s="423"/>
      <c r="BU63" s="423"/>
      <c r="BV63" s="423"/>
      <c r="BW63" s="423"/>
      <c r="BX63" s="423"/>
      <c r="BY63" s="423"/>
      <c r="BZ63" s="423"/>
      <c r="CA63" s="423"/>
      <c r="CB63" s="423"/>
      <c r="CC63" s="423"/>
      <c r="CD63" s="1634"/>
      <c r="CE63" s="1635"/>
      <c r="CF63" s="1635"/>
      <c r="CG63" s="1635"/>
      <c r="CH63" s="1617"/>
      <c r="CI63" s="1618"/>
      <c r="CJ63" s="1618"/>
      <c r="CK63" s="1619"/>
      <c r="CL63" s="1658"/>
      <c r="CM63" s="1658"/>
      <c r="CN63" s="1658"/>
      <c r="CO63" s="1659"/>
      <c r="CQ63" s="387"/>
      <c r="CR63" s="349"/>
      <c r="CS63" s="349"/>
    </row>
    <row r="64" spans="1:99" ht="13.5" customHeight="1" thickBot="1">
      <c r="A64" s="1662"/>
      <c r="B64" s="411"/>
      <c r="C64" s="411"/>
      <c r="D64" s="411"/>
      <c r="E64" s="411"/>
      <c r="F64" s="411"/>
      <c r="G64" s="411"/>
      <c r="H64" s="411"/>
      <c r="I64" s="411"/>
      <c r="J64" s="411"/>
      <c r="K64" s="436"/>
      <c r="L64" s="411"/>
      <c r="M64" s="411"/>
      <c r="N64" s="411"/>
      <c r="O64" s="411"/>
      <c r="P64" s="411"/>
      <c r="Q64" s="411"/>
      <c r="R64" s="411"/>
      <c r="S64" s="411"/>
      <c r="T64" s="411"/>
      <c r="U64" s="436"/>
      <c r="V64" s="411"/>
      <c r="W64" s="411"/>
      <c r="X64" s="411"/>
      <c r="Y64" s="411"/>
      <c r="Z64" s="411"/>
      <c r="AA64" s="411"/>
      <c r="AB64" s="411"/>
      <c r="AC64" s="411"/>
      <c r="AD64" s="411"/>
      <c r="AE64" s="436"/>
      <c r="AF64" s="411"/>
      <c r="AG64" s="411"/>
      <c r="AH64" s="411"/>
      <c r="AI64" s="411"/>
      <c r="AJ64" s="411"/>
      <c r="AK64" s="411"/>
      <c r="AL64" s="411"/>
      <c r="AM64" s="411"/>
      <c r="AN64" s="411"/>
      <c r="AO64" s="436"/>
      <c r="AP64" s="411"/>
      <c r="AQ64" s="411"/>
      <c r="AR64" s="411"/>
      <c r="AS64" s="411"/>
      <c r="AT64" s="411"/>
      <c r="AU64" s="411"/>
      <c r="AV64" s="411"/>
      <c r="AW64" s="411"/>
      <c r="AX64" s="411"/>
      <c r="AY64" s="436"/>
      <c r="AZ64" s="411"/>
      <c r="BA64" s="411"/>
      <c r="BB64" s="411"/>
      <c r="BC64" s="411"/>
      <c r="BD64" s="411"/>
      <c r="BE64" s="411"/>
      <c r="BF64" s="411"/>
      <c r="BG64" s="411"/>
      <c r="BH64" s="411"/>
      <c r="BI64" s="436"/>
      <c r="BJ64" s="411"/>
      <c r="BK64" s="411"/>
      <c r="BL64" s="411"/>
      <c r="BM64" s="411"/>
      <c r="BN64" s="411"/>
      <c r="BO64" s="411"/>
      <c r="BP64" s="411"/>
      <c r="BQ64" s="411"/>
      <c r="BR64" s="411"/>
      <c r="BS64" s="436"/>
      <c r="BT64" s="411"/>
      <c r="BU64" s="411"/>
      <c r="BV64" s="411"/>
      <c r="BW64" s="411"/>
      <c r="BX64" s="411"/>
      <c r="BY64" s="411"/>
      <c r="BZ64" s="411"/>
      <c r="CA64" s="411"/>
      <c r="CB64" s="411"/>
      <c r="CC64" s="411"/>
      <c r="CD64" s="1647">
        <f>+CS38</f>
        <v>35.770000000000003</v>
      </c>
      <c r="CE64" s="1648"/>
      <c r="CF64" s="1700">
        <f>CD64/CS38</f>
        <v>1</v>
      </c>
      <c r="CG64" s="1701"/>
      <c r="CH64" s="1702">
        <v>0</v>
      </c>
      <c r="CI64" s="1703"/>
      <c r="CJ64" s="1704">
        <f>CH64/CS38</f>
        <v>0</v>
      </c>
      <c r="CK64" s="1705"/>
      <c r="CL64" s="1706">
        <v>0</v>
      </c>
      <c r="CM64" s="1707"/>
      <c r="CN64" s="1636">
        <f>CL64/CS38</f>
        <v>0</v>
      </c>
      <c r="CO64" s="1637"/>
      <c r="CQ64" s="367">
        <f>CD64+CH64+CL64</f>
        <v>35.770000000000003</v>
      </c>
      <c r="CR64" s="381">
        <f>CF64+CJ64+CN64</f>
        <v>1</v>
      </c>
      <c r="CS64" s="349"/>
    </row>
    <row r="65" spans="82:97">
      <c r="CD65" s="441"/>
      <c r="CE65" s="441"/>
      <c r="CF65" s="441"/>
      <c r="CG65" s="441"/>
      <c r="CH65" s="441"/>
      <c r="CI65" s="441"/>
      <c r="CJ65" s="441"/>
      <c r="CK65" s="441"/>
      <c r="CL65" s="441"/>
      <c r="CM65" s="441"/>
      <c r="CN65" s="441"/>
      <c r="CO65" s="441"/>
      <c r="CQ65" s="349"/>
      <c r="CR65" s="349"/>
      <c r="CS65" s="349"/>
    </row>
    <row r="66" spans="82:97">
      <c r="CD66" s="390" t="s">
        <v>440</v>
      </c>
      <c r="CE66" s="441"/>
      <c r="CF66" s="441"/>
      <c r="CG66" s="441"/>
      <c r="CH66" s="441"/>
      <c r="CI66" s="441"/>
      <c r="CJ66" s="441"/>
      <c r="CK66" s="441"/>
      <c r="CL66" s="441"/>
      <c r="CM66" s="441"/>
      <c r="CN66" s="441"/>
      <c r="CO66" s="441"/>
    </row>
    <row r="67" spans="82:97">
      <c r="CD67" s="441"/>
      <c r="CE67" s="441"/>
      <c r="CF67" s="441"/>
      <c r="CG67" s="441"/>
      <c r="CH67" s="441"/>
      <c r="CI67" s="441"/>
      <c r="CJ67" s="441"/>
      <c r="CK67" s="441"/>
      <c r="CL67" s="441"/>
      <c r="CM67" s="441"/>
      <c r="CN67" s="441"/>
      <c r="CO67" s="441"/>
    </row>
    <row r="68" spans="82:97">
      <c r="CD68" s="441"/>
      <c r="CE68" s="441"/>
      <c r="CF68" s="441"/>
      <c r="CG68" s="441"/>
      <c r="CH68" s="441"/>
      <c r="CI68" s="441"/>
      <c r="CJ68" s="441"/>
      <c r="CK68" s="441"/>
      <c r="CL68" s="441"/>
      <c r="CM68" s="441"/>
      <c r="CN68" s="441"/>
      <c r="CO68" s="441"/>
    </row>
    <row r="69" spans="82:97">
      <c r="CD69" s="441"/>
      <c r="CE69" s="441"/>
      <c r="CF69" s="441"/>
      <c r="CG69" s="441"/>
      <c r="CH69" s="441"/>
      <c r="CI69" s="441"/>
      <c r="CJ69" s="441"/>
      <c r="CK69" s="441"/>
      <c r="CL69" s="441"/>
      <c r="CM69" s="441"/>
      <c r="CN69" s="441"/>
      <c r="CO69" s="441"/>
    </row>
    <row r="70" spans="82:97">
      <c r="CD70" s="441"/>
      <c r="CE70" s="441"/>
      <c r="CF70" s="441"/>
      <c r="CG70" s="441"/>
      <c r="CH70" s="441"/>
      <c r="CI70" s="441"/>
      <c r="CJ70" s="441"/>
      <c r="CK70" s="441"/>
      <c r="CL70" s="441"/>
      <c r="CM70" s="441"/>
      <c r="CN70" s="441"/>
      <c r="CO70" s="441"/>
    </row>
    <row r="71" spans="82:97">
      <c r="CD71" s="441"/>
      <c r="CE71" s="441"/>
      <c r="CF71" s="441"/>
      <c r="CG71" s="441"/>
      <c r="CH71" s="441"/>
      <c r="CI71" s="441"/>
      <c r="CJ71" s="441"/>
      <c r="CK71" s="441"/>
      <c r="CL71" s="441"/>
      <c r="CM71" s="441"/>
      <c r="CN71" s="441"/>
      <c r="CO71" s="441"/>
    </row>
    <row r="72" spans="82:97">
      <c r="CD72" s="441"/>
      <c r="CE72" s="441"/>
      <c r="CF72" s="441"/>
      <c r="CG72" s="441"/>
      <c r="CH72" s="441"/>
      <c r="CI72" s="441"/>
      <c r="CJ72" s="441"/>
      <c r="CK72" s="441"/>
      <c r="CL72" s="441"/>
      <c r="CM72" s="441"/>
      <c r="CN72" s="441"/>
      <c r="CO72" s="441"/>
    </row>
  </sheetData>
  <mergeCells count="134">
    <mergeCell ref="CD64:CE64"/>
    <mergeCell ref="CF64:CG64"/>
    <mergeCell ref="CH64:CI64"/>
    <mergeCell ref="CJ64:CK64"/>
    <mergeCell ref="CL64:CM64"/>
    <mergeCell ref="CN64:CO64"/>
    <mergeCell ref="CD61:CE61"/>
    <mergeCell ref="CF61:CG61"/>
    <mergeCell ref="CH61:CI61"/>
    <mergeCell ref="CJ61:CK61"/>
    <mergeCell ref="CL61:CM61"/>
    <mergeCell ref="CN61:CO61"/>
    <mergeCell ref="CD62:CG63"/>
    <mergeCell ref="CH62:CK63"/>
    <mergeCell ref="CL62:CO63"/>
    <mergeCell ref="CD58:CE58"/>
    <mergeCell ref="CF58:CG58"/>
    <mergeCell ref="CH58:CI58"/>
    <mergeCell ref="CJ58:CK58"/>
    <mergeCell ref="CL58:CM58"/>
    <mergeCell ref="CN58:CO58"/>
    <mergeCell ref="CD59:CG60"/>
    <mergeCell ref="CH59:CK60"/>
    <mergeCell ref="CL59:CO60"/>
    <mergeCell ref="CD55:CE55"/>
    <mergeCell ref="CF55:CG55"/>
    <mergeCell ref="CH55:CI55"/>
    <mergeCell ref="CJ55:CK55"/>
    <mergeCell ref="CL55:CM55"/>
    <mergeCell ref="CN55:CO55"/>
    <mergeCell ref="CD56:CG57"/>
    <mergeCell ref="CH56:CK57"/>
    <mergeCell ref="CL56:CO57"/>
    <mergeCell ref="CH50:CK51"/>
    <mergeCell ref="CL50:CO51"/>
    <mergeCell ref="CD52:CE52"/>
    <mergeCell ref="CF52:CG52"/>
    <mergeCell ref="CH52:CI52"/>
    <mergeCell ref="CJ52:CK52"/>
    <mergeCell ref="CL52:CM52"/>
    <mergeCell ref="CN52:CO52"/>
    <mergeCell ref="CD53:CG54"/>
    <mergeCell ref="CH53:CK54"/>
    <mergeCell ref="CL53:CO54"/>
    <mergeCell ref="CD38:CG39"/>
    <mergeCell ref="CH38:CK39"/>
    <mergeCell ref="CL38:CO39"/>
    <mergeCell ref="CD40:CE40"/>
    <mergeCell ref="CF40:CG40"/>
    <mergeCell ref="CH40:CI40"/>
    <mergeCell ref="CJ40:CK40"/>
    <mergeCell ref="CL40:CM40"/>
    <mergeCell ref="CN40:CO40"/>
    <mergeCell ref="A1:CO1"/>
    <mergeCell ref="A2:CO2"/>
    <mergeCell ref="A3:CO3"/>
    <mergeCell ref="A4:CO4"/>
    <mergeCell ref="B9:G9"/>
    <mergeCell ref="BY7:CD7"/>
    <mergeCell ref="B10:G10"/>
    <mergeCell ref="B11:G11"/>
    <mergeCell ref="B12:G12"/>
    <mergeCell ref="A59:A61"/>
    <mergeCell ref="A62:A64"/>
    <mergeCell ref="CD41:CG42"/>
    <mergeCell ref="CH41:CK42"/>
    <mergeCell ref="CD44:CG45"/>
    <mergeCell ref="CH44:CK45"/>
    <mergeCell ref="CD47:CG48"/>
    <mergeCell ref="CH47:CK48"/>
    <mergeCell ref="A33:A34"/>
    <mergeCell ref="A38:A40"/>
    <mergeCell ref="A41:A43"/>
    <mergeCell ref="A44:A46"/>
    <mergeCell ref="A47:A49"/>
    <mergeCell ref="A50:A52"/>
    <mergeCell ref="B33:CC33"/>
    <mergeCell ref="B35:K35"/>
    <mergeCell ref="L35:U35"/>
    <mergeCell ref="V35:AE35"/>
    <mergeCell ref="AF35:AO35"/>
    <mergeCell ref="AP35:AY35"/>
    <mergeCell ref="AZ35:BI35"/>
    <mergeCell ref="BJ35:BS35"/>
    <mergeCell ref="BT35:CC35"/>
    <mergeCell ref="B36:K36"/>
    <mergeCell ref="CL41:CO42"/>
    <mergeCell ref="CD43:CE43"/>
    <mergeCell ref="CF43:CG43"/>
    <mergeCell ref="CH43:CI43"/>
    <mergeCell ref="CJ43:CK43"/>
    <mergeCell ref="CL43:CM43"/>
    <mergeCell ref="CN43:CO43"/>
    <mergeCell ref="A53:A55"/>
    <mergeCell ref="A56:A58"/>
    <mergeCell ref="CL44:CO45"/>
    <mergeCell ref="CD46:CE46"/>
    <mergeCell ref="CF46:CG46"/>
    <mergeCell ref="CH46:CI46"/>
    <mergeCell ref="CJ46:CK46"/>
    <mergeCell ref="CL46:CM46"/>
    <mergeCell ref="CN46:CO46"/>
    <mergeCell ref="CL47:CO48"/>
    <mergeCell ref="CD49:CE49"/>
    <mergeCell ref="CF49:CG49"/>
    <mergeCell ref="CH49:CI49"/>
    <mergeCell ref="CJ49:CK49"/>
    <mergeCell ref="CL49:CM49"/>
    <mergeCell ref="CN49:CO49"/>
    <mergeCell ref="CD50:CG51"/>
    <mergeCell ref="BY14:CO14"/>
    <mergeCell ref="B34:V34"/>
    <mergeCell ref="W34:AO34"/>
    <mergeCell ref="AP34:BR34"/>
    <mergeCell ref="BS34:CC34"/>
    <mergeCell ref="CD33:CO33"/>
    <mergeCell ref="CD34:CO34"/>
    <mergeCell ref="CD35:CO35"/>
    <mergeCell ref="CD37:CE37"/>
    <mergeCell ref="CF37:CG37"/>
    <mergeCell ref="CH37:CI37"/>
    <mergeCell ref="CJ37:CK37"/>
    <mergeCell ref="CL37:CM37"/>
    <mergeCell ref="CN37:CO37"/>
    <mergeCell ref="CD36:CG36"/>
    <mergeCell ref="CH36:CK36"/>
    <mergeCell ref="CL36:CO36"/>
    <mergeCell ref="L36:U36"/>
    <mergeCell ref="V36:AE36"/>
    <mergeCell ref="AF36:AO36"/>
    <mergeCell ref="AP36:AY36"/>
    <mergeCell ref="AZ36:BI36"/>
    <mergeCell ref="BJ36:BS36"/>
    <mergeCell ref="BT36:CC36"/>
  </mergeCells>
  <hyperlinks>
    <hyperlink ref="CD66" location="'TABLA DE CONTENIDO'!A1" display="VOLVER A TABLA DE CONTENIDO"/>
  </hyperlinks>
  <printOptions horizontalCentered="1"/>
  <pageMargins left="0.39370078740157483" right="0.39370078740157483" top="0.39370078740157483" bottom="0.39370078740157483" header="0.27559055118110237" footer="0.43307086614173229"/>
  <pageSetup scale="70" fitToWidth="0" orientation="portrait" copies="2" r:id="rId1"/>
  <headerFooter alignWithMargins="0"/>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V67"/>
  <sheetViews>
    <sheetView showGridLines="0" view="pageBreakPreview" zoomScale="90" zoomScaleNormal="75" zoomScaleSheetLayoutView="90" workbookViewId="0">
      <selection activeCell="CT50" sqref="CT50"/>
    </sheetView>
  </sheetViews>
  <sheetFormatPr baseColWidth="10" defaultColWidth="12.5703125" defaultRowHeight="15"/>
  <cols>
    <col min="1" max="1" width="28.140625" style="407" customWidth="1"/>
    <col min="2" max="2" width="0.5703125" style="407" customWidth="1"/>
    <col min="3" max="81" width="0.7109375" style="407" customWidth="1"/>
    <col min="82" max="82" width="2.140625" style="407" customWidth="1"/>
    <col min="83" max="83" width="1.85546875" style="407" customWidth="1"/>
    <col min="84" max="84" width="2.140625" style="407" customWidth="1"/>
    <col min="85" max="85" width="2.5703125" style="407" customWidth="1"/>
    <col min="86" max="87" width="2.140625" style="407" customWidth="1"/>
    <col min="88" max="88" width="2.28515625" style="407" customWidth="1"/>
    <col min="89" max="89" width="2.7109375" style="407" customWidth="1"/>
    <col min="90" max="90" width="2.140625" style="407" customWidth="1"/>
    <col min="91" max="91" width="2" style="407" customWidth="1"/>
    <col min="92" max="92" width="2.140625" style="407" customWidth="1"/>
    <col min="93" max="93" width="6.28515625" style="407" customWidth="1"/>
    <col min="94" max="94" width="0.140625" style="407" hidden="1" customWidth="1"/>
    <col min="95" max="16384" width="12.5703125" style="407"/>
  </cols>
  <sheetData>
    <row r="1" spans="1:93" customFormat="1" ht="23.25">
      <c r="A1" s="1583" t="s">
        <v>48</v>
      </c>
      <c r="B1" s="1583"/>
      <c r="C1" s="1583"/>
      <c r="D1" s="1583"/>
      <c r="E1" s="1583"/>
      <c r="F1" s="1583"/>
      <c r="G1" s="1583"/>
      <c r="H1" s="1583"/>
      <c r="I1" s="1583"/>
      <c r="J1" s="1583"/>
      <c r="K1" s="1583"/>
      <c r="L1" s="1583"/>
      <c r="M1" s="1583"/>
      <c r="N1" s="1583"/>
      <c r="O1" s="1583"/>
      <c r="P1" s="1583"/>
      <c r="Q1" s="1583"/>
      <c r="R1" s="1583"/>
      <c r="S1" s="1583"/>
      <c r="T1" s="1583"/>
      <c r="U1" s="1583"/>
      <c r="V1" s="1583"/>
      <c r="W1" s="1583"/>
      <c r="X1" s="1583"/>
      <c r="Y1" s="1583"/>
      <c r="Z1" s="1583"/>
      <c r="AA1" s="1583"/>
      <c r="AB1" s="1583"/>
      <c r="AC1" s="1583"/>
      <c r="AD1" s="1583"/>
      <c r="AE1" s="1583"/>
      <c r="AF1" s="1583"/>
      <c r="AG1" s="1583"/>
      <c r="AH1" s="1583"/>
      <c r="AI1" s="1583"/>
      <c r="AJ1" s="1583"/>
      <c r="AK1" s="1583"/>
      <c r="AL1" s="1583"/>
      <c r="AM1" s="1583"/>
      <c r="AN1" s="1583"/>
      <c r="AO1" s="1583"/>
      <c r="AP1" s="1583"/>
      <c r="AQ1" s="1583"/>
      <c r="AR1" s="1583"/>
      <c r="AS1" s="1583"/>
      <c r="AT1" s="1583"/>
      <c r="AU1" s="1583"/>
      <c r="AV1" s="1583"/>
      <c r="AW1" s="1583"/>
      <c r="AX1" s="1583"/>
      <c r="AY1" s="1583"/>
      <c r="AZ1" s="1583"/>
      <c r="BA1" s="1583"/>
      <c r="BB1" s="1583"/>
      <c r="BC1" s="1583"/>
      <c r="BD1" s="1583"/>
      <c r="BE1" s="1583"/>
      <c r="BF1" s="1583"/>
      <c r="BG1" s="1583"/>
      <c r="BH1" s="1583"/>
      <c r="BI1" s="1583"/>
      <c r="BJ1" s="1583"/>
      <c r="BK1" s="1583"/>
      <c r="BL1" s="1583"/>
      <c r="BM1" s="1583"/>
      <c r="BN1" s="1583"/>
      <c r="BO1" s="1583"/>
      <c r="BP1" s="1583"/>
      <c r="BQ1" s="1583"/>
      <c r="BR1" s="1583"/>
      <c r="BS1" s="1583"/>
      <c r="BT1" s="1583"/>
      <c r="BU1" s="1583"/>
      <c r="BV1" s="1583"/>
      <c r="BW1" s="1583"/>
      <c r="BX1" s="1583"/>
      <c r="BY1" s="1583"/>
      <c r="BZ1" s="1583"/>
      <c r="CA1" s="1583"/>
      <c r="CB1" s="1583"/>
      <c r="CC1" s="1583"/>
      <c r="CD1" s="1583"/>
      <c r="CE1" s="1583"/>
      <c r="CF1" s="1583"/>
      <c r="CG1" s="1583"/>
      <c r="CH1" s="1583"/>
      <c r="CI1" s="1583"/>
      <c r="CJ1" s="1583"/>
      <c r="CK1" s="1583"/>
      <c r="CL1" s="1583"/>
      <c r="CM1" s="1583"/>
      <c r="CN1" s="1583"/>
      <c r="CO1" s="1583"/>
    </row>
    <row r="2" spans="1:93" customFormat="1" ht="18">
      <c r="A2" s="1576" t="s">
        <v>531</v>
      </c>
      <c r="B2" s="1576"/>
      <c r="C2" s="1576"/>
      <c r="D2" s="1576"/>
      <c r="E2" s="1576"/>
      <c r="F2" s="1576"/>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576"/>
      <c r="AZ2" s="1576"/>
      <c r="BA2" s="1576"/>
      <c r="BB2" s="1576"/>
      <c r="BC2" s="1576"/>
      <c r="BD2" s="1576"/>
      <c r="BE2" s="1576"/>
      <c r="BF2" s="1576"/>
      <c r="BG2" s="1576"/>
      <c r="BH2" s="1576"/>
      <c r="BI2" s="1576"/>
      <c r="BJ2" s="1576"/>
      <c r="BK2" s="1576"/>
      <c r="BL2" s="1576"/>
      <c r="BM2" s="1576"/>
      <c r="BN2" s="1576"/>
      <c r="BO2" s="1576"/>
      <c r="BP2" s="1576"/>
      <c r="BQ2" s="1576"/>
      <c r="BR2" s="1576"/>
      <c r="BS2" s="1576"/>
      <c r="BT2" s="1576"/>
      <c r="BU2" s="1576"/>
      <c r="BV2" s="1576"/>
      <c r="BW2" s="1576"/>
      <c r="BX2" s="1576"/>
      <c r="BY2" s="1576"/>
      <c r="BZ2" s="1576"/>
      <c r="CA2" s="1576"/>
      <c r="CB2" s="1576"/>
      <c r="CC2" s="1576"/>
      <c r="CD2" s="1576"/>
      <c r="CE2" s="1576"/>
      <c r="CF2" s="1576"/>
      <c r="CG2" s="1576"/>
      <c r="CH2" s="1576"/>
      <c r="CI2" s="1576"/>
      <c r="CJ2" s="1576"/>
      <c r="CK2" s="1576"/>
      <c r="CL2" s="1576"/>
      <c r="CM2" s="1576"/>
      <c r="CN2" s="1576"/>
      <c r="CO2" s="1576"/>
    </row>
    <row r="3" spans="1:93" s="51" customFormat="1" ht="15.75" customHeight="1">
      <c r="A3" s="1576" t="s">
        <v>151</v>
      </c>
      <c r="B3" s="1576"/>
      <c r="C3" s="1576"/>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576"/>
      <c r="AZ3" s="1576"/>
      <c r="BA3" s="1576"/>
      <c r="BB3" s="1576"/>
      <c r="BC3" s="1576"/>
      <c r="BD3" s="1576"/>
      <c r="BE3" s="1576"/>
      <c r="BF3" s="1576"/>
      <c r="BG3" s="1576"/>
      <c r="BH3" s="1576"/>
      <c r="BI3" s="1576"/>
      <c r="BJ3" s="1576"/>
      <c r="BK3" s="1576"/>
      <c r="BL3" s="1576"/>
      <c r="BM3" s="1576"/>
      <c r="BN3" s="1576"/>
      <c r="BO3" s="1576"/>
      <c r="BP3" s="1576"/>
      <c r="BQ3" s="1576"/>
      <c r="BR3" s="1576"/>
      <c r="BS3" s="1576"/>
      <c r="BT3" s="1576"/>
      <c r="BU3" s="1576"/>
      <c r="BV3" s="1576"/>
      <c r="BW3" s="1576"/>
      <c r="BX3" s="1576"/>
      <c r="BY3" s="1576"/>
      <c r="BZ3" s="1576"/>
      <c r="CA3" s="1576"/>
      <c r="CB3" s="1576"/>
      <c r="CC3" s="1576"/>
      <c r="CD3" s="1576"/>
      <c r="CE3" s="1576"/>
      <c r="CF3" s="1576"/>
      <c r="CG3" s="1576"/>
      <c r="CH3" s="1576"/>
      <c r="CI3" s="1576"/>
      <c r="CJ3" s="1576"/>
      <c r="CK3" s="1576"/>
      <c r="CL3" s="1576"/>
      <c r="CM3" s="1576"/>
      <c r="CN3" s="1576"/>
      <c r="CO3" s="1576"/>
    </row>
    <row r="4" spans="1:93" s="51" customFormat="1" ht="18">
      <c r="A4" s="1576" t="s">
        <v>510</v>
      </c>
      <c r="B4" s="1576"/>
      <c r="C4" s="1576"/>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76"/>
      <c r="BB4" s="1576"/>
      <c r="BC4" s="1576"/>
      <c r="BD4" s="1576"/>
      <c r="BE4" s="1576"/>
      <c r="BF4" s="1576"/>
      <c r="BG4" s="1576"/>
      <c r="BH4" s="1576"/>
      <c r="BI4" s="1576"/>
      <c r="BJ4" s="1576"/>
      <c r="BK4" s="1576"/>
      <c r="BL4" s="1576"/>
      <c r="BM4" s="1576"/>
      <c r="BN4" s="1576"/>
      <c r="BO4" s="1576"/>
      <c r="BP4" s="1576"/>
      <c r="BQ4" s="1576"/>
      <c r="BR4" s="1576"/>
      <c r="BS4" s="1576"/>
      <c r="BT4" s="1576"/>
      <c r="BU4" s="1576"/>
      <c r="BV4" s="1576"/>
      <c r="BW4" s="1576"/>
      <c r="BX4" s="1576"/>
      <c r="BY4" s="1576"/>
      <c r="BZ4" s="1576"/>
      <c r="CA4" s="1576"/>
      <c r="CB4" s="1576"/>
      <c r="CC4" s="1576"/>
      <c r="CD4" s="1576"/>
      <c r="CE4" s="1576"/>
      <c r="CF4" s="1576"/>
      <c r="CG4" s="1576"/>
      <c r="CH4" s="1576"/>
      <c r="CI4" s="1576"/>
      <c r="CJ4" s="1576"/>
      <c r="CK4" s="1576"/>
      <c r="CL4" s="1576"/>
      <c r="CM4" s="1576"/>
      <c r="CN4" s="1576"/>
      <c r="CO4" s="1576"/>
    </row>
    <row r="5" spans="1:93" s="51" customFormat="1" ht="18">
      <c r="A5" s="194"/>
      <c r="B5" s="194"/>
      <c r="C5" s="194"/>
      <c r="D5" s="194"/>
      <c r="E5" s="194"/>
      <c r="F5" s="194"/>
      <c r="G5" s="194"/>
      <c r="H5" s="194"/>
      <c r="I5" s="194"/>
      <c r="J5" s="194"/>
      <c r="K5" s="194"/>
      <c r="L5" s="194"/>
      <c r="M5" s="194"/>
      <c r="N5" s="194"/>
      <c r="O5" s="194"/>
      <c r="P5" s="194"/>
      <c r="Q5" s="194"/>
      <c r="R5" s="194"/>
    </row>
    <row r="6" spans="1:93" s="51" customFormat="1" ht="12" customHeight="1">
      <c r="A6" s="52"/>
      <c r="B6" s="342"/>
      <c r="C6" s="342"/>
      <c r="D6" s="342"/>
      <c r="E6" s="342"/>
      <c r="F6" s="342"/>
      <c r="G6" s="342"/>
      <c r="H6" s="342"/>
      <c r="I6" s="342"/>
      <c r="J6" s="342"/>
      <c r="K6" s="342"/>
      <c r="L6" s="342"/>
      <c r="M6" s="342"/>
      <c r="N6" s="342"/>
      <c r="O6" s="342"/>
      <c r="P6" s="342"/>
      <c r="Q6" s="342"/>
      <c r="R6" s="342"/>
    </row>
    <row r="7" spans="1:93" customFormat="1" ht="12.75">
      <c r="A7" s="53" t="s">
        <v>1334</v>
      </c>
      <c r="B7" s="53"/>
      <c r="C7" s="54"/>
      <c r="D7" s="54"/>
      <c r="E7" s="54"/>
      <c r="F7" s="54"/>
      <c r="G7" s="54"/>
      <c r="H7" s="54"/>
      <c r="J7" s="56"/>
      <c r="K7" s="56"/>
      <c r="L7" s="54"/>
      <c r="M7" s="54"/>
      <c r="N7" s="54"/>
      <c r="O7" s="54"/>
      <c r="P7" s="54"/>
      <c r="Q7" s="342"/>
      <c r="R7" s="342"/>
      <c r="BF7" s="55" t="s">
        <v>89</v>
      </c>
      <c r="BY7" s="1732">
        <v>4507</v>
      </c>
      <c r="BZ7" s="1732"/>
      <c r="CA7" s="1732"/>
      <c r="CB7" s="1732"/>
      <c r="CC7" s="1732"/>
      <c r="CD7" s="1732"/>
    </row>
    <row r="8" spans="1:93" customFormat="1" ht="9.75" customHeight="1">
      <c r="A8" s="53"/>
      <c r="B8" s="53"/>
      <c r="C8" s="54"/>
      <c r="D8" s="54"/>
      <c r="E8" s="54"/>
      <c r="F8" s="54"/>
      <c r="G8" s="54"/>
      <c r="H8" s="54"/>
      <c r="I8" s="55"/>
      <c r="J8" s="56"/>
      <c r="K8" s="56"/>
      <c r="L8" s="54"/>
      <c r="M8" s="54"/>
      <c r="N8" s="54"/>
      <c r="O8" s="54"/>
      <c r="P8" s="54"/>
      <c r="Q8" s="342"/>
      <c r="R8" s="342"/>
    </row>
    <row r="9" spans="1:93" customFormat="1" ht="18" customHeight="1">
      <c r="A9" s="55" t="s">
        <v>52</v>
      </c>
      <c r="B9" s="1688" t="s">
        <v>49</v>
      </c>
      <c r="C9" s="1689"/>
      <c r="D9" s="1689"/>
      <c r="E9" s="1689"/>
      <c r="F9" s="1689"/>
      <c r="G9" s="1690"/>
      <c r="H9" s="505" t="s">
        <v>1335</v>
      </c>
      <c r="I9" s="491"/>
      <c r="J9" s="490"/>
      <c r="K9" s="490"/>
      <c r="L9" s="490"/>
      <c r="M9" s="490"/>
      <c r="N9" s="490"/>
      <c r="O9" s="490"/>
      <c r="P9" s="490"/>
      <c r="Q9" s="491"/>
      <c r="R9" s="491"/>
      <c r="S9" s="492"/>
      <c r="T9" s="492"/>
      <c r="U9" s="492"/>
      <c r="V9" s="492"/>
      <c r="W9" s="492"/>
      <c r="X9" s="492"/>
      <c r="Y9" s="492"/>
      <c r="Z9" s="492"/>
      <c r="AA9" s="492"/>
      <c r="AB9" s="492"/>
      <c r="AC9" s="492"/>
      <c r="AD9" s="492"/>
      <c r="AE9" s="492"/>
      <c r="AF9" s="492"/>
      <c r="AG9" s="492"/>
      <c r="AH9" s="13"/>
      <c r="AI9" s="13"/>
      <c r="AJ9" s="13"/>
      <c r="AK9" s="13"/>
      <c r="AL9" s="13"/>
      <c r="AM9" s="13"/>
      <c r="AN9" s="13"/>
      <c r="AO9" s="13"/>
      <c r="AP9" s="13"/>
      <c r="AQ9" s="13"/>
      <c r="AR9" s="13"/>
      <c r="AS9" s="13"/>
      <c r="AT9" s="5"/>
      <c r="BF9" s="344" t="s">
        <v>619</v>
      </c>
    </row>
    <row r="10" spans="1:93" customFormat="1" ht="18" customHeight="1">
      <c r="A10" s="71"/>
      <c r="B10" s="1688" t="s">
        <v>50</v>
      </c>
      <c r="C10" s="1689"/>
      <c r="D10" s="1689"/>
      <c r="E10" s="1689"/>
      <c r="F10" s="1689"/>
      <c r="G10" s="1690"/>
      <c r="H10" s="505"/>
      <c r="I10" s="491"/>
      <c r="J10" s="490"/>
      <c r="K10" s="490"/>
      <c r="L10" s="490"/>
      <c r="M10" s="490"/>
      <c r="N10" s="490"/>
      <c r="O10" s="490"/>
      <c r="P10" s="490"/>
      <c r="Q10" s="491"/>
      <c r="R10" s="491"/>
      <c r="S10" s="492"/>
      <c r="T10" s="492"/>
      <c r="U10" s="492"/>
      <c r="V10" s="492"/>
      <c r="W10" s="492"/>
      <c r="X10" s="492"/>
      <c r="Y10" s="492"/>
      <c r="Z10" s="492"/>
      <c r="AA10" s="492"/>
      <c r="AB10" s="492"/>
      <c r="AC10" s="492"/>
      <c r="AD10" s="492"/>
      <c r="AE10" s="492"/>
      <c r="AF10" s="492"/>
      <c r="AG10" s="492"/>
      <c r="AH10" s="13"/>
      <c r="AI10" s="13"/>
      <c r="AJ10" s="13"/>
      <c r="AK10" s="13"/>
      <c r="AL10" s="13"/>
      <c r="AM10" s="13"/>
      <c r="AN10" s="13"/>
      <c r="AO10" s="13"/>
      <c r="AP10" s="13"/>
      <c r="AQ10" s="13"/>
      <c r="AR10" s="13"/>
      <c r="AS10" s="13"/>
      <c r="AT10" s="5"/>
    </row>
    <row r="11" spans="1:93" customFormat="1" ht="18" customHeight="1">
      <c r="A11" s="71"/>
      <c r="B11" s="1688" t="s">
        <v>51</v>
      </c>
      <c r="C11" s="1689"/>
      <c r="D11" s="1689"/>
      <c r="E11" s="1689"/>
      <c r="F11" s="1689"/>
      <c r="G11" s="1690"/>
      <c r="H11" s="505"/>
      <c r="I11" s="491"/>
      <c r="J11" s="490"/>
      <c r="K11" s="490"/>
      <c r="L11" s="490"/>
      <c r="M11" s="490"/>
      <c r="N11" s="490"/>
      <c r="O11" s="490"/>
      <c r="P11" s="490"/>
      <c r="Q11" s="491"/>
      <c r="R11" s="491"/>
      <c r="S11" s="492"/>
      <c r="T11" s="492"/>
      <c r="U11" s="492"/>
      <c r="V11" s="492"/>
      <c r="W11" s="492"/>
      <c r="X11" s="492"/>
      <c r="Y11" s="492"/>
      <c r="Z11" s="492"/>
      <c r="AA11" s="492"/>
      <c r="AB11" s="492"/>
      <c r="AC11" s="492"/>
      <c r="AD11" s="492"/>
      <c r="AE11" s="492"/>
      <c r="AF11" s="492"/>
      <c r="AG11" s="492"/>
      <c r="AH11" s="13"/>
      <c r="AI11" s="13"/>
      <c r="AJ11" s="13"/>
      <c r="AK11" s="13"/>
      <c r="AL11" s="13"/>
      <c r="AM11" s="13"/>
      <c r="AN11" s="13"/>
      <c r="AO11" s="13"/>
      <c r="AP11" s="13"/>
      <c r="AQ11" s="13"/>
      <c r="AR11" s="13"/>
      <c r="AS11" s="13"/>
      <c r="AT11" s="5"/>
    </row>
    <row r="12" spans="1:93" customFormat="1" ht="18" customHeight="1">
      <c r="A12" s="71"/>
      <c r="B12" s="1688" t="s">
        <v>53</v>
      </c>
      <c r="C12" s="1689"/>
      <c r="D12" s="1689"/>
      <c r="E12" s="1689"/>
      <c r="F12" s="1689"/>
      <c r="G12" s="1690"/>
      <c r="H12" s="505"/>
      <c r="I12" s="491"/>
      <c r="J12" s="490"/>
      <c r="K12" s="490"/>
      <c r="L12" s="490"/>
      <c r="M12" s="490"/>
      <c r="N12" s="490"/>
      <c r="O12" s="490"/>
      <c r="P12" s="490"/>
      <c r="Q12" s="491"/>
      <c r="R12" s="491"/>
      <c r="S12" s="492"/>
      <c r="T12" s="492"/>
      <c r="U12" s="492"/>
      <c r="V12" s="492"/>
      <c r="W12" s="492"/>
      <c r="X12" s="492"/>
      <c r="Y12" s="492"/>
      <c r="Z12" s="492"/>
      <c r="AA12" s="492"/>
      <c r="AB12" s="492"/>
      <c r="AC12" s="492"/>
      <c r="AD12" s="492"/>
      <c r="AE12" s="492"/>
      <c r="AF12" s="492"/>
      <c r="AG12" s="492"/>
      <c r="AH12" s="13"/>
      <c r="AI12" s="13"/>
      <c r="AJ12" s="13"/>
      <c r="AK12" s="13"/>
      <c r="AL12" s="13"/>
      <c r="AM12" s="13"/>
      <c r="AN12" s="13"/>
      <c r="AO12" s="13"/>
      <c r="AP12" s="13"/>
      <c r="AQ12" s="13"/>
      <c r="AR12" s="13"/>
      <c r="AS12" s="13"/>
      <c r="AT12" s="5"/>
      <c r="CK12" s="880"/>
    </row>
    <row r="13" spans="1:93" customFormat="1" ht="8.25" customHeight="1">
      <c r="A13" s="71"/>
      <c r="B13" s="345"/>
      <c r="C13" s="345"/>
      <c r="D13" s="345"/>
      <c r="E13" s="345"/>
      <c r="F13" s="345"/>
      <c r="G13" s="345"/>
      <c r="H13" s="343"/>
      <c r="I13" s="344"/>
      <c r="J13" s="343"/>
      <c r="K13" s="343"/>
      <c r="L13" s="343"/>
      <c r="M13" s="343"/>
      <c r="N13" s="343"/>
      <c r="O13" s="343"/>
      <c r="P13" s="343"/>
      <c r="Q13" s="344"/>
      <c r="R13" s="344"/>
      <c r="S13" s="249"/>
      <c r="T13" s="249"/>
      <c r="U13" s="249"/>
      <c r="V13" s="249"/>
      <c r="W13" s="249"/>
      <c r="X13" s="249"/>
      <c r="Y13" s="249"/>
      <c r="Z13" s="249"/>
      <c r="AA13" s="249"/>
      <c r="AB13" s="249"/>
      <c r="AC13" s="249"/>
      <c r="AD13" s="249"/>
      <c r="AE13" s="249"/>
      <c r="AF13" s="249"/>
      <c r="AG13" s="249"/>
    </row>
    <row r="14" spans="1:93" s="56" customFormat="1" ht="18" customHeight="1">
      <c r="A14" s="55" t="s">
        <v>1074</v>
      </c>
      <c r="B14" s="55" t="str">
        <f>'CUMPLIMIENTO % '!C7</f>
        <v>LUIS GABRIEL IBARRA ANGEL</v>
      </c>
      <c r="C14" s="55"/>
      <c r="D14" s="55"/>
      <c r="E14" s="55"/>
      <c r="F14" s="55"/>
      <c r="G14" s="55"/>
      <c r="H14" s="55"/>
      <c r="I14" s="55"/>
      <c r="J14" s="55"/>
      <c r="K14" s="55"/>
      <c r="L14" s="55"/>
      <c r="M14" s="55"/>
      <c r="N14" s="55"/>
      <c r="O14" s="55"/>
      <c r="P14" s="55"/>
      <c r="Q14" s="391"/>
      <c r="R14" s="391"/>
      <c r="AR14" s="55" t="s">
        <v>567</v>
      </c>
      <c r="AZ14" s="55"/>
      <c r="BA14" s="55"/>
      <c r="BB14" s="55"/>
      <c r="BC14" s="55"/>
      <c r="BD14" s="55"/>
      <c r="BE14" s="55"/>
      <c r="BF14" s="55"/>
      <c r="BG14" s="55"/>
      <c r="BH14" s="55"/>
      <c r="BI14" s="55"/>
      <c r="BJ14" s="55"/>
      <c r="BK14" s="55"/>
      <c r="BL14" s="55"/>
      <c r="BM14" s="55"/>
      <c r="BN14" s="55"/>
      <c r="BO14" s="55"/>
      <c r="BP14" s="55"/>
      <c r="BQ14" s="55"/>
      <c r="BR14" s="55"/>
      <c r="BS14" s="55"/>
      <c r="BT14" s="1708" t="str">
        <f>PORTADA!C31</f>
        <v>OCTUBRE - DICIEMBRE DEL 2020</v>
      </c>
      <c r="BU14" s="1708"/>
      <c r="BV14" s="1708"/>
      <c r="BW14" s="1708"/>
      <c r="BX14" s="1708"/>
      <c r="BY14" s="1708"/>
      <c r="BZ14" s="1708"/>
      <c r="CA14" s="1708"/>
      <c r="CB14" s="1708"/>
      <c r="CC14" s="1708"/>
      <c r="CD14" s="1708"/>
      <c r="CE14" s="1708"/>
      <c r="CF14" s="1708"/>
      <c r="CG14" s="1708"/>
      <c r="CH14" s="1708"/>
      <c r="CI14" s="1708"/>
      <c r="CJ14" s="1708"/>
      <c r="CK14" s="1708"/>
      <c r="CL14" s="1708"/>
      <c r="CM14" s="1708"/>
      <c r="CN14" s="1708"/>
      <c r="CO14" s="1708"/>
    </row>
    <row r="15" spans="1:93" s="403" customFormat="1" ht="15.75" thickBot="1">
      <c r="A15" s="392"/>
      <c r="B15" s="392"/>
      <c r="C15" s="393"/>
      <c r="D15" s="392"/>
      <c r="E15" s="392"/>
      <c r="F15" s="392"/>
      <c r="G15" s="392"/>
      <c r="H15" s="392"/>
      <c r="I15" s="392"/>
      <c r="J15" s="392"/>
      <c r="K15" s="392"/>
      <c r="L15" s="392"/>
      <c r="M15" s="392"/>
      <c r="N15" s="392"/>
      <c r="O15" s="392"/>
      <c r="P15" s="392"/>
      <c r="Q15" s="392"/>
      <c r="R15" s="392"/>
      <c r="S15" s="392"/>
      <c r="T15" s="392"/>
      <c r="U15" s="392"/>
      <c r="V15" s="392"/>
      <c r="W15" s="392"/>
      <c r="X15" s="392"/>
      <c r="Y15" s="392"/>
      <c r="Z15" s="392"/>
      <c r="AA15" s="392"/>
      <c r="AB15" s="392"/>
      <c r="AC15" s="392"/>
      <c r="AD15" s="392"/>
      <c r="AE15" s="392"/>
      <c r="AF15" s="392"/>
      <c r="AG15" s="392"/>
      <c r="AH15" s="392"/>
      <c r="AI15" s="392"/>
      <c r="AJ15" s="392"/>
      <c r="AK15" s="392"/>
      <c r="AL15" s="392"/>
      <c r="AM15" s="392"/>
      <c r="AN15" s="392"/>
      <c r="AO15" s="392"/>
      <c r="AP15" s="392"/>
      <c r="AQ15" s="392"/>
      <c r="AR15" s="392"/>
      <c r="AS15" s="392"/>
      <c r="AT15" s="392"/>
      <c r="AU15" s="392"/>
      <c r="AV15" s="392"/>
      <c r="AW15" s="392"/>
      <c r="AX15" s="392"/>
      <c r="AY15" s="392"/>
      <c r="AZ15" s="392"/>
      <c r="BA15" s="392"/>
      <c r="BB15" s="351"/>
      <c r="BC15" s="351"/>
      <c r="BD15" s="351"/>
      <c r="BE15" s="351"/>
      <c r="BF15" s="351"/>
      <c r="BG15" s="351"/>
      <c r="BH15" s="351"/>
      <c r="BI15" s="351"/>
      <c r="BJ15" s="351"/>
      <c r="BK15" s="351"/>
      <c r="BL15" s="351"/>
      <c r="BM15" s="351"/>
      <c r="BN15" s="351"/>
      <c r="BO15" s="351"/>
      <c r="BP15" s="351"/>
      <c r="BQ15" s="351"/>
      <c r="BR15" s="351"/>
      <c r="BS15" s="351"/>
      <c r="BT15" s="351"/>
      <c r="BU15" s="351"/>
      <c r="BV15" s="351"/>
      <c r="BW15" s="351"/>
      <c r="BX15" s="351"/>
      <c r="BY15" s="351"/>
      <c r="BZ15" s="351"/>
      <c r="CA15" s="351"/>
      <c r="CB15" s="351"/>
      <c r="CC15" s="351"/>
      <c r="CD15" s="351"/>
      <c r="CE15" s="351"/>
      <c r="CF15" s="351"/>
      <c r="CG15" s="351"/>
      <c r="CH15" s="351"/>
      <c r="CI15" s="351"/>
      <c r="CJ15" s="351"/>
      <c r="CK15" s="351"/>
      <c r="CL15" s="351"/>
      <c r="CM15" s="351"/>
      <c r="CN15" s="351"/>
      <c r="CO15" s="351"/>
    </row>
    <row r="16" spans="1:93" ht="21.95" customHeight="1">
      <c r="A16" s="404"/>
      <c r="B16" s="405"/>
      <c r="C16" s="405"/>
      <c r="D16" s="405"/>
      <c r="E16" s="405"/>
      <c r="F16" s="405"/>
      <c r="G16" s="405"/>
      <c r="H16" s="405"/>
      <c r="I16" s="405"/>
      <c r="J16" s="405"/>
      <c r="K16" s="405"/>
      <c r="L16" s="405"/>
      <c r="M16" s="405"/>
      <c r="N16" s="405"/>
      <c r="O16" s="405"/>
      <c r="P16" s="405"/>
      <c r="Q16" s="405"/>
      <c r="R16" s="405"/>
      <c r="S16" s="405"/>
      <c r="T16" s="405"/>
      <c r="U16" s="405"/>
      <c r="V16" s="405"/>
      <c r="W16" s="405"/>
      <c r="X16" s="405"/>
      <c r="Y16" s="405"/>
      <c r="Z16" s="405"/>
      <c r="AA16" s="405"/>
      <c r="AB16" s="405"/>
      <c r="AC16" s="405"/>
      <c r="AD16" s="405"/>
      <c r="AE16" s="405"/>
      <c r="AF16" s="405"/>
      <c r="AG16" s="405"/>
      <c r="AH16" s="405"/>
      <c r="AI16" s="405"/>
      <c r="AJ16" s="405"/>
      <c r="AK16" s="405"/>
      <c r="AL16" s="405"/>
      <c r="AM16" s="405"/>
      <c r="AN16" s="405"/>
      <c r="AO16" s="405"/>
      <c r="AP16" s="405"/>
      <c r="AQ16" s="405"/>
      <c r="AR16" s="405"/>
      <c r="AS16" s="405"/>
      <c r="AT16" s="405"/>
      <c r="AU16" s="405"/>
      <c r="AV16" s="405"/>
      <c r="AW16" s="405"/>
      <c r="AX16" s="405"/>
      <c r="AY16" s="405"/>
      <c r="AZ16" s="405"/>
      <c r="BA16" s="405"/>
      <c r="BB16" s="405"/>
      <c r="BC16" s="405"/>
      <c r="BD16" s="405"/>
      <c r="BE16" s="405"/>
      <c r="BF16" s="405"/>
      <c r="BG16" s="405"/>
      <c r="BH16" s="405"/>
      <c r="BI16" s="405"/>
      <c r="BJ16" s="405"/>
      <c r="BK16" s="405"/>
      <c r="BL16" s="405"/>
      <c r="BM16" s="405"/>
      <c r="BN16" s="405"/>
      <c r="BO16" s="405"/>
      <c r="BP16" s="405"/>
      <c r="BQ16" s="405"/>
      <c r="BR16" s="405"/>
      <c r="BS16" s="405"/>
      <c r="BT16" s="405"/>
      <c r="BU16" s="405"/>
      <c r="BV16" s="405"/>
      <c r="BW16" s="405"/>
      <c r="BX16" s="405"/>
      <c r="BY16" s="405"/>
      <c r="BZ16" s="405"/>
      <c r="CA16" s="405"/>
      <c r="CB16" s="405"/>
      <c r="CC16" s="405"/>
      <c r="CD16" s="405"/>
      <c r="CE16" s="405"/>
      <c r="CF16" s="405"/>
      <c r="CG16" s="405"/>
      <c r="CH16" s="405"/>
      <c r="CI16" s="405"/>
      <c r="CJ16" s="405"/>
      <c r="CK16" s="405"/>
      <c r="CL16" s="405"/>
      <c r="CM16" s="405"/>
      <c r="CN16" s="405"/>
      <c r="CO16" s="406"/>
    </row>
    <row r="17" spans="1:93" ht="21.95" customHeight="1">
      <c r="A17" s="408"/>
      <c r="CO17" s="409"/>
    </row>
    <row r="18" spans="1:93" ht="21.95" customHeight="1">
      <c r="A18" s="408"/>
      <c r="CO18" s="409"/>
    </row>
    <row r="19" spans="1:93" ht="21.95" customHeight="1">
      <c r="A19" s="408"/>
      <c r="CO19" s="409"/>
    </row>
    <row r="20" spans="1:93" ht="21.95" customHeight="1">
      <c r="A20" s="408"/>
      <c r="CO20" s="409"/>
    </row>
    <row r="21" spans="1:93" ht="21.95" customHeight="1">
      <c r="A21" s="408"/>
      <c r="CO21" s="409"/>
    </row>
    <row r="22" spans="1:93" ht="21.95" customHeight="1">
      <c r="A22" s="408"/>
      <c r="CO22" s="409"/>
    </row>
    <row r="23" spans="1:93" ht="21.95" customHeight="1">
      <c r="A23" s="408"/>
      <c r="CO23" s="409"/>
    </row>
    <row r="24" spans="1:93" ht="21.95" customHeight="1">
      <c r="A24" s="408"/>
      <c r="CO24" s="409"/>
    </row>
    <row r="25" spans="1:93" ht="21.95" customHeight="1">
      <c r="A25" s="408"/>
      <c r="CO25" s="409"/>
    </row>
    <row r="26" spans="1:93" ht="21.95" customHeight="1">
      <c r="A26" s="408"/>
      <c r="CO26" s="409"/>
    </row>
    <row r="27" spans="1:93" ht="21.95" customHeight="1">
      <c r="A27" s="408"/>
      <c r="CO27" s="409"/>
    </row>
    <row r="28" spans="1:93" ht="21.95" customHeight="1">
      <c r="A28" s="408"/>
      <c r="CO28" s="409"/>
    </row>
    <row r="29" spans="1:93" ht="21.95" customHeight="1">
      <c r="A29" s="408"/>
      <c r="CO29" s="409"/>
    </row>
    <row r="30" spans="1:93" ht="21.95" customHeight="1">
      <c r="A30" s="408"/>
      <c r="CO30" s="409"/>
    </row>
    <row r="31" spans="1:93" ht="21.95" customHeight="1">
      <c r="A31" s="408"/>
      <c r="CO31" s="409"/>
    </row>
    <row r="32" spans="1:93" ht="21.95" customHeight="1">
      <c r="A32" s="408"/>
      <c r="CO32" s="409"/>
    </row>
    <row r="33" spans="1:100" ht="21.95" customHeight="1" thickBot="1">
      <c r="A33" s="410"/>
      <c r="B33" s="411"/>
      <c r="C33" s="411"/>
      <c r="D33" s="411"/>
      <c r="E33" s="411"/>
      <c r="F33" s="411"/>
      <c r="G33" s="411"/>
      <c r="H33" s="411"/>
      <c r="I33" s="411"/>
      <c r="J33" s="411"/>
      <c r="K33" s="411"/>
      <c r="L33" s="411"/>
      <c r="M33" s="411"/>
      <c r="N33" s="411"/>
      <c r="O33" s="411"/>
      <c r="P33" s="411"/>
      <c r="Q33" s="411"/>
      <c r="R33" s="411"/>
      <c r="S33" s="411"/>
      <c r="T33" s="411"/>
      <c r="U33" s="411"/>
      <c r="V33" s="411"/>
      <c r="W33" s="411"/>
      <c r="X33" s="411"/>
      <c r="Y33" s="411"/>
      <c r="Z33" s="411"/>
      <c r="AA33" s="411"/>
      <c r="AB33" s="411"/>
      <c r="AC33" s="411"/>
      <c r="AD33" s="411"/>
      <c r="AE33" s="411"/>
      <c r="AF33" s="411"/>
      <c r="AG33" s="411"/>
      <c r="AH33" s="411"/>
      <c r="AI33" s="411"/>
      <c r="AJ33" s="411"/>
      <c r="AK33" s="411"/>
      <c r="AL33" s="411"/>
      <c r="AM33" s="411"/>
      <c r="AN33" s="411"/>
      <c r="AO33" s="411"/>
      <c r="AP33" s="411"/>
      <c r="AQ33" s="411"/>
      <c r="AR33" s="411"/>
      <c r="AS33" s="411"/>
      <c r="AT33" s="411"/>
      <c r="AU33" s="411"/>
      <c r="AV33" s="411"/>
      <c r="AW33" s="411"/>
      <c r="AX33" s="411"/>
      <c r="AY33" s="411"/>
      <c r="AZ33" s="411"/>
      <c r="BA33" s="411"/>
      <c r="BB33" s="411"/>
      <c r="BC33" s="411"/>
      <c r="BD33" s="411"/>
      <c r="BE33" s="411"/>
      <c r="BF33" s="411"/>
      <c r="BG33" s="411"/>
      <c r="BH33" s="411"/>
      <c r="BI33" s="411"/>
      <c r="BJ33" s="411"/>
      <c r="BK33" s="411"/>
      <c r="BL33" s="411"/>
      <c r="BM33" s="411"/>
      <c r="BN33" s="411"/>
      <c r="BO33" s="411"/>
      <c r="BP33" s="411"/>
      <c r="BQ33" s="411"/>
      <c r="BR33" s="411"/>
      <c r="BS33" s="411"/>
      <c r="BT33" s="411"/>
      <c r="BU33" s="411"/>
      <c r="BV33" s="411"/>
      <c r="BW33" s="411"/>
      <c r="BX33" s="411"/>
      <c r="BY33" s="411"/>
      <c r="BZ33" s="411"/>
      <c r="CA33" s="411"/>
      <c r="CB33" s="411"/>
      <c r="CC33" s="411"/>
      <c r="CD33" s="411"/>
      <c r="CE33" s="411"/>
      <c r="CF33" s="411"/>
      <c r="CG33" s="411"/>
      <c r="CH33" s="411"/>
      <c r="CI33" s="411"/>
      <c r="CJ33" s="411"/>
      <c r="CK33" s="411"/>
      <c r="CL33" s="411"/>
      <c r="CM33" s="411"/>
      <c r="CN33" s="411"/>
      <c r="CO33" s="412"/>
    </row>
    <row r="34" spans="1:100" ht="16.5" customHeight="1" thickBot="1">
      <c r="A34" s="1673" t="s">
        <v>7</v>
      </c>
      <c r="B34" s="1733" t="s">
        <v>52</v>
      </c>
      <c r="C34" s="1734"/>
      <c r="D34" s="1734"/>
      <c r="E34" s="1734"/>
      <c r="F34" s="1734"/>
      <c r="G34" s="1734"/>
      <c r="H34" s="1734"/>
      <c r="I34" s="1734"/>
      <c r="J34" s="1734"/>
      <c r="K34" s="1734"/>
      <c r="L34" s="1734"/>
      <c r="M34" s="1734"/>
      <c r="N34" s="1734"/>
      <c r="O34" s="1734"/>
      <c r="P34" s="1734"/>
      <c r="Q34" s="1734"/>
      <c r="R34" s="1734"/>
      <c r="S34" s="1734"/>
      <c r="T34" s="1734"/>
      <c r="U34" s="1734"/>
      <c r="V34" s="1734"/>
      <c r="W34" s="1734"/>
      <c r="X34" s="1734"/>
      <c r="Y34" s="1734"/>
      <c r="Z34" s="1734"/>
      <c r="AA34" s="1734"/>
      <c r="AB34" s="1734"/>
      <c r="AC34" s="1734"/>
      <c r="AD34" s="1734"/>
      <c r="AE34" s="1734"/>
      <c r="AF34" s="1734"/>
      <c r="AG34" s="1734"/>
      <c r="AH34" s="1734"/>
      <c r="AI34" s="1734"/>
      <c r="AJ34" s="1734"/>
      <c r="AK34" s="1734"/>
      <c r="AL34" s="1734"/>
      <c r="AM34" s="1734"/>
      <c r="AN34" s="1734"/>
      <c r="AO34" s="1734"/>
      <c r="AP34" s="1734"/>
      <c r="AQ34" s="1734"/>
      <c r="AR34" s="1734"/>
      <c r="AS34" s="1734"/>
      <c r="AT34" s="1734"/>
      <c r="AU34" s="1734"/>
      <c r="AV34" s="1734"/>
      <c r="AW34" s="1734"/>
      <c r="AX34" s="1734"/>
      <c r="AY34" s="1734"/>
      <c r="AZ34" s="1734"/>
      <c r="BA34" s="1734"/>
      <c r="BB34" s="1734"/>
      <c r="BC34" s="1734"/>
      <c r="BD34" s="1734"/>
      <c r="BE34" s="1734"/>
      <c r="BF34" s="1734"/>
      <c r="BG34" s="1734"/>
      <c r="BH34" s="1734"/>
      <c r="BI34" s="1734"/>
      <c r="BJ34" s="1734"/>
      <c r="BK34" s="1734"/>
      <c r="BL34" s="1734"/>
      <c r="BM34" s="1734"/>
      <c r="BN34" s="1734"/>
      <c r="BO34" s="1734"/>
      <c r="BP34" s="1734"/>
      <c r="BQ34" s="1734"/>
      <c r="BR34" s="1734"/>
      <c r="BS34" s="1734"/>
      <c r="BT34" s="1734"/>
      <c r="BU34" s="1734"/>
      <c r="BV34" s="1734"/>
      <c r="BW34" s="1734"/>
      <c r="BX34" s="1734"/>
      <c r="BY34" s="1734"/>
      <c r="BZ34" s="1734"/>
      <c r="CA34" s="1734"/>
      <c r="CB34" s="1734"/>
      <c r="CC34" s="1734"/>
      <c r="CD34" s="1663" t="s">
        <v>91</v>
      </c>
      <c r="CE34" s="1664"/>
      <c r="CF34" s="1664"/>
      <c r="CG34" s="1664"/>
      <c r="CH34" s="1664"/>
      <c r="CI34" s="1664"/>
      <c r="CJ34" s="1664"/>
      <c r="CK34" s="1664"/>
      <c r="CL34" s="1664"/>
      <c r="CM34" s="1664"/>
      <c r="CN34" s="1664"/>
      <c r="CO34" s="1665"/>
    </row>
    <row r="35" spans="1:100" ht="16.5" customHeight="1" thickBot="1">
      <c r="A35" s="1674"/>
      <c r="B35" s="1733">
        <v>1</v>
      </c>
      <c r="C35" s="1734"/>
      <c r="D35" s="1734"/>
      <c r="E35" s="1734"/>
      <c r="F35" s="1734"/>
      <c r="G35" s="1734"/>
      <c r="H35" s="1734"/>
      <c r="I35" s="1734"/>
      <c r="J35" s="1734"/>
      <c r="K35" s="1734"/>
      <c r="L35" s="1734"/>
      <c r="M35" s="1734"/>
      <c r="N35" s="1734"/>
      <c r="O35" s="1734"/>
      <c r="P35" s="1734"/>
      <c r="Q35" s="1734"/>
      <c r="R35" s="1734"/>
      <c r="S35" s="1734"/>
      <c r="T35" s="1734"/>
      <c r="U35" s="1734"/>
      <c r="V35" s="1734"/>
      <c r="W35" s="1734"/>
      <c r="X35" s="1734"/>
      <c r="Y35" s="1734"/>
      <c r="Z35" s="1734"/>
      <c r="AA35" s="1734"/>
      <c r="AB35" s="1734"/>
      <c r="AC35" s="1734"/>
      <c r="AD35" s="1734"/>
      <c r="AE35" s="1734"/>
      <c r="AF35" s="1734"/>
      <c r="AG35" s="1734"/>
      <c r="AH35" s="1734"/>
      <c r="AI35" s="1734"/>
      <c r="AJ35" s="1734"/>
      <c r="AK35" s="1734"/>
      <c r="AL35" s="1734"/>
      <c r="AM35" s="1734"/>
      <c r="AN35" s="1734"/>
      <c r="AO35" s="1734"/>
      <c r="AP35" s="1734"/>
      <c r="AQ35" s="1734"/>
      <c r="AR35" s="1734"/>
      <c r="AS35" s="1734"/>
      <c r="AT35" s="1734"/>
      <c r="AU35" s="1734"/>
      <c r="AV35" s="1734"/>
      <c r="AW35" s="1734"/>
      <c r="AX35" s="1734"/>
      <c r="AY35" s="1734"/>
      <c r="AZ35" s="1734"/>
      <c r="BA35" s="1734"/>
      <c r="BB35" s="1734"/>
      <c r="BC35" s="1734"/>
      <c r="BD35" s="1734"/>
      <c r="BE35" s="1734"/>
      <c r="BF35" s="1734"/>
      <c r="BG35" s="1734"/>
      <c r="BH35" s="1734"/>
      <c r="BI35" s="1734"/>
      <c r="BJ35" s="1734"/>
      <c r="BK35" s="1734"/>
      <c r="BL35" s="1734"/>
      <c r="BM35" s="1734"/>
      <c r="BN35" s="1734"/>
      <c r="BO35" s="1734"/>
      <c r="BP35" s="1734"/>
      <c r="BQ35" s="1734"/>
      <c r="BR35" s="1734"/>
      <c r="BS35" s="1734"/>
      <c r="BT35" s="1734"/>
      <c r="BU35" s="1734"/>
      <c r="BV35" s="1734"/>
      <c r="BW35" s="1734"/>
      <c r="BX35" s="1734"/>
      <c r="BY35" s="1734"/>
      <c r="BZ35" s="1734"/>
      <c r="CA35" s="1734"/>
      <c r="CB35" s="1734"/>
      <c r="CC35" s="1735"/>
      <c r="CD35" s="1713" t="s">
        <v>92</v>
      </c>
      <c r="CE35" s="1666"/>
      <c r="CF35" s="1666"/>
      <c r="CG35" s="1666"/>
      <c r="CH35" s="1666"/>
      <c r="CI35" s="1666"/>
      <c r="CJ35" s="1666"/>
      <c r="CK35" s="1666"/>
      <c r="CL35" s="1666"/>
      <c r="CM35" s="1666"/>
      <c r="CN35" s="1666"/>
      <c r="CO35" s="1667"/>
    </row>
    <row r="36" spans="1:100" ht="15.75">
      <c r="A36" s="362" t="s">
        <v>24</v>
      </c>
      <c r="B36" s="1742"/>
      <c r="C36" s="1743"/>
      <c r="D36" s="1743"/>
      <c r="E36" s="1743"/>
      <c r="F36" s="1743"/>
      <c r="G36" s="1743"/>
      <c r="H36" s="1743"/>
      <c r="I36" s="1743"/>
      <c r="J36" s="1743"/>
      <c r="K36" s="1743"/>
      <c r="L36" s="1744"/>
      <c r="M36" s="1744"/>
      <c r="N36" s="1744"/>
      <c r="O36" s="1744"/>
      <c r="P36" s="1744"/>
      <c r="Q36" s="1744"/>
      <c r="R36" s="1744"/>
      <c r="S36" s="1744"/>
      <c r="T36" s="1744"/>
      <c r="U36" s="1744"/>
      <c r="V36" s="1736" t="s">
        <v>54</v>
      </c>
      <c r="W36" s="1736"/>
      <c r="X36" s="1736"/>
      <c r="Y36" s="1736"/>
      <c r="Z36" s="1736"/>
      <c r="AA36" s="1736"/>
      <c r="AB36" s="1736"/>
      <c r="AC36" s="1736"/>
      <c r="AD36" s="1736"/>
      <c r="AE36" s="1736"/>
      <c r="AF36" s="1736" t="s">
        <v>54</v>
      </c>
      <c r="AG36" s="1736"/>
      <c r="AH36" s="1736"/>
      <c r="AI36" s="1736"/>
      <c r="AJ36" s="1736"/>
      <c r="AK36" s="1736"/>
      <c r="AL36" s="1736"/>
      <c r="AM36" s="1736"/>
      <c r="AN36" s="1736"/>
      <c r="AO36" s="1736"/>
      <c r="AP36" s="1736"/>
      <c r="AQ36" s="1736"/>
      <c r="AR36" s="1736"/>
      <c r="AS36" s="1736"/>
      <c r="AT36" s="1736"/>
      <c r="AU36" s="1736"/>
      <c r="AV36" s="1736"/>
      <c r="AW36" s="1736"/>
      <c r="AX36" s="1736"/>
      <c r="AY36" s="1736"/>
      <c r="AZ36" s="1736"/>
      <c r="BA36" s="1736"/>
      <c r="BB36" s="1736"/>
      <c r="BC36" s="1736"/>
      <c r="BD36" s="1736"/>
      <c r="BE36" s="1736"/>
      <c r="BF36" s="1736"/>
      <c r="BG36" s="1736"/>
      <c r="BH36" s="1736"/>
      <c r="BI36" s="1736"/>
      <c r="BJ36" s="1736" t="s">
        <v>54</v>
      </c>
      <c r="BK36" s="1736"/>
      <c r="BL36" s="1736"/>
      <c r="BM36" s="1736"/>
      <c r="BN36" s="1736"/>
      <c r="BO36" s="1736"/>
      <c r="BP36" s="1736"/>
      <c r="BQ36" s="1736"/>
      <c r="BR36" s="1736"/>
      <c r="BS36" s="1736"/>
      <c r="BT36" s="1736"/>
      <c r="BU36" s="1736"/>
      <c r="BV36" s="1736"/>
      <c r="BW36" s="1736"/>
      <c r="BX36" s="1736"/>
      <c r="BY36" s="1736"/>
      <c r="BZ36" s="1736"/>
      <c r="CA36" s="1736"/>
      <c r="CB36" s="1736"/>
      <c r="CC36" s="1737"/>
      <c r="CD36" s="1668" t="s">
        <v>93</v>
      </c>
      <c r="CE36" s="1669"/>
      <c r="CF36" s="1669"/>
      <c r="CG36" s="1669"/>
      <c r="CH36" s="1669"/>
      <c r="CI36" s="1669"/>
      <c r="CJ36" s="1669"/>
      <c r="CK36" s="1669"/>
      <c r="CL36" s="1669"/>
      <c r="CM36" s="1669"/>
      <c r="CN36" s="1669"/>
      <c r="CO36" s="1670"/>
    </row>
    <row r="37" spans="1:100" ht="15.75">
      <c r="A37" s="526" t="s">
        <v>132</v>
      </c>
      <c r="B37" s="1738">
        <v>24</v>
      </c>
      <c r="C37" s="1739"/>
      <c r="D37" s="1739"/>
      <c r="E37" s="1739"/>
      <c r="F37" s="1739"/>
      <c r="G37" s="1739"/>
      <c r="H37" s="1739"/>
      <c r="I37" s="1739"/>
      <c r="J37" s="1739"/>
      <c r="K37" s="1740"/>
      <c r="L37" s="1714"/>
      <c r="M37" s="1715"/>
      <c r="N37" s="1715"/>
      <c r="O37" s="1715"/>
      <c r="P37" s="1715"/>
      <c r="Q37" s="1715"/>
      <c r="R37" s="1715"/>
      <c r="S37" s="1715"/>
      <c r="T37" s="1715"/>
      <c r="U37" s="1716"/>
      <c r="V37" s="1741">
        <v>25</v>
      </c>
      <c r="W37" s="1739"/>
      <c r="X37" s="1739"/>
      <c r="Y37" s="1739"/>
      <c r="Z37" s="1739"/>
      <c r="AA37" s="1739"/>
      <c r="AB37" s="1739"/>
      <c r="AC37" s="1739"/>
      <c r="AD37" s="1739"/>
      <c r="AE37" s="1740"/>
      <c r="AF37" s="1714"/>
      <c r="AG37" s="1715"/>
      <c r="AH37" s="1715"/>
      <c r="AI37" s="1715"/>
      <c r="AJ37" s="1715"/>
      <c r="AK37" s="1715"/>
      <c r="AL37" s="1715"/>
      <c r="AM37" s="1715"/>
      <c r="AN37" s="1715"/>
      <c r="AO37" s="1716"/>
      <c r="AP37" s="1741">
        <v>26</v>
      </c>
      <c r="AQ37" s="1739"/>
      <c r="AR37" s="1739"/>
      <c r="AS37" s="1739"/>
      <c r="AT37" s="1739"/>
      <c r="AU37" s="1739"/>
      <c r="AV37" s="1739"/>
      <c r="AW37" s="1739"/>
      <c r="AX37" s="1739"/>
      <c r="AY37" s="1740"/>
      <c r="AZ37" s="1714"/>
      <c r="BA37" s="1715"/>
      <c r="BB37" s="1715"/>
      <c r="BC37" s="1715"/>
      <c r="BD37" s="1715"/>
      <c r="BE37" s="1715"/>
      <c r="BF37" s="1715"/>
      <c r="BG37" s="1715"/>
      <c r="BH37" s="1715"/>
      <c r="BI37" s="1716"/>
      <c r="BJ37" s="1741">
        <v>27</v>
      </c>
      <c r="BK37" s="1739"/>
      <c r="BL37" s="1739"/>
      <c r="BM37" s="1739"/>
      <c r="BN37" s="1739"/>
      <c r="BO37" s="1739"/>
      <c r="BP37" s="1739"/>
      <c r="BQ37" s="1739"/>
      <c r="BR37" s="1739"/>
      <c r="BS37" s="1740"/>
      <c r="BT37" s="1717" t="s">
        <v>541</v>
      </c>
      <c r="BU37" s="1717"/>
      <c r="BV37" s="1717"/>
      <c r="BW37" s="1717"/>
      <c r="BX37" s="1717"/>
      <c r="BY37" s="1717"/>
      <c r="BZ37" s="1717"/>
      <c r="CA37" s="1717"/>
      <c r="CB37" s="1717"/>
      <c r="CC37" s="1718"/>
      <c r="CD37" s="1625" t="s">
        <v>96</v>
      </c>
      <c r="CE37" s="1626"/>
      <c r="CF37" s="1626"/>
      <c r="CG37" s="1627"/>
      <c r="CH37" s="1628" t="s">
        <v>97</v>
      </c>
      <c r="CI37" s="1629"/>
      <c r="CJ37" s="1629"/>
      <c r="CK37" s="1630"/>
      <c r="CL37" s="1628" t="s">
        <v>98</v>
      </c>
      <c r="CM37" s="1629"/>
      <c r="CN37" s="1629"/>
      <c r="CO37" s="1631"/>
      <c r="CQ37" s="364" t="s">
        <v>572</v>
      </c>
      <c r="CR37" s="364" t="s">
        <v>14</v>
      </c>
      <c r="CS37" s="364" t="s">
        <v>573</v>
      </c>
    </row>
    <row r="38" spans="1:100" ht="15.75">
      <c r="A38" s="527"/>
      <c r="B38" s="528"/>
      <c r="C38" s="528"/>
      <c r="D38" s="528"/>
      <c r="E38" s="528"/>
      <c r="F38" s="528"/>
      <c r="G38" s="528"/>
      <c r="H38" s="528"/>
      <c r="I38" s="528"/>
      <c r="J38" s="528"/>
      <c r="K38" s="529"/>
      <c r="L38" s="530"/>
      <c r="M38" s="530"/>
      <c r="N38" s="530"/>
      <c r="O38" s="530"/>
      <c r="P38" s="530"/>
      <c r="Q38" s="530"/>
      <c r="R38" s="530"/>
      <c r="S38" s="530"/>
      <c r="T38" s="530"/>
      <c r="U38" s="531"/>
      <c r="V38" s="528"/>
      <c r="W38" s="528"/>
      <c r="X38" s="528"/>
      <c r="Y38" s="528"/>
      <c r="Z38" s="528"/>
      <c r="AA38" s="528"/>
      <c r="AB38" s="528"/>
      <c r="AC38" s="528"/>
      <c r="AD38" s="528"/>
      <c r="AE38" s="529"/>
      <c r="AF38" s="530"/>
      <c r="AG38" s="530"/>
      <c r="AH38" s="530"/>
      <c r="AI38" s="530"/>
      <c r="AJ38" s="530"/>
      <c r="AK38" s="530"/>
      <c r="AL38" s="530"/>
      <c r="AM38" s="530"/>
      <c r="AN38" s="530"/>
      <c r="AO38" s="531"/>
      <c r="AP38" s="528"/>
      <c r="AQ38" s="528"/>
      <c r="AR38" s="528"/>
      <c r="AS38" s="528"/>
      <c r="AT38" s="528"/>
      <c r="AU38" s="528"/>
      <c r="AV38" s="528"/>
      <c r="AW38" s="528"/>
      <c r="AX38" s="528"/>
      <c r="AY38" s="529"/>
      <c r="AZ38" s="530"/>
      <c r="BA38" s="530"/>
      <c r="BB38" s="530"/>
      <c r="BC38" s="530"/>
      <c r="BD38" s="530"/>
      <c r="BE38" s="530"/>
      <c r="BF38" s="530"/>
      <c r="BG38" s="530"/>
      <c r="BH38" s="530"/>
      <c r="BI38" s="531"/>
      <c r="BJ38" s="528"/>
      <c r="BK38" s="528"/>
      <c r="BL38" s="528"/>
      <c r="BM38" s="528"/>
      <c r="BN38" s="528"/>
      <c r="BO38" s="528"/>
      <c r="BP38" s="528"/>
      <c r="BQ38" s="528"/>
      <c r="BR38" s="528"/>
      <c r="BS38" s="529"/>
      <c r="BT38" s="532"/>
      <c r="BU38" s="532"/>
      <c r="BV38" s="532"/>
      <c r="BW38" s="532"/>
      <c r="BX38" s="532"/>
      <c r="BY38" s="532"/>
      <c r="BZ38" s="532"/>
      <c r="CA38" s="532"/>
      <c r="CB38" s="532"/>
      <c r="CC38" s="532"/>
      <c r="CD38" s="1671" t="s">
        <v>617</v>
      </c>
      <c r="CE38" s="1613"/>
      <c r="CF38" s="1612" t="s">
        <v>39</v>
      </c>
      <c r="CG38" s="1612"/>
      <c r="CH38" s="1672" t="s">
        <v>617</v>
      </c>
      <c r="CI38" s="1613"/>
      <c r="CJ38" s="1612" t="s">
        <v>39</v>
      </c>
      <c r="CK38" s="1613"/>
      <c r="CL38" s="1612" t="s">
        <v>617</v>
      </c>
      <c r="CM38" s="1613"/>
      <c r="CN38" s="1612" t="s">
        <v>39</v>
      </c>
      <c r="CO38" s="1613"/>
      <c r="CQ38" s="364"/>
      <c r="CR38" s="364"/>
      <c r="CS38" s="364"/>
    </row>
    <row r="39" spans="1:100" ht="10.5" customHeight="1">
      <c r="A39" s="1645" t="s">
        <v>55</v>
      </c>
      <c r="K39" s="417"/>
      <c r="U39" s="417"/>
      <c r="AE39" s="417"/>
      <c r="AO39" s="417"/>
      <c r="AY39" s="417"/>
      <c r="BI39" s="417"/>
      <c r="BS39" s="417"/>
      <c r="CD39" s="1651" t="s">
        <v>54</v>
      </c>
      <c r="CE39" s="1652"/>
      <c r="CF39" s="1652"/>
      <c r="CG39" s="1652"/>
      <c r="CH39" s="1683" t="s">
        <v>54</v>
      </c>
      <c r="CI39" s="1684"/>
      <c r="CJ39" s="1684"/>
      <c r="CK39" s="1685"/>
      <c r="CL39" s="1654" t="s">
        <v>54</v>
      </c>
      <c r="CM39" s="1654"/>
      <c r="CN39" s="1654"/>
      <c r="CO39" s="1686"/>
      <c r="CQ39" s="367"/>
      <c r="CR39" s="368" t="s">
        <v>54</v>
      </c>
      <c r="CS39" s="368">
        <v>4.0599999999999996</v>
      </c>
      <c r="CT39" s="543" t="s">
        <v>96</v>
      </c>
      <c r="CU39" s="543" t="s">
        <v>97</v>
      </c>
      <c r="CV39" s="543" t="s">
        <v>98</v>
      </c>
    </row>
    <row r="40" spans="1:100" ht="3.75" customHeight="1">
      <c r="A40" s="1645"/>
      <c r="C40" s="419"/>
      <c r="D40" s="419"/>
      <c r="E40" s="419"/>
      <c r="F40" s="419"/>
      <c r="G40" s="419"/>
      <c r="H40" s="419"/>
      <c r="I40" s="419"/>
      <c r="J40" s="419"/>
      <c r="K40" s="420"/>
      <c r="L40" s="421"/>
      <c r="M40" s="419"/>
      <c r="N40" s="419"/>
      <c r="O40" s="421"/>
      <c r="P40" s="419"/>
      <c r="Q40" s="423"/>
      <c r="R40" s="423"/>
      <c r="S40" s="423"/>
      <c r="T40" s="423"/>
      <c r="U40" s="423"/>
      <c r="V40" s="423"/>
      <c r="W40" s="423"/>
      <c r="X40" s="423"/>
      <c r="Y40" s="423"/>
      <c r="Z40" s="423"/>
      <c r="AA40" s="423"/>
      <c r="AB40" s="423"/>
      <c r="AC40" s="423"/>
      <c r="AD40" s="423"/>
      <c r="AE40" s="423"/>
      <c r="AF40" s="423"/>
      <c r="AG40" s="423"/>
      <c r="AH40" s="423"/>
      <c r="AI40" s="423"/>
      <c r="AJ40" s="423"/>
      <c r="AK40" s="423"/>
      <c r="AL40" s="423"/>
      <c r="AM40" s="423"/>
      <c r="AN40" s="423"/>
      <c r="AO40" s="423"/>
      <c r="AP40" s="423"/>
      <c r="AQ40" s="423"/>
      <c r="AR40" s="423"/>
      <c r="AS40" s="423"/>
      <c r="AT40" s="423"/>
      <c r="AU40" s="423"/>
      <c r="AV40" s="423"/>
      <c r="AW40" s="423"/>
      <c r="AX40" s="423"/>
      <c r="AY40" s="423"/>
      <c r="AZ40" s="423"/>
      <c r="BA40" s="423"/>
      <c r="BB40" s="423"/>
      <c r="BC40" s="423"/>
      <c r="BD40" s="423"/>
      <c r="BE40" s="423"/>
      <c r="BF40" s="423"/>
      <c r="BG40" s="423"/>
      <c r="BH40" s="423"/>
      <c r="BI40" s="423"/>
      <c r="BJ40" s="423"/>
      <c r="BK40" s="423"/>
      <c r="BL40" s="423"/>
      <c r="BM40" s="423"/>
      <c r="BN40" s="423"/>
      <c r="BO40" s="423"/>
      <c r="BP40" s="423"/>
      <c r="BQ40" s="423"/>
      <c r="BR40" s="423"/>
      <c r="BS40" s="423"/>
      <c r="BT40" s="423"/>
      <c r="BU40" s="423"/>
      <c r="BV40" s="423"/>
      <c r="BW40" s="423"/>
      <c r="BX40" s="423"/>
      <c r="BY40" s="423"/>
      <c r="BZ40" s="423"/>
      <c r="CA40" s="423"/>
      <c r="CB40" s="423"/>
      <c r="CC40" s="423"/>
      <c r="CD40" s="1634"/>
      <c r="CE40" s="1635"/>
      <c r="CF40" s="1635"/>
      <c r="CG40" s="1635"/>
      <c r="CH40" s="1617"/>
      <c r="CI40" s="1618"/>
      <c r="CJ40" s="1618"/>
      <c r="CK40" s="1619"/>
      <c r="CL40" s="1618"/>
      <c r="CM40" s="1618"/>
      <c r="CN40" s="1618"/>
      <c r="CO40" s="1621"/>
      <c r="CQ40" s="377"/>
      <c r="CR40" s="377"/>
      <c r="CS40" s="377"/>
      <c r="CT40" s="544"/>
      <c r="CU40" s="544"/>
      <c r="CV40" s="544"/>
    </row>
    <row r="41" spans="1:100" ht="13.5" customHeight="1">
      <c r="A41" s="1646"/>
      <c r="B41" s="426"/>
      <c r="C41" s="426"/>
      <c r="D41" s="426"/>
      <c r="E41" s="426"/>
      <c r="F41" s="426"/>
      <c r="G41" s="426"/>
      <c r="H41" s="426"/>
      <c r="I41" s="426"/>
      <c r="J41" s="426"/>
      <c r="K41" s="427"/>
      <c r="L41" s="426"/>
      <c r="M41" s="426"/>
      <c r="N41" s="426"/>
      <c r="O41" s="426"/>
      <c r="P41" s="426"/>
      <c r="Q41" s="426"/>
      <c r="R41" s="426"/>
      <c r="S41" s="426"/>
      <c r="T41" s="426"/>
      <c r="U41" s="427"/>
      <c r="V41" s="426"/>
      <c r="W41" s="426"/>
      <c r="X41" s="426"/>
      <c r="Y41" s="426"/>
      <c r="Z41" s="426"/>
      <c r="AA41" s="426"/>
      <c r="AB41" s="426"/>
      <c r="AC41" s="426"/>
      <c r="AD41" s="426"/>
      <c r="AE41" s="427"/>
      <c r="AF41" s="426"/>
      <c r="AG41" s="426"/>
      <c r="AH41" s="426"/>
      <c r="AI41" s="426"/>
      <c r="AJ41" s="426"/>
      <c r="AK41" s="426"/>
      <c r="AL41" s="426"/>
      <c r="AM41" s="426"/>
      <c r="AN41" s="426"/>
      <c r="AO41" s="427"/>
      <c r="AP41" s="426"/>
      <c r="AQ41" s="426"/>
      <c r="AR41" s="426"/>
      <c r="AS41" s="426"/>
      <c r="AT41" s="426"/>
      <c r="AU41" s="426"/>
      <c r="AV41" s="426"/>
      <c r="AW41" s="426"/>
      <c r="AX41" s="426"/>
      <c r="AY41" s="427"/>
      <c r="AZ41" s="426"/>
      <c r="BA41" s="426"/>
      <c r="BB41" s="426"/>
      <c r="BC41" s="426"/>
      <c r="BD41" s="426"/>
      <c r="BE41" s="426"/>
      <c r="BF41" s="426"/>
      <c r="BG41" s="426"/>
      <c r="BH41" s="426"/>
      <c r="BI41" s="427"/>
      <c r="BJ41" s="426"/>
      <c r="BK41" s="426"/>
      <c r="BL41" s="426"/>
      <c r="BM41" s="428"/>
      <c r="BN41" s="426"/>
      <c r="BO41" s="426"/>
      <c r="BP41" s="426"/>
      <c r="BQ41" s="426"/>
      <c r="BR41" s="426"/>
      <c r="BS41" s="427"/>
      <c r="BT41" s="426"/>
      <c r="BU41" s="426"/>
      <c r="BV41" s="426"/>
      <c r="BW41" s="426"/>
      <c r="BX41" s="426"/>
      <c r="BY41" s="426"/>
      <c r="BZ41" s="426"/>
      <c r="CA41" s="426"/>
      <c r="CB41" s="426"/>
      <c r="CC41" s="426"/>
      <c r="CD41" s="1647">
        <f>'ESTADO RED VIS'!I18</f>
        <v>3.355</v>
      </c>
      <c r="CE41" s="1648"/>
      <c r="CF41" s="1649">
        <f>CD41/CS39</f>
        <v>0.82635467980295574</v>
      </c>
      <c r="CG41" s="1650"/>
      <c r="CH41" s="1638">
        <f>'ESTADO RED VIS'!J18</f>
        <v>0.70500000000000007</v>
      </c>
      <c r="CI41" s="1639"/>
      <c r="CJ41" s="1640">
        <f>CH41/CS39</f>
        <v>0.17364532019704437</v>
      </c>
      <c r="CK41" s="1641"/>
      <c r="CL41" s="1642">
        <f>'ESTADO RED VIS'!K18</f>
        <v>0</v>
      </c>
      <c r="CM41" s="1643"/>
      <c r="CN41" s="1636">
        <f>CL41/CS39</f>
        <v>0</v>
      </c>
      <c r="CO41" s="1637"/>
      <c r="CQ41" s="367">
        <f>+CD41+CH41+CL41</f>
        <v>4.0600000000000005</v>
      </c>
      <c r="CR41" s="381">
        <f>CF41+CJ41+CN41</f>
        <v>1</v>
      </c>
      <c r="CS41" s="367"/>
      <c r="CT41" s="545">
        <f>CF41</f>
        <v>0.82635467980295574</v>
      </c>
      <c r="CU41" s="545">
        <f>CJ41</f>
        <v>0.17364532019704437</v>
      </c>
      <c r="CV41" s="545">
        <f>CN41</f>
        <v>0</v>
      </c>
    </row>
    <row r="42" spans="1:100" ht="10.5" customHeight="1">
      <c r="A42" s="1676" t="s">
        <v>88</v>
      </c>
      <c r="F42" s="429"/>
      <c r="K42" s="417"/>
      <c r="U42" s="417"/>
      <c r="AE42" s="417"/>
      <c r="AH42" s="429"/>
      <c r="AO42" s="417"/>
      <c r="AY42" s="417"/>
      <c r="BI42" s="417"/>
      <c r="BK42" s="429"/>
      <c r="BS42" s="417"/>
      <c r="CD42" s="1651"/>
      <c r="CE42" s="1652"/>
      <c r="CF42" s="1652"/>
      <c r="CG42" s="1652"/>
      <c r="CH42" s="1653"/>
      <c r="CI42" s="1654"/>
      <c r="CJ42" s="1654"/>
      <c r="CK42" s="1655"/>
      <c r="CL42" s="1656"/>
      <c r="CM42" s="1656"/>
      <c r="CN42" s="1656"/>
      <c r="CO42" s="1657"/>
      <c r="CQ42" s="349"/>
      <c r="CR42" s="349"/>
      <c r="CS42" s="377"/>
    </row>
    <row r="43" spans="1:100" ht="3.75" customHeight="1">
      <c r="A43" s="1677"/>
      <c r="F43" s="430"/>
      <c r="K43" s="417"/>
      <c r="U43" s="417"/>
      <c r="AE43" s="417"/>
      <c r="AO43" s="417"/>
      <c r="AY43" s="417"/>
      <c r="BI43" s="417"/>
      <c r="BS43" s="417"/>
      <c r="CD43" s="1634"/>
      <c r="CE43" s="1635"/>
      <c r="CF43" s="1635"/>
      <c r="CG43" s="1635"/>
      <c r="CH43" s="1617"/>
      <c r="CI43" s="1618"/>
      <c r="CJ43" s="1618"/>
      <c r="CK43" s="1619"/>
      <c r="CL43" s="1658"/>
      <c r="CM43" s="1658"/>
      <c r="CN43" s="1658"/>
      <c r="CO43" s="1659"/>
      <c r="CQ43" s="367"/>
      <c r="CR43" s="381"/>
      <c r="CS43" s="377"/>
    </row>
    <row r="44" spans="1:100" ht="13.5" customHeight="1">
      <c r="A44" s="1678"/>
      <c r="B44" s="426"/>
      <c r="C44" s="426"/>
      <c r="D44" s="426"/>
      <c r="E44" s="426"/>
      <c r="F44" s="432"/>
      <c r="G44" s="426"/>
      <c r="H44" s="426"/>
      <c r="I44" s="426"/>
      <c r="J44" s="426"/>
      <c r="K44" s="427"/>
      <c r="L44" s="426"/>
      <c r="M44" s="426"/>
      <c r="N44" s="426"/>
      <c r="O44" s="426"/>
      <c r="P44" s="426"/>
      <c r="Q44" s="426"/>
      <c r="R44" s="426"/>
      <c r="S44" s="426"/>
      <c r="T44" s="426"/>
      <c r="U44" s="427"/>
      <c r="V44" s="426"/>
      <c r="W44" s="426"/>
      <c r="X44" s="426"/>
      <c r="Y44" s="426"/>
      <c r="Z44" s="426"/>
      <c r="AA44" s="426"/>
      <c r="AB44" s="426"/>
      <c r="AC44" s="426"/>
      <c r="AD44" s="426"/>
      <c r="AE44" s="427"/>
      <c r="AF44" s="426"/>
      <c r="AG44" s="426"/>
      <c r="AH44" s="432"/>
      <c r="AI44" s="426"/>
      <c r="AJ44" s="426"/>
      <c r="AK44" s="426"/>
      <c r="AL44" s="426"/>
      <c r="AM44" s="426"/>
      <c r="AN44" s="426"/>
      <c r="AO44" s="427"/>
      <c r="AP44" s="426"/>
      <c r="AQ44" s="426"/>
      <c r="AR44" s="426"/>
      <c r="AS44" s="426"/>
      <c r="AT44" s="426"/>
      <c r="AU44" s="426"/>
      <c r="AV44" s="426"/>
      <c r="AW44" s="426"/>
      <c r="AX44" s="426"/>
      <c r="AY44" s="427"/>
      <c r="AZ44" s="426"/>
      <c r="BA44" s="426"/>
      <c r="BB44" s="426"/>
      <c r="BC44" s="426"/>
      <c r="BD44" s="426"/>
      <c r="BE44" s="426"/>
      <c r="BF44" s="426"/>
      <c r="BG44" s="426"/>
      <c r="BH44" s="426"/>
      <c r="BI44" s="427"/>
      <c r="BJ44" s="426"/>
      <c r="BK44" s="432"/>
      <c r="BL44" s="426"/>
      <c r="BM44" s="426"/>
      <c r="BN44" s="426"/>
      <c r="BO44" s="426"/>
      <c r="BP44" s="426"/>
      <c r="BQ44" s="426"/>
      <c r="BR44" s="426"/>
      <c r="BS44" s="427"/>
      <c r="BT44" s="426"/>
      <c r="BU44" s="426"/>
      <c r="BV44" s="426"/>
      <c r="BW44" s="426"/>
      <c r="BX44" s="426"/>
      <c r="BY44" s="426"/>
      <c r="BZ44" s="426"/>
      <c r="CA44" s="426"/>
      <c r="CB44" s="426"/>
      <c r="CC44" s="426"/>
      <c r="CD44" s="1660">
        <v>0</v>
      </c>
      <c r="CE44" s="1661"/>
      <c r="CF44" s="1649">
        <v>0</v>
      </c>
      <c r="CG44" s="1650"/>
      <c r="CH44" s="1638">
        <v>0</v>
      </c>
      <c r="CI44" s="1639"/>
      <c r="CJ44" s="1640">
        <v>0</v>
      </c>
      <c r="CK44" s="1641"/>
      <c r="CL44" s="1642">
        <v>0</v>
      </c>
      <c r="CM44" s="1643"/>
      <c r="CN44" s="1636">
        <v>0</v>
      </c>
      <c r="CO44" s="1637"/>
      <c r="CQ44" s="385">
        <v>0</v>
      </c>
      <c r="CR44" s="381">
        <v>0</v>
      </c>
      <c r="CS44" s="377"/>
    </row>
    <row r="45" spans="1:100" ht="10.5" customHeight="1">
      <c r="A45" s="1644" t="s">
        <v>620</v>
      </c>
      <c r="E45" s="423"/>
      <c r="F45" s="429" t="s">
        <v>578</v>
      </c>
      <c r="K45" s="417"/>
      <c r="U45" s="417"/>
      <c r="AE45" s="417"/>
      <c r="AG45" s="423"/>
      <c r="AH45" s="429" t="s">
        <v>579</v>
      </c>
      <c r="AO45" s="417"/>
      <c r="AY45" s="417"/>
      <c r="BI45" s="417"/>
      <c r="BJ45" s="419"/>
      <c r="BK45" s="429" t="s">
        <v>580</v>
      </c>
      <c r="BS45" s="417"/>
      <c r="CD45" s="1651" t="s">
        <v>54</v>
      </c>
      <c r="CE45" s="1652"/>
      <c r="CF45" s="1652"/>
      <c r="CG45" s="1652"/>
      <c r="CH45" s="1653" t="s">
        <v>54</v>
      </c>
      <c r="CI45" s="1654"/>
      <c r="CJ45" s="1654"/>
      <c r="CK45" s="1655"/>
      <c r="CL45" s="1656" t="s">
        <v>54</v>
      </c>
      <c r="CM45" s="1656"/>
      <c r="CN45" s="1656"/>
      <c r="CO45" s="1657"/>
      <c r="CQ45" s="349"/>
      <c r="CR45" s="349"/>
      <c r="CS45" s="377"/>
    </row>
    <row r="46" spans="1:100" ht="3.75" customHeight="1">
      <c r="A46" s="1645"/>
      <c r="E46" s="423"/>
      <c r="F46" s="430"/>
      <c r="K46" s="417"/>
      <c r="U46" s="417"/>
      <c r="AE46" s="417"/>
      <c r="AG46" s="423"/>
      <c r="AO46" s="417"/>
      <c r="AY46" s="417"/>
      <c r="BI46" s="417"/>
      <c r="BJ46" s="419"/>
      <c r="BS46" s="417"/>
      <c r="CD46" s="1634"/>
      <c r="CE46" s="1635"/>
      <c r="CF46" s="1635"/>
      <c r="CG46" s="1635"/>
      <c r="CH46" s="1617"/>
      <c r="CI46" s="1618"/>
      <c r="CJ46" s="1618"/>
      <c r="CK46" s="1619"/>
      <c r="CL46" s="1658"/>
      <c r="CM46" s="1658"/>
      <c r="CN46" s="1658"/>
      <c r="CO46" s="1659"/>
      <c r="CQ46" s="367" t="s">
        <v>54</v>
      </c>
      <c r="CR46" s="381" t="s">
        <v>54</v>
      </c>
      <c r="CS46" s="377"/>
    </row>
    <row r="47" spans="1:100" ht="13.5" customHeight="1">
      <c r="A47" s="1646"/>
      <c r="B47" s="426"/>
      <c r="C47" s="426"/>
      <c r="D47" s="426"/>
      <c r="E47" s="431"/>
      <c r="F47" s="432" t="s">
        <v>581</v>
      </c>
      <c r="G47" s="426"/>
      <c r="H47" s="426"/>
      <c r="I47" s="426"/>
      <c r="J47" s="426"/>
      <c r="K47" s="427"/>
      <c r="L47" s="426"/>
      <c r="M47" s="426"/>
      <c r="N47" s="426"/>
      <c r="O47" s="426"/>
      <c r="P47" s="426"/>
      <c r="Q47" s="426"/>
      <c r="R47" s="426"/>
      <c r="S47" s="426"/>
      <c r="T47" s="426"/>
      <c r="U47" s="427"/>
      <c r="V47" s="426"/>
      <c r="W47" s="426"/>
      <c r="X47" s="426"/>
      <c r="Y47" s="426"/>
      <c r="Z47" s="426"/>
      <c r="AA47" s="426"/>
      <c r="AB47" s="426"/>
      <c r="AC47" s="426"/>
      <c r="AD47" s="426"/>
      <c r="AE47" s="427"/>
      <c r="AF47" s="426"/>
      <c r="AG47" s="431"/>
      <c r="AH47" s="432" t="s">
        <v>582</v>
      </c>
      <c r="AI47" s="426"/>
      <c r="AJ47" s="426"/>
      <c r="AK47" s="426"/>
      <c r="AL47" s="426"/>
      <c r="AM47" s="426"/>
      <c r="AN47" s="426"/>
      <c r="AO47" s="427"/>
      <c r="AP47" s="426"/>
      <c r="AQ47" s="426"/>
      <c r="AR47" s="426"/>
      <c r="AS47" s="426"/>
      <c r="AT47" s="426"/>
      <c r="AU47" s="426"/>
      <c r="AV47" s="426"/>
      <c r="AW47" s="426"/>
      <c r="AX47" s="426"/>
      <c r="AY47" s="427"/>
      <c r="AZ47" s="426"/>
      <c r="BA47" s="426"/>
      <c r="BB47" s="426"/>
      <c r="BC47" s="426"/>
      <c r="BD47" s="426"/>
      <c r="BE47" s="426"/>
      <c r="BF47" s="426"/>
      <c r="BG47" s="426"/>
      <c r="BH47" s="426"/>
      <c r="BI47" s="427"/>
      <c r="BJ47" s="513"/>
      <c r="BK47" s="432" t="s">
        <v>583</v>
      </c>
      <c r="BL47" s="426"/>
      <c r="BM47" s="426"/>
      <c r="BN47" s="426"/>
      <c r="BO47" s="426"/>
      <c r="BP47" s="426"/>
      <c r="BQ47" s="426"/>
      <c r="BR47" s="426"/>
      <c r="BS47" s="427"/>
      <c r="BT47" s="426"/>
      <c r="BU47" s="426"/>
      <c r="BV47" s="426"/>
      <c r="BW47" s="426"/>
      <c r="BX47" s="426"/>
      <c r="BY47" s="426"/>
      <c r="BZ47" s="426"/>
      <c r="CA47" s="426"/>
      <c r="CB47" s="426"/>
      <c r="CC47" s="426"/>
      <c r="CD47" s="1660">
        <v>2</v>
      </c>
      <c r="CE47" s="1661"/>
      <c r="CF47" s="1649">
        <f>CD47/CQ47</f>
        <v>0.66666666666666663</v>
      </c>
      <c r="CG47" s="1650"/>
      <c r="CH47" s="1638">
        <v>1</v>
      </c>
      <c r="CI47" s="1639"/>
      <c r="CJ47" s="1640">
        <f>CH47/CQ47</f>
        <v>0.33333333333333331</v>
      </c>
      <c r="CK47" s="1641"/>
      <c r="CL47" s="1642">
        <v>0</v>
      </c>
      <c r="CM47" s="1643"/>
      <c r="CN47" s="1636">
        <f>CL47/CQ47</f>
        <v>0</v>
      </c>
      <c r="CO47" s="1637"/>
      <c r="CQ47" s="385">
        <f>CD47+CH47+CL47</f>
        <v>3</v>
      </c>
      <c r="CR47" s="381">
        <f>CF47+CJ47+CN47</f>
        <v>1</v>
      </c>
      <c r="CS47" s="377"/>
    </row>
    <row r="48" spans="1:100" ht="10.5" customHeight="1">
      <c r="A48" s="1644" t="s">
        <v>56</v>
      </c>
      <c r="K48" s="417"/>
      <c r="U48" s="417"/>
      <c r="AE48" s="417"/>
      <c r="AO48" s="417"/>
      <c r="AY48" s="417"/>
      <c r="BI48" s="417"/>
      <c r="BS48" s="417"/>
      <c r="CD48" s="1651" t="s">
        <v>54</v>
      </c>
      <c r="CE48" s="1652"/>
      <c r="CF48" s="1652"/>
      <c r="CG48" s="1652"/>
      <c r="CH48" s="1653" t="s">
        <v>54</v>
      </c>
      <c r="CI48" s="1654"/>
      <c r="CJ48" s="1654"/>
      <c r="CK48" s="1655"/>
      <c r="CL48" s="1656" t="s">
        <v>54</v>
      </c>
      <c r="CM48" s="1656"/>
      <c r="CN48" s="1656"/>
      <c r="CO48" s="1657"/>
      <c r="CQ48" s="367" t="s">
        <v>54</v>
      </c>
      <c r="CR48" s="381" t="s">
        <v>54</v>
      </c>
      <c r="CS48" s="377"/>
    </row>
    <row r="49" spans="1:98" ht="3.75" customHeight="1">
      <c r="A49" s="1645"/>
      <c r="C49" s="891"/>
      <c r="D49" s="891"/>
      <c r="E49" s="891"/>
      <c r="F49" s="891"/>
      <c r="G49" s="891"/>
      <c r="H49" s="891"/>
      <c r="I49" s="891"/>
      <c r="J49" s="891"/>
      <c r="K49" s="945"/>
      <c r="L49" s="891"/>
      <c r="M49" s="891"/>
      <c r="N49" s="891"/>
      <c r="O49" s="891"/>
      <c r="P49" s="891"/>
      <c r="Q49" s="891"/>
      <c r="R49" s="891"/>
      <c r="S49" s="891"/>
      <c r="T49" s="891"/>
      <c r="U49" s="945"/>
      <c r="V49" s="891"/>
      <c r="W49" s="891"/>
      <c r="X49" s="891"/>
      <c r="Y49" s="891"/>
      <c r="Z49" s="891"/>
      <c r="AA49" s="891"/>
      <c r="AB49" s="891"/>
      <c r="AC49" s="891"/>
      <c r="AD49" s="891"/>
      <c r="AE49" s="945"/>
      <c r="AF49" s="891"/>
      <c r="AG49" s="891"/>
      <c r="AH49" s="891"/>
      <c r="AI49" s="891"/>
      <c r="AJ49" s="891"/>
      <c r="AK49" s="891"/>
      <c r="AL49" s="891"/>
      <c r="AM49" s="891"/>
      <c r="AN49" s="891"/>
      <c r="AO49" s="945"/>
      <c r="AP49" s="891"/>
      <c r="AQ49" s="891"/>
      <c r="AR49" s="891"/>
      <c r="AS49" s="891"/>
      <c r="AT49" s="891"/>
      <c r="AU49" s="891"/>
      <c r="AV49" s="891"/>
      <c r="AW49" s="891"/>
      <c r="AX49" s="891"/>
      <c r="AY49" s="945"/>
      <c r="AZ49" s="891"/>
      <c r="BA49" s="891"/>
      <c r="BB49" s="891"/>
      <c r="BC49" s="891"/>
      <c r="BD49" s="891"/>
      <c r="BE49" s="891"/>
      <c r="BF49" s="891"/>
      <c r="BG49" s="891"/>
      <c r="BH49" s="891"/>
      <c r="BI49" s="945"/>
      <c r="BJ49" s="891"/>
      <c r="BK49" s="891"/>
      <c r="BL49" s="891"/>
      <c r="BM49" s="891"/>
      <c r="BN49" s="891"/>
      <c r="BO49" s="891"/>
      <c r="BP49" s="891"/>
      <c r="BQ49" s="891"/>
      <c r="BR49" s="891"/>
      <c r="BS49" s="945"/>
      <c r="BT49" s="891"/>
      <c r="BU49" s="891"/>
      <c r="BV49" s="891"/>
      <c r="BW49" s="891"/>
      <c r="BX49" s="891"/>
      <c r="BY49" s="891"/>
      <c r="BZ49" s="891"/>
      <c r="CA49" s="891"/>
      <c r="CB49" s="891"/>
      <c r="CC49" s="891"/>
      <c r="CD49" s="1634"/>
      <c r="CE49" s="1635"/>
      <c r="CF49" s="1635"/>
      <c r="CG49" s="1635"/>
      <c r="CH49" s="1617"/>
      <c r="CI49" s="1618"/>
      <c r="CJ49" s="1618"/>
      <c r="CK49" s="1619"/>
      <c r="CL49" s="1658"/>
      <c r="CM49" s="1658"/>
      <c r="CN49" s="1658"/>
      <c r="CO49" s="1659"/>
      <c r="CQ49" s="367"/>
      <c r="CR49" s="381"/>
      <c r="CS49" s="377"/>
    </row>
    <row r="50" spans="1:98" ht="13.5" customHeight="1">
      <c r="A50" s="1646"/>
      <c r="B50" s="426"/>
      <c r="C50" s="426"/>
      <c r="D50" s="426"/>
      <c r="E50" s="426"/>
      <c r="F50" s="426"/>
      <c r="G50" s="426"/>
      <c r="H50" s="426"/>
      <c r="I50" s="426"/>
      <c r="J50" s="426"/>
      <c r="K50" s="427"/>
      <c r="L50" s="426"/>
      <c r="M50" s="426"/>
      <c r="N50" s="426"/>
      <c r="O50" s="426"/>
      <c r="P50" s="426"/>
      <c r="Q50" s="426"/>
      <c r="R50" s="426"/>
      <c r="S50" s="426"/>
      <c r="T50" s="426"/>
      <c r="U50" s="427"/>
      <c r="V50" s="426"/>
      <c r="W50" s="426"/>
      <c r="X50" s="426"/>
      <c r="Y50" s="426"/>
      <c r="Z50" s="426"/>
      <c r="AA50" s="426"/>
      <c r="AB50" s="426"/>
      <c r="AC50" s="426"/>
      <c r="AD50" s="426"/>
      <c r="AE50" s="427"/>
      <c r="AF50" s="426"/>
      <c r="AG50" s="426"/>
      <c r="AH50" s="426"/>
      <c r="AI50" s="426"/>
      <c r="AJ50" s="426"/>
      <c r="AK50" s="426"/>
      <c r="AL50" s="426"/>
      <c r="AM50" s="426"/>
      <c r="AN50" s="426"/>
      <c r="AO50" s="427"/>
      <c r="AP50" s="426"/>
      <c r="AQ50" s="426"/>
      <c r="AR50" s="426"/>
      <c r="AS50" s="426"/>
      <c r="AT50" s="426"/>
      <c r="AU50" s="426"/>
      <c r="AV50" s="426"/>
      <c r="AW50" s="426"/>
      <c r="AX50" s="426"/>
      <c r="AY50" s="427"/>
      <c r="AZ50" s="426"/>
      <c r="BA50" s="426"/>
      <c r="BB50" s="426"/>
      <c r="BC50" s="426"/>
      <c r="BD50" s="426"/>
      <c r="BE50" s="426"/>
      <c r="BF50" s="426"/>
      <c r="BG50" s="426"/>
      <c r="BH50" s="426"/>
      <c r="BI50" s="427"/>
      <c r="BJ50" s="426"/>
      <c r="BK50" s="426"/>
      <c r="BL50" s="426"/>
      <c r="BM50" s="428"/>
      <c r="BN50" s="426"/>
      <c r="BO50" s="426"/>
      <c r="BP50" s="426"/>
      <c r="BQ50" s="426"/>
      <c r="BR50" s="426"/>
      <c r="BS50" s="427"/>
      <c r="BT50" s="426"/>
      <c r="BU50" s="426"/>
      <c r="BV50" s="426"/>
      <c r="BW50" s="426"/>
      <c r="BX50" s="426"/>
      <c r="BY50" s="426"/>
      <c r="BZ50" s="426"/>
      <c r="CA50" s="426"/>
      <c r="CB50" s="426"/>
      <c r="CC50" s="426"/>
      <c r="CD50" s="1647">
        <v>0</v>
      </c>
      <c r="CE50" s="1648"/>
      <c r="CF50" s="1649">
        <f>CD50/CS39</f>
        <v>0</v>
      </c>
      <c r="CG50" s="1650"/>
      <c r="CH50" s="1638">
        <v>0</v>
      </c>
      <c r="CI50" s="1639"/>
      <c r="CJ50" s="1640">
        <f>CH50/CS39</f>
        <v>0</v>
      </c>
      <c r="CK50" s="1641"/>
      <c r="CL50" s="1642">
        <v>0</v>
      </c>
      <c r="CM50" s="1643"/>
      <c r="CN50" s="1636">
        <f>CL50/CS39</f>
        <v>0</v>
      </c>
      <c r="CO50" s="1637"/>
      <c r="CQ50" s="385">
        <f>CD50+CH50+CL50</f>
        <v>0</v>
      </c>
      <c r="CR50" s="381">
        <f>CF50+CJ50+CN50</f>
        <v>0</v>
      </c>
      <c r="CS50" s="377"/>
    </row>
    <row r="51" spans="1:98" ht="10.5" customHeight="1">
      <c r="A51" s="1644" t="s">
        <v>229</v>
      </c>
      <c r="K51" s="417"/>
      <c r="U51" s="417"/>
      <c r="AE51" s="417"/>
      <c r="AO51" s="417"/>
      <c r="AY51" s="417"/>
      <c r="BI51" s="417"/>
      <c r="BS51" s="417"/>
      <c r="CD51" s="1651" t="s">
        <v>54</v>
      </c>
      <c r="CE51" s="1652"/>
      <c r="CF51" s="1652"/>
      <c r="CG51" s="1652"/>
      <c r="CH51" s="1653" t="s">
        <v>54</v>
      </c>
      <c r="CI51" s="1654"/>
      <c r="CJ51" s="1654"/>
      <c r="CK51" s="1655"/>
      <c r="CL51" s="1656" t="s">
        <v>54</v>
      </c>
      <c r="CM51" s="1656"/>
      <c r="CN51" s="1656"/>
      <c r="CO51" s="1657"/>
      <c r="CQ51" s="367"/>
      <c r="CR51" s="381"/>
      <c r="CS51" s="377"/>
    </row>
    <row r="52" spans="1:98" ht="3.75" customHeight="1">
      <c r="A52" s="1645"/>
      <c r="C52" s="419"/>
      <c r="D52" s="419"/>
      <c r="E52" s="419"/>
      <c r="F52" s="419"/>
      <c r="G52" s="419"/>
      <c r="H52" s="419"/>
      <c r="I52" s="419"/>
      <c r="J52" s="419"/>
      <c r="K52" s="420"/>
      <c r="L52" s="419"/>
      <c r="M52" s="419"/>
      <c r="N52" s="419"/>
      <c r="O52" s="419"/>
      <c r="P52" s="419"/>
      <c r="Q52" s="419"/>
      <c r="R52" s="419"/>
      <c r="S52" s="419"/>
      <c r="T52" s="419"/>
      <c r="U52" s="420"/>
      <c r="V52" s="422"/>
      <c r="W52" s="422"/>
      <c r="X52" s="422"/>
      <c r="Y52" s="422"/>
      <c r="Z52" s="422"/>
      <c r="AA52" s="422"/>
      <c r="AB52" s="422"/>
      <c r="AC52" s="422"/>
      <c r="AD52" s="422"/>
      <c r="AE52" s="424"/>
      <c r="AF52" s="422"/>
      <c r="AG52" s="422"/>
      <c r="AH52" s="422"/>
      <c r="AI52" s="422"/>
      <c r="AJ52" s="422"/>
      <c r="AK52" s="422"/>
      <c r="AL52" s="422"/>
      <c r="AM52" s="422"/>
      <c r="AN52" s="422"/>
      <c r="AO52" s="424"/>
      <c r="AP52" s="422"/>
      <c r="AQ52" s="422"/>
      <c r="AR52" s="422"/>
      <c r="AS52" s="422"/>
      <c r="AT52" s="422"/>
      <c r="AU52" s="422"/>
      <c r="AV52" s="422"/>
      <c r="AW52" s="422"/>
      <c r="AX52" s="422"/>
      <c r="AY52" s="424"/>
      <c r="AZ52" s="422"/>
      <c r="BA52" s="422"/>
      <c r="BB52" s="422"/>
      <c r="BC52" s="422"/>
      <c r="BD52" s="422"/>
      <c r="BE52" s="422"/>
      <c r="BF52" s="422"/>
      <c r="BG52" s="422"/>
      <c r="BH52" s="422"/>
      <c r="BI52" s="422"/>
      <c r="BJ52" s="423"/>
      <c r="BK52" s="423"/>
      <c r="BL52" s="423"/>
      <c r="BM52" s="423"/>
      <c r="BN52" s="423"/>
      <c r="BO52" s="423"/>
      <c r="BP52" s="423"/>
      <c r="BQ52" s="423"/>
      <c r="BR52" s="423"/>
      <c r="BS52" s="423"/>
      <c r="BT52" s="423"/>
      <c r="BU52" s="423"/>
      <c r="BV52" s="423"/>
      <c r="BW52" s="423"/>
      <c r="BX52" s="423"/>
      <c r="BY52" s="423"/>
      <c r="BZ52" s="423"/>
      <c r="CA52" s="423"/>
      <c r="CB52" s="423"/>
      <c r="CC52" s="423"/>
      <c r="CD52" s="1634"/>
      <c r="CE52" s="1635"/>
      <c r="CF52" s="1635"/>
      <c r="CG52" s="1635"/>
      <c r="CH52" s="1617"/>
      <c r="CI52" s="1618"/>
      <c r="CJ52" s="1618"/>
      <c r="CK52" s="1619"/>
      <c r="CL52" s="1658"/>
      <c r="CM52" s="1658"/>
      <c r="CN52" s="1658"/>
      <c r="CO52" s="1659"/>
      <c r="CQ52" s="367" t="s">
        <v>54</v>
      </c>
      <c r="CR52" s="381" t="s">
        <v>54</v>
      </c>
      <c r="CS52" s="367"/>
    </row>
    <row r="53" spans="1:98" ht="13.5" customHeight="1">
      <c r="A53" s="1646"/>
      <c r="B53" s="426"/>
      <c r="C53" s="426"/>
      <c r="D53" s="426"/>
      <c r="E53" s="426"/>
      <c r="F53" s="426"/>
      <c r="G53" s="426"/>
      <c r="H53" s="426"/>
      <c r="I53" s="426"/>
      <c r="J53" s="426"/>
      <c r="K53" s="427"/>
      <c r="L53" s="426"/>
      <c r="M53" s="426"/>
      <c r="N53" s="426"/>
      <c r="O53" s="426"/>
      <c r="P53" s="426"/>
      <c r="Q53" s="426"/>
      <c r="R53" s="426"/>
      <c r="S53" s="426"/>
      <c r="T53" s="426"/>
      <c r="U53" s="427"/>
      <c r="V53" s="426"/>
      <c r="W53" s="426"/>
      <c r="X53" s="426"/>
      <c r="Y53" s="426"/>
      <c r="Z53" s="426"/>
      <c r="AA53" s="426"/>
      <c r="AB53" s="426"/>
      <c r="AC53" s="426"/>
      <c r="AD53" s="426"/>
      <c r="AE53" s="427"/>
      <c r="AF53" s="426"/>
      <c r="AG53" s="426"/>
      <c r="AH53" s="426"/>
      <c r="AI53" s="426"/>
      <c r="AJ53" s="426"/>
      <c r="AK53" s="426"/>
      <c r="AL53" s="426"/>
      <c r="AM53" s="426"/>
      <c r="AN53" s="426"/>
      <c r="AO53" s="427"/>
      <c r="AP53" s="426"/>
      <c r="AQ53" s="426"/>
      <c r="AR53" s="426"/>
      <c r="AS53" s="426"/>
      <c r="AT53" s="426"/>
      <c r="AU53" s="426"/>
      <c r="AV53" s="426"/>
      <c r="AW53" s="426"/>
      <c r="AX53" s="426"/>
      <c r="AY53" s="427"/>
      <c r="AZ53" s="426"/>
      <c r="BA53" s="426"/>
      <c r="BB53" s="426"/>
      <c r="BC53" s="426"/>
      <c r="BD53" s="426"/>
      <c r="BE53" s="426"/>
      <c r="BF53" s="426"/>
      <c r="BG53" s="426"/>
      <c r="BH53" s="426"/>
      <c r="BI53" s="427"/>
      <c r="BJ53" s="426"/>
      <c r="BK53" s="426"/>
      <c r="BL53" s="426"/>
      <c r="BM53" s="428"/>
      <c r="BN53" s="426"/>
      <c r="BO53" s="426"/>
      <c r="BP53" s="426"/>
      <c r="BQ53" s="426"/>
      <c r="BR53" s="426"/>
      <c r="BS53" s="427"/>
      <c r="BT53" s="426"/>
      <c r="BU53" s="426"/>
      <c r="BV53" s="426"/>
      <c r="BW53" s="426"/>
      <c r="BX53" s="426"/>
      <c r="BY53" s="426"/>
      <c r="BZ53" s="426"/>
      <c r="CA53" s="426"/>
      <c r="CB53" s="426"/>
      <c r="CC53" s="426"/>
      <c r="CD53" s="1647">
        <v>1.07</v>
      </c>
      <c r="CE53" s="1648"/>
      <c r="CF53" s="1649">
        <f>CD53/CS39</f>
        <v>0.26354679802955672</v>
      </c>
      <c r="CG53" s="1650"/>
      <c r="CH53" s="1638">
        <v>1</v>
      </c>
      <c r="CI53" s="1639"/>
      <c r="CJ53" s="1640">
        <f>CH53/CS39</f>
        <v>0.24630541871921185</v>
      </c>
      <c r="CK53" s="1641"/>
      <c r="CL53" s="1642">
        <v>1.99</v>
      </c>
      <c r="CM53" s="1643"/>
      <c r="CN53" s="1636">
        <f>CL53/CS39</f>
        <v>0.49014778325123159</v>
      </c>
      <c r="CO53" s="1637"/>
      <c r="CQ53" s="367">
        <f>CD53+CH53+CL53</f>
        <v>4.0600000000000005</v>
      </c>
      <c r="CR53" s="381">
        <f>CF53+CJ53+CN53</f>
        <v>1.0000000000000002</v>
      </c>
      <c r="CS53" s="377"/>
    </row>
    <row r="54" spans="1:98" ht="10.5" customHeight="1">
      <c r="A54" s="1644" t="s">
        <v>57</v>
      </c>
      <c r="K54" s="417"/>
      <c r="U54" s="417"/>
      <c r="AE54" s="417"/>
      <c r="AO54" s="417"/>
      <c r="AY54" s="417"/>
      <c r="BI54" s="417"/>
      <c r="BS54" s="417"/>
      <c r="CD54" s="1651" t="s">
        <v>54</v>
      </c>
      <c r="CE54" s="1652"/>
      <c r="CF54" s="1652"/>
      <c r="CG54" s="1652"/>
      <c r="CH54" s="1653" t="s">
        <v>54</v>
      </c>
      <c r="CI54" s="1654"/>
      <c r="CJ54" s="1654"/>
      <c r="CK54" s="1655"/>
      <c r="CL54" s="1656" t="s">
        <v>54</v>
      </c>
      <c r="CM54" s="1656"/>
      <c r="CN54" s="1656"/>
      <c r="CO54" s="1657"/>
      <c r="CQ54" s="367" t="s">
        <v>54</v>
      </c>
      <c r="CR54" s="381" t="s">
        <v>54</v>
      </c>
      <c r="CS54" s="367"/>
    </row>
    <row r="55" spans="1:98" ht="3.75" customHeight="1">
      <c r="A55" s="1645"/>
      <c r="C55" s="422"/>
      <c r="D55" s="422"/>
      <c r="E55" s="422"/>
      <c r="F55" s="422"/>
      <c r="G55" s="422"/>
      <c r="H55" s="422"/>
      <c r="I55" s="422"/>
      <c r="J55" s="422"/>
      <c r="K55" s="424"/>
      <c r="L55" s="422"/>
      <c r="M55" s="422"/>
      <c r="N55" s="422"/>
      <c r="O55" s="422"/>
      <c r="P55" s="422"/>
      <c r="Q55" s="422"/>
      <c r="R55" s="422"/>
      <c r="S55" s="422"/>
      <c r="T55" s="422"/>
      <c r="U55" s="422"/>
      <c r="V55" s="419"/>
      <c r="W55" s="419"/>
      <c r="X55" s="419"/>
      <c r="Y55" s="419"/>
      <c r="Z55" s="419"/>
      <c r="AA55" s="419"/>
      <c r="AB55" s="419"/>
      <c r="AC55" s="419"/>
      <c r="AD55" s="419"/>
      <c r="AE55" s="419"/>
      <c r="AF55" s="419"/>
      <c r="AG55" s="419"/>
      <c r="AH55" s="419"/>
      <c r="AI55" s="419"/>
      <c r="AJ55" s="419"/>
      <c r="AK55" s="419"/>
      <c r="AL55" s="419"/>
      <c r="AM55" s="419"/>
      <c r="AN55" s="419"/>
      <c r="AO55" s="419"/>
      <c r="AP55" s="419"/>
      <c r="AQ55" s="419"/>
      <c r="AR55" s="419"/>
      <c r="AS55" s="419"/>
      <c r="AT55" s="419"/>
      <c r="AU55" s="419"/>
      <c r="AV55" s="419"/>
      <c r="AW55" s="419"/>
      <c r="AX55" s="419"/>
      <c r="AY55" s="419"/>
      <c r="AZ55" s="419"/>
      <c r="BA55" s="419"/>
      <c r="BB55" s="419"/>
      <c r="BC55" s="419"/>
      <c r="BD55" s="419"/>
      <c r="BE55" s="419"/>
      <c r="BF55" s="419"/>
      <c r="BG55" s="419"/>
      <c r="BH55" s="419"/>
      <c r="BI55" s="419"/>
      <c r="BJ55" s="419"/>
      <c r="BK55" s="419"/>
      <c r="BL55" s="419"/>
      <c r="BM55" s="419"/>
      <c r="BN55" s="419"/>
      <c r="BO55" s="423"/>
      <c r="BP55" s="423"/>
      <c r="BQ55" s="423"/>
      <c r="BR55" s="423"/>
      <c r="BS55" s="423"/>
      <c r="BT55" s="423"/>
      <c r="BU55" s="423"/>
      <c r="BV55" s="423"/>
      <c r="BW55" s="422"/>
      <c r="BX55" s="422"/>
      <c r="BY55" s="422"/>
      <c r="BZ55" s="946"/>
      <c r="CA55" s="946"/>
      <c r="CB55" s="946"/>
      <c r="CC55" s="946"/>
      <c r="CD55" s="1634"/>
      <c r="CE55" s="1635"/>
      <c r="CF55" s="1635"/>
      <c r="CG55" s="1635"/>
      <c r="CH55" s="1617"/>
      <c r="CI55" s="1618"/>
      <c r="CJ55" s="1618"/>
      <c r="CK55" s="1619"/>
      <c r="CL55" s="1658"/>
      <c r="CM55" s="1658"/>
      <c r="CN55" s="1658"/>
      <c r="CO55" s="1659"/>
      <c r="CQ55" s="367"/>
      <c r="CR55" s="381"/>
      <c r="CS55" s="377"/>
    </row>
    <row r="56" spans="1:98" ht="13.5" customHeight="1">
      <c r="A56" s="1646"/>
      <c r="B56" s="426"/>
      <c r="C56" s="426"/>
      <c r="D56" s="426"/>
      <c r="E56" s="426"/>
      <c r="F56" s="426"/>
      <c r="G56" s="426"/>
      <c r="H56" s="426"/>
      <c r="I56" s="426"/>
      <c r="J56" s="426"/>
      <c r="K56" s="427"/>
      <c r="L56" s="426"/>
      <c r="M56" s="426"/>
      <c r="N56" s="426"/>
      <c r="O56" s="426"/>
      <c r="P56" s="426"/>
      <c r="Q56" s="426"/>
      <c r="R56" s="426"/>
      <c r="S56" s="426"/>
      <c r="T56" s="426"/>
      <c r="U56" s="427"/>
      <c r="V56" s="426"/>
      <c r="W56" s="426"/>
      <c r="X56" s="426"/>
      <c r="Y56" s="426"/>
      <c r="Z56" s="426"/>
      <c r="AA56" s="426"/>
      <c r="AB56" s="426"/>
      <c r="AC56" s="426"/>
      <c r="AD56" s="426"/>
      <c r="AE56" s="427"/>
      <c r="AF56" s="426"/>
      <c r="AG56" s="426"/>
      <c r="AH56" s="426"/>
      <c r="AI56" s="426"/>
      <c r="AJ56" s="426"/>
      <c r="AK56" s="426"/>
      <c r="AL56" s="426"/>
      <c r="AM56" s="426"/>
      <c r="AN56" s="426"/>
      <c r="AO56" s="427"/>
      <c r="AP56" s="426"/>
      <c r="AQ56" s="426"/>
      <c r="AR56" s="426"/>
      <c r="AS56" s="426"/>
      <c r="AT56" s="426"/>
      <c r="AU56" s="426"/>
      <c r="AV56" s="426"/>
      <c r="AW56" s="426"/>
      <c r="AX56" s="426"/>
      <c r="AY56" s="427"/>
      <c r="AZ56" s="426"/>
      <c r="BA56" s="426"/>
      <c r="BB56" s="426"/>
      <c r="BC56" s="426"/>
      <c r="BD56" s="426"/>
      <c r="BE56" s="426"/>
      <c r="BF56" s="426"/>
      <c r="BG56" s="426"/>
      <c r="BH56" s="426"/>
      <c r="BI56" s="427"/>
      <c r="BJ56" s="426"/>
      <c r="BK56" s="426"/>
      <c r="BL56" s="426"/>
      <c r="BM56" s="428"/>
      <c r="BN56" s="426"/>
      <c r="BO56" s="426"/>
      <c r="BP56" s="426"/>
      <c r="BQ56" s="426"/>
      <c r="BR56" s="426"/>
      <c r="BS56" s="427"/>
      <c r="BT56" s="426"/>
      <c r="BU56" s="426"/>
      <c r="BV56" s="426"/>
      <c r="BW56" s="426"/>
      <c r="BX56" s="426"/>
      <c r="BY56" s="426"/>
      <c r="BZ56" s="426"/>
      <c r="CA56" s="426"/>
      <c r="CB56" s="426"/>
      <c r="CC56" s="426"/>
      <c r="CD56" s="1647">
        <v>0.3</v>
      </c>
      <c r="CE56" s="1648"/>
      <c r="CF56" s="1649">
        <f>CD56/CS39</f>
        <v>7.3891625615763554E-2</v>
      </c>
      <c r="CG56" s="1650"/>
      <c r="CH56" s="1638">
        <v>2.52</v>
      </c>
      <c r="CI56" s="1639"/>
      <c r="CJ56" s="1640">
        <f>CH56/CS39</f>
        <v>0.62068965517241381</v>
      </c>
      <c r="CK56" s="1641"/>
      <c r="CL56" s="1642">
        <v>1.24</v>
      </c>
      <c r="CM56" s="1643"/>
      <c r="CN56" s="1636">
        <f>CL56/CS39</f>
        <v>0.30541871921182268</v>
      </c>
      <c r="CO56" s="1637"/>
      <c r="CQ56" s="367">
        <f>CD56+CH56+CL56</f>
        <v>4.0599999999999996</v>
      </c>
      <c r="CR56" s="381">
        <f>CF56+CJ56+CN56</f>
        <v>1</v>
      </c>
      <c r="CS56" s="377"/>
    </row>
    <row r="57" spans="1:98" ht="10.5" customHeight="1">
      <c r="A57" s="1644" t="s">
        <v>58</v>
      </c>
      <c r="K57" s="417"/>
      <c r="U57" s="417"/>
      <c r="AE57" s="417"/>
      <c r="AO57" s="417"/>
      <c r="AY57" s="417"/>
      <c r="BI57" s="417"/>
      <c r="BS57" s="417"/>
      <c r="CD57" s="1651" t="s">
        <v>54</v>
      </c>
      <c r="CE57" s="1652"/>
      <c r="CF57" s="1652"/>
      <c r="CG57" s="1652"/>
      <c r="CH57" s="1653" t="s">
        <v>54</v>
      </c>
      <c r="CI57" s="1654"/>
      <c r="CJ57" s="1654"/>
      <c r="CK57" s="1655"/>
      <c r="CL57" s="1656" t="s">
        <v>54</v>
      </c>
      <c r="CM57" s="1656"/>
      <c r="CN57" s="1656"/>
      <c r="CO57" s="1657"/>
      <c r="CQ57" s="367"/>
      <c r="CR57" s="381"/>
      <c r="CS57" s="377"/>
      <c r="CT57" s="434"/>
    </row>
    <row r="58" spans="1:98" ht="3.75" customHeight="1">
      <c r="A58" s="1645"/>
      <c r="C58" s="423"/>
      <c r="D58" s="423"/>
      <c r="E58" s="423"/>
      <c r="F58" s="423"/>
      <c r="G58" s="423"/>
      <c r="H58" s="423"/>
      <c r="I58" s="423"/>
      <c r="J58" s="423"/>
      <c r="K58" s="433"/>
      <c r="L58" s="423"/>
      <c r="M58" s="423"/>
      <c r="N58" s="423"/>
      <c r="O58" s="423"/>
      <c r="P58" s="423"/>
      <c r="Q58" s="423"/>
      <c r="R58" s="423"/>
      <c r="S58" s="423"/>
      <c r="T58" s="423"/>
      <c r="U58" s="433"/>
      <c r="V58" s="423"/>
      <c r="W58" s="423"/>
      <c r="X58" s="423"/>
      <c r="Y58" s="423"/>
      <c r="Z58" s="423"/>
      <c r="AA58" s="423"/>
      <c r="AB58" s="423"/>
      <c r="AC58" s="423"/>
      <c r="AD58" s="423"/>
      <c r="AE58" s="433"/>
      <c r="AF58" s="423"/>
      <c r="AG58" s="423"/>
      <c r="AH58" s="423"/>
      <c r="AI58" s="423"/>
      <c r="AJ58" s="423"/>
      <c r="AK58" s="423"/>
      <c r="AL58" s="423"/>
      <c r="AM58" s="423"/>
      <c r="AN58" s="423"/>
      <c r="AO58" s="433"/>
      <c r="AY58" s="417"/>
      <c r="BI58" s="417"/>
      <c r="BJ58" s="423"/>
      <c r="BK58" s="423"/>
      <c r="BL58" s="423"/>
      <c r="BM58" s="423"/>
      <c r="BN58" s="423"/>
      <c r="BO58" s="423"/>
      <c r="BP58" s="423"/>
      <c r="BQ58" s="423"/>
      <c r="BR58" s="423"/>
      <c r="BS58" s="433"/>
      <c r="BT58" s="423"/>
      <c r="BU58" s="423"/>
      <c r="BV58" s="423"/>
      <c r="BW58" s="423"/>
      <c r="BX58" s="423"/>
      <c r="BY58" s="423"/>
      <c r="BZ58" s="423"/>
      <c r="CA58" s="423"/>
      <c r="CB58" s="423"/>
      <c r="CC58" s="423"/>
      <c r="CD58" s="1634"/>
      <c r="CE58" s="1635"/>
      <c r="CF58" s="1635"/>
      <c r="CG58" s="1635"/>
      <c r="CH58" s="1617"/>
      <c r="CI58" s="1618"/>
      <c r="CJ58" s="1618"/>
      <c r="CK58" s="1619"/>
      <c r="CL58" s="1658"/>
      <c r="CM58" s="1658"/>
      <c r="CN58" s="1658"/>
      <c r="CO58" s="1659"/>
      <c r="CQ58" s="367" t="s">
        <v>54</v>
      </c>
      <c r="CR58" s="381" t="s">
        <v>54</v>
      </c>
      <c r="CS58" s="367"/>
    </row>
    <row r="59" spans="1:98" ht="13.5" customHeight="1">
      <c r="A59" s="1646"/>
      <c r="B59" s="426"/>
      <c r="C59" s="426"/>
      <c r="D59" s="426"/>
      <c r="E59" s="426"/>
      <c r="F59" s="426"/>
      <c r="G59" s="426"/>
      <c r="H59" s="426"/>
      <c r="I59" s="426"/>
      <c r="J59" s="426"/>
      <c r="K59" s="427"/>
      <c r="L59" s="426"/>
      <c r="M59" s="426"/>
      <c r="N59" s="426"/>
      <c r="O59" s="426"/>
      <c r="P59" s="426"/>
      <c r="Q59" s="426"/>
      <c r="R59" s="426"/>
      <c r="S59" s="426"/>
      <c r="T59" s="426"/>
      <c r="U59" s="427"/>
      <c r="V59" s="426"/>
      <c r="W59" s="426"/>
      <c r="X59" s="426"/>
      <c r="Y59" s="426"/>
      <c r="Z59" s="426"/>
      <c r="AA59" s="426"/>
      <c r="AB59" s="426"/>
      <c r="AC59" s="426"/>
      <c r="AD59" s="426"/>
      <c r="AE59" s="427"/>
      <c r="AF59" s="426"/>
      <c r="AG59" s="426"/>
      <c r="AH59" s="426"/>
      <c r="AI59" s="426"/>
      <c r="AJ59" s="426"/>
      <c r="AK59" s="426"/>
      <c r="AL59" s="426"/>
      <c r="AM59" s="426"/>
      <c r="AN59" s="426"/>
      <c r="AO59" s="427"/>
      <c r="AP59" s="426"/>
      <c r="AQ59" s="426"/>
      <c r="AR59" s="426"/>
      <c r="AS59" s="426"/>
      <c r="AT59" s="426"/>
      <c r="AU59" s="426"/>
      <c r="AV59" s="426"/>
      <c r="AW59" s="426"/>
      <c r="AX59" s="426"/>
      <c r="AY59" s="427"/>
      <c r="AZ59" s="426"/>
      <c r="BA59" s="426"/>
      <c r="BB59" s="426"/>
      <c r="BC59" s="426"/>
      <c r="BD59" s="426"/>
      <c r="BE59" s="426"/>
      <c r="BF59" s="426"/>
      <c r="BG59" s="426"/>
      <c r="BH59" s="426"/>
      <c r="BI59" s="427"/>
      <c r="BJ59" s="426"/>
      <c r="BK59" s="426"/>
      <c r="BL59" s="426"/>
      <c r="BM59" s="428"/>
      <c r="BN59" s="426"/>
      <c r="BO59" s="426"/>
      <c r="BP59" s="426"/>
      <c r="BQ59" s="426"/>
      <c r="BR59" s="426"/>
      <c r="BS59" s="427"/>
      <c r="BT59" s="426"/>
      <c r="BU59" s="426"/>
      <c r="BV59" s="426"/>
      <c r="BW59" s="426"/>
      <c r="BX59" s="426"/>
      <c r="BY59" s="426"/>
      <c r="BZ59" s="426"/>
      <c r="CA59" s="426"/>
      <c r="CB59" s="426"/>
      <c r="CC59" s="426"/>
      <c r="CD59" s="1647">
        <f>+CS39</f>
        <v>4.0599999999999996</v>
      </c>
      <c r="CE59" s="1648"/>
      <c r="CF59" s="1649">
        <f>CD59/CS39</f>
        <v>1</v>
      </c>
      <c r="CG59" s="1650"/>
      <c r="CH59" s="1638">
        <v>0</v>
      </c>
      <c r="CI59" s="1639"/>
      <c r="CJ59" s="1640">
        <f>CH59/CS39</f>
        <v>0</v>
      </c>
      <c r="CK59" s="1641"/>
      <c r="CL59" s="1642">
        <v>0</v>
      </c>
      <c r="CM59" s="1643"/>
      <c r="CN59" s="1636">
        <f>CL59/CS39</f>
        <v>0</v>
      </c>
      <c r="CO59" s="1637"/>
      <c r="CQ59" s="367">
        <f>CD59+CH59+CL59</f>
        <v>4.0599999999999996</v>
      </c>
      <c r="CR59" s="381">
        <f>CF59+CJ59+CN59</f>
        <v>1</v>
      </c>
      <c r="CS59" s="377"/>
    </row>
    <row r="60" spans="1:98" ht="10.5" customHeight="1">
      <c r="A60" s="1644" t="s">
        <v>59</v>
      </c>
      <c r="K60" s="417"/>
      <c r="U60" s="417"/>
      <c r="AE60" s="417"/>
      <c r="AO60" s="417"/>
      <c r="AY60" s="417"/>
      <c r="BI60" s="417"/>
      <c r="BS60" s="417"/>
      <c r="CD60" s="1651" t="s">
        <v>54</v>
      </c>
      <c r="CE60" s="1652"/>
      <c r="CF60" s="1652"/>
      <c r="CG60" s="1652"/>
      <c r="CH60" s="1653" t="s">
        <v>54</v>
      </c>
      <c r="CI60" s="1654"/>
      <c r="CJ60" s="1654"/>
      <c r="CK60" s="1655"/>
      <c r="CL60" s="1656" t="s">
        <v>54</v>
      </c>
      <c r="CM60" s="1656"/>
      <c r="CN60" s="1656"/>
      <c r="CO60" s="1657"/>
      <c r="CQ60" s="367" t="s">
        <v>54</v>
      </c>
      <c r="CR60" s="381" t="s">
        <v>54</v>
      </c>
      <c r="CS60" s="377"/>
    </row>
    <row r="61" spans="1:98" ht="3.75" customHeight="1">
      <c r="A61" s="1645"/>
      <c r="C61" s="423"/>
      <c r="D61" s="423"/>
      <c r="E61" s="423"/>
      <c r="F61" s="423"/>
      <c r="G61" s="423"/>
      <c r="H61" s="423"/>
      <c r="I61" s="423"/>
      <c r="J61" s="423"/>
      <c r="K61" s="433"/>
      <c r="L61" s="423"/>
      <c r="M61" s="423"/>
      <c r="N61" s="423"/>
      <c r="O61" s="423"/>
      <c r="P61" s="423"/>
      <c r="Q61" s="423"/>
      <c r="R61" s="423"/>
      <c r="S61" s="423"/>
      <c r="T61" s="423"/>
      <c r="U61" s="433"/>
      <c r="V61" s="423"/>
      <c r="W61" s="423"/>
      <c r="X61" s="423"/>
      <c r="Y61" s="423"/>
      <c r="Z61" s="423"/>
      <c r="AA61" s="423"/>
      <c r="AB61" s="423"/>
      <c r="AC61" s="423"/>
      <c r="AD61" s="423"/>
      <c r="AE61" s="433"/>
      <c r="AF61" s="423"/>
      <c r="AG61" s="423"/>
      <c r="AH61" s="423"/>
      <c r="AI61" s="423"/>
      <c r="AJ61" s="423"/>
      <c r="AK61" s="423"/>
      <c r="AL61" s="423"/>
      <c r="AM61" s="423"/>
      <c r="AN61" s="423"/>
      <c r="AO61" s="433"/>
      <c r="AP61" s="423"/>
      <c r="AQ61" s="423"/>
      <c r="AR61" s="423"/>
      <c r="AS61" s="423"/>
      <c r="AT61" s="423"/>
      <c r="AU61" s="423"/>
      <c r="AV61" s="423"/>
      <c r="AW61" s="423"/>
      <c r="AX61" s="423"/>
      <c r="AY61" s="433"/>
      <c r="AZ61" s="423"/>
      <c r="BA61" s="423"/>
      <c r="BB61" s="423"/>
      <c r="BC61" s="423"/>
      <c r="BD61" s="423"/>
      <c r="BE61" s="423"/>
      <c r="BF61" s="423"/>
      <c r="BG61" s="423"/>
      <c r="BH61" s="423"/>
      <c r="BI61" s="433"/>
      <c r="BJ61" s="423"/>
      <c r="BK61" s="423"/>
      <c r="BL61" s="423"/>
      <c r="BM61" s="423"/>
      <c r="BN61" s="423"/>
      <c r="BO61" s="423"/>
      <c r="BP61" s="423"/>
      <c r="BQ61" s="423"/>
      <c r="BR61" s="423"/>
      <c r="BS61" s="433"/>
      <c r="BT61" s="423"/>
      <c r="BU61" s="423"/>
      <c r="BV61" s="423"/>
      <c r="BW61" s="423"/>
      <c r="BX61" s="423"/>
      <c r="BY61" s="423"/>
      <c r="BZ61" s="423"/>
      <c r="CA61" s="423"/>
      <c r="CB61" s="423"/>
      <c r="CC61" s="423"/>
      <c r="CD61" s="1634"/>
      <c r="CE61" s="1635"/>
      <c r="CF61" s="1635"/>
      <c r="CG61" s="1635"/>
      <c r="CH61" s="1617"/>
      <c r="CI61" s="1618"/>
      <c r="CJ61" s="1618"/>
      <c r="CK61" s="1619"/>
      <c r="CL61" s="1658"/>
      <c r="CM61" s="1658"/>
      <c r="CN61" s="1658"/>
      <c r="CO61" s="1659"/>
      <c r="CQ61" s="377"/>
      <c r="CR61" s="377"/>
      <c r="CS61" s="377"/>
    </row>
    <row r="62" spans="1:98" ht="13.5" customHeight="1">
      <c r="A62" s="1646"/>
      <c r="B62" s="426"/>
      <c r="C62" s="426"/>
      <c r="D62" s="426"/>
      <c r="E62" s="426"/>
      <c r="F62" s="426"/>
      <c r="G62" s="426"/>
      <c r="H62" s="426"/>
      <c r="I62" s="426"/>
      <c r="J62" s="426"/>
      <c r="K62" s="427"/>
      <c r="L62" s="426"/>
      <c r="M62" s="426"/>
      <c r="N62" s="426"/>
      <c r="O62" s="426"/>
      <c r="P62" s="426"/>
      <c r="Q62" s="426"/>
      <c r="R62" s="426"/>
      <c r="S62" s="426"/>
      <c r="T62" s="426"/>
      <c r="U62" s="427"/>
      <c r="V62" s="426"/>
      <c r="W62" s="426"/>
      <c r="X62" s="426"/>
      <c r="Y62" s="426"/>
      <c r="Z62" s="426"/>
      <c r="AA62" s="426"/>
      <c r="AB62" s="426"/>
      <c r="AC62" s="426"/>
      <c r="AD62" s="426"/>
      <c r="AE62" s="427"/>
      <c r="AF62" s="426"/>
      <c r="AG62" s="426"/>
      <c r="AH62" s="426"/>
      <c r="AI62" s="426"/>
      <c r="AJ62" s="426"/>
      <c r="AK62" s="426"/>
      <c r="AL62" s="426"/>
      <c r="AM62" s="426"/>
      <c r="AN62" s="426"/>
      <c r="AO62" s="427"/>
      <c r="AP62" s="426"/>
      <c r="AQ62" s="426"/>
      <c r="AR62" s="426"/>
      <c r="AS62" s="426"/>
      <c r="AT62" s="426"/>
      <c r="AU62" s="426"/>
      <c r="AV62" s="426"/>
      <c r="AW62" s="426"/>
      <c r="AX62" s="426"/>
      <c r="AY62" s="427"/>
      <c r="AZ62" s="426"/>
      <c r="BA62" s="426"/>
      <c r="BB62" s="426"/>
      <c r="BC62" s="426"/>
      <c r="BD62" s="426"/>
      <c r="BE62" s="426"/>
      <c r="BF62" s="426"/>
      <c r="BG62" s="426"/>
      <c r="BH62" s="426"/>
      <c r="BI62" s="427"/>
      <c r="BJ62" s="426"/>
      <c r="BK62" s="426"/>
      <c r="BL62" s="426"/>
      <c r="BM62" s="428"/>
      <c r="BN62" s="426"/>
      <c r="BO62" s="426"/>
      <c r="BP62" s="426"/>
      <c r="BQ62" s="426"/>
      <c r="BR62" s="426"/>
      <c r="BS62" s="427"/>
      <c r="BT62" s="426"/>
      <c r="BU62" s="426"/>
      <c r="BV62" s="426"/>
      <c r="BW62" s="426"/>
      <c r="BX62" s="426"/>
      <c r="BY62" s="426"/>
      <c r="BZ62" s="426"/>
      <c r="CA62" s="426"/>
      <c r="CB62" s="426"/>
      <c r="CC62" s="426"/>
      <c r="CD62" s="1647">
        <f>+CS39</f>
        <v>4.0599999999999996</v>
      </c>
      <c r="CE62" s="1648"/>
      <c r="CF62" s="1649">
        <f>CD62/CS39</f>
        <v>1</v>
      </c>
      <c r="CG62" s="1650"/>
      <c r="CH62" s="1638">
        <v>0</v>
      </c>
      <c r="CI62" s="1639"/>
      <c r="CJ62" s="1640">
        <f>CH62/CS39</f>
        <v>0</v>
      </c>
      <c r="CK62" s="1641"/>
      <c r="CL62" s="1642">
        <v>0</v>
      </c>
      <c r="CM62" s="1643"/>
      <c r="CN62" s="1636">
        <f>CL62/CS39</f>
        <v>0</v>
      </c>
      <c r="CO62" s="1637"/>
      <c r="CQ62" s="367">
        <f>CD62+CH62+CL62</f>
        <v>4.0599999999999996</v>
      </c>
      <c r="CR62" s="381">
        <f>CF62+CJ62+CN62</f>
        <v>1</v>
      </c>
      <c r="CS62" s="349"/>
    </row>
    <row r="63" spans="1:98" ht="10.5" customHeight="1">
      <c r="A63" s="1644" t="s">
        <v>575</v>
      </c>
      <c r="K63" s="417"/>
      <c r="U63" s="417"/>
      <c r="AE63" s="417"/>
      <c r="AO63" s="417"/>
      <c r="AY63" s="417"/>
      <c r="BI63" s="417"/>
      <c r="BS63" s="417"/>
      <c r="CD63" s="1651" t="s">
        <v>54</v>
      </c>
      <c r="CE63" s="1652"/>
      <c r="CF63" s="1652"/>
      <c r="CG63" s="1652"/>
      <c r="CH63" s="1653" t="s">
        <v>54</v>
      </c>
      <c r="CI63" s="1654"/>
      <c r="CJ63" s="1654"/>
      <c r="CK63" s="1655"/>
      <c r="CL63" s="1656" t="s">
        <v>54</v>
      </c>
      <c r="CM63" s="1656"/>
      <c r="CN63" s="1656"/>
      <c r="CO63" s="1657"/>
      <c r="CQ63" s="387"/>
      <c r="CR63" s="349"/>
      <c r="CS63" s="349"/>
    </row>
    <row r="64" spans="1:98" ht="3.75" customHeight="1">
      <c r="A64" s="1645"/>
      <c r="C64" s="423"/>
      <c r="D64" s="423"/>
      <c r="E64" s="423"/>
      <c r="F64" s="423"/>
      <c r="G64" s="423"/>
      <c r="H64" s="423"/>
      <c r="I64" s="423"/>
      <c r="J64" s="423"/>
      <c r="K64" s="433"/>
      <c r="L64" s="423"/>
      <c r="M64" s="423"/>
      <c r="N64" s="423"/>
      <c r="O64" s="423"/>
      <c r="P64" s="423"/>
      <c r="Q64" s="423"/>
      <c r="R64" s="423"/>
      <c r="S64" s="423"/>
      <c r="T64" s="423"/>
      <c r="U64" s="433"/>
      <c r="V64" s="423"/>
      <c r="W64" s="423"/>
      <c r="X64" s="423"/>
      <c r="Y64" s="423"/>
      <c r="Z64" s="423"/>
      <c r="AA64" s="423"/>
      <c r="AB64" s="423"/>
      <c r="AC64" s="423"/>
      <c r="AD64" s="423"/>
      <c r="AE64" s="433"/>
      <c r="AF64" s="423"/>
      <c r="AG64" s="423"/>
      <c r="AH64" s="423"/>
      <c r="AI64" s="423"/>
      <c r="AJ64" s="423"/>
      <c r="AK64" s="423"/>
      <c r="AL64" s="423"/>
      <c r="AM64" s="423"/>
      <c r="AN64" s="423"/>
      <c r="AO64" s="433"/>
      <c r="AP64" s="423"/>
      <c r="AQ64" s="423"/>
      <c r="AR64" s="423"/>
      <c r="AS64" s="423"/>
      <c r="AT64" s="423"/>
      <c r="AU64" s="423"/>
      <c r="AV64" s="423"/>
      <c r="AW64" s="423"/>
      <c r="AX64" s="423"/>
      <c r="AY64" s="433"/>
      <c r="AZ64" s="423"/>
      <c r="BA64" s="423"/>
      <c r="BB64" s="423"/>
      <c r="BC64" s="423"/>
      <c r="BD64" s="423"/>
      <c r="BE64" s="423"/>
      <c r="BF64" s="423"/>
      <c r="BG64" s="423"/>
      <c r="BH64" s="423"/>
      <c r="BI64" s="433"/>
      <c r="BJ64" s="423"/>
      <c r="BK64" s="423"/>
      <c r="BL64" s="423"/>
      <c r="BM64" s="423"/>
      <c r="BN64" s="423"/>
      <c r="BO64" s="423"/>
      <c r="BP64" s="423"/>
      <c r="BQ64" s="423"/>
      <c r="BR64" s="423"/>
      <c r="BS64" s="433"/>
      <c r="BT64" s="423"/>
      <c r="BU64" s="423"/>
      <c r="BV64" s="423"/>
      <c r="BW64" s="423"/>
      <c r="BX64" s="423"/>
      <c r="BY64" s="423"/>
      <c r="BZ64" s="423"/>
      <c r="CA64" s="423"/>
      <c r="CB64" s="423"/>
      <c r="CC64" s="423"/>
      <c r="CD64" s="1634"/>
      <c r="CE64" s="1635"/>
      <c r="CF64" s="1635"/>
      <c r="CG64" s="1635"/>
      <c r="CH64" s="1617"/>
      <c r="CI64" s="1618"/>
      <c r="CJ64" s="1618"/>
      <c r="CK64" s="1619"/>
      <c r="CL64" s="1658"/>
      <c r="CM64" s="1658"/>
      <c r="CN64" s="1658"/>
      <c r="CO64" s="1659"/>
      <c r="CQ64" s="387"/>
      <c r="CR64" s="349"/>
      <c r="CS64" s="349"/>
    </row>
    <row r="65" spans="1:97" ht="13.5" customHeight="1" thickBot="1">
      <c r="A65" s="1662"/>
      <c r="B65" s="411"/>
      <c r="C65" s="411"/>
      <c r="D65" s="411"/>
      <c r="E65" s="411"/>
      <c r="F65" s="411"/>
      <c r="G65" s="411"/>
      <c r="H65" s="411"/>
      <c r="I65" s="411"/>
      <c r="J65" s="411"/>
      <c r="K65" s="436"/>
      <c r="L65" s="411"/>
      <c r="M65" s="411"/>
      <c r="N65" s="411"/>
      <c r="O65" s="411"/>
      <c r="P65" s="411"/>
      <c r="Q65" s="411"/>
      <c r="R65" s="411"/>
      <c r="S65" s="411"/>
      <c r="T65" s="411"/>
      <c r="U65" s="436"/>
      <c r="V65" s="411"/>
      <c r="W65" s="411"/>
      <c r="X65" s="411"/>
      <c r="Y65" s="411"/>
      <c r="Z65" s="411"/>
      <c r="AA65" s="411"/>
      <c r="AB65" s="411"/>
      <c r="AC65" s="411"/>
      <c r="AD65" s="411"/>
      <c r="AE65" s="436"/>
      <c r="AF65" s="411"/>
      <c r="AG65" s="411"/>
      <c r="AH65" s="411"/>
      <c r="AI65" s="411"/>
      <c r="AJ65" s="411"/>
      <c r="AK65" s="411"/>
      <c r="AL65" s="411"/>
      <c r="AM65" s="411"/>
      <c r="AN65" s="411"/>
      <c r="AO65" s="436"/>
      <c r="AP65" s="411"/>
      <c r="AQ65" s="411"/>
      <c r="AR65" s="411"/>
      <c r="AS65" s="411"/>
      <c r="AT65" s="411"/>
      <c r="AU65" s="411"/>
      <c r="AV65" s="411"/>
      <c r="AW65" s="411"/>
      <c r="AX65" s="411"/>
      <c r="AY65" s="436"/>
      <c r="AZ65" s="411"/>
      <c r="BA65" s="411"/>
      <c r="BB65" s="411"/>
      <c r="BC65" s="411"/>
      <c r="BD65" s="411"/>
      <c r="BE65" s="411"/>
      <c r="BF65" s="411"/>
      <c r="BG65" s="411"/>
      <c r="BH65" s="411"/>
      <c r="BI65" s="436"/>
      <c r="BJ65" s="411"/>
      <c r="BK65" s="411"/>
      <c r="BL65" s="411"/>
      <c r="BM65" s="428"/>
      <c r="BN65" s="411"/>
      <c r="BO65" s="411"/>
      <c r="BP65" s="411"/>
      <c r="BQ65" s="411"/>
      <c r="BR65" s="411"/>
      <c r="BS65" s="436"/>
      <c r="BT65" s="411"/>
      <c r="BU65" s="411"/>
      <c r="BV65" s="411"/>
      <c r="BW65" s="411"/>
      <c r="BX65" s="411"/>
      <c r="BY65" s="411"/>
      <c r="BZ65" s="411"/>
      <c r="CA65" s="411"/>
      <c r="CB65" s="411"/>
      <c r="CC65" s="411"/>
      <c r="CD65" s="1647">
        <f>+CS39</f>
        <v>4.0599999999999996</v>
      </c>
      <c r="CE65" s="1648"/>
      <c r="CF65" s="1700">
        <f>CD65/CS39</f>
        <v>1</v>
      </c>
      <c r="CG65" s="1701"/>
      <c r="CH65" s="1702">
        <v>0</v>
      </c>
      <c r="CI65" s="1703"/>
      <c r="CJ65" s="1704">
        <f>CH65/CS39</f>
        <v>0</v>
      </c>
      <c r="CK65" s="1705"/>
      <c r="CL65" s="1706">
        <v>0</v>
      </c>
      <c r="CM65" s="1707"/>
      <c r="CN65" s="1636">
        <f>CL65/CS39</f>
        <v>0</v>
      </c>
      <c r="CO65" s="1637"/>
      <c r="CQ65" s="367">
        <f>CD65+CH65+CL65</f>
        <v>4.0599999999999996</v>
      </c>
      <c r="CR65" s="381">
        <f>CF65+CJ65+CN65</f>
        <v>1</v>
      </c>
      <c r="CS65" s="349"/>
    </row>
    <row r="66" spans="1:97">
      <c r="CQ66" s="349"/>
      <c r="CR66" s="349"/>
      <c r="CS66" s="349"/>
    </row>
    <row r="67" spans="1:97">
      <c r="CD67" s="390" t="s">
        <v>440</v>
      </c>
    </row>
  </sheetData>
  <mergeCells count="131">
    <mergeCell ref="CD65:CE65"/>
    <mergeCell ref="CF65:CG65"/>
    <mergeCell ref="CH65:CI65"/>
    <mergeCell ref="CJ65:CK65"/>
    <mergeCell ref="CL65:CM65"/>
    <mergeCell ref="CN65:CO65"/>
    <mergeCell ref="CD62:CE62"/>
    <mergeCell ref="CF62:CG62"/>
    <mergeCell ref="CH62:CI62"/>
    <mergeCell ref="CJ62:CK62"/>
    <mergeCell ref="CL62:CM62"/>
    <mergeCell ref="CN62:CO62"/>
    <mergeCell ref="CD63:CG64"/>
    <mergeCell ref="CH63:CK64"/>
    <mergeCell ref="CL63:CO64"/>
    <mergeCell ref="CD59:CE59"/>
    <mergeCell ref="CF59:CG59"/>
    <mergeCell ref="CH59:CI59"/>
    <mergeCell ref="CJ59:CK59"/>
    <mergeCell ref="CL59:CM59"/>
    <mergeCell ref="CN59:CO59"/>
    <mergeCell ref="CD60:CG61"/>
    <mergeCell ref="CH60:CK61"/>
    <mergeCell ref="CL60:CO61"/>
    <mergeCell ref="CD56:CE56"/>
    <mergeCell ref="CF56:CG56"/>
    <mergeCell ref="CH56:CI56"/>
    <mergeCell ref="CJ56:CK56"/>
    <mergeCell ref="CL56:CM56"/>
    <mergeCell ref="CN56:CO56"/>
    <mergeCell ref="CD57:CG58"/>
    <mergeCell ref="CH57:CK58"/>
    <mergeCell ref="CL57:CO58"/>
    <mergeCell ref="CD53:CE53"/>
    <mergeCell ref="CF53:CG53"/>
    <mergeCell ref="CH53:CI53"/>
    <mergeCell ref="CJ53:CK53"/>
    <mergeCell ref="CL53:CM53"/>
    <mergeCell ref="CN53:CO53"/>
    <mergeCell ref="CD54:CG55"/>
    <mergeCell ref="CH54:CK55"/>
    <mergeCell ref="CL54:CO55"/>
    <mergeCell ref="CD50:CE50"/>
    <mergeCell ref="CF50:CG50"/>
    <mergeCell ref="CH50:CI50"/>
    <mergeCell ref="CJ50:CK50"/>
    <mergeCell ref="CL50:CM50"/>
    <mergeCell ref="CN50:CO50"/>
    <mergeCell ref="CD51:CG52"/>
    <mergeCell ref="CH51:CK52"/>
    <mergeCell ref="CL51:CO52"/>
    <mergeCell ref="CD47:CE47"/>
    <mergeCell ref="CF47:CG47"/>
    <mergeCell ref="CH47:CI47"/>
    <mergeCell ref="CJ47:CK47"/>
    <mergeCell ref="CL47:CM47"/>
    <mergeCell ref="CN47:CO47"/>
    <mergeCell ref="CD48:CG49"/>
    <mergeCell ref="CH48:CK49"/>
    <mergeCell ref="CL48:CO49"/>
    <mergeCell ref="B36:K36"/>
    <mergeCell ref="L36:U36"/>
    <mergeCell ref="V36:AE36"/>
    <mergeCell ref="AF36:AO36"/>
    <mergeCell ref="AP36:AY36"/>
    <mergeCell ref="AZ36:BI36"/>
    <mergeCell ref="BJ36:BS36"/>
    <mergeCell ref="BT14:CO14"/>
    <mergeCell ref="AF37:AO37"/>
    <mergeCell ref="AP37:AY37"/>
    <mergeCell ref="AZ37:BI37"/>
    <mergeCell ref="BJ37:BS37"/>
    <mergeCell ref="BT37:CC37"/>
    <mergeCell ref="CD37:CG37"/>
    <mergeCell ref="CH37:CK37"/>
    <mergeCell ref="CL37:CO37"/>
    <mergeCell ref="A1:CO1"/>
    <mergeCell ref="A2:CO2"/>
    <mergeCell ref="A3:CO3"/>
    <mergeCell ref="A4:CO4"/>
    <mergeCell ref="B9:G9"/>
    <mergeCell ref="B10:G10"/>
    <mergeCell ref="B11:G11"/>
    <mergeCell ref="B12:G12"/>
    <mergeCell ref="B34:CC34"/>
    <mergeCell ref="CL42:CO43"/>
    <mergeCell ref="CD44:CE44"/>
    <mergeCell ref="CF44:CG44"/>
    <mergeCell ref="CD45:CG46"/>
    <mergeCell ref="CH45:CK46"/>
    <mergeCell ref="CL45:CO46"/>
    <mergeCell ref="CJ38:CK38"/>
    <mergeCell ref="CL38:CM38"/>
    <mergeCell ref="CN38:CO38"/>
    <mergeCell ref="CL44:CM44"/>
    <mergeCell ref="CN44:CO44"/>
    <mergeCell ref="CH44:CI44"/>
    <mergeCell ref="CJ44:CK44"/>
    <mergeCell ref="CN41:CO41"/>
    <mergeCell ref="CD39:CG40"/>
    <mergeCell ref="CH39:CK40"/>
    <mergeCell ref="CL39:CO40"/>
    <mergeCell ref="CD41:CE41"/>
    <mergeCell ref="CF41:CG41"/>
    <mergeCell ref="CH41:CI41"/>
    <mergeCell ref="CJ41:CK41"/>
    <mergeCell ref="CL41:CM41"/>
    <mergeCell ref="A60:A62"/>
    <mergeCell ref="A63:A65"/>
    <mergeCell ref="BY7:CD7"/>
    <mergeCell ref="CD38:CE38"/>
    <mergeCell ref="CF38:CG38"/>
    <mergeCell ref="CH38:CI38"/>
    <mergeCell ref="A39:A41"/>
    <mergeCell ref="A45:A47"/>
    <mergeCell ref="A48:A50"/>
    <mergeCell ref="A51:A53"/>
    <mergeCell ref="A54:A56"/>
    <mergeCell ref="A57:A59"/>
    <mergeCell ref="CD42:CG43"/>
    <mergeCell ref="CH42:CK43"/>
    <mergeCell ref="A34:A35"/>
    <mergeCell ref="B35:CC35"/>
    <mergeCell ref="CD34:CO34"/>
    <mergeCell ref="CD35:CO35"/>
    <mergeCell ref="CD36:CO36"/>
    <mergeCell ref="A42:A44"/>
    <mergeCell ref="BT36:CC36"/>
    <mergeCell ref="B37:K37"/>
    <mergeCell ref="L37:U37"/>
    <mergeCell ref="V37:AE37"/>
  </mergeCells>
  <hyperlinks>
    <hyperlink ref="CD67" location="'TABLA DE CONTENIDO'!A1" display="VOLVER A TABLA DE CONTENIDO"/>
  </hyperlinks>
  <printOptions horizontalCentered="1"/>
  <pageMargins left="0.39370078740157483" right="0.39370078740157483" top="0.78740157480314965" bottom="0.39370078740157483" header="0.27559055118110237" footer="0.43307086614173229"/>
  <pageSetup scale="70" orientation="portrait" copies="2" r:id="rId1"/>
  <headerFooter alignWithMargins="0"/>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Y69"/>
  <sheetViews>
    <sheetView showGridLines="0" view="pageBreakPreview" zoomScale="80" zoomScaleNormal="75" zoomScaleSheetLayoutView="80" workbookViewId="0">
      <selection activeCell="DU19" sqref="DU19"/>
    </sheetView>
  </sheetViews>
  <sheetFormatPr baseColWidth="10" defaultColWidth="12.5703125" defaultRowHeight="15"/>
  <cols>
    <col min="1" max="1" width="30.7109375" style="349" customWidth="1"/>
    <col min="2" max="11" width="0.85546875" style="349" customWidth="1"/>
    <col min="12" max="110" width="0.7109375" style="349" customWidth="1"/>
    <col min="111" max="111" width="0.42578125" style="349" customWidth="1"/>
    <col min="112" max="113" width="2.140625" style="349" customWidth="1"/>
    <col min="114" max="114" width="2.5703125" style="349" customWidth="1"/>
    <col min="115" max="115" width="2.7109375" style="349" customWidth="1"/>
    <col min="116" max="116" width="2.140625" style="349" customWidth="1"/>
    <col min="117" max="117" width="1.7109375" style="349" customWidth="1"/>
    <col min="118" max="118" width="2.28515625" style="349" customWidth="1"/>
    <col min="119" max="119" width="2.5703125" style="349" customWidth="1"/>
    <col min="120" max="122" width="2.140625" style="349" customWidth="1"/>
    <col min="123" max="123" width="4.28515625" style="349" customWidth="1"/>
    <col min="124" max="16384" width="12.5703125" style="349"/>
  </cols>
  <sheetData>
    <row r="1" spans="1:123" customFormat="1" ht="23.25">
      <c r="A1" s="1583" t="s">
        <v>48</v>
      </c>
      <c r="B1" s="1583"/>
      <c r="C1" s="1583"/>
      <c r="D1" s="1583"/>
      <c r="E1" s="1583"/>
      <c r="F1" s="1583"/>
      <c r="G1" s="1583"/>
      <c r="H1" s="1583"/>
      <c r="I1" s="1583"/>
      <c r="J1" s="1583"/>
      <c r="K1" s="1583"/>
      <c r="L1" s="1583"/>
      <c r="M1" s="1583"/>
      <c r="N1" s="1583"/>
      <c r="O1" s="1583"/>
      <c r="P1" s="1583"/>
      <c r="Q1" s="1583"/>
      <c r="R1" s="1583"/>
      <c r="S1" s="1583"/>
      <c r="T1" s="1583"/>
      <c r="U1" s="1583"/>
      <c r="V1" s="1583"/>
      <c r="W1" s="1583"/>
      <c r="X1" s="1583"/>
      <c r="Y1" s="1583"/>
      <c r="Z1" s="1583"/>
      <c r="AA1" s="1583"/>
      <c r="AB1" s="1583"/>
      <c r="AC1" s="1583"/>
      <c r="AD1" s="1583"/>
      <c r="AE1" s="1583"/>
      <c r="AF1" s="1583"/>
      <c r="AG1" s="1583"/>
      <c r="AH1" s="1583"/>
      <c r="AI1" s="1583"/>
      <c r="AJ1" s="1583"/>
      <c r="AK1" s="1583"/>
      <c r="AL1" s="1583"/>
      <c r="AM1" s="1583"/>
      <c r="AN1" s="1583"/>
      <c r="AO1" s="1583"/>
      <c r="AP1" s="1583"/>
      <c r="AQ1" s="1583"/>
      <c r="AR1" s="1583"/>
      <c r="AS1" s="1583"/>
      <c r="AT1" s="1583"/>
      <c r="AU1" s="1583"/>
      <c r="AV1" s="1583"/>
      <c r="AW1" s="1583"/>
      <c r="AX1" s="1583"/>
      <c r="AY1" s="1583"/>
      <c r="AZ1" s="1583"/>
      <c r="BA1" s="1583"/>
      <c r="BB1" s="1583"/>
      <c r="BC1" s="1583"/>
      <c r="BD1" s="1583"/>
      <c r="BE1" s="1583"/>
      <c r="BF1" s="1583"/>
      <c r="BG1" s="1583"/>
      <c r="BH1" s="1583"/>
      <c r="BI1" s="1583"/>
      <c r="BJ1" s="1583"/>
      <c r="BK1" s="1583"/>
      <c r="BL1" s="1583"/>
      <c r="BM1" s="1583"/>
      <c r="BN1" s="1583"/>
      <c r="BO1" s="1583"/>
      <c r="BP1" s="1583"/>
      <c r="BQ1" s="1583"/>
      <c r="BR1" s="1583"/>
      <c r="BS1" s="1583"/>
      <c r="BT1" s="1583"/>
      <c r="BU1" s="1583"/>
      <c r="BV1" s="1583"/>
      <c r="BW1" s="1583"/>
      <c r="BX1" s="1583"/>
      <c r="BY1" s="1583"/>
      <c r="BZ1" s="1583"/>
      <c r="CA1" s="1583"/>
      <c r="CB1" s="1583"/>
      <c r="CC1" s="1583"/>
      <c r="CD1" s="1583"/>
      <c r="CE1" s="1583"/>
      <c r="CF1" s="1583"/>
      <c r="CG1" s="1583"/>
      <c r="CH1" s="1583"/>
      <c r="CI1" s="1583"/>
      <c r="CJ1" s="1583"/>
      <c r="CK1" s="1583"/>
      <c r="CL1" s="1583"/>
      <c r="CM1" s="1583"/>
      <c r="CN1" s="1583"/>
      <c r="CO1" s="1583"/>
      <c r="CP1" s="1583"/>
      <c r="CQ1" s="1583"/>
      <c r="CR1" s="1583"/>
      <c r="CS1" s="1583"/>
      <c r="CT1" s="1583"/>
      <c r="CU1" s="1583"/>
      <c r="CV1" s="1583"/>
      <c r="CW1" s="1583"/>
      <c r="CX1" s="1583"/>
      <c r="CY1" s="1583"/>
      <c r="CZ1" s="1583"/>
      <c r="DA1" s="1583"/>
      <c r="DB1" s="1583"/>
      <c r="DC1" s="1583"/>
      <c r="DD1" s="1583"/>
      <c r="DE1" s="1583"/>
      <c r="DF1" s="1583"/>
      <c r="DG1" s="1583"/>
      <c r="DH1" s="1583"/>
      <c r="DI1" s="1583"/>
      <c r="DJ1" s="1583"/>
      <c r="DK1" s="1583"/>
      <c r="DL1" s="1583"/>
      <c r="DM1" s="1583"/>
      <c r="DN1" s="1583"/>
      <c r="DO1" s="1583"/>
      <c r="DP1" s="1583"/>
      <c r="DQ1" s="1583"/>
      <c r="DR1" s="1583"/>
      <c r="DS1" s="1583"/>
    </row>
    <row r="2" spans="1:123" customFormat="1" ht="18">
      <c r="A2" s="1576" t="s">
        <v>531</v>
      </c>
      <c r="B2" s="1576"/>
      <c r="C2" s="1576"/>
      <c r="D2" s="1576"/>
      <c r="E2" s="1576"/>
      <c r="F2" s="1576"/>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576"/>
      <c r="AZ2" s="1576"/>
      <c r="BA2" s="1576"/>
      <c r="BB2" s="1576"/>
      <c r="BC2" s="1576"/>
      <c r="BD2" s="1576"/>
      <c r="BE2" s="1576"/>
      <c r="BF2" s="1576"/>
      <c r="BG2" s="1576"/>
      <c r="BH2" s="1576"/>
      <c r="BI2" s="1576"/>
      <c r="BJ2" s="1576"/>
      <c r="BK2" s="1576"/>
      <c r="BL2" s="1576"/>
      <c r="BM2" s="1576"/>
      <c r="BN2" s="1576"/>
      <c r="BO2" s="1576"/>
      <c r="BP2" s="1576"/>
      <c r="BQ2" s="1576"/>
      <c r="BR2" s="1576"/>
      <c r="BS2" s="1576"/>
      <c r="BT2" s="1576"/>
      <c r="BU2" s="1576"/>
      <c r="BV2" s="1576"/>
      <c r="BW2" s="1576"/>
      <c r="BX2" s="1576"/>
      <c r="BY2" s="1576"/>
      <c r="BZ2" s="1576"/>
      <c r="CA2" s="1576"/>
      <c r="CB2" s="1576"/>
      <c r="CC2" s="1576"/>
      <c r="CD2" s="1576"/>
      <c r="CE2" s="1576"/>
      <c r="CF2" s="1576"/>
      <c r="CG2" s="1576"/>
      <c r="CH2" s="1576"/>
      <c r="CI2" s="1576"/>
      <c r="CJ2" s="1576"/>
      <c r="CK2" s="1576"/>
      <c r="CL2" s="1576"/>
      <c r="CM2" s="1576"/>
      <c r="CN2" s="1576"/>
      <c r="CO2" s="1576"/>
      <c r="CP2" s="1576"/>
      <c r="CQ2" s="1576"/>
      <c r="CR2" s="1576"/>
      <c r="CS2" s="1576"/>
      <c r="CT2" s="1576"/>
      <c r="CU2" s="1576"/>
      <c r="CV2" s="1576"/>
      <c r="CW2" s="1576"/>
      <c r="CX2" s="1576"/>
      <c r="CY2" s="1576"/>
      <c r="CZ2" s="1576"/>
      <c r="DA2" s="1576"/>
      <c r="DB2" s="1576"/>
      <c r="DC2" s="1576"/>
      <c r="DD2" s="1576"/>
      <c r="DE2" s="1576"/>
      <c r="DF2" s="1576"/>
      <c r="DG2" s="1576"/>
      <c r="DH2" s="1576"/>
      <c r="DI2" s="1576"/>
      <c r="DJ2" s="1576"/>
      <c r="DK2" s="1576"/>
      <c r="DL2" s="1576"/>
      <c r="DM2" s="1576"/>
      <c r="DN2" s="1576"/>
      <c r="DO2" s="1576"/>
      <c r="DP2" s="1576"/>
      <c r="DQ2" s="1576"/>
      <c r="DR2" s="1576"/>
      <c r="DS2" s="1576"/>
    </row>
    <row r="3" spans="1:123" s="51" customFormat="1" ht="15.75" customHeight="1">
      <c r="A3" s="1576" t="s">
        <v>149</v>
      </c>
      <c r="B3" s="1576"/>
      <c r="C3" s="1576"/>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576"/>
      <c r="AZ3" s="1576"/>
      <c r="BA3" s="1576"/>
      <c r="BB3" s="1576"/>
      <c r="BC3" s="1576"/>
      <c r="BD3" s="1576"/>
      <c r="BE3" s="1576"/>
      <c r="BF3" s="1576"/>
      <c r="BG3" s="1576"/>
      <c r="BH3" s="1576"/>
      <c r="BI3" s="1576"/>
      <c r="BJ3" s="1576"/>
      <c r="BK3" s="1576"/>
      <c r="BL3" s="1576"/>
      <c r="BM3" s="1576"/>
      <c r="BN3" s="1576"/>
      <c r="BO3" s="1576"/>
      <c r="BP3" s="1576"/>
      <c r="BQ3" s="1576"/>
      <c r="BR3" s="1576"/>
      <c r="BS3" s="1576"/>
      <c r="BT3" s="1576"/>
      <c r="BU3" s="1576"/>
      <c r="BV3" s="1576"/>
      <c r="BW3" s="1576"/>
      <c r="BX3" s="1576"/>
      <c r="BY3" s="1576"/>
      <c r="BZ3" s="1576"/>
      <c r="CA3" s="1576"/>
      <c r="CB3" s="1576"/>
      <c r="CC3" s="1576"/>
      <c r="CD3" s="1576"/>
      <c r="CE3" s="1576"/>
      <c r="CF3" s="1576"/>
      <c r="CG3" s="1576"/>
      <c r="CH3" s="1576"/>
      <c r="CI3" s="1576"/>
      <c r="CJ3" s="1576"/>
      <c r="CK3" s="1576"/>
      <c r="CL3" s="1576"/>
      <c r="CM3" s="1576"/>
      <c r="CN3" s="1576"/>
      <c r="CO3" s="1576"/>
      <c r="CP3" s="1576"/>
      <c r="CQ3" s="1576"/>
      <c r="CR3" s="1576"/>
      <c r="CS3" s="1576"/>
      <c r="CT3" s="1576"/>
      <c r="CU3" s="1576"/>
      <c r="CV3" s="1576"/>
      <c r="CW3" s="1576"/>
      <c r="CX3" s="1576"/>
      <c r="CY3" s="1576"/>
      <c r="CZ3" s="1576"/>
      <c r="DA3" s="1576"/>
      <c r="DB3" s="1576"/>
      <c r="DC3" s="1576"/>
      <c r="DD3" s="1576"/>
      <c r="DE3" s="1576"/>
      <c r="DF3" s="1576"/>
      <c r="DG3" s="1576"/>
      <c r="DH3" s="1576"/>
      <c r="DI3" s="1576"/>
      <c r="DJ3" s="1576"/>
      <c r="DK3" s="1576"/>
      <c r="DL3" s="1576"/>
      <c r="DM3" s="1576"/>
      <c r="DN3" s="1576"/>
      <c r="DO3" s="1576"/>
      <c r="DP3" s="1576"/>
      <c r="DQ3" s="1576"/>
      <c r="DR3" s="1576"/>
      <c r="DS3" s="1576"/>
    </row>
    <row r="4" spans="1:123" s="51" customFormat="1" ht="18">
      <c r="A4" s="1576" t="s">
        <v>510</v>
      </c>
      <c r="B4" s="1576"/>
      <c r="C4" s="1576"/>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76"/>
      <c r="BB4" s="1576"/>
      <c r="BC4" s="1576"/>
      <c r="BD4" s="1576"/>
      <c r="BE4" s="1576"/>
      <c r="BF4" s="1576"/>
      <c r="BG4" s="1576"/>
      <c r="BH4" s="1576"/>
      <c r="BI4" s="1576"/>
      <c r="BJ4" s="1576"/>
      <c r="BK4" s="1576"/>
      <c r="BL4" s="1576"/>
      <c r="BM4" s="1576"/>
      <c r="BN4" s="1576"/>
      <c r="BO4" s="1576"/>
      <c r="BP4" s="1576"/>
      <c r="BQ4" s="1576"/>
      <c r="BR4" s="1576"/>
      <c r="BS4" s="1576"/>
      <c r="BT4" s="1576"/>
      <c r="BU4" s="1576"/>
      <c r="BV4" s="1576"/>
      <c r="BW4" s="1576"/>
      <c r="BX4" s="1576"/>
      <c r="BY4" s="1576"/>
      <c r="BZ4" s="1576"/>
      <c r="CA4" s="1576"/>
      <c r="CB4" s="1576"/>
      <c r="CC4" s="1576"/>
      <c r="CD4" s="1576"/>
      <c r="CE4" s="1576"/>
      <c r="CF4" s="1576"/>
      <c r="CG4" s="1576"/>
      <c r="CH4" s="1576"/>
      <c r="CI4" s="1576"/>
      <c r="CJ4" s="1576"/>
      <c r="CK4" s="1576"/>
      <c r="CL4" s="1576"/>
      <c r="CM4" s="1576"/>
      <c r="CN4" s="1576"/>
      <c r="CO4" s="1576"/>
      <c r="CP4" s="1576"/>
      <c r="CQ4" s="1576"/>
      <c r="CR4" s="1576"/>
      <c r="CS4" s="1576"/>
      <c r="CT4" s="1576"/>
      <c r="CU4" s="1576"/>
      <c r="CV4" s="1576"/>
      <c r="CW4" s="1576"/>
      <c r="CX4" s="1576"/>
      <c r="CY4" s="1576"/>
      <c r="CZ4" s="1576"/>
      <c r="DA4" s="1576"/>
      <c r="DB4" s="1576"/>
      <c r="DC4" s="1576"/>
      <c r="DD4" s="1576"/>
      <c r="DE4" s="1576"/>
      <c r="DF4" s="1576"/>
      <c r="DG4" s="1576"/>
      <c r="DH4" s="1576"/>
      <c r="DI4" s="1576"/>
      <c r="DJ4" s="1576"/>
      <c r="DK4" s="1576"/>
      <c r="DL4" s="1576"/>
      <c r="DM4" s="1576"/>
      <c r="DN4" s="1576"/>
      <c r="DO4" s="1576"/>
      <c r="DP4" s="1576"/>
      <c r="DQ4" s="1576"/>
      <c r="DR4" s="1576"/>
      <c r="DS4" s="1576"/>
    </row>
    <row r="5" spans="1:123" s="51" customFormat="1" ht="18">
      <c r="A5" s="194"/>
      <c r="B5" s="194"/>
      <c r="C5" s="194"/>
      <c r="D5" s="194"/>
      <c r="E5" s="194"/>
      <c r="F5" s="194"/>
      <c r="G5" s="194"/>
      <c r="H5" s="194"/>
      <c r="I5" s="194"/>
      <c r="J5" s="194"/>
      <c r="K5" s="194"/>
      <c r="L5" s="194"/>
      <c r="M5" s="194"/>
      <c r="N5" s="194"/>
      <c r="O5" s="194"/>
      <c r="P5" s="194"/>
      <c r="Q5" s="194"/>
      <c r="R5" s="194"/>
      <c r="S5" s="194"/>
      <c r="T5" s="194"/>
      <c r="U5" s="194"/>
      <c r="V5" s="194"/>
      <c r="W5" s="194"/>
      <c r="X5" s="194"/>
      <c r="Y5" s="194"/>
      <c r="Z5" s="194"/>
      <c r="AA5" s="194"/>
      <c r="AB5" s="194"/>
      <c r="AC5" s="194"/>
      <c r="AD5" s="194"/>
      <c r="AE5" s="194"/>
      <c r="AF5" s="194"/>
      <c r="AG5" s="194"/>
      <c r="AH5" s="194"/>
      <c r="AI5" s="194"/>
      <c r="AJ5" s="194"/>
      <c r="AK5" s="194"/>
      <c r="AL5" s="194"/>
      <c r="AM5" s="194"/>
      <c r="AN5" s="194"/>
      <c r="AO5" s="194"/>
      <c r="AP5" s="194"/>
      <c r="AQ5" s="194"/>
      <c r="AR5" s="194"/>
      <c r="AS5" s="194"/>
      <c r="AT5" s="194"/>
      <c r="AU5" s="194"/>
      <c r="AV5" s="194"/>
    </row>
    <row r="6" spans="1:123" s="51" customFormat="1" ht="12" customHeight="1">
      <c r="A6" s="52"/>
      <c r="B6" s="52"/>
      <c r="C6" s="52"/>
      <c r="D6" s="52"/>
      <c r="E6" s="52"/>
      <c r="F6" s="52"/>
      <c r="G6" s="52"/>
      <c r="H6" s="52"/>
      <c r="I6" s="52"/>
      <c r="J6" s="52"/>
      <c r="K6" s="52"/>
      <c r="L6" s="52"/>
      <c r="M6" s="52"/>
      <c r="N6" s="52"/>
      <c r="O6" s="52"/>
      <c r="P6" s="52"/>
      <c r="Q6" s="52"/>
      <c r="R6" s="52"/>
      <c r="S6" s="52"/>
      <c r="T6" s="52"/>
      <c r="U6" s="52"/>
      <c r="V6" s="52"/>
      <c r="W6" s="52"/>
      <c r="X6" s="52"/>
      <c r="Y6" s="52"/>
      <c r="Z6" s="52"/>
      <c r="AA6" s="52"/>
      <c r="AB6" s="52"/>
      <c r="AC6" s="52"/>
      <c r="AD6" s="52"/>
      <c r="AE6" s="52"/>
      <c r="AF6" s="342"/>
      <c r="AG6" s="342"/>
      <c r="AH6" s="342"/>
      <c r="AI6" s="342"/>
      <c r="AJ6" s="342"/>
      <c r="AK6" s="342"/>
      <c r="AL6" s="342"/>
      <c r="AM6" s="342"/>
      <c r="AN6" s="342"/>
      <c r="AO6" s="342"/>
      <c r="AP6" s="342"/>
      <c r="AQ6" s="342"/>
      <c r="AR6" s="342"/>
      <c r="AS6" s="342"/>
      <c r="AT6" s="342"/>
      <c r="AU6" s="342"/>
      <c r="AV6" s="342"/>
    </row>
    <row r="7" spans="1:123" customFormat="1" ht="12.75">
      <c r="A7" s="53" t="s">
        <v>1336</v>
      </c>
      <c r="B7" s="53"/>
      <c r="C7" s="53"/>
      <c r="D7" s="53"/>
      <c r="E7" s="53"/>
      <c r="F7" s="53"/>
      <c r="G7" s="53"/>
      <c r="H7" s="53"/>
      <c r="I7" s="53"/>
      <c r="J7" s="53"/>
      <c r="K7" s="53"/>
      <c r="L7" s="53"/>
      <c r="M7" s="53"/>
      <c r="N7" s="53"/>
      <c r="O7" s="53"/>
      <c r="P7" s="53"/>
      <c r="Q7" s="53"/>
      <c r="R7" s="53"/>
      <c r="S7" s="53"/>
      <c r="T7" s="53"/>
      <c r="U7" s="53"/>
      <c r="V7" s="53"/>
      <c r="W7" s="53"/>
      <c r="X7" s="53"/>
      <c r="Y7" s="53"/>
      <c r="Z7" s="53"/>
      <c r="AA7" s="53"/>
      <c r="AB7" s="53"/>
      <c r="AC7" s="53"/>
      <c r="AD7" s="53"/>
      <c r="AE7" s="53"/>
      <c r="AF7" s="53"/>
      <c r="AG7" s="54"/>
      <c r="AH7" s="54"/>
      <c r="AI7" s="54"/>
      <c r="AJ7" s="54"/>
      <c r="AK7" s="54"/>
      <c r="AL7" s="54"/>
      <c r="AN7" s="56"/>
      <c r="AO7" s="56"/>
      <c r="AP7" s="54"/>
      <c r="AQ7" s="54"/>
      <c r="AR7" s="54"/>
      <c r="AS7" s="54"/>
      <c r="AT7" s="54"/>
      <c r="AU7" s="342"/>
      <c r="AV7" s="342"/>
      <c r="CI7" s="55" t="s">
        <v>89</v>
      </c>
      <c r="DD7" s="1727">
        <v>4507</v>
      </c>
      <c r="DE7" s="1727"/>
      <c r="DF7" s="1727"/>
      <c r="DG7" s="1727"/>
      <c r="DH7" s="1727"/>
      <c r="DI7" s="1727"/>
    </row>
    <row r="8" spans="1:123" customFormat="1" ht="9.75" customHeight="1">
      <c r="A8" s="53"/>
      <c r="B8" s="53"/>
      <c r="C8" s="53"/>
      <c r="D8" s="53"/>
      <c r="E8" s="53"/>
      <c r="F8" s="53"/>
      <c r="G8" s="53"/>
      <c r="H8" s="53"/>
      <c r="I8" s="53"/>
      <c r="J8" s="53"/>
      <c r="K8" s="53"/>
      <c r="L8" s="53"/>
      <c r="M8" s="53"/>
      <c r="N8" s="53"/>
      <c r="O8" s="53"/>
      <c r="P8" s="53"/>
      <c r="Q8" s="53"/>
      <c r="R8" s="53"/>
      <c r="S8" s="53"/>
      <c r="T8" s="53"/>
      <c r="U8" s="53"/>
      <c r="V8" s="53"/>
      <c r="W8" s="53"/>
      <c r="X8" s="53"/>
      <c r="Y8" s="53"/>
      <c r="Z8" s="53"/>
      <c r="AA8" s="53"/>
      <c r="AB8" s="53"/>
      <c r="AC8" s="53"/>
      <c r="AD8" s="53"/>
      <c r="AE8" s="53"/>
      <c r="AF8" s="53"/>
      <c r="AG8" s="54"/>
      <c r="AH8" s="54"/>
      <c r="AI8" s="54"/>
      <c r="AJ8" s="54"/>
      <c r="AK8" s="54"/>
      <c r="AL8" s="54"/>
      <c r="AM8" s="55"/>
      <c r="AN8" s="56"/>
      <c r="AO8" s="56"/>
      <c r="AP8" s="54"/>
      <c r="AQ8" s="54"/>
      <c r="AR8" s="54"/>
      <c r="AS8" s="54"/>
      <c r="AT8" s="54"/>
      <c r="AU8" s="342"/>
      <c r="AV8" s="342"/>
    </row>
    <row r="9" spans="1:123" customFormat="1" ht="18" customHeight="1">
      <c r="A9" s="55" t="s">
        <v>52</v>
      </c>
      <c r="B9" s="55"/>
      <c r="C9" s="55"/>
      <c r="D9" s="55"/>
      <c r="E9" s="55"/>
      <c r="F9" s="55"/>
      <c r="G9" s="55"/>
      <c r="H9" s="55"/>
      <c r="I9" s="55"/>
      <c r="J9" s="55"/>
      <c r="K9" s="55"/>
      <c r="L9" s="55"/>
      <c r="M9" s="55"/>
      <c r="N9" s="55"/>
      <c r="O9" s="55"/>
      <c r="P9" s="55"/>
      <c r="Q9" s="55"/>
      <c r="R9" s="55"/>
      <c r="S9" s="55"/>
      <c r="T9" s="55"/>
      <c r="U9" s="55"/>
      <c r="V9" s="55"/>
      <c r="W9" s="55"/>
      <c r="X9" s="55"/>
      <c r="Y9" s="55"/>
      <c r="Z9" s="55"/>
      <c r="AA9" s="55"/>
      <c r="AB9" s="55"/>
      <c r="AC9" s="55"/>
      <c r="AD9" s="55"/>
      <c r="AE9" s="55"/>
      <c r="AF9" s="1688" t="s">
        <v>49</v>
      </c>
      <c r="AG9" s="1689"/>
      <c r="AH9" s="1689"/>
      <c r="AI9" s="1689"/>
      <c r="AJ9" s="1689"/>
      <c r="AK9" s="1690"/>
      <c r="AL9" s="505" t="s">
        <v>1337</v>
      </c>
      <c r="AM9" s="491"/>
      <c r="AN9" s="490"/>
      <c r="AO9" s="490"/>
      <c r="AP9" s="490"/>
      <c r="AQ9" s="490"/>
      <c r="AR9" s="490"/>
      <c r="AS9" s="490"/>
      <c r="AT9" s="490"/>
      <c r="AU9" s="491"/>
      <c r="AV9" s="491"/>
      <c r="AW9" s="492"/>
      <c r="AX9" s="492"/>
      <c r="AY9" s="492"/>
      <c r="AZ9" s="492"/>
      <c r="BA9" s="492"/>
      <c r="BB9" s="492"/>
      <c r="BC9" s="492"/>
      <c r="BD9" s="492"/>
      <c r="BE9" s="492"/>
      <c r="BF9" s="492"/>
      <c r="BG9" s="492"/>
      <c r="BH9" s="492"/>
      <c r="BI9" s="492"/>
      <c r="BJ9" s="492"/>
      <c r="BK9" s="492"/>
      <c r="BL9" s="13"/>
      <c r="BM9" s="13"/>
      <c r="BN9" s="13"/>
      <c r="BO9" s="13"/>
      <c r="BP9" s="13"/>
      <c r="BQ9" s="13"/>
      <c r="BR9" s="13"/>
      <c r="BS9" s="13"/>
      <c r="BT9" s="13"/>
      <c r="BU9" s="13"/>
      <c r="BV9" s="13"/>
      <c r="BW9" s="13"/>
      <c r="BX9" s="5"/>
      <c r="CI9" s="344" t="s">
        <v>890</v>
      </c>
    </row>
    <row r="10" spans="1:123" customFormat="1" ht="18" customHeight="1">
      <c r="A10" s="71"/>
      <c r="B10" s="71"/>
      <c r="C10" s="71"/>
      <c r="D10" s="71"/>
      <c r="E10" s="71"/>
      <c r="F10" s="71"/>
      <c r="G10" s="71"/>
      <c r="H10" s="71"/>
      <c r="I10" s="71"/>
      <c r="J10" s="71"/>
      <c r="K10" s="71"/>
      <c r="L10" s="71"/>
      <c r="M10" s="71"/>
      <c r="N10" s="71"/>
      <c r="O10" s="71"/>
      <c r="P10" s="71"/>
      <c r="Q10" s="71"/>
      <c r="R10" s="71"/>
      <c r="S10" s="71"/>
      <c r="T10" s="71"/>
      <c r="U10" s="71"/>
      <c r="V10" s="71"/>
      <c r="W10" s="71"/>
      <c r="X10" s="71"/>
      <c r="Y10" s="71"/>
      <c r="Z10" s="71"/>
      <c r="AA10" s="71"/>
      <c r="AB10" s="71"/>
      <c r="AC10" s="71"/>
      <c r="AD10" s="71"/>
      <c r="AE10" s="71"/>
      <c r="AF10" s="1688" t="s">
        <v>50</v>
      </c>
      <c r="AG10" s="1689"/>
      <c r="AH10" s="1689"/>
      <c r="AI10" s="1689"/>
      <c r="AJ10" s="1689"/>
      <c r="AK10" s="1690"/>
      <c r="AL10" s="505"/>
      <c r="AM10" s="491"/>
      <c r="AN10" s="490"/>
      <c r="AO10" s="490"/>
      <c r="AP10" s="490"/>
      <c r="AQ10" s="490"/>
      <c r="AR10" s="490"/>
      <c r="AS10" s="490"/>
      <c r="AT10" s="490"/>
      <c r="AU10" s="491"/>
      <c r="AV10" s="491"/>
      <c r="AW10" s="492"/>
      <c r="AX10" s="492"/>
      <c r="AY10" s="492"/>
      <c r="AZ10" s="492"/>
      <c r="BA10" s="492"/>
      <c r="BB10" s="492"/>
      <c r="BC10" s="492"/>
      <c r="BD10" s="492"/>
      <c r="BE10" s="492"/>
      <c r="BF10" s="492"/>
      <c r="BG10" s="492"/>
      <c r="BH10" s="492"/>
      <c r="BI10" s="492"/>
      <c r="BJ10" s="492"/>
      <c r="BK10" s="492"/>
      <c r="BL10" s="13"/>
      <c r="BM10" s="13"/>
      <c r="BN10" s="13"/>
      <c r="BO10" s="13"/>
      <c r="BP10" s="13"/>
      <c r="BQ10" s="13"/>
      <c r="BR10" s="13"/>
      <c r="BS10" s="13"/>
      <c r="BT10" s="13"/>
      <c r="BU10" s="13"/>
      <c r="BV10" s="13"/>
      <c r="BW10" s="13"/>
      <c r="BX10" s="5"/>
    </row>
    <row r="11" spans="1:123" customFormat="1" ht="18" customHeight="1">
      <c r="A11" s="71"/>
      <c r="B11" s="71"/>
      <c r="C11" s="71"/>
      <c r="D11" s="71"/>
      <c r="E11" s="71"/>
      <c r="F11" s="71"/>
      <c r="G11" s="71"/>
      <c r="H11" s="71"/>
      <c r="I11" s="71"/>
      <c r="J11" s="71"/>
      <c r="K11" s="71"/>
      <c r="L11" s="71"/>
      <c r="M11" s="71"/>
      <c r="N11" s="71"/>
      <c r="O11" s="71"/>
      <c r="P11" s="71"/>
      <c r="Q11" s="71"/>
      <c r="R11" s="71"/>
      <c r="S11" s="71"/>
      <c r="T11" s="71"/>
      <c r="U11" s="71"/>
      <c r="V11" s="71"/>
      <c r="W11" s="71"/>
      <c r="X11" s="71"/>
      <c r="Y11" s="71"/>
      <c r="Z11" s="71"/>
      <c r="AA11" s="71"/>
      <c r="AB11" s="71"/>
      <c r="AC11" s="71"/>
      <c r="AD11" s="71"/>
      <c r="AE11" s="71"/>
      <c r="AF11" s="1688" t="s">
        <v>51</v>
      </c>
      <c r="AG11" s="1689"/>
      <c r="AH11" s="1689"/>
      <c r="AI11" s="1689"/>
      <c r="AJ11" s="1689"/>
      <c r="AK11" s="1690"/>
      <c r="AL11" s="505"/>
      <c r="AM11" s="491"/>
      <c r="AN11" s="490"/>
      <c r="AO11" s="490"/>
      <c r="AP11" s="490"/>
      <c r="AQ11" s="490"/>
      <c r="AR11" s="490"/>
      <c r="AS11" s="490"/>
      <c r="AT11" s="490"/>
      <c r="AU11" s="491"/>
      <c r="AV11" s="491"/>
      <c r="AW11" s="492"/>
      <c r="AX11" s="492"/>
      <c r="AY11" s="492"/>
      <c r="AZ11" s="492"/>
      <c r="BA11" s="492"/>
      <c r="BB11" s="492"/>
      <c r="BC11" s="492"/>
      <c r="BD11" s="492"/>
      <c r="BE11" s="492"/>
      <c r="BF11" s="492"/>
      <c r="BG11" s="492"/>
      <c r="BH11" s="492"/>
      <c r="BI11" s="492"/>
      <c r="BJ11" s="492"/>
      <c r="BK11" s="492"/>
      <c r="BL11" s="13"/>
      <c r="BM11" s="13"/>
      <c r="BN11" s="13"/>
      <c r="BO11" s="13"/>
      <c r="BP11" s="13"/>
      <c r="BQ11" s="13"/>
      <c r="BR11" s="13"/>
      <c r="BS11" s="13"/>
      <c r="BT11" s="13"/>
      <c r="BU11" s="13"/>
      <c r="BV11" s="13"/>
      <c r="BW11" s="13"/>
      <c r="BX11" s="5"/>
    </row>
    <row r="12" spans="1:123" customFormat="1" ht="18" customHeight="1">
      <c r="A12" s="71"/>
      <c r="B12" s="71"/>
      <c r="C12" s="71"/>
      <c r="D12" s="71"/>
      <c r="E12" s="71"/>
      <c r="F12" s="71"/>
      <c r="G12" s="71"/>
      <c r="H12" s="71"/>
      <c r="I12" s="71"/>
      <c r="J12" s="71"/>
      <c r="K12" s="71"/>
      <c r="L12" s="71"/>
      <c r="M12" s="71"/>
      <c r="N12" s="71"/>
      <c r="O12" s="71"/>
      <c r="P12" s="71"/>
      <c r="Q12" s="71"/>
      <c r="R12" s="71"/>
      <c r="S12" s="71"/>
      <c r="T12" s="71"/>
      <c r="U12" s="71"/>
      <c r="V12" s="71"/>
      <c r="W12" s="71"/>
      <c r="X12" s="71"/>
      <c r="Y12" s="71"/>
      <c r="Z12" s="71"/>
      <c r="AA12" s="71"/>
      <c r="AB12" s="71"/>
      <c r="AC12" s="71"/>
      <c r="AD12" s="71"/>
      <c r="AE12" s="71"/>
      <c r="AF12" s="345"/>
      <c r="AG12" s="345"/>
      <c r="AH12" s="345"/>
      <c r="AI12" s="345"/>
      <c r="AJ12" s="345"/>
      <c r="AK12" s="345"/>
      <c r="AL12" s="343"/>
      <c r="AM12" s="344"/>
      <c r="AN12" s="343"/>
      <c r="AO12" s="343"/>
      <c r="AP12" s="343"/>
      <c r="AQ12" s="343"/>
      <c r="AR12" s="343"/>
      <c r="AS12" s="343"/>
      <c r="AT12" s="343"/>
      <c r="AU12" s="344"/>
      <c r="AV12" s="344"/>
      <c r="AW12" s="249"/>
      <c r="AX12" s="249"/>
      <c r="AY12" s="249"/>
      <c r="AZ12" s="249"/>
      <c r="BA12" s="249"/>
      <c r="BB12" s="249"/>
      <c r="BC12" s="249"/>
      <c r="BD12" s="249"/>
      <c r="BE12" s="249"/>
      <c r="BF12" s="249"/>
      <c r="BG12" s="249"/>
      <c r="BH12" s="249"/>
      <c r="BI12" s="249"/>
      <c r="BJ12" s="249"/>
      <c r="BK12" s="249"/>
    </row>
    <row r="13" spans="1:123" s="56" customFormat="1" ht="18" customHeight="1">
      <c r="A13" s="55" t="s">
        <v>147</v>
      </c>
      <c r="B13" s="55" t="str">
        <f>'CUMPLIMIENTO % '!C7</f>
        <v>LUIS GABRIEL IBARRA ANGEL</v>
      </c>
      <c r="C13" s="55"/>
      <c r="D13" s="55"/>
      <c r="E13" s="55"/>
      <c r="F13" s="55"/>
      <c r="G13" s="55"/>
      <c r="H13" s="55"/>
      <c r="I13" s="55"/>
      <c r="J13" s="55"/>
      <c r="K13" s="55"/>
      <c r="L13" s="55"/>
      <c r="M13" s="55"/>
      <c r="N13" s="55"/>
      <c r="O13" s="55"/>
      <c r="P13" s="55"/>
      <c r="Q13" s="55"/>
      <c r="R13" s="55"/>
      <c r="S13" s="55"/>
      <c r="T13" s="55"/>
      <c r="U13" s="55"/>
      <c r="V13" s="55"/>
      <c r="W13" s="55"/>
      <c r="X13" s="55"/>
      <c r="Y13" s="55"/>
      <c r="Z13" s="55"/>
      <c r="AA13" s="55"/>
      <c r="AB13" s="55"/>
      <c r="AC13" s="55"/>
      <c r="AD13" s="55"/>
      <c r="AE13" s="55"/>
      <c r="AF13" s="55"/>
      <c r="AG13" s="55"/>
      <c r="AH13" s="55"/>
      <c r="AI13" s="55"/>
      <c r="AJ13" s="55"/>
      <c r="AK13" s="55"/>
      <c r="AL13" s="55"/>
      <c r="AM13" s="55"/>
      <c r="AN13" s="55"/>
      <c r="AO13" s="55"/>
      <c r="AP13" s="55"/>
      <c r="AQ13" s="55"/>
      <c r="AR13" s="55"/>
      <c r="AS13" s="55"/>
      <c r="AT13" s="55"/>
      <c r="AU13" s="1333"/>
      <c r="AV13" s="1333"/>
      <c r="BL13" s="1758" t="s">
        <v>567</v>
      </c>
      <c r="BM13" s="1758"/>
      <c r="BN13" s="1758"/>
      <c r="BO13" s="1758"/>
      <c r="BP13" s="1758"/>
      <c r="BQ13" s="1758"/>
      <c r="BR13" s="1758"/>
      <c r="BS13" s="1758"/>
      <c r="BT13" s="1758"/>
      <c r="BU13" s="1758"/>
      <c r="BV13" s="1758"/>
      <c r="BW13" s="1758"/>
      <c r="BX13" s="1758"/>
      <c r="BY13" s="1758"/>
      <c r="BZ13" s="1758"/>
      <c r="CA13" s="1758"/>
      <c r="CB13" s="1758"/>
      <c r="CC13" s="1758"/>
      <c r="CD13" s="1758"/>
      <c r="CE13" s="1758"/>
      <c r="CF13" s="1758"/>
      <c r="CG13" s="1758"/>
      <c r="CH13" s="1758"/>
      <c r="CI13" s="1758"/>
      <c r="CJ13" s="1758"/>
      <c r="CK13" s="1758"/>
      <c r="CL13" s="1758"/>
      <c r="CM13" s="1758"/>
      <c r="CN13" s="1758"/>
      <c r="CO13" s="1758"/>
      <c r="CP13" s="1758"/>
      <c r="CQ13" s="1758"/>
      <c r="CR13" s="1758"/>
      <c r="CS13" s="1758"/>
      <c r="CT13" s="1758"/>
      <c r="CU13" s="1757" t="str">
        <f>PORTADA!C31</f>
        <v>OCTUBRE - DICIEMBRE DEL 2020</v>
      </c>
      <c r="CV13" s="1757"/>
      <c r="CW13" s="1757"/>
      <c r="CX13" s="1757"/>
      <c r="CY13" s="1757"/>
      <c r="CZ13" s="1757"/>
      <c r="DA13" s="1757"/>
      <c r="DB13" s="1757"/>
      <c r="DC13" s="1757"/>
      <c r="DD13" s="1757"/>
      <c r="DE13" s="1757"/>
      <c r="DF13" s="1757"/>
      <c r="DG13" s="1757"/>
      <c r="DH13" s="1757"/>
      <c r="DI13" s="1757"/>
      <c r="DJ13" s="1757"/>
      <c r="DK13" s="1757"/>
      <c r="DL13" s="1757"/>
      <c r="DM13" s="1757"/>
      <c r="DN13" s="1757"/>
      <c r="DO13" s="1757"/>
      <c r="DP13" s="1757"/>
      <c r="DQ13" s="1757"/>
      <c r="DR13" s="1757"/>
      <c r="DS13" s="1757"/>
    </row>
    <row r="14" spans="1:123" s="394" customFormat="1" ht="13.5" customHeight="1" thickBot="1">
      <c r="A14" s="392"/>
      <c r="B14" s="392"/>
      <c r="C14" s="392"/>
      <c r="D14" s="392"/>
      <c r="E14" s="392"/>
      <c r="F14" s="392"/>
      <c r="G14" s="392"/>
      <c r="H14" s="392"/>
      <c r="I14" s="392"/>
      <c r="J14" s="392"/>
      <c r="K14" s="392"/>
      <c r="L14" s="392"/>
      <c r="M14" s="392"/>
      <c r="N14" s="392"/>
      <c r="O14" s="392"/>
      <c r="P14" s="392"/>
      <c r="Q14" s="392"/>
      <c r="R14" s="392"/>
      <c r="S14" s="392"/>
      <c r="T14" s="392"/>
      <c r="U14" s="392"/>
      <c r="V14" s="392"/>
      <c r="W14" s="392"/>
      <c r="X14" s="392"/>
      <c r="Y14" s="392"/>
      <c r="Z14" s="392"/>
      <c r="AA14" s="392"/>
      <c r="AB14" s="392"/>
      <c r="AC14" s="392"/>
      <c r="AD14" s="392"/>
      <c r="AE14" s="392"/>
      <c r="AF14" s="392"/>
      <c r="AG14" s="393"/>
      <c r="AH14" s="392"/>
      <c r="AI14" s="392"/>
      <c r="AJ14" s="392"/>
      <c r="AK14" s="392"/>
      <c r="AL14" s="392"/>
      <c r="AM14" s="392"/>
      <c r="AN14" s="392"/>
      <c r="AO14" s="392"/>
      <c r="AP14" s="392"/>
      <c r="AQ14" s="392"/>
      <c r="AR14" s="392"/>
      <c r="AS14" s="392"/>
      <c r="AT14" s="392"/>
      <c r="AU14" s="392"/>
      <c r="AV14" s="392"/>
      <c r="AW14" s="392"/>
      <c r="AX14" s="392"/>
      <c r="AY14" s="392"/>
      <c r="AZ14" s="392"/>
      <c r="BA14" s="392"/>
      <c r="BB14" s="392"/>
      <c r="BC14" s="392"/>
      <c r="BD14" s="392"/>
      <c r="BE14" s="392"/>
      <c r="BF14" s="392"/>
      <c r="BG14" s="392"/>
      <c r="BH14" s="392"/>
      <c r="BI14" s="392"/>
      <c r="BJ14" s="392"/>
      <c r="BK14" s="392"/>
      <c r="BL14" s="392"/>
      <c r="BM14" s="392"/>
      <c r="BN14" s="392"/>
      <c r="BO14" s="392"/>
      <c r="BP14" s="392"/>
      <c r="BQ14" s="392"/>
      <c r="BR14" s="392"/>
      <c r="BS14" s="392"/>
      <c r="BT14" s="392"/>
      <c r="BU14" s="392"/>
      <c r="BV14" s="392"/>
      <c r="BW14" s="392"/>
      <c r="BX14" s="392"/>
      <c r="BY14" s="392"/>
      <c r="BZ14" s="392"/>
      <c r="CA14" s="392"/>
      <c r="CB14" s="392"/>
      <c r="CC14" s="392"/>
      <c r="CD14" s="392"/>
      <c r="CE14" s="392"/>
      <c r="CF14" s="351"/>
      <c r="CG14" s="351"/>
      <c r="CH14" s="351"/>
      <c r="CI14" s="351"/>
      <c r="CJ14" s="351"/>
      <c r="CK14" s="351"/>
      <c r="CL14" s="351"/>
      <c r="CM14" s="351"/>
      <c r="CN14" s="351"/>
      <c r="CO14" s="351"/>
      <c r="CP14" s="351"/>
      <c r="CQ14" s="351"/>
      <c r="CR14" s="351"/>
      <c r="CS14" s="351"/>
      <c r="CT14" s="351"/>
      <c r="CU14" s="351"/>
      <c r="CV14" s="351"/>
      <c r="CW14" s="351"/>
      <c r="CX14" s="351"/>
      <c r="CY14" s="351"/>
      <c r="CZ14" s="351"/>
      <c r="DA14" s="351"/>
      <c r="DB14" s="351"/>
      <c r="DC14" s="351"/>
      <c r="DD14" s="351"/>
      <c r="DE14" s="351"/>
      <c r="DF14" s="351"/>
      <c r="DG14" s="351"/>
      <c r="DH14" s="351"/>
      <c r="DI14" s="351"/>
      <c r="DJ14" s="351"/>
      <c r="DK14" s="351"/>
      <c r="DL14" s="351"/>
      <c r="DM14" s="351"/>
      <c r="DN14" s="351"/>
      <c r="DO14" s="351"/>
      <c r="DP14" s="351"/>
      <c r="DQ14" s="351"/>
      <c r="DR14" s="351"/>
      <c r="DS14" s="351"/>
    </row>
    <row r="15" spans="1:123" ht="21.95" customHeight="1">
      <c r="A15" s="395"/>
      <c r="B15" s="354"/>
      <c r="C15" s="354"/>
      <c r="D15" s="354"/>
      <c r="E15" s="354"/>
      <c r="F15" s="354"/>
      <c r="G15" s="354"/>
      <c r="H15" s="354"/>
      <c r="I15" s="354"/>
      <c r="J15" s="354"/>
      <c r="K15" s="354"/>
      <c r="L15" s="354"/>
      <c r="M15" s="354"/>
      <c r="N15" s="354"/>
      <c r="O15" s="354"/>
      <c r="P15" s="354"/>
      <c r="Q15" s="354"/>
      <c r="R15" s="354"/>
      <c r="S15" s="354"/>
      <c r="T15" s="354"/>
      <c r="U15" s="354"/>
      <c r="V15" s="354"/>
      <c r="W15" s="354"/>
      <c r="X15" s="354"/>
      <c r="Y15" s="354"/>
      <c r="Z15" s="354"/>
      <c r="AA15" s="354"/>
      <c r="AB15" s="354"/>
      <c r="AC15" s="354"/>
      <c r="AD15" s="354"/>
      <c r="AE15" s="354"/>
      <c r="AF15" s="354"/>
      <c r="AG15" s="354"/>
      <c r="AH15" s="354"/>
      <c r="AI15" s="354"/>
      <c r="AJ15" s="354"/>
      <c r="AK15" s="354"/>
      <c r="AL15" s="354"/>
      <c r="AM15" s="354"/>
      <c r="AN15" s="354"/>
      <c r="AO15" s="354"/>
      <c r="AP15" s="354"/>
      <c r="AQ15" s="354"/>
      <c r="AR15" s="354"/>
      <c r="AS15" s="354"/>
      <c r="AT15" s="354"/>
      <c r="AU15" s="354"/>
      <c r="AV15" s="354"/>
      <c r="AW15" s="354"/>
      <c r="AX15" s="354"/>
      <c r="AY15" s="354"/>
      <c r="AZ15" s="354"/>
      <c r="BA15" s="354"/>
      <c r="BB15" s="354"/>
      <c r="BC15" s="354"/>
      <c r="BD15" s="354"/>
      <c r="BE15" s="354"/>
      <c r="BF15" s="354"/>
      <c r="BG15" s="354"/>
      <c r="BH15" s="354"/>
      <c r="BI15" s="354"/>
      <c r="BJ15" s="354"/>
      <c r="BK15" s="354"/>
      <c r="BL15" s="354"/>
      <c r="BM15" s="354"/>
      <c r="BN15" s="354"/>
      <c r="BO15" s="354"/>
      <c r="BP15" s="354"/>
      <c r="BQ15" s="354"/>
      <c r="BR15" s="354"/>
      <c r="BS15" s="354"/>
      <c r="BT15" s="354"/>
      <c r="BU15" s="354"/>
      <c r="BV15" s="354"/>
      <c r="BW15" s="354"/>
      <c r="BX15" s="354"/>
      <c r="BY15" s="354"/>
      <c r="BZ15" s="354"/>
      <c r="CA15" s="354"/>
      <c r="CB15" s="354"/>
      <c r="CC15" s="354"/>
      <c r="CD15" s="354"/>
      <c r="CE15" s="354"/>
      <c r="CF15" s="354"/>
      <c r="CG15" s="354"/>
      <c r="CH15" s="354"/>
      <c r="CI15" s="354"/>
      <c r="CJ15" s="354"/>
      <c r="CK15" s="354"/>
      <c r="CL15" s="354"/>
      <c r="CM15" s="354"/>
      <c r="CN15" s="354"/>
      <c r="CO15" s="354"/>
      <c r="CP15" s="354"/>
      <c r="CQ15" s="354"/>
      <c r="CR15" s="354"/>
      <c r="CS15" s="354"/>
      <c r="CT15" s="354"/>
      <c r="CU15" s="354"/>
      <c r="CV15" s="354"/>
      <c r="CW15" s="354"/>
      <c r="CX15" s="354"/>
      <c r="CY15" s="354"/>
      <c r="CZ15" s="354"/>
      <c r="DA15" s="354"/>
      <c r="DB15" s="354"/>
      <c r="DC15" s="354"/>
      <c r="DD15" s="354"/>
      <c r="DE15" s="354"/>
      <c r="DF15" s="354"/>
      <c r="DG15" s="354"/>
      <c r="DH15" s="354"/>
      <c r="DI15" s="354"/>
      <c r="DJ15" s="354"/>
      <c r="DK15" s="354"/>
      <c r="DL15" s="354"/>
      <c r="DM15" s="354"/>
      <c r="DN15" s="354"/>
      <c r="DO15" s="354"/>
      <c r="DP15" s="354"/>
      <c r="DQ15" s="354"/>
      <c r="DR15" s="354"/>
      <c r="DS15" s="396"/>
    </row>
    <row r="16" spans="1:123" ht="21.95" customHeight="1">
      <c r="A16" s="356"/>
      <c r="DS16" s="357"/>
    </row>
    <row r="17" spans="1:123" ht="21.95" customHeight="1">
      <c r="A17" s="356"/>
      <c r="DS17" s="357"/>
    </row>
    <row r="18" spans="1:123" ht="21.95" customHeight="1">
      <c r="A18" s="356"/>
      <c r="DS18" s="357"/>
    </row>
    <row r="19" spans="1:123" ht="21.95" customHeight="1">
      <c r="A19" s="356"/>
      <c r="DS19" s="357"/>
    </row>
    <row r="20" spans="1:123" ht="21.95" customHeight="1">
      <c r="A20" s="356"/>
      <c r="DS20" s="357"/>
    </row>
    <row r="21" spans="1:123" ht="21.95" customHeight="1">
      <c r="A21" s="356"/>
      <c r="DS21" s="357"/>
    </row>
    <row r="22" spans="1:123" ht="21.95" customHeight="1">
      <c r="A22" s="356"/>
      <c r="DS22" s="357"/>
    </row>
    <row r="23" spans="1:123" ht="21.95" customHeight="1">
      <c r="A23" s="356"/>
      <c r="DS23" s="357"/>
    </row>
    <row r="24" spans="1:123" ht="21.95" customHeight="1">
      <c r="A24" s="356"/>
      <c r="DS24" s="357"/>
    </row>
    <row r="25" spans="1:123" ht="21.95" customHeight="1">
      <c r="A25" s="356"/>
      <c r="DS25" s="357"/>
    </row>
    <row r="26" spans="1:123" ht="21.95" customHeight="1">
      <c r="A26" s="356"/>
      <c r="DS26" s="357"/>
    </row>
    <row r="27" spans="1:123" ht="21.95" customHeight="1">
      <c r="A27" s="356"/>
      <c r="DS27" s="357"/>
    </row>
    <row r="28" spans="1:123" ht="21.95" customHeight="1">
      <c r="A28" s="356"/>
      <c r="DS28" s="357"/>
    </row>
    <row r="29" spans="1:123" ht="21.95" customHeight="1">
      <c r="A29" s="356"/>
      <c r="DS29" s="357"/>
    </row>
    <row r="30" spans="1:123" ht="21.95" customHeight="1">
      <c r="A30" s="356"/>
      <c r="DS30" s="357"/>
    </row>
    <row r="31" spans="1:123" ht="21.95" customHeight="1">
      <c r="A31" s="356"/>
      <c r="DS31" s="357"/>
    </row>
    <row r="32" spans="1:123" ht="21.95" customHeight="1" thickBot="1">
      <c r="A32" s="358"/>
      <c r="B32" s="359"/>
      <c r="C32" s="359"/>
      <c r="D32" s="359"/>
      <c r="E32" s="359"/>
      <c r="F32" s="359"/>
      <c r="G32" s="359"/>
      <c r="H32" s="359"/>
      <c r="I32" s="359"/>
      <c r="J32" s="359"/>
      <c r="K32" s="359"/>
      <c r="L32" s="359"/>
      <c r="M32" s="359"/>
      <c r="N32" s="359"/>
      <c r="O32" s="359"/>
      <c r="P32" s="359"/>
      <c r="Q32" s="359"/>
      <c r="R32" s="359"/>
      <c r="S32" s="359"/>
      <c r="T32" s="359"/>
      <c r="U32" s="359"/>
      <c r="V32" s="359"/>
      <c r="W32" s="359"/>
      <c r="X32" s="359"/>
      <c r="Y32" s="359"/>
      <c r="Z32" s="359"/>
      <c r="AA32" s="359"/>
      <c r="AB32" s="359"/>
      <c r="AC32" s="359"/>
      <c r="AD32" s="359"/>
      <c r="AE32" s="359"/>
      <c r="AF32" s="359"/>
      <c r="AG32" s="359"/>
      <c r="AH32" s="359"/>
      <c r="AI32" s="359"/>
      <c r="AJ32" s="359"/>
      <c r="AK32" s="359"/>
      <c r="AL32" s="359"/>
      <c r="AM32" s="359"/>
      <c r="AN32" s="359"/>
      <c r="AO32" s="359"/>
      <c r="AP32" s="359"/>
      <c r="AQ32" s="359"/>
      <c r="AR32" s="359"/>
      <c r="AS32" s="359"/>
      <c r="AT32" s="359"/>
      <c r="AU32" s="359"/>
      <c r="AV32" s="359"/>
      <c r="AW32" s="359"/>
      <c r="AX32" s="359"/>
      <c r="AY32" s="359"/>
      <c r="AZ32" s="359"/>
      <c r="BA32" s="359"/>
      <c r="BB32" s="359"/>
      <c r="BC32" s="359"/>
      <c r="BD32" s="359"/>
      <c r="BE32" s="359"/>
      <c r="BF32" s="359"/>
      <c r="BG32" s="359"/>
      <c r="BH32" s="359"/>
      <c r="BI32" s="359"/>
      <c r="BJ32" s="359"/>
      <c r="BK32" s="359"/>
      <c r="BL32" s="359"/>
      <c r="BM32" s="359"/>
      <c r="BN32" s="359"/>
      <c r="BO32" s="359"/>
      <c r="BP32" s="359"/>
      <c r="BQ32" s="359"/>
      <c r="BR32" s="359"/>
      <c r="BS32" s="359"/>
      <c r="BT32" s="359"/>
      <c r="BU32" s="359"/>
      <c r="BV32" s="359"/>
      <c r="BW32" s="359"/>
      <c r="BX32" s="359"/>
      <c r="BY32" s="359"/>
      <c r="BZ32" s="359"/>
      <c r="CA32" s="359"/>
      <c r="CB32" s="359"/>
      <c r="CC32" s="359"/>
      <c r="CD32" s="359"/>
      <c r="CE32" s="359"/>
      <c r="CF32" s="359"/>
      <c r="CG32" s="359"/>
      <c r="CH32" s="359"/>
      <c r="CI32" s="359"/>
      <c r="CJ32" s="359"/>
      <c r="CK32" s="359"/>
      <c r="CL32" s="359"/>
      <c r="CM32" s="359"/>
      <c r="CN32" s="359"/>
      <c r="CO32" s="359"/>
      <c r="CP32" s="359"/>
      <c r="CQ32" s="359"/>
      <c r="CR32" s="359"/>
      <c r="CS32" s="359"/>
      <c r="CT32" s="359"/>
      <c r="CU32" s="359"/>
      <c r="CV32" s="359"/>
      <c r="CW32" s="359"/>
      <c r="CX32" s="359"/>
      <c r="CY32" s="359"/>
      <c r="CZ32" s="359"/>
      <c r="DA32" s="359"/>
      <c r="DB32" s="359"/>
      <c r="DC32" s="359"/>
      <c r="DD32" s="359"/>
      <c r="DE32" s="359"/>
      <c r="DF32" s="359"/>
      <c r="DG32" s="359"/>
      <c r="DH32" s="359"/>
      <c r="DI32" s="359"/>
      <c r="DJ32" s="359"/>
      <c r="DK32" s="359"/>
      <c r="DL32" s="359"/>
      <c r="DM32" s="359"/>
      <c r="DN32" s="359"/>
      <c r="DO32" s="359"/>
      <c r="DP32" s="359"/>
      <c r="DQ32" s="359"/>
      <c r="DR32" s="359"/>
      <c r="DS32" s="360"/>
    </row>
    <row r="33" spans="1:129" ht="16.5" customHeight="1" thickBot="1">
      <c r="A33" s="1673" t="s">
        <v>7</v>
      </c>
      <c r="B33" s="881"/>
      <c r="C33" s="881"/>
      <c r="D33" s="881"/>
      <c r="E33" s="881"/>
      <c r="F33" s="881"/>
      <c r="G33" s="881"/>
      <c r="H33" s="881"/>
      <c r="I33" s="881"/>
      <c r="J33" s="881"/>
      <c r="K33" s="881"/>
      <c r="L33" s="881"/>
      <c r="M33" s="881"/>
      <c r="N33" s="881"/>
      <c r="O33" s="881"/>
      <c r="P33" s="881"/>
      <c r="Q33" s="881"/>
      <c r="R33" s="881"/>
      <c r="S33" s="881"/>
      <c r="T33" s="881"/>
      <c r="U33" s="881"/>
      <c r="V33" s="881"/>
      <c r="W33" s="881"/>
      <c r="X33" s="881"/>
      <c r="Y33" s="881"/>
      <c r="Z33" s="881"/>
      <c r="AA33" s="881"/>
      <c r="AB33" s="881"/>
      <c r="AC33" s="881"/>
      <c r="AD33" s="881"/>
      <c r="AE33" s="881"/>
      <c r="AF33" s="1748" t="s">
        <v>52</v>
      </c>
      <c r="AG33" s="1749"/>
      <c r="AH33" s="1749"/>
      <c r="AI33" s="1749"/>
      <c r="AJ33" s="1749"/>
      <c r="AK33" s="1749"/>
      <c r="AL33" s="1749"/>
      <c r="AM33" s="1749"/>
      <c r="AN33" s="1749"/>
      <c r="AO33" s="1749"/>
      <c r="AP33" s="1749"/>
      <c r="AQ33" s="1749"/>
      <c r="AR33" s="1749"/>
      <c r="AS33" s="1749"/>
      <c r="AT33" s="1749"/>
      <c r="AU33" s="1749"/>
      <c r="AV33" s="1749"/>
      <c r="AW33" s="1749"/>
      <c r="AX33" s="1749"/>
      <c r="AY33" s="1749"/>
      <c r="AZ33" s="1749"/>
      <c r="BA33" s="1749"/>
      <c r="BB33" s="1749"/>
      <c r="BC33" s="1749"/>
      <c r="BD33" s="1749"/>
      <c r="BE33" s="1749"/>
      <c r="BF33" s="1749"/>
      <c r="BG33" s="1749"/>
      <c r="BH33" s="1749"/>
      <c r="BI33" s="1749"/>
      <c r="BJ33" s="1749"/>
      <c r="BK33" s="1749"/>
      <c r="BL33" s="1749"/>
      <c r="BM33" s="1749"/>
      <c r="BN33" s="1749"/>
      <c r="BO33" s="1749"/>
      <c r="BP33" s="1749"/>
      <c r="BQ33" s="1749"/>
      <c r="BR33" s="1749"/>
      <c r="BS33" s="1749"/>
      <c r="BT33" s="1749"/>
      <c r="BU33" s="1749"/>
      <c r="BV33" s="1749"/>
      <c r="BW33" s="1749"/>
      <c r="BX33" s="1749"/>
      <c r="BY33" s="1749"/>
      <c r="BZ33" s="1749"/>
      <c r="CA33" s="1749"/>
      <c r="CB33" s="1749"/>
      <c r="CC33" s="1749"/>
      <c r="CD33" s="1749"/>
      <c r="CE33" s="1749"/>
      <c r="CF33" s="1749"/>
      <c r="CG33" s="1749"/>
      <c r="CH33" s="1749"/>
      <c r="CI33" s="1749"/>
      <c r="CJ33" s="1749"/>
      <c r="CK33" s="1749"/>
      <c r="CL33" s="1749"/>
      <c r="CM33" s="1749"/>
      <c r="CN33" s="1749"/>
      <c r="CO33" s="1749"/>
      <c r="CP33" s="1749"/>
      <c r="CQ33" s="1749"/>
      <c r="CR33" s="1749"/>
      <c r="CS33" s="1749"/>
      <c r="CT33" s="1749"/>
      <c r="CU33" s="1749"/>
      <c r="CV33" s="1749"/>
      <c r="CW33" s="1749"/>
      <c r="CX33" s="1749"/>
      <c r="CY33" s="1749"/>
      <c r="CZ33" s="1749"/>
      <c r="DA33" s="1749"/>
      <c r="DB33" s="1749"/>
      <c r="DC33" s="1749"/>
      <c r="DD33" s="1749"/>
      <c r="DE33" s="1749"/>
      <c r="DF33" s="1749"/>
      <c r="DG33" s="1750"/>
      <c r="DH33" s="1663" t="s">
        <v>91</v>
      </c>
      <c r="DI33" s="1664"/>
      <c r="DJ33" s="1664"/>
      <c r="DK33" s="1664"/>
      <c r="DL33" s="1664"/>
      <c r="DM33" s="1664"/>
      <c r="DN33" s="1664"/>
      <c r="DO33" s="1664"/>
      <c r="DP33" s="1664"/>
      <c r="DQ33" s="1664"/>
      <c r="DR33" s="1664"/>
      <c r="DS33" s="1665"/>
    </row>
    <row r="34" spans="1:129" ht="16.5" customHeight="1" thickBot="1">
      <c r="A34" s="1674"/>
      <c r="B34" s="885"/>
      <c r="C34" s="885"/>
      <c r="D34" s="885"/>
      <c r="E34" s="885"/>
      <c r="F34" s="885"/>
      <c r="G34" s="885"/>
      <c r="H34" s="885"/>
      <c r="I34" s="885"/>
      <c r="J34" s="885"/>
      <c r="K34" s="885"/>
      <c r="L34" s="885"/>
      <c r="M34" s="885"/>
      <c r="N34" s="885"/>
      <c r="O34" s="885"/>
      <c r="P34" s="885"/>
      <c r="Q34" s="885"/>
      <c r="R34" s="885"/>
      <c r="S34" s="885"/>
      <c r="T34" s="885"/>
      <c r="U34" s="885"/>
      <c r="V34" s="885"/>
      <c r="W34" s="885"/>
      <c r="X34" s="885"/>
      <c r="Y34" s="885"/>
      <c r="Z34" s="885"/>
      <c r="AA34" s="885"/>
      <c r="AB34" s="885"/>
      <c r="AC34" s="885"/>
      <c r="AD34" s="885"/>
      <c r="AE34" s="885"/>
      <c r="AF34" s="1748">
        <v>1</v>
      </c>
      <c r="AG34" s="1749"/>
      <c r="AH34" s="1749"/>
      <c r="AI34" s="1749"/>
      <c r="AJ34" s="1749"/>
      <c r="AK34" s="1749"/>
      <c r="AL34" s="1749"/>
      <c r="AM34" s="1749"/>
      <c r="AN34" s="1749"/>
      <c r="AO34" s="1749"/>
      <c r="AP34" s="1749"/>
      <c r="AQ34" s="1749"/>
      <c r="AR34" s="1749"/>
      <c r="AS34" s="1749"/>
      <c r="AT34" s="1749"/>
      <c r="AU34" s="1749"/>
      <c r="AV34" s="1749"/>
      <c r="AW34" s="1749"/>
      <c r="AX34" s="1749"/>
      <c r="AY34" s="1749"/>
      <c r="AZ34" s="1749"/>
      <c r="BA34" s="1749"/>
      <c r="BB34" s="1749"/>
      <c r="BC34" s="1749"/>
      <c r="BD34" s="1749"/>
      <c r="BE34" s="1749"/>
      <c r="BF34" s="1749"/>
      <c r="BG34" s="1749"/>
      <c r="BH34" s="1749"/>
      <c r="BI34" s="1749"/>
      <c r="BJ34" s="1749"/>
      <c r="BK34" s="1749"/>
      <c r="BL34" s="1749"/>
      <c r="BM34" s="1749"/>
      <c r="BN34" s="1749"/>
      <c r="BO34" s="1749"/>
      <c r="BP34" s="1749"/>
      <c r="BQ34" s="1749"/>
      <c r="BR34" s="1749"/>
      <c r="BS34" s="1749"/>
      <c r="BT34" s="1749"/>
      <c r="BU34" s="1749"/>
      <c r="BV34" s="1749"/>
      <c r="BW34" s="1749"/>
      <c r="BX34" s="1749"/>
      <c r="BY34" s="1749"/>
      <c r="BZ34" s="1749"/>
      <c r="CA34" s="1749"/>
      <c r="CB34" s="1749"/>
      <c r="CC34" s="1749"/>
      <c r="CD34" s="1749"/>
      <c r="CE34" s="1749"/>
      <c r="CF34" s="1749"/>
      <c r="CG34" s="1749"/>
      <c r="CH34" s="1749"/>
      <c r="CI34" s="1749"/>
      <c r="CJ34" s="1749"/>
      <c r="CK34" s="1749"/>
      <c r="CL34" s="1749"/>
      <c r="CM34" s="1749"/>
      <c r="CN34" s="1749"/>
      <c r="CO34" s="1749"/>
      <c r="CP34" s="1749"/>
      <c r="CQ34" s="1749"/>
      <c r="CR34" s="1749"/>
      <c r="CS34" s="1749"/>
      <c r="CT34" s="1749"/>
      <c r="CU34" s="1749"/>
      <c r="CV34" s="1749"/>
      <c r="CW34" s="1749"/>
      <c r="CX34" s="1749"/>
      <c r="CY34" s="1749"/>
      <c r="CZ34" s="1749"/>
      <c r="DA34" s="1749"/>
      <c r="DB34" s="1749"/>
      <c r="DC34" s="1749"/>
      <c r="DD34" s="1749"/>
      <c r="DE34" s="1749"/>
      <c r="DF34" s="1749"/>
      <c r="DG34" s="1750"/>
      <c r="DH34" s="1713" t="s">
        <v>92</v>
      </c>
      <c r="DI34" s="1666"/>
      <c r="DJ34" s="1666"/>
      <c r="DK34" s="1666"/>
      <c r="DL34" s="1666"/>
      <c r="DM34" s="1666"/>
      <c r="DN34" s="1666"/>
      <c r="DO34" s="1666"/>
      <c r="DP34" s="1666"/>
      <c r="DQ34" s="1666"/>
      <c r="DR34" s="1666"/>
      <c r="DS34" s="1667"/>
    </row>
    <row r="35" spans="1:129" ht="15.75">
      <c r="A35" s="362" t="s">
        <v>24</v>
      </c>
      <c r="B35" s="1751"/>
      <c r="C35" s="1752"/>
      <c r="D35" s="1752"/>
      <c r="E35" s="1752"/>
      <c r="F35" s="1752"/>
      <c r="G35" s="1752"/>
      <c r="H35" s="1752"/>
      <c r="I35" s="1752"/>
      <c r="J35" s="1752"/>
      <c r="K35" s="1753"/>
      <c r="L35" s="1751"/>
      <c r="M35" s="1752"/>
      <c r="N35" s="1752"/>
      <c r="O35" s="1752"/>
      <c r="P35" s="1752"/>
      <c r="Q35" s="1752"/>
      <c r="R35" s="1752"/>
      <c r="S35" s="1752"/>
      <c r="T35" s="1752"/>
      <c r="U35" s="1753"/>
      <c r="V35" s="1751"/>
      <c r="W35" s="1752"/>
      <c r="X35" s="1752"/>
      <c r="Y35" s="1752"/>
      <c r="Z35" s="1752"/>
      <c r="AA35" s="1752"/>
      <c r="AB35" s="1752"/>
      <c r="AC35" s="1752"/>
      <c r="AD35" s="1752"/>
      <c r="AE35" s="1753"/>
      <c r="AF35" s="1751"/>
      <c r="AG35" s="1752"/>
      <c r="AH35" s="1752"/>
      <c r="AI35" s="1752"/>
      <c r="AJ35" s="1752"/>
      <c r="AK35" s="1752"/>
      <c r="AL35" s="1752"/>
      <c r="AM35" s="1752"/>
      <c r="AN35" s="1752"/>
      <c r="AO35" s="1753"/>
      <c r="AP35" s="1745"/>
      <c r="AQ35" s="1746"/>
      <c r="AR35" s="1746"/>
      <c r="AS35" s="1746"/>
      <c r="AT35" s="1746"/>
      <c r="AU35" s="1746"/>
      <c r="AV35" s="1746"/>
      <c r="AW35" s="1746"/>
      <c r="AX35" s="1746"/>
      <c r="AY35" s="1747"/>
      <c r="AZ35" s="1745"/>
      <c r="BA35" s="1746"/>
      <c r="BB35" s="1746"/>
      <c r="BC35" s="1746"/>
      <c r="BD35" s="1746"/>
      <c r="BE35" s="1746"/>
      <c r="BF35" s="1746"/>
      <c r="BG35" s="1746"/>
      <c r="BH35" s="1746"/>
      <c r="BI35" s="1747"/>
      <c r="BJ35" s="1745"/>
      <c r="BK35" s="1746"/>
      <c r="BL35" s="1746"/>
      <c r="BM35" s="1746"/>
      <c r="BN35" s="1746"/>
      <c r="BO35" s="1746"/>
      <c r="BP35" s="1746"/>
      <c r="BQ35" s="1746"/>
      <c r="BR35" s="1746"/>
      <c r="BS35" s="1747"/>
      <c r="BT35" s="1745"/>
      <c r="BU35" s="1746"/>
      <c r="BV35" s="1746"/>
      <c r="BW35" s="1746"/>
      <c r="BX35" s="1746"/>
      <c r="BY35" s="1746"/>
      <c r="BZ35" s="1746"/>
      <c r="CA35" s="1746"/>
      <c r="CB35" s="1746"/>
      <c r="CC35" s="1747"/>
      <c r="CD35" s="1745"/>
      <c r="CE35" s="1746"/>
      <c r="CF35" s="1746"/>
      <c r="CG35" s="1746"/>
      <c r="CH35" s="1746"/>
      <c r="CI35" s="1746"/>
      <c r="CJ35" s="1746"/>
      <c r="CK35" s="1746"/>
      <c r="CL35" s="1746"/>
      <c r="CM35" s="1747"/>
      <c r="CN35" s="1745"/>
      <c r="CO35" s="1746"/>
      <c r="CP35" s="1746"/>
      <c r="CQ35" s="1746"/>
      <c r="CR35" s="1746"/>
      <c r="CS35" s="1746"/>
      <c r="CT35" s="1746"/>
      <c r="CU35" s="1746"/>
      <c r="CV35" s="1746"/>
      <c r="CW35" s="1747"/>
      <c r="CX35" s="1768"/>
      <c r="CY35" s="1769"/>
      <c r="CZ35" s="1769"/>
      <c r="DA35" s="1769"/>
      <c r="DB35" s="1769"/>
      <c r="DC35" s="1769"/>
      <c r="DD35" s="1769"/>
      <c r="DE35" s="1769"/>
      <c r="DF35" s="1769"/>
      <c r="DG35" s="398"/>
      <c r="DH35" s="1668" t="s">
        <v>93</v>
      </c>
      <c r="DI35" s="1669"/>
      <c r="DJ35" s="1669"/>
      <c r="DK35" s="1669"/>
      <c r="DL35" s="1669"/>
      <c r="DM35" s="1669"/>
      <c r="DN35" s="1669"/>
      <c r="DO35" s="1669"/>
      <c r="DP35" s="1669"/>
      <c r="DQ35" s="1669"/>
      <c r="DR35" s="1669"/>
      <c r="DS35" s="1670"/>
    </row>
    <row r="36" spans="1:129" ht="14.25" customHeight="1">
      <c r="A36" s="493" t="s">
        <v>132</v>
      </c>
      <c r="B36" s="1759" t="s">
        <v>880</v>
      </c>
      <c r="C36" s="1755"/>
      <c r="D36" s="1755"/>
      <c r="E36" s="1755"/>
      <c r="F36" s="1755"/>
      <c r="G36" s="1755"/>
      <c r="H36" s="1755"/>
      <c r="I36" s="1755"/>
      <c r="J36" s="1755"/>
      <c r="K36" s="1756"/>
      <c r="L36" s="1759">
        <v>41</v>
      </c>
      <c r="M36" s="1755"/>
      <c r="N36" s="1755"/>
      <c r="O36" s="1755"/>
      <c r="P36" s="1755"/>
      <c r="Q36" s="1755"/>
      <c r="R36" s="1755"/>
      <c r="S36" s="1755"/>
      <c r="T36" s="1755"/>
      <c r="U36" s="1756"/>
      <c r="V36" s="1759"/>
      <c r="W36" s="1755"/>
      <c r="X36" s="1755"/>
      <c r="Y36" s="1755"/>
      <c r="Z36" s="1755"/>
      <c r="AA36" s="1755"/>
      <c r="AB36" s="1755"/>
      <c r="AC36" s="1755"/>
      <c r="AD36" s="1755"/>
      <c r="AE36" s="1756"/>
      <c r="AF36" s="1759">
        <v>42</v>
      </c>
      <c r="AG36" s="1755"/>
      <c r="AH36" s="1755"/>
      <c r="AI36" s="1755"/>
      <c r="AJ36" s="1755"/>
      <c r="AK36" s="1755"/>
      <c r="AL36" s="1755"/>
      <c r="AM36" s="1755"/>
      <c r="AN36" s="1755"/>
      <c r="AO36" s="1756"/>
      <c r="AP36" s="1765"/>
      <c r="AQ36" s="1766"/>
      <c r="AR36" s="1766"/>
      <c r="AS36" s="1766"/>
      <c r="AT36" s="1766"/>
      <c r="AU36" s="1766"/>
      <c r="AV36" s="1766"/>
      <c r="AW36" s="1766"/>
      <c r="AX36" s="1766"/>
      <c r="AY36" s="1767"/>
      <c r="AZ36" s="1754">
        <v>43</v>
      </c>
      <c r="BA36" s="1755"/>
      <c r="BB36" s="1755"/>
      <c r="BC36" s="1755"/>
      <c r="BD36" s="1755"/>
      <c r="BE36" s="1755"/>
      <c r="BF36" s="1755"/>
      <c r="BG36" s="1755"/>
      <c r="BH36" s="1755"/>
      <c r="BI36" s="1756"/>
      <c r="BJ36" s="1765"/>
      <c r="BK36" s="1766"/>
      <c r="BL36" s="1766"/>
      <c r="BM36" s="1766"/>
      <c r="BN36" s="1766"/>
      <c r="BO36" s="1766"/>
      <c r="BP36" s="1766"/>
      <c r="BQ36" s="1766"/>
      <c r="BR36" s="1766"/>
      <c r="BS36" s="1767"/>
      <c r="BT36" s="1754">
        <v>44</v>
      </c>
      <c r="BU36" s="1755"/>
      <c r="BV36" s="1755"/>
      <c r="BW36" s="1755"/>
      <c r="BX36" s="1755"/>
      <c r="BY36" s="1755"/>
      <c r="BZ36" s="1755"/>
      <c r="CA36" s="1755"/>
      <c r="CB36" s="1755"/>
      <c r="CC36" s="1756"/>
      <c r="CD36" s="1770"/>
      <c r="CE36" s="1771"/>
      <c r="CF36" s="1771"/>
      <c r="CG36" s="1771"/>
      <c r="CH36" s="1771"/>
      <c r="CI36" s="1771"/>
      <c r="CJ36" s="1771"/>
      <c r="CK36" s="1771"/>
      <c r="CL36" s="1771"/>
      <c r="CM36" s="1772"/>
      <c r="CN36" s="1773" t="s">
        <v>576</v>
      </c>
      <c r="CO36" s="1774"/>
      <c r="CP36" s="1774"/>
      <c r="CQ36" s="1774"/>
      <c r="CR36" s="1774"/>
      <c r="CS36" s="1774"/>
      <c r="CT36" s="1774"/>
      <c r="CU36" s="1774"/>
      <c r="CV36" s="1774"/>
      <c r="CW36" s="1775"/>
      <c r="CX36" s="1762"/>
      <c r="CY36" s="1763"/>
      <c r="CZ36" s="1763"/>
      <c r="DA36" s="1763"/>
      <c r="DB36" s="1763"/>
      <c r="DC36" s="1763"/>
      <c r="DD36" s="1763"/>
      <c r="DE36" s="1763"/>
      <c r="DF36" s="1763"/>
      <c r="DG36" s="1764"/>
      <c r="DH36" s="1625" t="s">
        <v>96</v>
      </c>
      <c r="DI36" s="1626"/>
      <c r="DJ36" s="1626"/>
      <c r="DK36" s="1627"/>
      <c r="DL36" s="1628" t="s">
        <v>97</v>
      </c>
      <c r="DM36" s="1629"/>
      <c r="DN36" s="1629"/>
      <c r="DO36" s="1630"/>
      <c r="DP36" s="1628" t="s">
        <v>98</v>
      </c>
      <c r="DQ36" s="1629"/>
      <c r="DR36" s="1629"/>
      <c r="DS36" s="1631"/>
      <c r="DT36" s="364" t="s">
        <v>572</v>
      </c>
      <c r="DU36" s="364" t="s">
        <v>14</v>
      </c>
      <c r="DV36" s="364" t="s">
        <v>573</v>
      </c>
    </row>
    <row r="37" spans="1:129" ht="14.25" customHeight="1">
      <c r="A37" s="494"/>
      <c r="B37" s="506"/>
      <c r="C37" s="506"/>
      <c r="D37" s="506"/>
      <c r="E37" s="506"/>
      <c r="F37" s="506"/>
      <c r="G37" s="506"/>
      <c r="H37" s="506"/>
      <c r="I37" s="506"/>
      <c r="J37" s="506"/>
      <c r="K37" s="507"/>
      <c r="L37" s="506"/>
      <c r="M37" s="506"/>
      <c r="N37" s="506"/>
      <c r="O37" s="506"/>
      <c r="P37" s="506"/>
      <c r="Q37" s="506"/>
      <c r="R37" s="506"/>
      <c r="S37" s="506"/>
      <c r="T37" s="506"/>
      <c r="U37" s="507"/>
      <c r="V37" s="506"/>
      <c r="W37" s="506"/>
      <c r="X37" s="506"/>
      <c r="Y37" s="506"/>
      <c r="Z37" s="506"/>
      <c r="AA37" s="506"/>
      <c r="AB37" s="506"/>
      <c r="AC37" s="506"/>
      <c r="AD37" s="506"/>
      <c r="AE37" s="507"/>
      <c r="AF37" s="506"/>
      <c r="AG37" s="506"/>
      <c r="AH37" s="506"/>
      <c r="AI37" s="506"/>
      <c r="AJ37" s="506"/>
      <c r="AK37" s="506"/>
      <c r="AL37" s="506"/>
      <c r="AM37" s="506"/>
      <c r="AN37" s="506"/>
      <c r="AO37" s="507"/>
      <c r="AP37" s="508"/>
      <c r="AQ37" s="508"/>
      <c r="AR37" s="508"/>
      <c r="AS37" s="508"/>
      <c r="AT37" s="508"/>
      <c r="AU37" s="508"/>
      <c r="AV37" s="508"/>
      <c r="AW37" s="508"/>
      <c r="AX37" s="508"/>
      <c r="AY37" s="509"/>
      <c r="AZ37" s="506"/>
      <c r="BA37" s="506"/>
      <c r="BB37" s="506"/>
      <c r="BC37" s="506"/>
      <c r="BD37" s="506"/>
      <c r="BE37" s="506"/>
      <c r="BF37" s="506"/>
      <c r="BG37" s="506"/>
      <c r="BH37" s="506"/>
      <c r="BI37" s="507"/>
      <c r="BJ37" s="508"/>
      <c r="BK37" s="508"/>
      <c r="BL37" s="508"/>
      <c r="BM37" s="508"/>
      <c r="BN37" s="508"/>
      <c r="BO37" s="508"/>
      <c r="BP37" s="508"/>
      <c r="BQ37" s="508"/>
      <c r="BR37" s="508"/>
      <c r="BS37" s="509"/>
      <c r="BT37" s="506"/>
      <c r="BU37" s="506"/>
      <c r="BV37" s="506"/>
      <c r="BW37" s="506"/>
      <c r="BX37" s="506"/>
      <c r="BY37" s="506"/>
      <c r="BZ37" s="506"/>
      <c r="CA37" s="506"/>
      <c r="CB37" s="506"/>
      <c r="CC37" s="507"/>
      <c r="CD37" s="498"/>
      <c r="CE37" s="498"/>
      <c r="CF37" s="498"/>
      <c r="CG37" s="498"/>
      <c r="CH37" s="498"/>
      <c r="CI37" s="498"/>
      <c r="CJ37" s="498"/>
      <c r="CK37" s="498"/>
      <c r="CL37" s="498"/>
      <c r="CM37" s="499"/>
      <c r="CN37" s="510"/>
      <c r="CO37" s="510"/>
      <c r="CP37" s="510"/>
      <c r="CQ37" s="510"/>
      <c r="CR37" s="510"/>
      <c r="CS37" s="510"/>
      <c r="CT37" s="510"/>
      <c r="CU37" s="510"/>
      <c r="CV37" s="510"/>
      <c r="CW37" s="511"/>
      <c r="CX37" s="512"/>
      <c r="CY37" s="512"/>
      <c r="CZ37" s="512"/>
      <c r="DA37" s="512"/>
      <c r="DB37" s="512"/>
      <c r="DC37" s="512"/>
      <c r="DD37" s="512"/>
      <c r="DE37" s="512"/>
      <c r="DF37" s="512"/>
      <c r="DG37" s="512"/>
      <c r="DH37" s="1671" t="s">
        <v>617</v>
      </c>
      <c r="DI37" s="1613"/>
      <c r="DJ37" s="1612" t="s">
        <v>39</v>
      </c>
      <c r="DK37" s="1612"/>
      <c r="DL37" s="1672" t="s">
        <v>617</v>
      </c>
      <c r="DM37" s="1613"/>
      <c r="DN37" s="1612" t="s">
        <v>39</v>
      </c>
      <c r="DO37" s="1613"/>
      <c r="DP37" s="1612" t="s">
        <v>617</v>
      </c>
      <c r="DQ37" s="1613"/>
      <c r="DR37" s="1612" t="s">
        <v>39</v>
      </c>
      <c r="DS37" s="1613"/>
      <c r="DT37" s="364"/>
      <c r="DU37" s="364"/>
      <c r="DV37" s="364"/>
    </row>
    <row r="38" spans="1:129" ht="10.5" customHeight="1">
      <c r="A38" s="1645" t="s">
        <v>55</v>
      </c>
      <c r="B38" s="400"/>
      <c r="C38" s="1760"/>
      <c r="D38" s="1760"/>
      <c r="E38" s="1760"/>
      <c r="F38" s="1760"/>
      <c r="G38" s="1760"/>
      <c r="H38" s="1760"/>
      <c r="I38" s="1760"/>
      <c r="J38" s="1760"/>
      <c r="K38" s="1761"/>
      <c r="L38" s="400"/>
      <c r="M38" s="1760"/>
      <c r="N38" s="1760"/>
      <c r="O38" s="1760"/>
      <c r="P38" s="1760"/>
      <c r="Q38" s="1760"/>
      <c r="R38" s="1760"/>
      <c r="S38" s="1760"/>
      <c r="T38" s="1760"/>
      <c r="U38" s="1761"/>
      <c r="V38" s="400"/>
      <c r="W38" s="1760"/>
      <c r="X38" s="1760"/>
      <c r="Y38" s="1760"/>
      <c r="Z38" s="1760"/>
      <c r="AA38" s="1760"/>
      <c r="AB38" s="1760"/>
      <c r="AC38" s="1760"/>
      <c r="AD38" s="1760"/>
      <c r="AE38" s="1761"/>
      <c r="AF38" s="400"/>
      <c r="AG38" s="1760"/>
      <c r="AH38" s="1760"/>
      <c r="AI38" s="1760"/>
      <c r="AJ38" s="1760"/>
      <c r="AK38" s="1760"/>
      <c r="AL38" s="1760"/>
      <c r="AM38" s="1760"/>
      <c r="AN38" s="1760"/>
      <c r="AO38" s="1761"/>
      <c r="AY38" s="366"/>
      <c r="BI38" s="366"/>
      <c r="BS38" s="366"/>
      <c r="CC38" s="366"/>
      <c r="CM38" s="366"/>
      <c r="CW38" s="366"/>
      <c r="DG38" s="366"/>
      <c r="DH38" s="1651" t="s">
        <v>54</v>
      </c>
      <c r="DI38" s="1652"/>
      <c r="DJ38" s="1652"/>
      <c r="DK38" s="1652"/>
      <c r="DL38" s="1683" t="s">
        <v>54</v>
      </c>
      <c r="DM38" s="1684"/>
      <c r="DN38" s="1684"/>
      <c r="DO38" s="1685"/>
      <c r="DP38" s="1654" t="s">
        <v>54</v>
      </c>
      <c r="DQ38" s="1654"/>
      <c r="DR38" s="1654"/>
      <c r="DS38" s="1686"/>
      <c r="DT38" s="367"/>
      <c r="DU38" s="368" t="s">
        <v>54</v>
      </c>
      <c r="DV38" s="369">
        <f>+DT40</f>
        <v>5.7799999999999994</v>
      </c>
      <c r="DW38" s="541" t="s">
        <v>96</v>
      </c>
      <c r="DX38" s="541" t="s">
        <v>97</v>
      </c>
      <c r="DY38" s="541" t="s">
        <v>98</v>
      </c>
    </row>
    <row r="39" spans="1:129" ht="4.5" customHeight="1">
      <c r="A39" s="1645"/>
      <c r="B39" s="370"/>
      <c r="C39" s="371"/>
      <c r="D39" s="371"/>
      <c r="E39" s="371"/>
      <c r="F39" s="371"/>
      <c r="G39" s="371"/>
      <c r="H39" s="371"/>
      <c r="I39" s="371"/>
      <c r="J39" s="371"/>
      <c r="K39" s="372"/>
      <c r="L39" s="370"/>
      <c r="M39" s="371"/>
      <c r="N39" s="371"/>
      <c r="O39" s="371"/>
      <c r="P39" s="371"/>
      <c r="Q39" s="371"/>
      <c r="R39" s="371"/>
      <c r="S39" s="371"/>
      <c r="T39" s="371"/>
      <c r="U39" s="372"/>
      <c r="V39" s="370"/>
      <c r="W39" s="371"/>
      <c r="X39" s="371"/>
      <c r="Y39" s="371"/>
      <c r="Z39" s="371"/>
      <c r="AA39" s="371"/>
      <c r="AB39" s="371"/>
      <c r="AC39" s="371"/>
      <c r="AD39" s="371"/>
      <c r="AE39" s="372"/>
      <c r="AF39" s="370"/>
      <c r="AG39" s="371"/>
      <c r="AH39" s="371"/>
      <c r="AI39" s="371"/>
      <c r="AJ39" s="371"/>
      <c r="AK39" s="371"/>
      <c r="AL39" s="371"/>
      <c r="AM39" s="371"/>
      <c r="AN39" s="371"/>
      <c r="AO39" s="371"/>
      <c r="AP39" s="371"/>
      <c r="AQ39" s="371"/>
      <c r="AR39" s="371"/>
      <c r="AS39" s="371"/>
      <c r="AT39" s="371"/>
      <c r="AU39" s="371"/>
      <c r="AV39" s="371"/>
      <c r="AW39" s="371"/>
      <c r="AX39" s="371"/>
      <c r="AY39" s="371"/>
      <c r="AZ39" s="371"/>
      <c r="BA39" s="371"/>
      <c r="BB39" s="371"/>
      <c r="BC39" s="371"/>
      <c r="BD39" s="371"/>
      <c r="BE39" s="371"/>
      <c r="BF39" s="371"/>
      <c r="BG39" s="371"/>
      <c r="BH39" s="371"/>
      <c r="BI39" s="371"/>
      <c r="BJ39" s="373"/>
      <c r="BK39" s="373"/>
      <c r="BL39" s="373"/>
      <c r="BM39" s="373"/>
      <c r="BN39" s="373"/>
      <c r="BO39" s="373"/>
      <c r="BP39" s="373"/>
      <c r="BQ39" s="373"/>
      <c r="BR39" s="373"/>
      <c r="BS39" s="373"/>
      <c r="BT39" s="373"/>
      <c r="BU39" s="371"/>
      <c r="BV39" s="371"/>
      <c r="BW39" s="371"/>
      <c r="BX39" s="371"/>
      <c r="BY39" s="371"/>
      <c r="BZ39" s="371"/>
      <c r="CA39" s="371"/>
      <c r="CB39" s="371"/>
      <c r="CC39" s="372"/>
      <c r="CD39" s="371"/>
      <c r="CE39" s="371"/>
      <c r="CF39" s="371"/>
      <c r="CG39" s="371"/>
      <c r="CH39" s="371"/>
      <c r="CI39" s="371"/>
      <c r="CJ39" s="371"/>
      <c r="CK39" s="371"/>
      <c r="CL39" s="371"/>
      <c r="CM39" s="372"/>
      <c r="CW39" s="366"/>
      <c r="DG39" s="366"/>
      <c r="DH39" s="1634"/>
      <c r="DI39" s="1635"/>
      <c r="DJ39" s="1635"/>
      <c r="DK39" s="1635"/>
      <c r="DL39" s="1617"/>
      <c r="DM39" s="1618"/>
      <c r="DN39" s="1618"/>
      <c r="DO39" s="1619"/>
      <c r="DP39" s="1618"/>
      <c r="DQ39" s="1618"/>
      <c r="DR39" s="1618"/>
      <c r="DS39" s="1621"/>
      <c r="DT39" s="377"/>
      <c r="DU39" s="377"/>
      <c r="DV39" s="377"/>
    </row>
    <row r="40" spans="1:129" ht="13.5" customHeight="1">
      <c r="A40" s="1646"/>
      <c r="B40" s="378"/>
      <c r="C40" s="379"/>
      <c r="D40" s="379"/>
      <c r="E40" s="379"/>
      <c r="F40" s="379"/>
      <c r="G40" s="379"/>
      <c r="H40" s="379"/>
      <c r="I40" s="379"/>
      <c r="J40" s="379"/>
      <c r="K40" s="380"/>
      <c r="L40" s="378"/>
      <c r="M40" s="379"/>
      <c r="N40" s="379"/>
      <c r="O40" s="379"/>
      <c r="P40" s="379"/>
      <c r="Q40" s="379"/>
      <c r="R40" s="379"/>
      <c r="S40" s="379"/>
      <c r="T40" s="379"/>
      <c r="U40" s="380"/>
      <c r="V40" s="378"/>
      <c r="W40" s="379"/>
      <c r="X40" s="379"/>
      <c r="Y40" s="379"/>
      <c r="Z40" s="379"/>
      <c r="AA40" s="379"/>
      <c r="AB40" s="379"/>
      <c r="AC40" s="379"/>
      <c r="AD40" s="379"/>
      <c r="AE40" s="380"/>
      <c r="AF40" s="378"/>
      <c r="AG40" s="379"/>
      <c r="AH40" s="379"/>
      <c r="AI40" s="379"/>
      <c r="AJ40" s="379"/>
      <c r="AK40" s="379"/>
      <c r="AL40" s="379"/>
      <c r="AM40" s="379"/>
      <c r="AN40" s="379"/>
      <c r="AO40" s="380"/>
      <c r="AP40" s="379"/>
      <c r="AQ40" s="379"/>
      <c r="AR40" s="379"/>
      <c r="AS40" s="379"/>
      <c r="AT40" s="379"/>
      <c r="AU40" s="379"/>
      <c r="AV40" s="379"/>
      <c r="AW40" s="379"/>
      <c r="AX40" s="379"/>
      <c r="AY40" s="380"/>
      <c r="AZ40" s="379"/>
      <c r="BA40" s="379"/>
      <c r="BB40" s="379"/>
      <c r="BC40" s="379"/>
      <c r="BD40" s="379"/>
      <c r="BE40" s="379"/>
      <c r="BF40" s="379"/>
      <c r="BG40" s="379"/>
      <c r="BH40" s="379"/>
      <c r="BI40" s="380"/>
      <c r="BJ40" s="379"/>
      <c r="BK40" s="379"/>
      <c r="BL40" s="379"/>
      <c r="BM40" s="379"/>
      <c r="BN40" s="379"/>
      <c r="BO40" s="379"/>
      <c r="BP40" s="379"/>
      <c r="BQ40" s="379"/>
      <c r="BR40" s="379"/>
      <c r="BS40" s="380"/>
      <c r="BT40" s="379"/>
      <c r="BU40" s="379"/>
      <c r="BV40" s="379"/>
      <c r="BW40" s="379"/>
      <c r="BX40" s="379"/>
      <c r="BY40" s="379"/>
      <c r="BZ40" s="379"/>
      <c r="CA40" s="379"/>
      <c r="CB40" s="379"/>
      <c r="CC40" s="380"/>
      <c r="CD40" s="379"/>
      <c r="CE40" s="379"/>
      <c r="CF40" s="379"/>
      <c r="CG40" s="379"/>
      <c r="CH40" s="379"/>
      <c r="CI40" s="379"/>
      <c r="CJ40" s="379"/>
      <c r="CK40" s="379"/>
      <c r="CL40" s="379"/>
      <c r="CM40" s="380"/>
      <c r="CN40" s="379"/>
      <c r="CO40" s="379"/>
      <c r="CP40" s="379"/>
      <c r="CQ40" s="379"/>
      <c r="CR40" s="379"/>
      <c r="CS40" s="379"/>
      <c r="CT40" s="379"/>
      <c r="CU40" s="379"/>
      <c r="CV40" s="379"/>
      <c r="CW40" s="380"/>
      <c r="CX40" s="379"/>
      <c r="CY40" s="379"/>
      <c r="CZ40" s="379"/>
      <c r="DA40" s="379"/>
      <c r="DB40" s="379"/>
      <c r="DC40" s="379"/>
      <c r="DD40" s="379"/>
      <c r="DE40" s="379"/>
      <c r="DF40" s="379"/>
      <c r="DG40" s="380"/>
      <c r="DH40" s="1647">
        <f>'ESTADO RED VIS'!I14</f>
        <v>5.1029999999999998</v>
      </c>
      <c r="DI40" s="1648"/>
      <c r="DJ40" s="1649">
        <f>DH40/DV38</f>
        <v>0.88287197231833914</v>
      </c>
      <c r="DK40" s="1650"/>
      <c r="DL40" s="1638">
        <f>'ESTADO RED VIS'!J14</f>
        <v>0.67699999999999994</v>
      </c>
      <c r="DM40" s="1639"/>
      <c r="DN40" s="1640">
        <f>DL40/DV38</f>
        <v>0.1171280276816609</v>
      </c>
      <c r="DO40" s="1641"/>
      <c r="DP40" s="1642">
        <f>'ESTADO RED VIS'!K14</f>
        <v>0</v>
      </c>
      <c r="DQ40" s="1643"/>
      <c r="DR40" s="1636">
        <f>DP40/DV38</f>
        <v>0</v>
      </c>
      <c r="DS40" s="1637"/>
      <c r="DT40" s="367">
        <f>DH40+DL40+DP40</f>
        <v>5.7799999999999994</v>
      </c>
      <c r="DU40" s="381">
        <f>DJ40+DN40+DR40</f>
        <v>1</v>
      </c>
      <c r="DV40" s="402"/>
      <c r="DW40" s="542">
        <f>DJ40</f>
        <v>0.88287197231833914</v>
      </c>
      <c r="DX40" s="542">
        <f>DN40</f>
        <v>0.1171280276816609</v>
      </c>
      <c r="DY40" s="542">
        <f>DR40</f>
        <v>0</v>
      </c>
    </row>
    <row r="41" spans="1:129" ht="10.5" customHeight="1">
      <c r="A41" s="1676" t="s">
        <v>88</v>
      </c>
      <c r="B41" s="365"/>
      <c r="K41" s="366"/>
      <c r="L41" s="365"/>
      <c r="U41" s="366"/>
      <c r="V41" s="365"/>
      <c r="AE41" s="366"/>
      <c r="AF41" s="365"/>
      <c r="AO41" s="366"/>
      <c r="AY41" s="366"/>
      <c r="BI41" s="366"/>
      <c r="BS41" s="366"/>
      <c r="CC41" s="366"/>
      <c r="CM41" s="366"/>
      <c r="CW41" s="366"/>
      <c r="DG41" s="366"/>
      <c r="DH41" s="1651"/>
      <c r="DI41" s="1652"/>
      <c r="DJ41" s="1652"/>
      <c r="DK41" s="1652"/>
      <c r="DL41" s="1653"/>
      <c r="DM41" s="1654"/>
      <c r="DN41" s="1654"/>
      <c r="DO41" s="1655"/>
      <c r="DP41" s="1656"/>
      <c r="DQ41" s="1656"/>
      <c r="DR41" s="1656"/>
      <c r="DS41" s="1657"/>
      <c r="DV41" s="377"/>
    </row>
    <row r="42" spans="1:129" ht="4.5" customHeight="1">
      <c r="A42" s="1677"/>
      <c r="B42" s="365"/>
      <c r="K42" s="366"/>
      <c r="L42" s="365"/>
      <c r="U42" s="366"/>
      <c r="V42" s="365"/>
      <c r="AE42" s="366"/>
      <c r="AF42" s="365"/>
      <c r="AO42" s="366"/>
      <c r="AY42" s="366"/>
      <c r="BI42" s="366"/>
      <c r="BS42" s="366"/>
      <c r="CC42" s="366"/>
      <c r="CM42" s="366"/>
      <c r="CW42" s="366"/>
      <c r="DG42" s="366"/>
      <c r="DH42" s="1634"/>
      <c r="DI42" s="1635"/>
      <c r="DJ42" s="1635"/>
      <c r="DK42" s="1635"/>
      <c r="DL42" s="1617"/>
      <c r="DM42" s="1618"/>
      <c r="DN42" s="1618"/>
      <c r="DO42" s="1619"/>
      <c r="DP42" s="1658"/>
      <c r="DQ42" s="1658"/>
      <c r="DR42" s="1658"/>
      <c r="DS42" s="1659"/>
      <c r="DT42" s="367"/>
      <c r="DU42" s="381"/>
      <c r="DV42" s="377"/>
    </row>
    <row r="43" spans="1:129" ht="13.5" customHeight="1">
      <c r="A43" s="1678"/>
      <c r="B43" s="378"/>
      <c r="C43" s="379"/>
      <c r="D43" s="379"/>
      <c r="E43" s="379"/>
      <c r="F43" s="379"/>
      <c r="G43" s="379"/>
      <c r="H43" s="379"/>
      <c r="I43" s="379"/>
      <c r="J43" s="379"/>
      <c r="K43" s="380"/>
      <c r="L43" s="378"/>
      <c r="M43" s="379"/>
      <c r="N43" s="379"/>
      <c r="O43" s="379"/>
      <c r="P43" s="379"/>
      <c r="Q43" s="379"/>
      <c r="R43" s="379"/>
      <c r="S43" s="379"/>
      <c r="T43" s="379"/>
      <c r="U43" s="380"/>
      <c r="V43" s="378"/>
      <c r="W43" s="379"/>
      <c r="X43" s="379"/>
      <c r="Y43" s="379"/>
      <c r="Z43" s="379"/>
      <c r="AA43" s="379"/>
      <c r="AB43" s="379"/>
      <c r="AC43" s="379"/>
      <c r="AD43" s="379"/>
      <c r="AE43" s="380"/>
      <c r="AF43" s="378"/>
      <c r="AG43" s="379"/>
      <c r="AH43" s="379"/>
      <c r="AI43" s="379"/>
      <c r="AJ43" s="379"/>
      <c r="AK43" s="379"/>
      <c r="AL43" s="379"/>
      <c r="AM43" s="379"/>
      <c r="AN43" s="379"/>
      <c r="AO43" s="380"/>
      <c r="AP43" s="379"/>
      <c r="AQ43" s="379"/>
      <c r="AR43" s="379"/>
      <c r="AS43" s="379"/>
      <c r="AT43" s="379"/>
      <c r="AU43" s="379"/>
      <c r="AV43" s="379"/>
      <c r="AW43" s="379"/>
      <c r="AX43" s="379"/>
      <c r="AY43" s="380"/>
      <c r="AZ43" s="379"/>
      <c r="BA43" s="379"/>
      <c r="BB43" s="379"/>
      <c r="BC43" s="379"/>
      <c r="BD43" s="379"/>
      <c r="BE43" s="379"/>
      <c r="BF43" s="379"/>
      <c r="BG43" s="379"/>
      <c r="BH43" s="379"/>
      <c r="BI43" s="380"/>
      <c r="BJ43" s="379"/>
      <c r="BK43" s="379"/>
      <c r="BL43" s="379"/>
      <c r="BM43" s="379"/>
      <c r="BN43" s="379"/>
      <c r="BO43" s="379"/>
      <c r="BP43" s="379"/>
      <c r="BQ43" s="379"/>
      <c r="BR43" s="379"/>
      <c r="BS43" s="380"/>
      <c r="BT43" s="379"/>
      <c r="BU43" s="379"/>
      <c r="BV43" s="379"/>
      <c r="BW43" s="379"/>
      <c r="BX43" s="379"/>
      <c r="BY43" s="379"/>
      <c r="BZ43" s="379"/>
      <c r="CA43" s="379"/>
      <c r="CB43" s="379"/>
      <c r="CC43" s="380"/>
      <c r="CD43" s="379"/>
      <c r="CE43" s="379"/>
      <c r="CF43" s="379"/>
      <c r="CG43" s="379"/>
      <c r="CH43" s="379"/>
      <c r="CI43" s="379"/>
      <c r="CJ43" s="379"/>
      <c r="CK43" s="379"/>
      <c r="CL43" s="379"/>
      <c r="CM43" s="380"/>
      <c r="CN43" s="379"/>
      <c r="CO43" s="379"/>
      <c r="CP43" s="379"/>
      <c r="CQ43" s="379"/>
      <c r="CR43" s="379"/>
      <c r="CS43" s="379"/>
      <c r="CT43" s="379"/>
      <c r="CU43" s="379"/>
      <c r="CV43" s="379"/>
      <c r="CW43" s="380"/>
      <c r="CX43" s="379"/>
      <c r="CY43" s="379"/>
      <c r="CZ43" s="379"/>
      <c r="DA43" s="379"/>
      <c r="DB43" s="379"/>
      <c r="DC43" s="379"/>
      <c r="DD43" s="379"/>
      <c r="DE43" s="379"/>
      <c r="DF43" s="379"/>
      <c r="DG43" s="380"/>
      <c r="DH43" s="1660"/>
      <c r="DI43" s="1661"/>
      <c r="DJ43" s="1649"/>
      <c r="DK43" s="1650"/>
      <c r="DL43" s="1638"/>
      <c r="DM43" s="1639"/>
      <c r="DN43" s="1640"/>
      <c r="DO43" s="1641"/>
      <c r="DP43" s="1642"/>
      <c r="DQ43" s="1643"/>
      <c r="DR43" s="1636"/>
      <c r="DS43" s="1637"/>
      <c r="DT43" s="367"/>
      <c r="DU43" s="381"/>
      <c r="DV43" s="377"/>
    </row>
    <row r="44" spans="1:129" ht="10.5" customHeight="1">
      <c r="A44" s="1644" t="s">
        <v>577</v>
      </c>
      <c r="B44" s="365"/>
      <c r="K44" s="366"/>
      <c r="L44" s="365"/>
      <c r="U44" s="366"/>
      <c r="V44" s="365"/>
      <c r="AE44" s="366"/>
      <c r="AF44" s="365"/>
      <c r="AO44" s="366"/>
      <c r="AY44" s="366"/>
      <c r="BI44" s="366"/>
      <c r="BP44" s="371"/>
      <c r="BQ44" s="371"/>
      <c r="BS44" s="366"/>
      <c r="CC44" s="366"/>
      <c r="CM44" s="366"/>
      <c r="CW44" s="366"/>
      <c r="DG44" s="366"/>
      <c r="DH44" s="1651" t="s">
        <v>54</v>
      </c>
      <c r="DI44" s="1652"/>
      <c r="DJ44" s="1652"/>
      <c r="DK44" s="1652"/>
      <c r="DL44" s="1653" t="s">
        <v>54</v>
      </c>
      <c r="DM44" s="1654"/>
      <c r="DN44" s="1654"/>
      <c r="DO44" s="1655"/>
      <c r="DP44" s="1656" t="s">
        <v>54</v>
      </c>
      <c r="DQ44" s="1656"/>
      <c r="DR44" s="1656"/>
      <c r="DS44" s="1657"/>
      <c r="DV44" s="377"/>
    </row>
    <row r="45" spans="1:129" ht="4.5" customHeight="1">
      <c r="A45" s="1645"/>
      <c r="B45" s="365"/>
      <c r="K45" s="366"/>
      <c r="L45" s="365"/>
      <c r="U45" s="366"/>
      <c r="V45" s="365"/>
      <c r="AE45" s="366"/>
      <c r="AF45" s="365"/>
      <c r="AO45" s="366"/>
      <c r="AY45" s="366"/>
      <c r="BI45" s="366"/>
      <c r="BP45" s="371"/>
      <c r="BQ45" s="371"/>
      <c r="BS45" s="366"/>
      <c r="CC45" s="366"/>
      <c r="CM45" s="366"/>
      <c r="CW45" s="366"/>
      <c r="DG45" s="366"/>
      <c r="DH45" s="1634"/>
      <c r="DI45" s="1635"/>
      <c r="DJ45" s="1635"/>
      <c r="DK45" s="1635"/>
      <c r="DL45" s="1617"/>
      <c r="DM45" s="1618"/>
      <c r="DN45" s="1618"/>
      <c r="DO45" s="1619"/>
      <c r="DP45" s="1658"/>
      <c r="DQ45" s="1658"/>
      <c r="DR45" s="1658"/>
      <c r="DS45" s="1659"/>
      <c r="DT45" s="367" t="s">
        <v>54</v>
      </c>
      <c r="DU45" s="381" t="s">
        <v>54</v>
      </c>
      <c r="DV45" s="377"/>
    </row>
    <row r="46" spans="1:129" ht="13.5" customHeight="1">
      <c r="A46" s="1646"/>
      <c r="B46" s="378"/>
      <c r="C46" s="379"/>
      <c r="D46" s="379"/>
      <c r="E46" s="379"/>
      <c r="F46" s="379"/>
      <c r="G46" s="379"/>
      <c r="H46" s="379"/>
      <c r="I46" s="379"/>
      <c r="J46" s="379"/>
      <c r="K46" s="380"/>
      <c r="L46" s="378"/>
      <c r="M46" s="379"/>
      <c r="N46" s="379"/>
      <c r="O46" s="379"/>
      <c r="P46" s="379"/>
      <c r="Q46" s="379"/>
      <c r="R46" s="379"/>
      <c r="S46" s="379"/>
      <c r="T46" s="379"/>
      <c r="U46" s="380"/>
      <c r="V46" s="378"/>
      <c r="W46" s="379"/>
      <c r="X46" s="379"/>
      <c r="Y46" s="379"/>
      <c r="Z46" s="379"/>
      <c r="AA46" s="379"/>
      <c r="AB46" s="379"/>
      <c r="AC46" s="379"/>
      <c r="AD46" s="379"/>
      <c r="AE46" s="380"/>
      <c r="AF46" s="378"/>
      <c r="AG46" s="379"/>
      <c r="AH46" s="379"/>
      <c r="AI46" s="379"/>
      <c r="AJ46" s="379"/>
      <c r="AK46" s="379"/>
      <c r="AL46" s="379"/>
      <c r="AM46" s="379"/>
      <c r="AN46" s="379"/>
      <c r="AO46" s="380"/>
      <c r="AP46" s="379"/>
      <c r="AQ46" s="379"/>
      <c r="AR46" s="379"/>
      <c r="AS46" s="379"/>
      <c r="AT46" s="379"/>
      <c r="AU46" s="379"/>
      <c r="AV46" s="379"/>
      <c r="AW46" s="379"/>
      <c r="AX46" s="379"/>
      <c r="AY46" s="380"/>
      <c r="AZ46" s="379"/>
      <c r="BA46" s="379"/>
      <c r="BB46" s="379"/>
      <c r="BC46" s="379"/>
      <c r="BD46" s="379"/>
      <c r="BE46" s="379"/>
      <c r="BF46" s="379"/>
      <c r="BG46" s="379"/>
      <c r="BH46" s="379"/>
      <c r="BI46" s="380"/>
      <c r="BJ46" s="379"/>
      <c r="BK46" s="379"/>
      <c r="BL46" s="379"/>
      <c r="BM46" s="379"/>
      <c r="BN46" s="379"/>
      <c r="BO46" s="379"/>
      <c r="BP46" s="371"/>
      <c r="BQ46" s="371"/>
      <c r="BR46" s="379"/>
      <c r="BS46" s="380"/>
      <c r="BT46" s="379"/>
      <c r="BU46" s="379"/>
      <c r="BV46" s="379"/>
      <c r="BW46" s="379"/>
      <c r="BX46" s="379"/>
      <c r="BY46" s="379"/>
      <c r="BZ46" s="379"/>
      <c r="CA46" s="379"/>
      <c r="CB46" s="379"/>
      <c r="CC46" s="380"/>
      <c r="CD46" s="379"/>
      <c r="CE46" s="379"/>
      <c r="CF46" s="379"/>
      <c r="CG46" s="379"/>
      <c r="CH46" s="379"/>
      <c r="CI46" s="379"/>
      <c r="CJ46" s="379"/>
      <c r="CK46" s="379"/>
      <c r="CL46" s="379"/>
      <c r="CM46" s="380"/>
      <c r="CN46" s="379"/>
      <c r="CO46" s="379"/>
      <c r="CP46" s="379"/>
      <c r="CQ46" s="379"/>
      <c r="CR46" s="379"/>
      <c r="CS46" s="379"/>
      <c r="CT46" s="379"/>
      <c r="CU46" s="379"/>
      <c r="CV46" s="379"/>
      <c r="CW46" s="380"/>
      <c r="CX46" s="379"/>
      <c r="CY46" s="379"/>
      <c r="CZ46" s="379"/>
      <c r="DA46" s="379"/>
      <c r="DB46" s="379"/>
      <c r="DC46" s="379"/>
      <c r="DD46" s="379"/>
      <c r="DE46" s="379"/>
      <c r="DF46" s="379"/>
      <c r="DG46" s="380"/>
      <c r="DH46" s="1660">
        <v>1</v>
      </c>
      <c r="DI46" s="1661"/>
      <c r="DJ46" s="1649">
        <v>1</v>
      </c>
      <c r="DK46" s="1650"/>
      <c r="DL46" s="1638">
        <v>0</v>
      </c>
      <c r="DM46" s="1639"/>
      <c r="DN46" s="1640">
        <f>DL46/DV38</f>
        <v>0</v>
      </c>
      <c r="DO46" s="1641"/>
      <c r="DP46" s="1642">
        <v>0</v>
      </c>
      <c r="DQ46" s="1643"/>
      <c r="DR46" s="1636">
        <f>DP46/DV38</f>
        <v>0</v>
      </c>
      <c r="DS46" s="1637"/>
      <c r="DT46" s="385">
        <f>DH46+DL46+DP46</f>
        <v>1</v>
      </c>
      <c r="DU46" s="381">
        <f>DJ46+DN46+DR46</f>
        <v>1</v>
      </c>
      <c r="DV46" s="377"/>
    </row>
    <row r="47" spans="1:129" ht="10.5" customHeight="1">
      <c r="A47" s="1644" t="s">
        <v>56</v>
      </c>
      <c r="B47" s="365"/>
      <c r="K47" s="366"/>
      <c r="L47" s="365"/>
      <c r="U47" s="366"/>
      <c r="V47" s="365"/>
      <c r="AE47" s="366"/>
      <c r="AF47" s="365"/>
      <c r="AO47" s="366"/>
      <c r="AY47" s="366"/>
      <c r="BI47" s="366"/>
      <c r="BS47" s="366"/>
      <c r="CC47" s="366"/>
      <c r="CM47" s="366"/>
      <c r="CW47" s="366"/>
      <c r="DG47" s="366"/>
      <c r="DH47" s="1651" t="s">
        <v>54</v>
      </c>
      <c r="DI47" s="1652"/>
      <c r="DJ47" s="1652"/>
      <c r="DK47" s="1652"/>
      <c r="DL47" s="1653" t="s">
        <v>54</v>
      </c>
      <c r="DM47" s="1654"/>
      <c r="DN47" s="1654"/>
      <c r="DO47" s="1655"/>
      <c r="DP47" s="1656" t="s">
        <v>54</v>
      </c>
      <c r="DQ47" s="1656"/>
      <c r="DR47" s="1656"/>
      <c r="DS47" s="1657"/>
      <c r="DT47" s="367" t="s">
        <v>54</v>
      </c>
      <c r="DU47" s="381" t="s">
        <v>54</v>
      </c>
      <c r="DV47" s="377"/>
    </row>
    <row r="48" spans="1:129" ht="4.5" customHeight="1">
      <c r="A48" s="1645"/>
      <c r="B48" s="365"/>
      <c r="K48" s="366"/>
      <c r="L48" s="365"/>
      <c r="U48" s="366"/>
      <c r="V48" s="365"/>
      <c r="AE48" s="366"/>
      <c r="AF48" s="365"/>
      <c r="AO48" s="366"/>
      <c r="AY48" s="366"/>
      <c r="BI48" s="366"/>
      <c r="BS48" s="366"/>
      <c r="CC48" s="366"/>
      <c r="CM48" s="366"/>
      <c r="CW48" s="366"/>
      <c r="DG48" s="366"/>
      <c r="DH48" s="1634"/>
      <c r="DI48" s="1635"/>
      <c r="DJ48" s="1635"/>
      <c r="DK48" s="1635"/>
      <c r="DL48" s="1617"/>
      <c r="DM48" s="1618"/>
      <c r="DN48" s="1618"/>
      <c r="DO48" s="1619"/>
      <c r="DP48" s="1658"/>
      <c r="DQ48" s="1658"/>
      <c r="DR48" s="1658"/>
      <c r="DS48" s="1659"/>
      <c r="DT48" s="367"/>
      <c r="DU48" s="381"/>
      <c r="DV48" s="377"/>
    </row>
    <row r="49" spans="1:126" ht="13.5" customHeight="1">
      <c r="A49" s="1646"/>
      <c r="B49" s="378"/>
      <c r="C49" s="379"/>
      <c r="D49" s="379"/>
      <c r="E49" s="379"/>
      <c r="F49" s="379"/>
      <c r="G49" s="379"/>
      <c r="H49" s="379"/>
      <c r="I49" s="379"/>
      <c r="J49" s="379"/>
      <c r="K49" s="380"/>
      <c r="L49" s="378"/>
      <c r="M49" s="379"/>
      <c r="N49" s="379"/>
      <c r="O49" s="379"/>
      <c r="P49" s="379"/>
      <c r="Q49" s="379"/>
      <c r="R49" s="379"/>
      <c r="S49" s="379"/>
      <c r="T49" s="379"/>
      <c r="U49" s="380"/>
      <c r="V49" s="378"/>
      <c r="W49" s="379"/>
      <c r="X49" s="379"/>
      <c r="Y49" s="379"/>
      <c r="Z49" s="379"/>
      <c r="AA49" s="379"/>
      <c r="AB49" s="379"/>
      <c r="AC49" s="379"/>
      <c r="AD49" s="379"/>
      <c r="AE49" s="380"/>
      <c r="AF49" s="378"/>
      <c r="AG49" s="379"/>
      <c r="AH49" s="379"/>
      <c r="AI49" s="379"/>
      <c r="AJ49" s="379"/>
      <c r="AK49" s="379"/>
      <c r="AL49" s="379"/>
      <c r="AM49" s="379"/>
      <c r="AN49" s="379"/>
      <c r="AO49" s="380"/>
      <c r="AP49" s="379"/>
      <c r="AQ49" s="379"/>
      <c r="AR49" s="379"/>
      <c r="AS49" s="379"/>
      <c r="AT49" s="379"/>
      <c r="AU49" s="379"/>
      <c r="AV49" s="379"/>
      <c r="AW49" s="379"/>
      <c r="AX49" s="379"/>
      <c r="AY49" s="380"/>
      <c r="AZ49" s="379"/>
      <c r="BA49" s="379"/>
      <c r="BB49" s="379"/>
      <c r="BC49" s="379"/>
      <c r="BD49" s="379"/>
      <c r="BE49" s="379"/>
      <c r="BF49" s="379"/>
      <c r="BG49" s="379"/>
      <c r="BH49" s="379"/>
      <c r="BI49" s="380"/>
      <c r="BJ49" s="379"/>
      <c r="BK49" s="379"/>
      <c r="BL49" s="379"/>
      <c r="BM49" s="379"/>
      <c r="BN49" s="379"/>
      <c r="BO49" s="379"/>
      <c r="BP49" s="379"/>
      <c r="BQ49" s="379"/>
      <c r="BR49" s="379"/>
      <c r="BS49" s="380"/>
      <c r="BT49" s="379"/>
      <c r="BU49" s="379"/>
      <c r="BV49" s="379"/>
      <c r="BW49" s="379"/>
      <c r="BX49" s="379"/>
      <c r="BY49" s="379"/>
      <c r="BZ49" s="379"/>
      <c r="CA49" s="379"/>
      <c r="CB49" s="379"/>
      <c r="CC49" s="380"/>
      <c r="CD49" s="379"/>
      <c r="CE49" s="379"/>
      <c r="CF49" s="379"/>
      <c r="CG49" s="379"/>
      <c r="CH49" s="379"/>
      <c r="CI49" s="379"/>
      <c r="CJ49" s="379"/>
      <c r="CK49" s="379"/>
      <c r="CL49" s="379"/>
      <c r="CM49" s="380"/>
      <c r="CN49" s="379"/>
      <c r="CO49" s="379"/>
      <c r="CP49" s="379"/>
      <c r="CQ49" s="379"/>
      <c r="CR49" s="379"/>
      <c r="CS49" s="379"/>
      <c r="CT49" s="379"/>
      <c r="CU49" s="379"/>
      <c r="CV49" s="379"/>
      <c r="CW49" s="380"/>
      <c r="CX49" s="379"/>
      <c r="CY49" s="379"/>
      <c r="CZ49" s="379"/>
      <c r="DA49" s="379"/>
      <c r="DB49" s="379"/>
      <c r="DC49" s="379"/>
      <c r="DD49" s="379"/>
      <c r="DE49" s="379"/>
      <c r="DF49" s="379"/>
      <c r="DG49" s="380"/>
      <c r="DH49" s="1647">
        <v>0</v>
      </c>
      <c r="DI49" s="1648"/>
      <c r="DJ49" s="1649">
        <f>DH49/DV38</f>
        <v>0</v>
      </c>
      <c r="DK49" s="1650"/>
      <c r="DL49" s="1638">
        <v>0</v>
      </c>
      <c r="DM49" s="1639"/>
      <c r="DN49" s="1640">
        <f>DL49/DV38</f>
        <v>0</v>
      </c>
      <c r="DO49" s="1641"/>
      <c r="DP49" s="1642">
        <v>0</v>
      </c>
      <c r="DQ49" s="1643"/>
      <c r="DR49" s="1636">
        <f>DP49/DV38</f>
        <v>0</v>
      </c>
      <c r="DS49" s="1637"/>
      <c r="DT49" s="385">
        <f>DH49+DL49+DP49</f>
        <v>0</v>
      </c>
      <c r="DU49" s="381">
        <f>DJ49+DN49+DR49</f>
        <v>0</v>
      </c>
      <c r="DV49" s="377"/>
    </row>
    <row r="50" spans="1:126" ht="10.5" customHeight="1">
      <c r="A50" s="1644" t="s">
        <v>229</v>
      </c>
      <c r="B50" s="365"/>
      <c r="K50" s="366"/>
      <c r="L50" s="365"/>
      <c r="U50" s="366"/>
      <c r="V50" s="365"/>
      <c r="AE50" s="366"/>
      <c r="AF50" s="365"/>
      <c r="AO50" s="366"/>
      <c r="AY50" s="366"/>
      <c r="BI50" s="366"/>
      <c r="BS50" s="366"/>
      <c r="CC50" s="366"/>
      <c r="CM50" s="366"/>
      <c r="CW50" s="366"/>
      <c r="DG50" s="366"/>
      <c r="DH50" s="1651" t="s">
        <v>54</v>
      </c>
      <c r="DI50" s="1652"/>
      <c r="DJ50" s="1652"/>
      <c r="DK50" s="1652"/>
      <c r="DL50" s="1653" t="s">
        <v>54</v>
      </c>
      <c r="DM50" s="1654"/>
      <c r="DN50" s="1654"/>
      <c r="DO50" s="1655"/>
      <c r="DP50" s="1656" t="s">
        <v>54</v>
      </c>
      <c r="DQ50" s="1656"/>
      <c r="DR50" s="1656"/>
      <c r="DS50" s="1657"/>
      <c r="DT50" s="367"/>
      <c r="DU50" s="381"/>
      <c r="DV50" s="377"/>
    </row>
    <row r="51" spans="1:126" ht="4.5" customHeight="1">
      <c r="A51" s="1645"/>
      <c r="B51" s="370"/>
      <c r="C51" s="371"/>
      <c r="D51" s="371"/>
      <c r="E51" s="371"/>
      <c r="F51" s="371"/>
      <c r="G51" s="371"/>
      <c r="H51" s="371"/>
      <c r="I51" s="371"/>
      <c r="J51" s="371"/>
      <c r="K51" s="371"/>
      <c r="L51" s="370"/>
      <c r="M51" s="371"/>
      <c r="N51" s="371"/>
      <c r="O51" s="371"/>
      <c r="P51" s="371"/>
      <c r="Q51" s="371"/>
      <c r="R51" s="371"/>
      <c r="S51" s="371"/>
      <c r="T51" s="371"/>
      <c r="U51" s="371"/>
      <c r="V51" s="370"/>
      <c r="W51" s="371"/>
      <c r="X51" s="371"/>
      <c r="Y51" s="371"/>
      <c r="Z51" s="371"/>
      <c r="AA51" s="371"/>
      <c r="AB51" s="371"/>
      <c r="AC51" s="371"/>
      <c r="AD51" s="371"/>
      <c r="AE51" s="371"/>
      <c r="AF51" s="370"/>
      <c r="AG51" s="371"/>
      <c r="AH51" s="371"/>
      <c r="AI51" s="371"/>
      <c r="AJ51" s="371"/>
      <c r="AK51" s="371"/>
      <c r="AL51" s="371"/>
      <c r="AM51" s="371"/>
      <c r="AN51" s="371"/>
      <c r="AO51" s="371"/>
      <c r="AP51" s="371"/>
      <c r="AQ51" s="371"/>
      <c r="AR51" s="371"/>
      <c r="AS51" s="371"/>
      <c r="AT51" s="371"/>
      <c r="AU51" s="371"/>
      <c r="AV51" s="371"/>
      <c r="AW51" s="371"/>
      <c r="AX51" s="371"/>
      <c r="AY51" s="372"/>
      <c r="AZ51" s="371"/>
      <c r="BA51" s="371"/>
      <c r="BB51" s="371"/>
      <c r="BC51" s="371"/>
      <c r="BD51" s="371"/>
      <c r="BE51" s="371"/>
      <c r="BF51" s="371"/>
      <c r="BG51" s="371"/>
      <c r="BH51" s="371"/>
      <c r="BI51" s="372"/>
      <c r="BJ51" s="371"/>
      <c r="BK51" s="371"/>
      <c r="BL51" s="371"/>
      <c r="BM51" s="371"/>
      <c r="BN51" s="371"/>
      <c r="BO51" s="371"/>
      <c r="BP51" s="371"/>
      <c r="BQ51" s="371"/>
      <c r="BR51" s="371"/>
      <c r="BS51" s="372"/>
      <c r="BT51" s="371"/>
      <c r="BU51" s="371"/>
      <c r="BV51" s="371"/>
      <c r="BW51" s="371"/>
      <c r="BX51" s="371"/>
      <c r="BY51" s="371"/>
      <c r="BZ51" s="371"/>
      <c r="CA51" s="371"/>
      <c r="CB51" s="371"/>
      <c r="CC51" s="372"/>
      <c r="CD51" s="371"/>
      <c r="CE51" s="371"/>
      <c r="CF51" s="371"/>
      <c r="CG51" s="371"/>
      <c r="CH51" s="371"/>
      <c r="CI51" s="371"/>
      <c r="CJ51" s="371"/>
      <c r="CK51" s="371"/>
      <c r="CL51" s="371"/>
      <c r="CM51" s="372"/>
      <c r="CW51" s="366"/>
      <c r="DG51" s="366"/>
      <c r="DH51" s="1634"/>
      <c r="DI51" s="1635"/>
      <c r="DJ51" s="1635"/>
      <c r="DK51" s="1635"/>
      <c r="DL51" s="1617"/>
      <c r="DM51" s="1618"/>
      <c r="DN51" s="1618"/>
      <c r="DO51" s="1619"/>
      <c r="DP51" s="1658"/>
      <c r="DQ51" s="1658"/>
      <c r="DR51" s="1658"/>
      <c r="DS51" s="1659"/>
      <c r="DT51" s="367" t="s">
        <v>54</v>
      </c>
      <c r="DU51" s="381" t="s">
        <v>54</v>
      </c>
      <c r="DV51" s="367"/>
    </row>
    <row r="52" spans="1:126" ht="13.5" customHeight="1">
      <c r="A52" s="1646"/>
      <c r="B52" s="378"/>
      <c r="C52" s="379"/>
      <c r="D52" s="379"/>
      <c r="E52" s="379"/>
      <c r="F52" s="379"/>
      <c r="G52" s="379"/>
      <c r="H52" s="379"/>
      <c r="I52" s="379"/>
      <c r="J52" s="379"/>
      <c r="K52" s="380"/>
      <c r="L52" s="378"/>
      <c r="M52" s="379"/>
      <c r="N52" s="379"/>
      <c r="O52" s="379"/>
      <c r="P52" s="379"/>
      <c r="Q52" s="379"/>
      <c r="R52" s="379"/>
      <c r="S52" s="379"/>
      <c r="T52" s="379"/>
      <c r="U52" s="380"/>
      <c r="V52" s="378"/>
      <c r="W52" s="379"/>
      <c r="X52" s="379"/>
      <c r="Y52" s="379"/>
      <c r="Z52" s="379"/>
      <c r="AA52" s="379"/>
      <c r="AB52" s="379"/>
      <c r="AC52" s="379"/>
      <c r="AD52" s="379"/>
      <c r="AE52" s="380"/>
      <c r="AF52" s="378"/>
      <c r="AG52" s="379"/>
      <c r="AH52" s="379"/>
      <c r="AI52" s="379"/>
      <c r="AJ52" s="379"/>
      <c r="AK52" s="379"/>
      <c r="AL52" s="379"/>
      <c r="AM52" s="379"/>
      <c r="AN52" s="379"/>
      <c r="AO52" s="380"/>
      <c r="AP52" s="379"/>
      <c r="AQ52" s="379"/>
      <c r="AR52" s="379"/>
      <c r="AS52" s="379"/>
      <c r="AT52" s="379"/>
      <c r="AU52" s="379"/>
      <c r="AV52" s="379"/>
      <c r="AW52" s="379"/>
      <c r="AX52" s="379"/>
      <c r="AY52" s="380"/>
      <c r="AZ52" s="379"/>
      <c r="BA52" s="379"/>
      <c r="BB52" s="379"/>
      <c r="BC52" s="379"/>
      <c r="BD52" s="379"/>
      <c r="BE52" s="379"/>
      <c r="BF52" s="379"/>
      <c r="BG52" s="379"/>
      <c r="BH52" s="379"/>
      <c r="BI52" s="380"/>
      <c r="BJ52" s="379"/>
      <c r="BK52" s="379"/>
      <c r="BL52" s="379"/>
      <c r="BM52" s="379"/>
      <c r="BN52" s="379"/>
      <c r="BO52" s="379"/>
      <c r="BP52" s="379"/>
      <c r="BQ52" s="379"/>
      <c r="BR52" s="379"/>
      <c r="BS52" s="380"/>
      <c r="BT52" s="379"/>
      <c r="BU52" s="379"/>
      <c r="BV52" s="379"/>
      <c r="BW52" s="379"/>
      <c r="BX52" s="379"/>
      <c r="BY52" s="379"/>
      <c r="BZ52" s="379"/>
      <c r="CA52" s="379"/>
      <c r="CB52" s="379"/>
      <c r="CC52" s="380"/>
      <c r="CD52" s="379"/>
      <c r="CE52" s="379"/>
      <c r="CF52" s="379"/>
      <c r="CG52" s="379"/>
      <c r="CH52" s="379"/>
      <c r="CI52" s="379"/>
      <c r="CJ52" s="379"/>
      <c r="CK52" s="379"/>
      <c r="CL52" s="379"/>
      <c r="CM52" s="380"/>
      <c r="CN52" s="379"/>
      <c r="CO52" s="379"/>
      <c r="CP52" s="379"/>
      <c r="CQ52" s="379"/>
      <c r="CR52" s="379"/>
      <c r="CS52" s="379"/>
      <c r="CT52" s="379"/>
      <c r="CU52" s="379"/>
      <c r="CV52" s="379"/>
      <c r="CW52" s="380"/>
      <c r="CX52" s="379"/>
      <c r="CY52" s="379"/>
      <c r="CZ52" s="379"/>
      <c r="DA52" s="379"/>
      <c r="DB52" s="379"/>
      <c r="DC52" s="379"/>
      <c r="DD52" s="379"/>
      <c r="DE52" s="379"/>
      <c r="DF52" s="379"/>
      <c r="DG52" s="380"/>
      <c r="DH52" s="1647">
        <f>+DT40</f>
        <v>5.7799999999999994</v>
      </c>
      <c r="DI52" s="1648"/>
      <c r="DJ52" s="1649">
        <f>DH52/DV38</f>
        <v>1</v>
      </c>
      <c r="DK52" s="1650"/>
      <c r="DL52" s="1638">
        <v>0</v>
      </c>
      <c r="DM52" s="1639"/>
      <c r="DN52" s="1640">
        <f>DL52/DV38</f>
        <v>0</v>
      </c>
      <c r="DO52" s="1641"/>
      <c r="DP52" s="1642">
        <v>0</v>
      </c>
      <c r="DQ52" s="1643"/>
      <c r="DR52" s="1636">
        <f>DP52/DV38</f>
        <v>0</v>
      </c>
      <c r="DS52" s="1637"/>
      <c r="DT52" s="367">
        <f>DH52+DL52+DP52</f>
        <v>5.7799999999999994</v>
      </c>
      <c r="DU52" s="381">
        <f>DJ52+DN52+DR52</f>
        <v>1</v>
      </c>
      <c r="DV52" s="377"/>
    </row>
    <row r="53" spans="1:126" ht="10.5" customHeight="1">
      <c r="A53" s="1644" t="s">
        <v>57</v>
      </c>
      <c r="B53" s="365"/>
      <c r="K53" s="366"/>
      <c r="L53" s="365"/>
      <c r="U53" s="366"/>
      <c r="V53" s="365"/>
      <c r="AE53" s="366"/>
      <c r="AF53" s="365"/>
      <c r="AO53" s="366"/>
      <c r="AY53" s="366"/>
      <c r="BI53" s="366"/>
      <c r="BS53" s="366"/>
      <c r="CC53" s="366"/>
      <c r="CM53" s="366"/>
      <c r="CW53" s="366"/>
      <c r="DG53" s="366"/>
      <c r="DH53" s="1651" t="s">
        <v>54</v>
      </c>
      <c r="DI53" s="1652"/>
      <c r="DJ53" s="1652"/>
      <c r="DK53" s="1652"/>
      <c r="DL53" s="1653" t="s">
        <v>54</v>
      </c>
      <c r="DM53" s="1654"/>
      <c r="DN53" s="1654"/>
      <c r="DO53" s="1655"/>
      <c r="DP53" s="1656" t="s">
        <v>54</v>
      </c>
      <c r="DQ53" s="1656"/>
      <c r="DR53" s="1656"/>
      <c r="DS53" s="1657"/>
      <c r="DT53" s="367" t="s">
        <v>54</v>
      </c>
      <c r="DU53" s="381" t="s">
        <v>54</v>
      </c>
      <c r="DV53" s="367"/>
    </row>
    <row r="54" spans="1:126" ht="3.75" customHeight="1">
      <c r="A54" s="1645"/>
      <c r="B54" s="886"/>
      <c r="C54" s="373"/>
      <c r="D54" s="373"/>
      <c r="E54" s="373"/>
      <c r="F54" s="373"/>
      <c r="G54" s="373"/>
      <c r="H54" s="373"/>
      <c r="I54" s="373"/>
      <c r="J54" s="373"/>
      <c r="K54" s="373"/>
      <c r="L54" s="886"/>
      <c r="M54" s="373"/>
      <c r="N54" s="373"/>
      <c r="O54" s="373"/>
      <c r="P54" s="373"/>
      <c r="Q54" s="373"/>
      <c r="R54" s="373"/>
      <c r="S54" s="373"/>
      <c r="T54" s="373"/>
      <c r="U54" s="373"/>
      <c r="V54" s="886"/>
      <c r="W54" s="373"/>
      <c r="X54" s="373"/>
      <c r="Y54" s="373"/>
      <c r="Z54" s="373"/>
      <c r="AA54" s="373"/>
      <c r="AB54" s="373"/>
      <c r="AC54" s="373"/>
      <c r="AD54" s="373"/>
      <c r="AE54" s="373"/>
      <c r="AF54" s="886"/>
      <c r="AG54" s="373"/>
      <c r="AH54" s="373"/>
      <c r="AI54" s="373"/>
      <c r="AJ54" s="373"/>
      <c r="AK54" s="373"/>
      <c r="AL54" s="373"/>
      <c r="AM54" s="373"/>
      <c r="AN54" s="373"/>
      <c r="AO54" s="373"/>
      <c r="AP54" s="373"/>
      <c r="AQ54" s="373"/>
      <c r="AR54" s="373"/>
      <c r="AS54" s="373"/>
      <c r="AT54" s="373"/>
      <c r="AU54" s="373"/>
      <c r="AV54" s="373"/>
      <c r="AW54" s="373"/>
      <c r="AX54" s="373"/>
      <c r="AY54" s="373"/>
      <c r="AZ54" s="373"/>
      <c r="BA54" s="373"/>
      <c r="BB54" s="373"/>
      <c r="BC54" s="373"/>
      <c r="BD54" s="373"/>
      <c r="BE54" s="373"/>
      <c r="BF54" s="373"/>
      <c r="BG54" s="373"/>
      <c r="BH54" s="373"/>
      <c r="BI54" s="373"/>
      <c r="BJ54" s="373"/>
      <c r="BK54" s="373"/>
      <c r="BL54" s="373"/>
      <c r="BM54" s="373"/>
      <c r="BN54" s="373"/>
      <c r="BO54" s="373"/>
      <c r="BP54" s="373"/>
      <c r="BQ54" s="373"/>
      <c r="BR54" s="373"/>
      <c r="BS54" s="373"/>
      <c r="BT54" s="373"/>
      <c r="BU54" s="373"/>
      <c r="BV54" s="373"/>
      <c r="BW54" s="373"/>
      <c r="BX54" s="373"/>
      <c r="BY54" s="373"/>
      <c r="BZ54" s="373"/>
      <c r="CA54" s="373"/>
      <c r="CB54" s="373"/>
      <c r="CC54" s="401"/>
      <c r="CD54" s="373"/>
      <c r="CE54" s="373"/>
      <c r="CF54" s="373"/>
      <c r="CG54" s="373"/>
      <c r="CH54" s="373"/>
      <c r="CI54" s="373"/>
      <c r="CJ54" s="373"/>
      <c r="CK54" s="373"/>
      <c r="CL54" s="373"/>
      <c r="CM54" s="401"/>
      <c r="CW54" s="366"/>
      <c r="DG54" s="366"/>
      <c r="DH54" s="1634"/>
      <c r="DI54" s="1635"/>
      <c r="DJ54" s="1635"/>
      <c r="DK54" s="1635"/>
      <c r="DL54" s="1617"/>
      <c r="DM54" s="1618"/>
      <c r="DN54" s="1618"/>
      <c r="DO54" s="1619"/>
      <c r="DP54" s="1658"/>
      <c r="DQ54" s="1658"/>
      <c r="DR54" s="1658"/>
      <c r="DS54" s="1659"/>
      <c r="DT54" s="367"/>
      <c r="DU54" s="381"/>
      <c r="DV54" s="377"/>
    </row>
    <row r="55" spans="1:126" ht="12.75" customHeight="1" thickBot="1">
      <c r="A55" s="1646"/>
      <c r="B55" s="378"/>
      <c r="C55" s="379"/>
      <c r="D55" s="379"/>
      <c r="E55" s="379"/>
      <c r="F55" s="379"/>
      <c r="G55" s="379"/>
      <c r="H55" s="379"/>
      <c r="I55" s="379"/>
      <c r="J55" s="379"/>
      <c r="K55" s="380"/>
      <c r="L55" s="378"/>
      <c r="M55" s="379"/>
      <c r="N55" s="379"/>
      <c r="O55" s="379"/>
      <c r="P55" s="379"/>
      <c r="Q55" s="379"/>
      <c r="R55" s="379"/>
      <c r="S55" s="379"/>
      <c r="T55" s="379"/>
      <c r="U55" s="380"/>
      <c r="V55" s="378"/>
      <c r="W55" s="379"/>
      <c r="X55" s="379"/>
      <c r="Y55" s="379"/>
      <c r="Z55" s="379"/>
      <c r="AA55" s="379"/>
      <c r="AB55" s="379"/>
      <c r="AC55" s="379"/>
      <c r="AD55" s="379"/>
      <c r="AE55" s="380"/>
      <c r="AF55" s="378"/>
      <c r="AG55" s="379"/>
      <c r="AH55" s="379"/>
      <c r="AI55" s="379"/>
      <c r="AJ55" s="379"/>
      <c r="AK55" s="379"/>
      <c r="AL55" s="379"/>
      <c r="AM55" s="379"/>
      <c r="AN55" s="379"/>
      <c r="AO55" s="380"/>
      <c r="AP55" s="379"/>
      <c r="AQ55" s="379"/>
      <c r="AR55" s="379"/>
      <c r="AS55" s="379"/>
      <c r="AT55" s="379"/>
      <c r="AU55" s="379"/>
      <c r="AV55" s="379"/>
      <c r="AW55" s="379"/>
      <c r="AX55" s="379"/>
      <c r="AY55" s="380"/>
      <c r="AZ55" s="379"/>
      <c r="BA55" s="379"/>
      <c r="BB55" s="379"/>
      <c r="BC55" s="379"/>
      <c r="BD55" s="379"/>
      <c r="BE55" s="379"/>
      <c r="BF55" s="379"/>
      <c r="BG55" s="379"/>
      <c r="BH55" s="379"/>
      <c r="BI55" s="380"/>
      <c r="BJ55" s="379"/>
      <c r="BK55" s="379"/>
      <c r="BL55" s="379"/>
      <c r="BM55" s="379"/>
      <c r="BN55" s="379"/>
      <c r="BO55" s="379"/>
      <c r="BP55" s="379"/>
      <c r="BQ55" s="379"/>
      <c r="BR55" s="379"/>
      <c r="BS55" s="380"/>
      <c r="BT55" s="379"/>
      <c r="BU55" s="379"/>
      <c r="BV55" s="379"/>
      <c r="BW55" s="379"/>
      <c r="BX55" s="379"/>
      <c r="BY55" s="379"/>
      <c r="BZ55" s="379"/>
      <c r="CA55" s="379"/>
      <c r="CB55" s="379"/>
      <c r="CC55" s="380"/>
      <c r="CD55" s="379"/>
      <c r="CE55" s="379"/>
      <c r="CF55" s="379"/>
      <c r="CG55" s="379"/>
      <c r="CH55" s="379"/>
      <c r="CI55" s="379"/>
      <c r="CJ55" s="379"/>
      <c r="CK55" s="379"/>
      <c r="CL55" s="379"/>
      <c r="CM55" s="380"/>
      <c r="CN55" s="379"/>
      <c r="CO55" s="379"/>
      <c r="CP55" s="379"/>
      <c r="CQ55" s="379"/>
      <c r="CR55" s="379"/>
      <c r="CS55" s="379"/>
      <c r="CT55" s="379"/>
      <c r="CU55" s="379"/>
      <c r="CV55" s="379"/>
      <c r="CW55" s="380"/>
      <c r="CX55" s="379"/>
      <c r="CY55" s="379"/>
      <c r="CZ55" s="379"/>
      <c r="DA55" s="379"/>
      <c r="DB55" s="379"/>
      <c r="DC55" s="379"/>
      <c r="DD55" s="379"/>
      <c r="DE55" s="379"/>
      <c r="DF55" s="379"/>
      <c r="DG55" s="380">
        <f>1.156+1.157</f>
        <v>2.3129999999999997</v>
      </c>
      <c r="DH55" s="1647">
        <v>0</v>
      </c>
      <c r="DI55" s="1648"/>
      <c r="DJ55" s="1649">
        <f>DH55/DV38</f>
        <v>0</v>
      </c>
      <c r="DK55" s="1650"/>
      <c r="DL55" s="1638">
        <v>5.78</v>
      </c>
      <c r="DM55" s="1639"/>
      <c r="DN55" s="1640">
        <f>DL55/DV38</f>
        <v>1.0000000000000002</v>
      </c>
      <c r="DO55" s="1641"/>
      <c r="DP55" s="1642">
        <v>0</v>
      </c>
      <c r="DQ55" s="1643"/>
      <c r="DR55" s="1636">
        <f>DP55/DV38</f>
        <v>0</v>
      </c>
      <c r="DS55" s="1637"/>
      <c r="DT55" s="367">
        <f>DH55+DL55+DP55</f>
        <v>5.78</v>
      </c>
      <c r="DU55" s="381">
        <f>DJ55+DN55+DR55</f>
        <v>1.0000000000000002</v>
      </c>
      <c r="DV55" s="367"/>
    </row>
    <row r="56" spans="1:126" ht="10.5" customHeight="1">
      <c r="A56" s="1644" t="s">
        <v>58</v>
      </c>
      <c r="B56" s="365"/>
      <c r="K56" s="366"/>
      <c r="L56" s="365"/>
      <c r="U56" s="366"/>
      <c r="V56" s="365"/>
      <c r="AE56" s="366"/>
      <c r="AF56" s="365"/>
      <c r="AO56" s="366"/>
      <c r="AY56" s="366"/>
      <c r="BI56" s="366"/>
      <c r="BS56" s="366"/>
      <c r="CC56" s="366"/>
      <c r="CM56" s="366"/>
      <c r="CW56" s="366"/>
      <c r="DG56" s="366"/>
      <c r="DH56" s="1632"/>
      <c r="DI56" s="1633"/>
      <c r="DJ56" s="1652"/>
      <c r="DK56" s="1652"/>
      <c r="DL56" s="1653" t="s">
        <v>54</v>
      </c>
      <c r="DM56" s="1654"/>
      <c r="DN56" s="1654"/>
      <c r="DO56" s="1655"/>
      <c r="DP56" s="1656" t="s">
        <v>54</v>
      </c>
      <c r="DQ56" s="1656"/>
      <c r="DR56" s="1656"/>
      <c r="DS56" s="1657"/>
      <c r="DT56" s="367"/>
      <c r="DU56" s="381"/>
      <c r="DV56" s="377"/>
    </row>
    <row r="57" spans="1:126" ht="4.5" customHeight="1">
      <c r="A57" s="1645"/>
      <c r="B57" s="370"/>
      <c r="C57" s="371"/>
      <c r="D57" s="371"/>
      <c r="E57" s="371"/>
      <c r="F57" s="371"/>
      <c r="G57" s="371"/>
      <c r="H57" s="371"/>
      <c r="I57" s="371"/>
      <c r="J57" s="371"/>
      <c r="K57" s="372"/>
      <c r="L57" s="370"/>
      <c r="M57" s="371"/>
      <c r="N57" s="371"/>
      <c r="O57" s="371"/>
      <c r="P57" s="371"/>
      <c r="Q57" s="371"/>
      <c r="R57" s="371"/>
      <c r="S57" s="371"/>
      <c r="T57" s="371"/>
      <c r="U57" s="372"/>
      <c r="V57" s="370"/>
      <c r="W57" s="371"/>
      <c r="X57" s="371"/>
      <c r="Y57" s="371"/>
      <c r="Z57" s="371"/>
      <c r="AA57" s="371"/>
      <c r="AB57" s="371"/>
      <c r="AC57" s="371"/>
      <c r="AD57" s="371"/>
      <c r="AE57" s="372"/>
      <c r="AF57" s="370"/>
      <c r="AG57" s="371"/>
      <c r="AH57" s="371"/>
      <c r="AI57" s="371"/>
      <c r="AJ57" s="371"/>
      <c r="AK57" s="371"/>
      <c r="AL57" s="371"/>
      <c r="AO57" s="366"/>
      <c r="AY57" s="366"/>
      <c r="BI57" s="366"/>
      <c r="BS57" s="366"/>
      <c r="BT57" s="371"/>
      <c r="BU57" s="371"/>
      <c r="BV57" s="371"/>
      <c r="BW57" s="371"/>
      <c r="BX57" s="371"/>
      <c r="BY57" s="371"/>
      <c r="BZ57" s="371"/>
      <c r="CA57" s="371"/>
      <c r="CB57" s="371"/>
      <c r="CC57" s="372"/>
      <c r="CD57" s="371"/>
      <c r="CE57" s="371"/>
      <c r="CF57" s="371"/>
      <c r="CG57" s="371"/>
      <c r="CH57" s="371"/>
      <c r="CI57" s="371"/>
      <c r="CJ57" s="371"/>
      <c r="CK57" s="371"/>
      <c r="CL57" s="371"/>
      <c r="CM57" s="372"/>
      <c r="CW57" s="366"/>
      <c r="DG57" s="366"/>
      <c r="DH57" s="1634"/>
      <c r="DI57" s="1635"/>
      <c r="DJ57" s="1635"/>
      <c r="DK57" s="1635"/>
      <c r="DL57" s="1617"/>
      <c r="DM57" s="1618"/>
      <c r="DN57" s="1618"/>
      <c r="DO57" s="1619"/>
      <c r="DP57" s="1658"/>
      <c r="DQ57" s="1658"/>
      <c r="DR57" s="1658"/>
      <c r="DS57" s="1659"/>
      <c r="DT57" s="367" t="s">
        <v>54</v>
      </c>
      <c r="DU57" s="381" t="s">
        <v>54</v>
      </c>
      <c r="DV57" s="367"/>
    </row>
    <row r="58" spans="1:126" ht="12.75" customHeight="1">
      <c r="A58" s="1646"/>
      <c r="B58" s="378"/>
      <c r="C58" s="379"/>
      <c r="D58" s="379"/>
      <c r="E58" s="379"/>
      <c r="F58" s="379"/>
      <c r="G58" s="379"/>
      <c r="H58" s="379"/>
      <c r="I58" s="379"/>
      <c r="J58" s="379"/>
      <c r="K58" s="380"/>
      <c r="L58" s="378"/>
      <c r="M58" s="379"/>
      <c r="N58" s="379"/>
      <c r="O58" s="379"/>
      <c r="P58" s="379"/>
      <c r="Q58" s="379"/>
      <c r="R58" s="379"/>
      <c r="S58" s="379"/>
      <c r="T58" s="379"/>
      <c r="U58" s="380"/>
      <c r="V58" s="378"/>
      <c r="W58" s="379"/>
      <c r="X58" s="379"/>
      <c r="Y58" s="379"/>
      <c r="Z58" s="379"/>
      <c r="AA58" s="379"/>
      <c r="AB58" s="379"/>
      <c r="AC58" s="379"/>
      <c r="AD58" s="379"/>
      <c r="AE58" s="380"/>
      <c r="AF58" s="378"/>
      <c r="AG58" s="379"/>
      <c r="AH58" s="379"/>
      <c r="AI58" s="379"/>
      <c r="AJ58" s="379"/>
      <c r="AK58" s="379"/>
      <c r="AL58" s="379"/>
      <c r="AM58" s="379"/>
      <c r="AN58" s="379"/>
      <c r="AO58" s="380"/>
      <c r="AP58" s="379"/>
      <c r="AQ58" s="379"/>
      <c r="AR58" s="379"/>
      <c r="AS58" s="379"/>
      <c r="AT58" s="379"/>
      <c r="AU58" s="379"/>
      <c r="AV58" s="379"/>
      <c r="AW58" s="379"/>
      <c r="AX58" s="379"/>
      <c r="AY58" s="380"/>
      <c r="AZ58" s="379"/>
      <c r="BA58" s="379"/>
      <c r="BB58" s="379"/>
      <c r="BC58" s="379"/>
      <c r="BD58" s="379"/>
      <c r="BE58" s="379"/>
      <c r="BF58" s="379"/>
      <c r="BG58" s="379"/>
      <c r="BH58" s="379"/>
      <c r="BI58" s="380"/>
      <c r="BJ58" s="379"/>
      <c r="BK58" s="379"/>
      <c r="BL58" s="379"/>
      <c r="BM58" s="379"/>
      <c r="BN58" s="379"/>
      <c r="BO58" s="379"/>
      <c r="BP58" s="379"/>
      <c r="BQ58" s="379"/>
      <c r="BR58" s="379"/>
      <c r="BS58" s="380"/>
      <c r="BT58" s="379"/>
      <c r="BU58" s="379"/>
      <c r="BV58" s="379"/>
      <c r="BW58" s="379"/>
      <c r="BX58" s="379"/>
      <c r="BY58" s="379"/>
      <c r="BZ58" s="379"/>
      <c r="CA58" s="379"/>
      <c r="CB58" s="379"/>
      <c r="CC58" s="380"/>
      <c r="CD58" s="379"/>
      <c r="CE58" s="379"/>
      <c r="CF58" s="379"/>
      <c r="CG58" s="379"/>
      <c r="CH58" s="379"/>
      <c r="CI58" s="379"/>
      <c r="CJ58" s="379"/>
      <c r="CK58" s="379"/>
      <c r="CL58" s="379"/>
      <c r="CM58" s="380"/>
      <c r="CN58" s="379"/>
      <c r="CO58" s="379"/>
      <c r="CP58" s="379"/>
      <c r="CQ58" s="379"/>
      <c r="CR58" s="379"/>
      <c r="CS58" s="379"/>
      <c r="CT58" s="379"/>
      <c r="CU58" s="379"/>
      <c r="CV58" s="379"/>
      <c r="CW58" s="380"/>
      <c r="CX58" s="379"/>
      <c r="CY58" s="379"/>
      <c r="CZ58" s="379"/>
      <c r="DA58" s="379"/>
      <c r="DB58" s="379"/>
      <c r="DC58" s="379"/>
      <c r="DD58" s="379"/>
      <c r="DE58" s="379"/>
      <c r="DF58" s="379"/>
      <c r="DG58" s="380"/>
      <c r="DH58" s="1647">
        <v>2.77</v>
      </c>
      <c r="DI58" s="1648"/>
      <c r="DJ58" s="1649">
        <f>DH58/DT58</f>
        <v>1</v>
      </c>
      <c r="DK58" s="1650"/>
      <c r="DL58" s="1638">
        <v>0</v>
      </c>
      <c r="DM58" s="1639"/>
      <c r="DN58" s="1640">
        <f>DL58/DT58</f>
        <v>0</v>
      </c>
      <c r="DO58" s="1641"/>
      <c r="DP58" s="1642">
        <v>0</v>
      </c>
      <c r="DQ58" s="1643"/>
      <c r="DR58" s="1636">
        <f>DP58/DV38</f>
        <v>0</v>
      </c>
      <c r="DS58" s="1637"/>
      <c r="DT58" s="367">
        <f>DH58+DL58+DP58</f>
        <v>2.77</v>
      </c>
      <c r="DU58" s="381">
        <f>DJ58+DN58+DR58</f>
        <v>1</v>
      </c>
      <c r="DV58" s="377"/>
    </row>
    <row r="59" spans="1:126" ht="10.5" customHeight="1">
      <c r="A59" s="1644" t="s">
        <v>59</v>
      </c>
      <c r="B59" s="365"/>
      <c r="K59" s="366"/>
      <c r="L59" s="365"/>
      <c r="U59" s="366"/>
      <c r="V59" s="365"/>
      <c r="AE59" s="366"/>
      <c r="AF59" s="365"/>
      <c r="AO59" s="366"/>
      <c r="AY59" s="366"/>
      <c r="BI59" s="366"/>
      <c r="BS59" s="366"/>
      <c r="CC59" s="366"/>
      <c r="CM59" s="366"/>
      <c r="CW59" s="366"/>
      <c r="DG59" s="366"/>
      <c r="DH59" s="1651"/>
      <c r="DI59" s="1652"/>
      <c r="DJ59" s="1652"/>
      <c r="DK59" s="1652"/>
      <c r="DL59" s="1653" t="s">
        <v>54</v>
      </c>
      <c r="DM59" s="1654"/>
      <c r="DN59" s="1654"/>
      <c r="DO59" s="1655"/>
      <c r="DP59" s="1656" t="s">
        <v>54</v>
      </c>
      <c r="DQ59" s="1656"/>
      <c r="DR59" s="1656"/>
      <c r="DS59" s="1657"/>
      <c r="DT59" s="367" t="s">
        <v>54</v>
      </c>
      <c r="DU59" s="381" t="s">
        <v>54</v>
      </c>
      <c r="DV59" s="377"/>
    </row>
    <row r="60" spans="1:126" ht="4.5" customHeight="1">
      <c r="A60" s="1645"/>
      <c r="B60" s="370"/>
      <c r="C60" s="371"/>
      <c r="D60" s="371"/>
      <c r="E60" s="371"/>
      <c r="F60" s="371"/>
      <c r="G60" s="371"/>
      <c r="H60" s="371"/>
      <c r="I60" s="371"/>
      <c r="J60" s="371"/>
      <c r="K60" s="372"/>
      <c r="L60" s="370"/>
      <c r="M60" s="371"/>
      <c r="N60" s="371"/>
      <c r="O60" s="371"/>
      <c r="P60" s="371"/>
      <c r="Q60" s="371"/>
      <c r="R60" s="371"/>
      <c r="S60" s="371"/>
      <c r="T60" s="371"/>
      <c r="U60" s="372"/>
      <c r="V60" s="370"/>
      <c r="W60" s="371"/>
      <c r="X60" s="371"/>
      <c r="Y60" s="371"/>
      <c r="Z60" s="371"/>
      <c r="AA60" s="371"/>
      <c r="AB60" s="371"/>
      <c r="AC60" s="371"/>
      <c r="AD60" s="371"/>
      <c r="AE60" s="372"/>
      <c r="AF60" s="370"/>
      <c r="AG60" s="371"/>
      <c r="AH60" s="371"/>
      <c r="AI60" s="371"/>
      <c r="AJ60" s="371"/>
      <c r="AK60" s="371"/>
      <c r="AL60" s="371"/>
      <c r="AO60" s="366"/>
      <c r="AY60" s="366"/>
      <c r="BI60" s="366"/>
      <c r="BS60" s="366"/>
      <c r="BT60" s="371"/>
      <c r="BU60" s="371"/>
      <c r="BV60" s="371"/>
      <c r="BW60" s="371"/>
      <c r="BX60" s="371"/>
      <c r="BY60" s="371"/>
      <c r="BZ60" s="371"/>
      <c r="CA60" s="371"/>
      <c r="CB60" s="371"/>
      <c r="CC60" s="372"/>
      <c r="CD60" s="371"/>
      <c r="CE60" s="371"/>
      <c r="CF60" s="371"/>
      <c r="CG60" s="371"/>
      <c r="CH60" s="371"/>
      <c r="CI60" s="371"/>
      <c r="CJ60" s="371"/>
      <c r="CK60" s="371"/>
      <c r="CL60" s="371"/>
      <c r="CM60" s="372"/>
      <c r="CW60" s="366"/>
      <c r="DG60" s="366"/>
      <c r="DH60" s="1634"/>
      <c r="DI60" s="1635"/>
      <c r="DJ60" s="1635"/>
      <c r="DK60" s="1635"/>
      <c r="DL60" s="1617"/>
      <c r="DM60" s="1618"/>
      <c r="DN60" s="1618"/>
      <c r="DO60" s="1619"/>
      <c r="DP60" s="1658"/>
      <c r="DQ60" s="1658"/>
      <c r="DR60" s="1658"/>
      <c r="DS60" s="1659"/>
      <c r="DT60" s="367"/>
      <c r="DU60" s="377"/>
      <c r="DV60" s="377"/>
    </row>
    <row r="61" spans="1:126" ht="13.5" customHeight="1">
      <c r="A61" s="1646"/>
      <c r="B61" s="378"/>
      <c r="C61" s="379"/>
      <c r="D61" s="379"/>
      <c r="E61" s="379"/>
      <c r="F61" s="379"/>
      <c r="G61" s="379"/>
      <c r="H61" s="379"/>
      <c r="I61" s="379"/>
      <c r="J61" s="379"/>
      <c r="K61" s="380"/>
      <c r="L61" s="378"/>
      <c r="M61" s="379"/>
      <c r="N61" s="379"/>
      <c r="O61" s="379"/>
      <c r="P61" s="379"/>
      <c r="Q61" s="379"/>
      <c r="R61" s="379"/>
      <c r="S61" s="379"/>
      <c r="T61" s="379"/>
      <c r="U61" s="380"/>
      <c r="V61" s="378"/>
      <c r="W61" s="379"/>
      <c r="X61" s="379"/>
      <c r="Y61" s="379"/>
      <c r="Z61" s="379"/>
      <c r="AA61" s="379"/>
      <c r="AB61" s="379"/>
      <c r="AC61" s="379"/>
      <c r="AD61" s="379"/>
      <c r="AE61" s="380"/>
      <c r="AF61" s="378"/>
      <c r="AG61" s="379"/>
      <c r="AH61" s="379"/>
      <c r="AI61" s="379"/>
      <c r="AJ61" s="379"/>
      <c r="AK61" s="379"/>
      <c r="AL61" s="379"/>
      <c r="AM61" s="379"/>
      <c r="AN61" s="379"/>
      <c r="AO61" s="380"/>
      <c r="AP61" s="379"/>
      <c r="AQ61" s="379"/>
      <c r="AR61" s="379"/>
      <c r="AS61" s="379"/>
      <c r="AT61" s="379"/>
      <c r="AU61" s="379"/>
      <c r="AV61" s="379"/>
      <c r="AW61" s="379"/>
      <c r="AX61" s="379"/>
      <c r="AY61" s="380"/>
      <c r="AZ61" s="379"/>
      <c r="BA61" s="379"/>
      <c r="BB61" s="379"/>
      <c r="BC61" s="379"/>
      <c r="BD61" s="379"/>
      <c r="BE61" s="379"/>
      <c r="BF61" s="379"/>
      <c r="BG61" s="379"/>
      <c r="BH61" s="379"/>
      <c r="BI61" s="380"/>
      <c r="BJ61" s="379"/>
      <c r="BK61" s="379"/>
      <c r="BL61" s="379"/>
      <c r="BM61" s="379"/>
      <c r="BN61" s="379"/>
      <c r="BO61" s="379"/>
      <c r="BP61" s="379"/>
      <c r="BQ61" s="379"/>
      <c r="BR61" s="379"/>
      <c r="BS61" s="380"/>
      <c r="BT61" s="379"/>
      <c r="BU61" s="379"/>
      <c r="BV61" s="379"/>
      <c r="BW61" s="379"/>
      <c r="BX61" s="379"/>
      <c r="BY61" s="379"/>
      <c r="BZ61" s="379"/>
      <c r="CA61" s="379"/>
      <c r="CB61" s="379"/>
      <c r="CC61" s="380"/>
      <c r="CD61" s="379"/>
      <c r="CE61" s="379"/>
      <c r="CF61" s="379"/>
      <c r="CG61" s="379"/>
      <c r="CH61" s="379"/>
      <c r="CI61" s="379"/>
      <c r="CJ61" s="379"/>
      <c r="CK61" s="379"/>
      <c r="CL61" s="379"/>
      <c r="CM61" s="380"/>
      <c r="CN61" s="379"/>
      <c r="CO61" s="379"/>
      <c r="CP61" s="379"/>
      <c r="CQ61" s="379"/>
      <c r="CR61" s="379"/>
      <c r="CS61" s="379"/>
      <c r="CT61" s="379"/>
      <c r="CU61" s="379"/>
      <c r="CV61" s="379"/>
      <c r="CW61" s="380"/>
      <c r="CX61" s="379"/>
      <c r="CY61" s="379"/>
      <c r="CZ61" s="379"/>
      <c r="DA61" s="379"/>
      <c r="DB61" s="379"/>
      <c r="DC61" s="379"/>
      <c r="DD61" s="379"/>
      <c r="DE61" s="379"/>
      <c r="DF61" s="379"/>
      <c r="DG61" s="380"/>
      <c r="DH61" s="1647">
        <v>1.08</v>
      </c>
      <c r="DI61" s="1648"/>
      <c r="DJ61" s="1649">
        <f>DH61/DT61</f>
        <v>1</v>
      </c>
      <c r="DK61" s="1650"/>
      <c r="DL61" s="1638">
        <v>0</v>
      </c>
      <c r="DM61" s="1639"/>
      <c r="DN61" s="1640">
        <f>DL61/DV38</f>
        <v>0</v>
      </c>
      <c r="DO61" s="1641"/>
      <c r="DP61" s="1642">
        <v>0</v>
      </c>
      <c r="DQ61" s="1643"/>
      <c r="DR61" s="1636">
        <f>DP61/DV38</f>
        <v>0</v>
      </c>
      <c r="DS61" s="1637"/>
      <c r="DT61" s="367">
        <f>DH61+DL61+DP61</f>
        <v>1.08</v>
      </c>
      <c r="DU61" s="381">
        <f>DJ61+DN61+DR61</f>
        <v>1</v>
      </c>
    </row>
    <row r="62" spans="1:126" ht="10.5" customHeight="1">
      <c r="A62" s="1644" t="s">
        <v>575</v>
      </c>
      <c r="B62" s="365"/>
      <c r="K62" s="366"/>
      <c r="L62" s="365"/>
      <c r="U62" s="366"/>
      <c r="V62" s="365"/>
      <c r="AE62" s="366"/>
      <c r="AF62" s="365"/>
      <c r="AO62" s="366"/>
      <c r="AY62" s="366"/>
      <c r="BI62" s="366"/>
      <c r="BS62" s="366"/>
      <c r="CC62" s="366"/>
      <c r="CM62" s="366"/>
      <c r="CW62" s="366"/>
      <c r="DG62" s="366"/>
      <c r="DH62" s="1651" t="s">
        <v>54</v>
      </c>
      <c r="DI62" s="1652"/>
      <c r="DJ62" s="1652"/>
      <c r="DK62" s="1652"/>
      <c r="DL62" s="1653" t="s">
        <v>54</v>
      </c>
      <c r="DM62" s="1654"/>
      <c r="DN62" s="1654"/>
      <c r="DO62" s="1655"/>
      <c r="DP62" s="1656" t="s">
        <v>54</v>
      </c>
      <c r="DQ62" s="1656"/>
      <c r="DR62" s="1656"/>
      <c r="DS62" s="1657"/>
      <c r="DT62" s="387"/>
    </row>
    <row r="63" spans="1:126" ht="4.5" customHeight="1">
      <c r="A63" s="1645"/>
      <c r="B63" s="370"/>
      <c r="C63" s="371"/>
      <c r="D63" s="371"/>
      <c r="E63" s="371"/>
      <c r="F63" s="371"/>
      <c r="G63" s="371"/>
      <c r="H63" s="371"/>
      <c r="I63" s="371"/>
      <c r="J63" s="371"/>
      <c r="K63" s="372"/>
      <c r="L63" s="370"/>
      <c r="M63" s="371"/>
      <c r="N63" s="371"/>
      <c r="O63" s="371"/>
      <c r="P63" s="371"/>
      <c r="Q63" s="371"/>
      <c r="R63" s="371"/>
      <c r="S63" s="371"/>
      <c r="T63" s="371"/>
      <c r="U63" s="372"/>
      <c r="V63" s="370"/>
      <c r="W63" s="371"/>
      <c r="X63" s="371"/>
      <c r="Y63" s="371"/>
      <c r="Z63" s="371"/>
      <c r="AA63" s="371"/>
      <c r="AB63" s="371"/>
      <c r="AC63" s="371"/>
      <c r="AD63" s="371"/>
      <c r="AE63" s="372"/>
      <c r="AF63" s="370"/>
      <c r="AG63" s="371"/>
      <c r="AH63" s="371"/>
      <c r="AI63" s="371"/>
      <c r="AJ63" s="371"/>
      <c r="AK63" s="371"/>
      <c r="AL63" s="371"/>
      <c r="AM63" s="371"/>
      <c r="AN63" s="371"/>
      <c r="AO63" s="372"/>
      <c r="AP63" s="371"/>
      <c r="AQ63" s="371"/>
      <c r="AR63" s="371"/>
      <c r="AS63" s="371"/>
      <c r="AT63" s="371"/>
      <c r="AU63" s="371"/>
      <c r="AV63" s="371"/>
      <c r="AW63" s="371"/>
      <c r="AX63" s="371"/>
      <c r="AY63" s="372"/>
      <c r="AZ63" s="371"/>
      <c r="BA63" s="371"/>
      <c r="BB63" s="371"/>
      <c r="BC63" s="371"/>
      <c r="BD63" s="371"/>
      <c r="BE63" s="371"/>
      <c r="BF63" s="371"/>
      <c r="BG63" s="371"/>
      <c r="BH63" s="371"/>
      <c r="BI63" s="372"/>
      <c r="BJ63" s="371"/>
      <c r="BK63" s="371"/>
      <c r="BL63" s="371"/>
      <c r="BM63" s="371"/>
      <c r="BN63" s="371"/>
      <c r="BO63" s="371"/>
      <c r="BP63" s="371"/>
      <c r="BQ63" s="371"/>
      <c r="BR63" s="371"/>
      <c r="BS63" s="372"/>
      <c r="BT63" s="371"/>
      <c r="BU63" s="371"/>
      <c r="BV63" s="371"/>
      <c r="BW63" s="371"/>
      <c r="BX63" s="371"/>
      <c r="BY63" s="371"/>
      <c r="BZ63" s="371"/>
      <c r="CA63" s="371"/>
      <c r="CB63" s="371"/>
      <c r="CC63" s="372"/>
      <c r="CD63" s="371"/>
      <c r="CE63" s="371"/>
      <c r="CF63" s="371"/>
      <c r="CG63" s="371"/>
      <c r="CH63" s="371"/>
      <c r="CI63" s="371"/>
      <c r="CJ63" s="371"/>
      <c r="CK63" s="371"/>
      <c r="CL63" s="371"/>
      <c r="CM63" s="372"/>
      <c r="CW63" s="366"/>
      <c r="DG63" s="366"/>
      <c r="DH63" s="1634"/>
      <c r="DI63" s="1635"/>
      <c r="DJ63" s="1635"/>
      <c r="DK63" s="1635"/>
      <c r="DL63" s="1617"/>
      <c r="DM63" s="1618"/>
      <c r="DN63" s="1618"/>
      <c r="DO63" s="1619"/>
      <c r="DP63" s="1658"/>
      <c r="DQ63" s="1658"/>
      <c r="DR63" s="1658"/>
      <c r="DS63" s="1659"/>
      <c r="DT63" s="387"/>
    </row>
    <row r="64" spans="1:126" ht="13.5" customHeight="1" thickBot="1">
      <c r="A64" s="1662"/>
      <c r="B64" s="388"/>
      <c r="C64" s="359"/>
      <c r="D64" s="359"/>
      <c r="E64" s="359"/>
      <c r="F64" s="359"/>
      <c r="G64" s="359"/>
      <c r="H64" s="359"/>
      <c r="I64" s="359"/>
      <c r="J64" s="359"/>
      <c r="K64" s="389"/>
      <c r="L64" s="388"/>
      <c r="M64" s="359"/>
      <c r="N64" s="359"/>
      <c r="O64" s="359"/>
      <c r="P64" s="359"/>
      <c r="Q64" s="359"/>
      <c r="R64" s="359"/>
      <c r="S64" s="359"/>
      <c r="T64" s="359"/>
      <c r="U64" s="389"/>
      <c r="V64" s="388"/>
      <c r="W64" s="359"/>
      <c r="X64" s="359"/>
      <c r="Y64" s="359"/>
      <c r="Z64" s="359"/>
      <c r="AA64" s="359"/>
      <c r="AB64" s="359"/>
      <c r="AC64" s="359"/>
      <c r="AD64" s="359"/>
      <c r="AE64" s="389"/>
      <c r="AF64" s="388"/>
      <c r="AG64" s="359"/>
      <c r="AH64" s="359"/>
      <c r="AI64" s="359"/>
      <c r="AJ64" s="359"/>
      <c r="AK64" s="359"/>
      <c r="AL64" s="359"/>
      <c r="AM64" s="359"/>
      <c r="AN64" s="359"/>
      <c r="AO64" s="389"/>
      <c r="AP64" s="359"/>
      <c r="AQ64" s="359"/>
      <c r="AR64" s="359"/>
      <c r="AS64" s="359"/>
      <c r="AT64" s="359"/>
      <c r="AU64" s="359"/>
      <c r="AV64" s="359"/>
      <c r="AW64" s="359"/>
      <c r="AX64" s="359"/>
      <c r="AY64" s="389"/>
      <c r="AZ64" s="359"/>
      <c r="BA64" s="359"/>
      <c r="BB64" s="359"/>
      <c r="BC64" s="359"/>
      <c r="BD64" s="359"/>
      <c r="BE64" s="359"/>
      <c r="BF64" s="359"/>
      <c r="BG64" s="359"/>
      <c r="BH64" s="359"/>
      <c r="BI64" s="389"/>
      <c r="BJ64" s="359"/>
      <c r="BK64" s="359"/>
      <c r="BL64" s="359"/>
      <c r="BM64" s="359"/>
      <c r="BN64" s="359"/>
      <c r="BO64" s="359"/>
      <c r="BP64" s="359"/>
      <c r="BQ64" s="359"/>
      <c r="BR64" s="359"/>
      <c r="BS64" s="389"/>
      <c r="BT64" s="359"/>
      <c r="BU64" s="359"/>
      <c r="BV64" s="359"/>
      <c r="BW64" s="359"/>
      <c r="BX64" s="359"/>
      <c r="BY64" s="359"/>
      <c r="BZ64" s="359"/>
      <c r="CA64" s="359"/>
      <c r="CB64" s="359"/>
      <c r="CC64" s="389"/>
      <c r="CD64" s="359"/>
      <c r="CE64" s="359"/>
      <c r="CF64" s="359"/>
      <c r="CG64" s="359"/>
      <c r="CH64" s="359"/>
      <c r="CI64" s="359"/>
      <c r="CJ64" s="359"/>
      <c r="CK64" s="359"/>
      <c r="CL64" s="359"/>
      <c r="CM64" s="389"/>
      <c r="CN64" s="359"/>
      <c r="CO64" s="359"/>
      <c r="CP64" s="359"/>
      <c r="CQ64" s="359"/>
      <c r="CR64" s="359"/>
      <c r="CS64" s="359"/>
      <c r="CT64" s="359"/>
      <c r="CU64" s="359"/>
      <c r="CV64" s="359"/>
      <c r="CW64" s="389"/>
      <c r="CX64" s="359"/>
      <c r="CY64" s="359"/>
      <c r="CZ64" s="359"/>
      <c r="DA64" s="359"/>
      <c r="DB64" s="359"/>
      <c r="DC64" s="359"/>
      <c r="DD64" s="359"/>
      <c r="DE64" s="359"/>
      <c r="DF64" s="359"/>
      <c r="DG64" s="389"/>
      <c r="DH64" s="1647">
        <v>3.48</v>
      </c>
      <c r="DI64" s="1648"/>
      <c r="DJ64" s="1700">
        <f>DH64/DV38</f>
        <v>0.60207612456747406</v>
      </c>
      <c r="DK64" s="1701"/>
      <c r="DL64" s="1702">
        <v>0</v>
      </c>
      <c r="DM64" s="1703"/>
      <c r="DN64" s="1704">
        <f>DL64/DV38</f>
        <v>0</v>
      </c>
      <c r="DO64" s="1705"/>
      <c r="DP64" s="1706">
        <v>0</v>
      </c>
      <c r="DQ64" s="1707"/>
      <c r="DR64" s="1636">
        <f>DP64/DV38</f>
        <v>0</v>
      </c>
      <c r="DS64" s="1637"/>
      <c r="DT64" s="367">
        <f>DH64+DL64+DP64</f>
        <v>3.48</v>
      </c>
      <c r="DU64" s="381">
        <f>DJ64+DN64+DR64</f>
        <v>0.60207612456747406</v>
      </c>
    </row>
    <row r="65" spans="1:118">
      <c r="A65" s="350"/>
      <c r="B65" s="350"/>
      <c r="C65" s="350"/>
      <c r="D65" s="350"/>
      <c r="E65" s="350"/>
      <c r="F65" s="350"/>
      <c r="G65" s="350"/>
      <c r="H65" s="350"/>
      <c r="I65" s="350"/>
      <c r="J65" s="350"/>
      <c r="K65" s="350"/>
      <c r="L65" s="350"/>
      <c r="M65" s="350"/>
      <c r="N65" s="350"/>
      <c r="O65" s="350"/>
      <c r="P65" s="350"/>
      <c r="Q65" s="350"/>
      <c r="R65" s="350"/>
      <c r="S65" s="350"/>
      <c r="T65" s="350"/>
      <c r="U65" s="350"/>
      <c r="V65" s="350"/>
      <c r="W65" s="350"/>
      <c r="X65" s="350"/>
      <c r="Y65" s="350"/>
      <c r="Z65" s="350"/>
      <c r="AA65" s="350"/>
      <c r="AB65" s="350"/>
      <c r="AC65" s="350"/>
      <c r="AD65" s="350"/>
      <c r="AE65" s="350"/>
    </row>
    <row r="66" spans="1:118">
      <c r="DH66" s="390" t="s">
        <v>440</v>
      </c>
    </row>
    <row r="69" spans="1:118">
      <c r="DN69" s="349" t="s">
        <v>14</v>
      </c>
    </row>
  </sheetData>
  <mergeCells count="141">
    <mergeCell ref="A62:A64"/>
    <mergeCell ref="DH62:DK63"/>
    <mergeCell ref="DL62:DO63"/>
    <mergeCell ref="DP62:DS63"/>
    <mergeCell ref="DH64:DI64"/>
    <mergeCell ref="DJ58:DK58"/>
    <mergeCell ref="DL58:DM58"/>
    <mergeCell ref="DN58:DO58"/>
    <mergeCell ref="DP58:DQ58"/>
    <mergeCell ref="DR58:DS58"/>
    <mergeCell ref="DJ64:DK64"/>
    <mergeCell ref="DL64:DM64"/>
    <mergeCell ref="DN64:DO64"/>
    <mergeCell ref="DP64:DQ64"/>
    <mergeCell ref="DR64:DS64"/>
    <mergeCell ref="DJ61:DK61"/>
    <mergeCell ref="DL61:DM61"/>
    <mergeCell ref="DN61:DO61"/>
    <mergeCell ref="DP61:DQ61"/>
    <mergeCell ref="DR61:DS61"/>
    <mergeCell ref="A59:A61"/>
    <mergeCell ref="DH59:DK60"/>
    <mergeCell ref="DL59:DO60"/>
    <mergeCell ref="DP59:DS60"/>
    <mergeCell ref="A53:A55"/>
    <mergeCell ref="DH53:DK54"/>
    <mergeCell ref="DL53:DO54"/>
    <mergeCell ref="DP53:DS54"/>
    <mergeCell ref="DH55:DI55"/>
    <mergeCell ref="DH61:DI61"/>
    <mergeCell ref="DJ55:DK55"/>
    <mergeCell ref="DL55:DM55"/>
    <mergeCell ref="DN55:DO55"/>
    <mergeCell ref="DP55:DQ55"/>
    <mergeCell ref="DR55:DS55"/>
    <mergeCell ref="A56:A58"/>
    <mergeCell ref="DH56:DK57"/>
    <mergeCell ref="DL56:DO57"/>
    <mergeCell ref="DP56:DS57"/>
    <mergeCell ref="DH58:DI58"/>
    <mergeCell ref="DP49:DQ49"/>
    <mergeCell ref="DR49:DS49"/>
    <mergeCell ref="A50:A52"/>
    <mergeCell ref="DH50:DK51"/>
    <mergeCell ref="DL50:DO51"/>
    <mergeCell ref="DP50:DS51"/>
    <mergeCell ref="DH52:DI52"/>
    <mergeCell ref="DJ52:DK52"/>
    <mergeCell ref="DL52:DM52"/>
    <mergeCell ref="DN52:DO52"/>
    <mergeCell ref="DP52:DQ52"/>
    <mergeCell ref="DR52:DS52"/>
    <mergeCell ref="A47:A49"/>
    <mergeCell ref="DH47:DK48"/>
    <mergeCell ref="DL47:DO48"/>
    <mergeCell ref="DP47:DS48"/>
    <mergeCell ref="DH49:DI49"/>
    <mergeCell ref="DJ49:DK49"/>
    <mergeCell ref="DL49:DM49"/>
    <mergeCell ref="DN49:DO49"/>
    <mergeCell ref="DJ40:DK40"/>
    <mergeCell ref="DL40:DM40"/>
    <mergeCell ref="DN40:DO40"/>
    <mergeCell ref="DP40:DQ40"/>
    <mergeCell ref="DR40:DS40"/>
    <mergeCell ref="DH43:DI43"/>
    <mergeCell ref="DJ43:DK43"/>
    <mergeCell ref="DJ46:DK46"/>
    <mergeCell ref="DL46:DM46"/>
    <mergeCell ref="DN46:DO46"/>
    <mergeCell ref="DP46:DQ46"/>
    <mergeCell ref="DR46:DS46"/>
    <mergeCell ref="DH44:DK45"/>
    <mergeCell ref="DL44:DO45"/>
    <mergeCell ref="DP44:DS45"/>
    <mergeCell ref="DH46:DI46"/>
    <mergeCell ref="DL43:DM43"/>
    <mergeCell ref="DN43:DO43"/>
    <mergeCell ref="DP43:DQ43"/>
    <mergeCell ref="DR43:DS43"/>
    <mergeCell ref="A44:A46"/>
    <mergeCell ref="A38:A40"/>
    <mergeCell ref="V35:AE35"/>
    <mergeCell ref="V36:AE36"/>
    <mergeCell ref="W38:AE38"/>
    <mergeCell ref="B35:K35"/>
    <mergeCell ref="L35:U35"/>
    <mergeCell ref="A41:A43"/>
    <mergeCell ref="CX36:DG36"/>
    <mergeCell ref="B36:K36"/>
    <mergeCell ref="C38:K38"/>
    <mergeCell ref="L36:U36"/>
    <mergeCell ref="M38:U38"/>
    <mergeCell ref="BJ36:BS36"/>
    <mergeCell ref="BT36:CC36"/>
    <mergeCell ref="AG38:AO38"/>
    <mergeCell ref="CX35:DF35"/>
    <mergeCell ref="AF36:AO36"/>
    <mergeCell ref="AP36:AY36"/>
    <mergeCell ref="CD36:CM36"/>
    <mergeCell ref="CN36:CW36"/>
    <mergeCell ref="DH36:DK36"/>
    <mergeCell ref="DL36:DO36"/>
    <mergeCell ref="DP36:DS36"/>
    <mergeCell ref="A33:A34"/>
    <mergeCell ref="A1:DS1"/>
    <mergeCell ref="A2:DS2"/>
    <mergeCell ref="A3:DS3"/>
    <mergeCell ref="A4:DS4"/>
    <mergeCell ref="AF9:AK9"/>
    <mergeCell ref="DD7:DI7"/>
    <mergeCell ref="AF10:AK10"/>
    <mergeCell ref="AF11:AK11"/>
    <mergeCell ref="AF33:DG33"/>
    <mergeCell ref="DH33:DS33"/>
    <mergeCell ref="CU13:DS13"/>
    <mergeCell ref="BL13:CT13"/>
    <mergeCell ref="DL38:DO39"/>
    <mergeCell ref="DP38:DS39"/>
    <mergeCell ref="DH40:DI40"/>
    <mergeCell ref="CN35:CW35"/>
    <mergeCell ref="DH34:DS34"/>
    <mergeCell ref="DH35:DS35"/>
    <mergeCell ref="DH41:DK42"/>
    <mergeCell ref="DL41:DO42"/>
    <mergeCell ref="DP41:DS42"/>
    <mergeCell ref="DP37:DQ37"/>
    <mergeCell ref="DR37:DS37"/>
    <mergeCell ref="AF34:DG34"/>
    <mergeCell ref="DH37:DI37"/>
    <mergeCell ref="DJ37:DK37"/>
    <mergeCell ref="DL37:DM37"/>
    <mergeCell ref="DN37:DO37"/>
    <mergeCell ref="AF35:AO35"/>
    <mergeCell ref="AP35:AY35"/>
    <mergeCell ref="AZ35:BI35"/>
    <mergeCell ref="BJ35:BS35"/>
    <mergeCell ref="DH38:DK39"/>
    <mergeCell ref="BT35:CC35"/>
    <mergeCell ref="AZ36:BI36"/>
    <mergeCell ref="CD35:CM35"/>
  </mergeCells>
  <hyperlinks>
    <hyperlink ref="DH66" location="'TABLA DE CONTENIDO'!A1" display="VOLVER A TABLA DE CONTENIDO"/>
  </hyperlinks>
  <printOptions horizontalCentered="1"/>
  <pageMargins left="0.39370078740157483" right="0.39370078740157483" top="0.70866141732283472" bottom="0.39370078740157483" header="0.27559055118110237" footer="0.43307086614173229"/>
  <pageSetup scale="70" orientation="portrait" copies="2" r:id="rId1"/>
  <headerFooter alignWithMargins="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R67"/>
  <sheetViews>
    <sheetView showGridLines="0" view="pageBreakPreview" zoomScaleNormal="75" zoomScaleSheetLayoutView="100" workbookViewId="0">
      <selection activeCell="CM6" sqref="CM6"/>
    </sheetView>
  </sheetViews>
  <sheetFormatPr baseColWidth="10" defaultColWidth="12.5703125" defaultRowHeight="15"/>
  <cols>
    <col min="1" max="1" width="32.7109375" style="349" customWidth="1"/>
    <col min="2" max="78" width="0.7109375" style="349" customWidth="1"/>
    <col min="79" max="79" width="2.140625" style="349" customWidth="1"/>
    <col min="80" max="80" width="2.42578125" style="349" customWidth="1"/>
    <col min="81" max="81" width="2.140625" style="349" customWidth="1"/>
    <col min="82" max="82" width="2.5703125" style="349" customWidth="1"/>
    <col min="83" max="85" width="2.140625" style="349" customWidth="1"/>
    <col min="86" max="86" width="2.7109375" style="349" customWidth="1"/>
    <col min="87" max="89" width="2.140625" style="349" customWidth="1"/>
    <col min="90" max="90" width="5.85546875" style="349" customWidth="1"/>
    <col min="91" max="16384" width="12.5703125" style="349"/>
  </cols>
  <sheetData>
    <row r="1" spans="1:91" customFormat="1" ht="23.25">
      <c r="A1" s="1583" t="s">
        <v>48</v>
      </c>
      <c r="B1" s="1583"/>
      <c r="C1" s="1583"/>
      <c r="D1" s="1583"/>
      <c r="E1" s="1583"/>
      <c r="F1" s="1583"/>
      <c r="G1" s="1583"/>
      <c r="H1" s="1583"/>
      <c r="I1" s="1583"/>
      <c r="J1" s="1583"/>
      <c r="K1" s="1583"/>
      <c r="L1" s="1583"/>
      <c r="M1" s="1583"/>
      <c r="N1" s="1583"/>
      <c r="O1" s="1583"/>
      <c r="P1" s="1583"/>
      <c r="Q1" s="1583"/>
      <c r="R1" s="1583"/>
      <c r="S1" s="1583"/>
      <c r="T1" s="1583"/>
      <c r="U1" s="1583"/>
      <c r="V1" s="1583"/>
      <c r="W1" s="1583"/>
      <c r="X1" s="1583"/>
      <c r="Y1" s="1583"/>
      <c r="Z1" s="1583"/>
      <c r="AA1" s="1583"/>
      <c r="AB1" s="1583"/>
      <c r="AC1" s="1583"/>
      <c r="AD1" s="1583"/>
      <c r="AE1" s="1583"/>
      <c r="AF1" s="1583"/>
      <c r="AG1" s="1583"/>
      <c r="AH1" s="1583"/>
      <c r="AI1" s="1583"/>
      <c r="AJ1" s="1583"/>
      <c r="AK1" s="1583"/>
      <c r="AL1" s="1583"/>
      <c r="AM1" s="1583"/>
      <c r="AN1" s="1583"/>
      <c r="AO1" s="1583"/>
      <c r="AP1" s="1583"/>
      <c r="AQ1" s="1583"/>
      <c r="AR1" s="1583"/>
      <c r="AS1" s="1583"/>
      <c r="AT1" s="1583"/>
      <c r="AU1" s="1583"/>
      <c r="AV1" s="1583"/>
      <c r="AW1" s="1583"/>
      <c r="AX1" s="1583"/>
      <c r="AY1" s="1583"/>
      <c r="AZ1" s="1583"/>
      <c r="BA1" s="1583"/>
      <c r="BB1" s="1583"/>
      <c r="BC1" s="1583"/>
      <c r="BD1" s="1583"/>
      <c r="BE1" s="1583"/>
      <c r="BF1" s="1583"/>
      <c r="BG1" s="1583"/>
      <c r="BH1" s="1583"/>
      <c r="BI1" s="1583"/>
      <c r="BJ1" s="1583"/>
      <c r="BK1" s="1583"/>
      <c r="BL1" s="1583"/>
      <c r="BM1" s="1583"/>
      <c r="BN1" s="1583"/>
      <c r="BO1" s="1583"/>
      <c r="BP1" s="1583"/>
      <c r="BQ1" s="1583"/>
      <c r="BR1" s="1583"/>
      <c r="BS1" s="1583"/>
      <c r="BT1" s="1583"/>
      <c r="BU1" s="1583"/>
      <c r="BV1" s="1583"/>
      <c r="BW1" s="1583"/>
      <c r="BX1" s="1583"/>
      <c r="BY1" s="1583"/>
      <c r="BZ1" s="1583"/>
      <c r="CA1" s="1583"/>
      <c r="CB1" s="1583"/>
      <c r="CC1" s="1583"/>
      <c r="CD1" s="1583"/>
      <c r="CE1" s="1583"/>
      <c r="CF1" s="1583"/>
      <c r="CG1" s="1583"/>
      <c r="CH1" s="1583"/>
      <c r="CI1" s="1583"/>
      <c r="CJ1" s="1583"/>
      <c r="CK1" s="1583"/>
      <c r="CL1" s="1583"/>
    </row>
    <row r="2" spans="1:91" customFormat="1" ht="18">
      <c r="A2" s="1576" t="s">
        <v>531</v>
      </c>
      <c r="B2" s="1576"/>
      <c r="C2" s="1576"/>
      <c r="D2" s="1576"/>
      <c r="E2" s="1576"/>
      <c r="F2" s="1576"/>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576"/>
      <c r="AZ2" s="1576"/>
      <c r="BA2" s="1576"/>
      <c r="BB2" s="1576"/>
      <c r="BC2" s="1576"/>
      <c r="BD2" s="1576"/>
      <c r="BE2" s="1576"/>
      <c r="BF2" s="1576"/>
      <c r="BG2" s="1576"/>
      <c r="BH2" s="1576"/>
      <c r="BI2" s="1576"/>
      <c r="BJ2" s="1576"/>
      <c r="BK2" s="1576"/>
      <c r="BL2" s="1576"/>
      <c r="BM2" s="1576"/>
      <c r="BN2" s="1576"/>
      <c r="BO2" s="1576"/>
      <c r="BP2" s="1576"/>
      <c r="BQ2" s="1576"/>
      <c r="BR2" s="1576"/>
      <c r="BS2" s="1576"/>
      <c r="BT2" s="1576"/>
      <c r="BU2" s="1576"/>
      <c r="BV2" s="1576"/>
      <c r="BW2" s="1576"/>
      <c r="BX2" s="1576"/>
      <c r="BY2" s="1576"/>
      <c r="BZ2" s="1576"/>
      <c r="CA2" s="1576"/>
      <c r="CB2" s="1576"/>
      <c r="CC2" s="1576"/>
      <c r="CD2" s="1576"/>
      <c r="CE2" s="1576"/>
      <c r="CF2" s="1576"/>
      <c r="CG2" s="1576"/>
      <c r="CH2" s="1576"/>
      <c r="CI2" s="1576"/>
      <c r="CJ2" s="1576"/>
      <c r="CK2" s="1576"/>
      <c r="CL2" s="1576"/>
    </row>
    <row r="3" spans="1:91" s="51" customFormat="1" ht="15.75" customHeight="1">
      <c r="A3" s="1576" t="s">
        <v>149</v>
      </c>
      <c r="B3" s="1576"/>
      <c r="C3" s="1576"/>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576"/>
      <c r="AZ3" s="1576"/>
      <c r="BA3" s="1576"/>
      <c r="BB3" s="1576"/>
      <c r="BC3" s="1576"/>
      <c r="BD3" s="1576"/>
      <c r="BE3" s="1576"/>
      <c r="BF3" s="1576"/>
      <c r="BG3" s="1576"/>
      <c r="BH3" s="1576"/>
      <c r="BI3" s="1576"/>
      <c r="BJ3" s="1576"/>
      <c r="BK3" s="1576"/>
      <c r="BL3" s="1576"/>
      <c r="BM3" s="1576"/>
      <c r="BN3" s="1576"/>
      <c r="BO3" s="1576"/>
      <c r="BP3" s="1576"/>
      <c r="BQ3" s="1576"/>
      <c r="BR3" s="1576"/>
      <c r="BS3" s="1576"/>
      <c r="BT3" s="1576"/>
      <c r="BU3" s="1576"/>
      <c r="BV3" s="1576"/>
      <c r="BW3" s="1576"/>
      <c r="BX3" s="1576"/>
      <c r="BY3" s="1576"/>
      <c r="BZ3" s="1576"/>
      <c r="CA3" s="1576"/>
      <c r="CB3" s="1576"/>
      <c r="CC3" s="1576"/>
      <c r="CD3" s="1576"/>
      <c r="CE3" s="1576"/>
      <c r="CF3" s="1576"/>
      <c r="CG3" s="1576"/>
      <c r="CH3" s="1576"/>
      <c r="CI3" s="1576"/>
      <c r="CJ3" s="1576"/>
      <c r="CK3" s="1576"/>
      <c r="CL3" s="1576"/>
    </row>
    <row r="4" spans="1:91" s="51" customFormat="1" ht="18">
      <c r="A4" s="1576" t="s">
        <v>510</v>
      </c>
      <c r="B4" s="1576"/>
      <c r="C4" s="1576"/>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76"/>
      <c r="BB4" s="1576"/>
      <c r="BC4" s="1576"/>
      <c r="BD4" s="1576"/>
      <c r="BE4" s="1576"/>
      <c r="BF4" s="1576"/>
      <c r="BG4" s="1576"/>
      <c r="BH4" s="1576"/>
      <c r="BI4" s="1576"/>
      <c r="BJ4" s="1576"/>
      <c r="BK4" s="1576"/>
      <c r="BL4" s="1576"/>
      <c r="BM4" s="1576"/>
      <c r="BN4" s="1576"/>
      <c r="BO4" s="1576"/>
      <c r="BP4" s="1576"/>
      <c r="BQ4" s="1576"/>
      <c r="BR4" s="1576"/>
      <c r="BS4" s="1576"/>
      <c r="BT4" s="1576"/>
      <c r="BU4" s="1576"/>
      <c r="BV4" s="1576"/>
      <c r="BW4" s="1576"/>
      <c r="BX4" s="1576"/>
      <c r="BY4" s="1576"/>
      <c r="BZ4" s="1576"/>
      <c r="CA4" s="1576"/>
      <c r="CB4" s="1576"/>
      <c r="CC4" s="1576"/>
      <c r="CD4" s="1576"/>
      <c r="CE4" s="1576"/>
      <c r="CF4" s="1576"/>
      <c r="CG4" s="1576"/>
      <c r="CH4" s="1576"/>
      <c r="CI4" s="1576"/>
      <c r="CJ4" s="1576"/>
      <c r="CK4" s="1576"/>
      <c r="CL4" s="1576"/>
    </row>
    <row r="5" spans="1:91" s="51" customFormat="1" ht="18">
      <c r="A5" s="194"/>
      <c r="B5" s="194"/>
      <c r="C5" s="194"/>
      <c r="D5" s="194"/>
      <c r="E5" s="194"/>
      <c r="F5" s="194"/>
      <c r="G5" s="194"/>
      <c r="H5" s="194"/>
      <c r="I5" s="194"/>
      <c r="J5" s="194"/>
      <c r="K5" s="194"/>
      <c r="L5" s="194"/>
      <c r="M5" s="194"/>
      <c r="N5" s="194"/>
      <c r="O5" s="194"/>
      <c r="P5" s="194"/>
      <c r="Q5" s="194"/>
      <c r="R5" s="194"/>
    </row>
    <row r="6" spans="1:91" s="51" customFormat="1" ht="12" customHeight="1">
      <c r="A6" s="52"/>
      <c r="B6" s="342"/>
      <c r="C6" s="342"/>
      <c r="D6" s="342"/>
      <c r="E6" s="342"/>
      <c r="F6" s="342"/>
      <c r="G6" s="342"/>
      <c r="H6" s="342"/>
      <c r="I6" s="342"/>
      <c r="J6" s="342"/>
      <c r="K6" s="342"/>
      <c r="L6" s="342"/>
      <c r="M6" s="342"/>
      <c r="N6" s="342"/>
      <c r="O6" s="342"/>
      <c r="P6" s="342"/>
      <c r="Q6" s="342"/>
      <c r="R6" s="342"/>
    </row>
    <row r="7" spans="1:91" customFormat="1" ht="12.75">
      <c r="A7" s="53" t="s">
        <v>566</v>
      </c>
      <c r="B7" s="53"/>
      <c r="C7" s="54"/>
      <c r="D7" s="54"/>
      <c r="E7" s="54"/>
      <c r="F7" s="54"/>
      <c r="G7" s="54"/>
      <c r="H7" s="54"/>
      <c r="J7" s="56"/>
      <c r="K7" s="56"/>
      <c r="L7" s="54"/>
      <c r="M7" s="54"/>
      <c r="N7" s="54"/>
      <c r="O7" s="54"/>
      <c r="P7" s="54"/>
      <c r="Q7" s="342"/>
      <c r="R7" s="342"/>
      <c r="BA7" s="55" t="s">
        <v>89</v>
      </c>
      <c r="BT7" t="s">
        <v>543</v>
      </c>
    </row>
    <row r="8" spans="1:91" customFormat="1" ht="9.75" customHeight="1">
      <c r="A8" s="53"/>
      <c r="B8" s="53"/>
      <c r="C8" s="54"/>
      <c r="D8" s="54"/>
      <c r="E8" s="54"/>
      <c r="F8" s="54"/>
      <c r="G8" s="54"/>
      <c r="H8" s="54"/>
      <c r="I8" s="55"/>
      <c r="J8" s="56"/>
      <c r="K8" s="56"/>
      <c r="L8" s="54"/>
      <c r="M8" s="54"/>
      <c r="N8" s="54"/>
      <c r="O8" s="54"/>
      <c r="P8" s="54"/>
      <c r="Q8" s="342"/>
      <c r="R8" s="342"/>
    </row>
    <row r="9" spans="1:91" customFormat="1" ht="18" customHeight="1">
      <c r="A9" s="55" t="s">
        <v>52</v>
      </c>
      <c r="B9" s="1688" t="s">
        <v>49</v>
      </c>
      <c r="C9" s="1689"/>
      <c r="D9" s="1689"/>
      <c r="E9" s="1689"/>
      <c r="F9" s="1689"/>
      <c r="G9" s="1690"/>
      <c r="H9" s="490"/>
      <c r="I9" s="13" t="s">
        <v>615</v>
      </c>
      <c r="J9" s="490"/>
      <c r="K9" s="490"/>
      <c r="L9" s="490"/>
      <c r="M9" s="490"/>
      <c r="N9" s="490"/>
      <c r="O9" s="490"/>
      <c r="P9" s="490"/>
      <c r="Q9" s="491"/>
      <c r="R9" s="491"/>
      <c r="S9" s="492"/>
      <c r="T9" s="492"/>
      <c r="U9" s="492"/>
      <c r="V9" s="492"/>
      <c r="W9" s="492"/>
      <c r="X9" s="492"/>
      <c r="Y9" s="492"/>
      <c r="Z9" s="492"/>
      <c r="AA9" s="492"/>
      <c r="AB9" s="492"/>
      <c r="AC9" s="492"/>
      <c r="AD9" s="492"/>
      <c r="AE9" s="492"/>
      <c r="AF9" s="492"/>
      <c r="AG9" s="492"/>
      <c r="AH9" s="13"/>
      <c r="AI9" s="13"/>
      <c r="AJ9" s="13"/>
      <c r="AK9" s="13"/>
      <c r="AL9" s="13"/>
      <c r="AM9" s="13"/>
      <c r="AN9" s="13"/>
      <c r="AO9" s="13"/>
      <c r="AP9" s="13"/>
      <c r="AQ9" s="13"/>
      <c r="AR9" s="5"/>
      <c r="BA9" s="344" t="s">
        <v>616</v>
      </c>
    </row>
    <row r="10" spans="1:91" customFormat="1" ht="18" customHeight="1">
      <c r="A10" s="71"/>
      <c r="B10" s="1688" t="s">
        <v>50</v>
      </c>
      <c r="C10" s="1689"/>
      <c r="D10" s="1689"/>
      <c r="E10" s="1689"/>
      <c r="F10" s="1689"/>
      <c r="G10" s="1690"/>
      <c r="H10" s="490"/>
      <c r="I10" s="13"/>
      <c r="J10" s="490"/>
      <c r="K10" s="490"/>
      <c r="L10" s="490"/>
      <c r="M10" s="490"/>
      <c r="N10" s="490"/>
      <c r="O10" s="490"/>
      <c r="P10" s="490"/>
      <c r="Q10" s="491"/>
      <c r="R10" s="491"/>
      <c r="S10" s="492"/>
      <c r="T10" s="492"/>
      <c r="U10" s="492"/>
      <c r="V10" s="492"/>
      <c r="W10" s="492"/>
      <c r="X10" s="492"/>
      <c r="Y10" s="492"/>
      <c r="Z10" s="492"/>
      <c r="AA10" s="492"/>
      <c r="AB10" s="492"/>
      <c r="AC10" s="492"/>
      <c r="AD10" s="492"/>
      <c r="AE10" s="492"/>
      <c r="AF10" s="492"/>
      <c r="AG10" s="492"/>
      <c r="AH10" s="13"/>
      <c r="AI10" s="13"/>
      <c r="AJ10" s="13"/>
      <c r="AK10" s="13"/>
      <c r="AL10" s="13"/>
      <c r="AM10" s="13"/>
      <c r="AN10" s="13"/>
      <c r="AO10" s="13"/>
      <c r="AP10" s="13"/>
      <c r="AQ10" s="13"/>
      <c r="AR10" s="5"/>
      <c r="BA10" s="344"/>
    </row>
    <row r="11" spans="1:91" customFormat="1" ht="18" customHeight="1">
      <c r="A11" s="71"/>
      <c r="B11" s="1688" t="s">
        <v>51</v>
      </c>
      <c r="C11" s="1689"/>
      <c r="D11" s="1689"/>
      <c r="E11" s="1689"/>
      <c r="F11" s="1689"/>
      <c r="G11" s="1690"/>
      <c r="H11" s="490"/>
      <c r="I11" s="13"/>
      <c r="J11" s="490"/>
      <c r="K11" s="490"/>
      <c r="L11" s="490"/>
      <c r="M11" s="490"/>
      <c r="N11" s="490"/>
      <c r="O11" s="490"/>
      <c r="P11" s="490"/>
      <c r="Q11" s="491"/>
      <c r="R11" s="491"/>
      <c r="S11" s="492"/>
      <c r="T11" s="492"/>
      <c r="U11" s="492"/>
      <c r="V11" s="492"/>
      <c r="W11" s="492"/>
      <c r="X11" s="492"/>
      <c r="Y11" s="492"/>
      <c r="Z11" s="492"/>
      <c r="AA11" s="492"/>
      <c r="AB11" s="492"/>
      <c r="AC11" s="492"/>
      <c r="AD11" s="492"/>
      <c r="AE11" s="492"/>
      <c r="AF11" s="492"/>
      <c r="AG11" s="492"/>
      <c r="AH11" s="13"/>
      <c r="AI11" s="13"/>
      <c r="AJ11" s="13"/>
      <c r="AK11" s="13"/>
      <c r="AL11" s="13"/>
      <c r="AM11" s="13"/>
      <c r="AN11" s="13"/>
      <c r="AO11" s="13"/>
      <c r="AP11" s="13"/>
      <c r="AQ11" s="13"/>
      <c r="AR11" s="5"/>
      <c r="BA11" s="344"/>
    </row>
    <row r="12" spans="1:91" customFormat="1" ht="18" customHeight="1">
      <c r="A12" s="71"/>
      <c r="B12" s="1688" t="s">
        <v>53</v>
      </c>
      <c r="C12" s="1689"/>
      <c r="D12" s="1689"/>
      <c r="E12" s="1689"/>
      <c r="F12" s="1689"/>
      <c r="G12" s="1690"/>
      <c r="H12" s="490"/>
      <c r="I12" s="13"/>
      <c r="J12" s="490"/>
      <c r="K12" s="490"/>
      <c r="L12" s="490"/>
      <c r="M12" s="490"/>
      <c r="N12" s="490"/>
      <c r="O12" s="490"/>
      <c r="P12" s="490"/>
      <c r="Q12" s="491"/>
      <c r="R12" s="491"/>
      <c r="S12" s="492"/>
      <c r="T12" s="492"/>
      <c r="U12" s="492"/>
      <c r="V12" s="492"/>
      <c r="W12" s="492"/>
      <c r="X12" s="492"/>
      <c r="Y12" s="492"/>
      <c r="Z12" s="492"/>
      <c r="AA12" s="492"/>
      <c r="AB12" s="492"/>
      <c r="AC12" s="492"/>
      <c r="AD12" s="492"/>
      <c r="AE12" s="492"/>
      <c r="AF12" s="492"/>
      <c r="AG12" s="492"/>
      <c r="AH12" s="13"/>
      <c r="AI12" s="13"/>
      <c r="AJ12" s="13"/>
      <c r="AK12" s="13"/>
      <c r="AL12" s="13"/>
      <c r="AM12" s="13"/>
      <c r="AN12" s="13"/>
      <c r="AO12" s="13"/>
      <c r="AP12" s="13"/>
      <c r="AQ12" s="13"/>
      <c r="AR12" s="5"/>
      <c r="BA12" s="344"/>
    </row>
    <row r="13" spans="1:91" customFormat="1" ht="18" customHeight="1">
      <c r="A13" s="71"/>
      <c r="B13" s="345"/>
      <c r="C13" s="345"/>
      <c r="D13" s="345"/>
      <c r="E13" s="345"/>
      <c r="F13" s="345"/>
      <c r="G13" s="345"/>
      <c r="H13" s="343"/>
      <c r="I13" s="344"/>
      <c r="J13" s="343"/>
      <c r="K13" s="343"/>
      <c r="L13" s="343"/>
      <c r="M13" s="343"/>
      <c r="N13" s="343"/>
      <c r="O13" s="343"/>
      <c r="P13" s="343"/>
      <c r="Q13" s="344"/>
      <c r="R13" s="344"/>
      <c r="S13" s="249"/>
      <c r="T13" s="249"/>
      <c r="U13" s="249"/>
      <c r="V13" s="249"/>
      <c r="W13" s="249"/>
      <c r="X13" s="249"/>
      <c r="Y13" s="249"/>
      <c r="Z13" s="249"/>
      <c r="AA13" s="249"/>
      <c r="AB13" s="249"/>
      <c r="AC13" s="249"/>
      <c r="AD13" s="249"/>
      <c r="AE13" s="249"/>
      <c r="AF13" s="249"/>
      <c r="AG13" s="249"/>
    </row>
    <row r="14" spans="1:91" customFormat="1" ht="18" customHeight="1">
      <c r="A14" s="76" t="s">
        <v>147</v>
      </c>
      <c r="B14" s="139" t="str">
        <f>'CUMPLIMIENTO % '!C7</f>
        <v>LUIS GABRIEL IBARRA ANGEL</v>
      </c>
      <c r="C14" s="139"/>
      <c r="D14" s="139"/>
      <c r="E14" s="139"/>
      <c r="F14" s="139"/>
      <c r="G14" s="139"/>
      <c r="H14" s="139"/>
      <c r="I14" s="139"/>
      <c r="J14" s="139"/>
      <c r="K14" s="139"/>
      <c r="L14" s="139"/>
      <c r="M14" s="139"/>
      <c r="N14" s="139"/>
      <c r="O14" s="139"/>
      <c r="P14" s="139"/>
      <c r="Q14" s="346"/>
      <c r="R14" s="346"/>
      <c r="AV14" s="55" t="s">
        <v>567</v>
      </c>
      <c r="AW14" s="55"/>
      <c r="AX14" s="55"/>
      <c r="AY14" s="55"/>
      <c r="AZ14" s="55"/>
      <c r="BA14" s="55"/>
      <c r="BB14" s="55"/>
      <c r="BC14" s="55"/>
      <c r="BD14" s="55"/>
      <c r="BE14" s="55"/>
      <c r="BF14" s="55"/>
      <c r="BG14" s="55"/>
      <c r="BH14" s="55"/>
      <c r="BI14" s="55"/>
      <c r="BJ14" s="55"/>
      <c r="BK14" s="55"/>
      <c r="BL14" s="55"/>
      <c r="BM14" s="55"/>
      <c r="BN14" s="55"/>
      <c r="BO14" s="55"/>
      <c r="BP14" s="55"/>
      <c r="BQ14" s="55"/>
      <c r="BR14" s="55"/>
      <c r="BS14" s="55"/>
      <c r="BT14" s="55"/>
      <c r="BU14" s="55"/>
      <c r="BV14" s="55"/>
      <c r="BW14" s="55"/>
      <c r="BX14" s="1708" t="str">
        <f>PORTADA!C31</f>
        <v>OCTUBRE - DICIEMBRE DEL 2020</v>
      </c>
      <c r="BY14" s="1708"/>
      <c r="BZ14" s="1708"/>
      <c r="CA14" s="1708"/>
      <c r="CB14" s="1708"/>
      <c r="CC14" s="1708"/>
      <c r="CD14" s="1708"/>
      <c r="CE14" s="1708"/>
      <c r="CF14" s="1708"/>
      <c r="CG14" s="1708"/>
      <c r="CH14" s="1708"/>
      <c r="CI14" s="1708"/>
      <c r="CJ14" s="1708"/>
      <c r="CK14" s="1708"/>
      <c r="CL14" s="1708"/>
      <c r="CM14" s="160"/>
    </row>
    <row r="15" spans="1:91" ht="18" customHeight="1" thickBot="1">
      <c r="A15" s="347"/>
      <c r="B15" s="348"/>
      <c r="D15" s="350"/>
      <c r="E15" s="350"/>
      <c r="F15" s="350"/>
      <c r="G15" s="350"/>
      <c r="H15" s="350"/>
      <c r="I15" s="350"/>
      <c r="J15" s="350"/>
      <c r="K15" s="350"/>
      <c r="L15" s="350"/>
      <c r="M15" s="350"/>
      <c r="N15" s="350"/>
      <c r="O15" s="350"/>
      <c r="P15" s="350"/>
      <c r="Q15" s="350"/>
      <c r="R15" s="350"/>
      <c r="S15" s="350"/>
      <c r="T15" s="350"/>
      <c r="U15" s="350"/>
      <c r="V15" s="350"/>
      <c r="W15" s="350"/>
      <c r="X15" s="350"/>
      <c r="Y15" s="350"/>
      <c r="Z15" s="350"/>
      <c r="AA15" s="350"/>
      <c r="AB15" s="350"/>
      <c r="AC15" s="350"/>
      <c r="AD15" s="350"/>
      <c r="AE15" s="350"/>
      <c r="AF15" s="350"/>
      <c r="AG15" s="350"/>
      <c r="AH15" s="350"/>
      <c r="AI15" s="350"/>
      <c r="AJ15" s="350"/>
      <c r="AK15" s="350"/>
      <c r="AL15" s="350"/>
      <c r="AM15" s="350"/>
      <c r="AN15" s="350"/>
      <c r="AO15" s="350"/>
      <c r="AP15" s="350"/>
      <c r="AQ15" s="350"/>
      <c r="AR15" s="350"/>
      <c r="AS15" s="350"/>
      <c r="AT15" s="350"/>
      <c r="AU15" s="350"/>
      <c r="AV15" s="350"/>
      <c r="AW15" s="350"/>
      <c r="AX15" s="350"/>
      <c r="AY15" s="351"/>
      <c r="AZ15" s="351"/>
      <c r="BA15" s="351"/>
      <c r="BB15" s="351"/>
      <c r="BC15" s="351"/>
      <c r="BD15" s="351"/>
      <c r="BE15" s="351"/>
      <c r="BF15" s="351"/>
      <c r="BG15" s="351"/>
      <c r="BH15" s="351"/>
      <c r="BI15" s="351"/>
      <c r="BJ15" s="351"/>
      <c r="BK15" s="351"/>
      <c r="BL15" s="351"/>
      <c r="BM15" s="351"/>
      <c r="BN15" s="351"/>
      <c r="BO15" s="351"/>
      <c r="BP15" s="351"/>
      <c r="BQ15" s="351"/>
      <c r="BR15" s="351"/>
      <c r="BS15" s="351"/>
      <c r="BT15" s="351"/>
      <c r="BU15" s="351"/>
      <c r="BV15" s="351"/>
      <c r="BW15" s="351"/>
      <c r="BX15" s="351"/>
      <c r="BY15" s="351"/>
      <c r="BZ15" s="351"/>
      <c r="CA15" s="351"/>
      <c r="CB15" s="351"/>
      <c r="CC15" s="351"/>
      <c r="CD15" s="351"/>
      <c r="CE15" s="351"/>
      <c r="CF15" s="351"/>
      <c r="CG15" s="351"/>
      <c r="CH15" s="351"/>
      <c r="CI15" s="351"/>
      <c r="CJ15" s="351"/>
      <c r="CK15" s="351"/>
      <c r="CL15" s="351"/>
    </row>
    <row r="16" spans="1:91" ht="18" customHeight="1">
      <c r="A16" s="352"/>
      <c r="B16" s="353"/>
      <c r="C16" s="354"/>
      <c r="D16" s="355"/>
      <c r="E16" s="355"/>
      <c r="F16" s="355"/>
      <c r="G16" s="355"/>
      <c r="H16" s="355"/>
      <c r="I16" s="355"/>
      <c r="J16" s="355"/>
      <c r="K16" s="355"/>
      <c r="L16" s="355"/>
      <c r="M16" s="355"/>
      <c r="N16" s="355"/>
      <c r="O16" s="355"/>
      <c r="P16" s="355"/>
      <c r="Q16" s="355"/>
      <c r="R16" s="355"/>
      <c r="S16" s="355"/>
      <c r="T16" s="355"/>
      <c r="U16" s="355"/>
      <c r="V16" s="355"/>
      <c r="W16" s="355"/>
      <c r="X16" s="355"/>
      <c r="Y16" s="355"/>
      <c r="Z16" s="355"/>
      <c r="AA16" s="355"/>
      <c r="AB16" s="355"/>
      <c r="AC16" s="355"/>
      <c r="AD16" s="355"/>
      <c r="AE16" s="355"/>
      <c r="AF16" s="355"/>
      <c r="AG16" s="355"/>
      <c r="AH16" s="355"/>
      <c r="AI16" s="355"/>
      <c r="AJ16" s="355"/>
      <c r="AK16" s="355"/>
      <c r="AL16" s="355"/>
      <c r="AM16" s="355"/>
      <c r="AN16" s="355"/>
      <c r="AO16" s="355"/>
      <c r="AP16" s="355"/>
      <c r="AQ16" s="355"/>
      <c r="AR16" s="355"/>
      <c r="AS16" s="355"/>
      <c r="AT16" s="355"/>
      <c r="AU16" s="355"/>
      <c r="AV16" s="355"/>
      <c r="AW16" s="355"/>
      <c r="AX16" s="355"/>
      <c r="AY16" s="1805"/>
      <c r="AZ16" s="1805"/>
      <c r="BA16" s="1805"/>
      <c r="BB16" s="1805"/>
      <c r="BC16" s="1805"/>
      <c r="BD16" s="1805"/>
      <c r="BE16" s="1805"/>
      <c r="BF16" s="1805"/>
      <c r="BG16" s="1805"/>
      <c r="BH16" s="1805"/>
      <c r="BI16" s="1805"/>
      <c r="BJ16" s="1805"/>
      <c r="BK16" s="1805"/>
      <c r="BL16" s="1805"/>
      <c r="BM16" s="1805"/>
      <c r="BN16" s="1805"/>
      <c r="BO16" s="1805"/>
      <c r="BP16" s="1805"/>
      <c r="BQ16" s="1805"/>
      <c r="BR16" s="1805"/>
      <c r="BS16" s="1805"/>
      <c r="BT16" s="1805"/>
      <c r="BU16" s="1805"/>
      <c r="BV16" s="1805"/>
      <c r="BW16" s="1805"/>
      <c r="BX16" s="1805"/>
      <c r="BY16" s="1805"/>
      <c r="BZ16" s="1805"/>
      <c r="CA16" s="1805"/>
      <c r="CB16" s="1805"/>
      <c r="CC16" s="1805"/>
      <c r="CD16" s="1805"/>
      <c r="CE16" s="1805"/>
      <c r="CF16" s="1805"/>
      <c r="CG16" s="1805"/>
      <c r="CH16" s="1805"/>
      <c r="CI16" s="1805"/>
      <c r="CJ16" s="1805"/>
      <c r="CK16" s="1805"/>
      <c r="CL16" s="1806"/>
    </row>
    <row r="17" spans="1:90" ht="18" customHeight="1">
      <c r="A17" s="356"/>
      <c r="CL17" s="357"/>
    </row>
    <row r="18" spans="1:90" ht="18" customHeight="1">
      <c r="A18" s="356"/>
      <c r="CL18" s="357"/>
    </row>
    <row r="19" spans="1:90" ht="21.95" customHeight="1">
      <c r="A19" s="356"/>
      <c r="CL19" s="357"/>
    </row>
    <row r="20" spans="1:90" ht="21.95" customHeight="1">
      <c r="A20" s="356"/>
      <c r="CL20" s="357"/>
    </row>
    <row r="21" spans="1:90" ht="21.95" customHeight="1">
      <c r="A21" s="356"/>
      <c r="CL21" s="357"/>
    </row>
    <row r="22" spans="1:90" ht="21.95" customHeight="1">
      <c r="A22" s="356"/>
      <c r="CL22" s="357"/>
    </row>
    <row r="23" spans="1:90" ht="21.95" customHeight="1">
      <c r="A23" s="356"/>
      <c r="CL23" s="357"/>
    </row>
    <row r="24" spans="1:90" ht="21.95" customHeight="1">
      <c r="A24" s="356"/>
      <c r="CL24" s="357"/>
    </row>
    <row r="25" spans="1:90" ht="21.95" customHeight="1">
      <c r="A25" s="356"/>
      <c r="CL25" s="357"/>
    </row>
    <row r="26" spans="1:90" ht="21.95" customHeight="1">
      <c r="A26" s="356"/>
      <c r="CL26" s="357"/>
    </row>
    <row r="27" spans="1:90" ht="21.95" customHeight="1">
      <c r="A27" s="356"/>
      <c r="CL27" s="357"/>
    </row>
    <row r="28" spans="1:90" ht="21.95" customHeight="1">
      <c r="A28" s="356"/>
      <c r="CL28" s="357"/>
    </row>
    <row r="29" spans="1:90" ht="21.95" customHeight="1">
      <c r="A29" s="356"/>
      <c r="CL29" s="357"/>
    </row>
    <row r="30" spans="1:90" ht="21.95" customHeight="1">
      <c r="A30" s="356"/>
      <c r="CL30" s="357"/>
    </row>
    <row r="31" spans="1:90" ht="21.95" customHeight="1">
      <c r="A31" s="356"/>
      <c r="CL31" s="357"/>
    </row>
    <row r="32" spans="1:90" ht="21.95" customHeight="1">
      <c r="A32" s="356"/>
      <c r="CL32" s="357"/>
    </row>
    <row r="33" spans="1:96" ht="21.95" customHeight="1" thickBot="1">
      <c r="A33" s="358"/>
      <c r="B33" s="359"/>
      <c r="C33" s="359"/>
      <c r="D33" s="359"/>
      <c r="E33" s="359"/>
      <c r="F33" s="359"/>
      <c r="G33" s="359"/>
      <c r="H33" s="359"/>
      <c r="I33" s="359"/>
      <c r="J33" s="359"/>
      <c r="K33" s="359"/>
      <c r="L33" s="359"/>
      <c r="M33" s="359"/>
      <c r="N33" s="359"/>
      <c r="O33" s="359"/>
      <c r="P33" s="359"/>
      <c r="Q33" s="359"/>
      <c r="R33" s="359"/>
      <c r="S33" s="359"/>
      <c r="T33" s="359"/>
      <c r="U33" s="359"/>
      <c r="V33" s="359"/>
      <c r="W33" s="359"/>
      <c r="X33" s="359"/>
      <c r="Y33" s="359"/>
      <c r="Z33" s="359"/>
      <c r="AA33" s="359"/>
      <c r="AB33" s="359"/>
      <c r="AC33" s="359"/>
      <c r="AD33" s="359"/>
      <c r="AE33" s="359"/>
      <c r="AF33" s="359"/>
      <c r="AG33" s="359"/>
      <c r="AH33" s="359"/>
      <c r="AI33" s="359"/>
      <c r="AJ33" s="359"/>
      <c r="AK33" s="359"/>
      <c r="AL33" s="359"/>
      <c r="AM33" s="359"/>
      <c r="AN33" s="359"/>
      <c r="AO33" s="359"/>
      <c r="AP33" s="359"/>
      <c r="AQ33" s="359"/>
      <c r="AR33" s="359"/>
      <c r="AS33" s="359"/>
      <c r="AT33" s="359"/>
      <c r="AU33" s="359"/>
      <c r="AV33" s="359"/>
      <c r="AW33" s="359"/>
      <c r="AX33" s="359"/>
      <c r="AY33" s="359"/>
      <c r="AZ33" s="359"/>
      <c r="BA33" s="359"/>
      <c r="BB33" s="359"/>
      <c r="BC33" s="359"/>
      <c r="BD33" s="359"/>
      <c r="BE33" s="359"/>
      <c r="BF33" s="359"/>
      <c r="BG33" s="359"/>
      <c r="BH33" s="359"/>
      <c r="BI33" s="359"/>
      <c r="BJ33" s="359"/>
      <c r="BK33" s="359"/>
      <c r="BL33" s="359"/>
      <c r="BM33" s="359"/>
      <c r="BN33" s="359"/>
      <c r="BO33" s="359"/>
      <c r="BP33" s="359"/>
      <c r="BQ33" s="359"/>
      <c r="BR33" s="359"/>
      <c r="BS33" s="359"/>
      <c r="BT33" s="359"/>
      <c r="BU33" s="359"/>
      <c r="BV33" s="359"/>
      <c r="BW33" s="359"/>
      <c r="BX33" s="359"/>
      <c r="BY33" s="359"/>
      <c r="BZ33" s="359"/>
      <c r="CA33" s="359"/>
      <c r="CB33" s="359"/>
      <c r="CC33" s="359"/>
      <c r="CD33" s="359"/>
      <c r="CE33" s="359"/>
      <c r="CF33" s="359"/>
      <c r="CG33" s="359"/>
      <c r="CH33" s="359"/>
      <c r="CI33" s="359"/>
      <c r="CJ33" s="359"/>
      <c r="CK33" s="359"/>
      <c r="CL33" s="360"/>
    </row>
    <row r="34" spans="1:96" ht="16.5" customHeight="1">
      <c r="A34" s="1673" t="s">
        <v>7</v>
      </c>
      <c r="B34" s="1776" t="s">
        <v>52</v>
      </c>
      <c r="C34" s="1777"/>
      <c r="D34" s="1777"/>
      <c r="E34" s="1777"/>
      <c r="F34" s="1777"/>
      <c r="G34" s="1777"/>
      <c r="H34" s="1777"/>
      <c r="I34" s="1777"/>
      <c r="J34" s="1777"/>
      <c r="K34" s="1777"/>
      <c r="L34" s="1777"/>
      <c r="M34" s="1777"/>
      <c r="N34" s="1777"/>
      <c r="O34" s="1777"/>
      <c r="P34" s="1777"/>
      <c r="Q34" s="1777"/>
      <c r="R34" s="1777"/>
      <c r="S34" s="1777"/>
      <c r="T34" s="1777"/>
      <c r="U34" s="1777"/>
      <c r="V34" s="1777"/>
      <c r="W34" s="1777"/>
      <c r="X34" s="1777"/>
      <c r="Y34" s="1777"/>
      <c r="Z34" s="1777"/>
      <c r="AA34" s="1777"/>
      <c r="AB34" s="1777"/>
      <c r="AC34" s="1777"/>
      <c r="AD34" s="1777"/>
      <c r="AE34" s="1777"/>
      <c r="AF34" s="1777"/>
      <c r="AG34" s="1777"/>
      <c r="AH34" s="1777"/>
      <c r="AI34" s="1777"/>
      <c r="AJ34" s="1777"/>
      <c r="AK34" s="1777"/>
      <c r="AL34" s="1777"/>
      <c r="AM34" s="1777"/>
      <c r="AN34" s="1777"/>
      <c r="AO34" s="1777"/>
      <c r="AP34" s="1777"/>
      <c r="AQ34" s="1777"/>
      <c r="AR34" s="1777"/>
      <c r="AS34" s="1777"/>
      <c r="AT34" s="1777"/>
      <c r="AU34" s="1777"/>
      <c r="AV34" s="1777"/>
      <c r="AW34" s="1777"/>
      <c r="AX34" s="1777"/>
      <c r="AY34" s="1777"/>
      <c r="AZ34" s="1777"/>
      <c r="BA34" s="1777"/>
      <c r="BB34" s="1777"/>
      <c r="BC34" s="1777"/>
      <c r="BD34" s="1777"/>
      <c r="BE34" s="1777"/>
      <c r="BF34" s="1777"/>
      <c r="BG34" s="1777"/>
      <c r="BH34" s="1777"/>
      <c r="BI34" s="1777"/>
      <c r="BJ34" s="1777"/>
      <c r="BK34" s="1777"/>
      <c r="BL34" s="1777"/>
      <c r="BM34" s="1777"/>
      <c r="BN34" s="1777"/>
      <c r="BO34" s="1777"/>
      <c r="BP34" s="1777"/>
      <c r="BQ34" s="1777"/>
      <c r="BR34" s="1777"/>
      <c r="BS34" s="1777"/>
      <c r="BT34" s="1777"/>
      <c r="BU34" s="1777"/>
      <c r="BV34" s="1777"/>
      <c r="BW34" s="1777"/>
      <c r="BX34" s="1777"/>
      <c r="BY34" s="1777"/>
      <c r="BZ34" s="1778"/>
      <c r="CA34" s="1663" t="s">
        <v>91</v>
      </c>
      <c r="CB34" s="1664"/>
      <c r="CC34" s="1664"/>
      <c r="CD34" s="1664"/>
      <c r="CE34" s="1664"/>
      <c r="CF34" s="1664"/>
      <c r="CG34" s="1664"/>
      <c r="CH34" s="1664"/>
      <c r="CI34" s="1664"/>
      <c r="CJ34" s="1664"/>
      <c r="CK34" s="1664"/>
      <c r="CL34" s="1665"/>
    </row>
    <row r="35" spans="1:96" ht="16.5" customHeight="1" thickBot="1">
      <c r="A35" s="1674"/>
      <c r="B35" s="1783">
        <v>1</v>
      </c>
      <c r="C35" s="1784"/>
      <c r="D35" s="1784"/>
      <c r="E35" s="1784"/>
      <c r="F35" s="1784"/>
      <c r="G35" s="1784"/>
      <c r="H35" s="1784"/>
      <c r="I35" s="1784"/>
      <c r="J35" s="1784"/>
      <c r="K35" s="1784"/>
      <c r="L35" s="1784"/>
      <c r="M35" s="1784"/>
      <c r="N35" s="1784"/>
      <c r="O35" s="1784"/>
      <c r="P35" s="1784"/>
      <c r="Q35" s="1784"/>
      <c r="R35" s="1784"/>
      <c r="S35" s="1784"/>
      <c r="T35" s="1784"/>
      <c r="U35" s="1784"/>
      <c r="V35" s="1784"/>
      <c r="W35" s="1784"/>
      <c r="X35" s="1784"/>
      <c r="Y35" s="1784"/>
      <c r="Z35" s="1784"/>
      <c r="AA35" s="1784"/>
      <c r="AB35" s="1784"/>
      <c r="AC35" s="1784"/>
      <c r="AD35" s="1784"/>
      <c r="AE35" s="1784"/>
      <c r="AF35" s="1784"/>
      <c r="AG35" s="1784"/>
      <c r="AH35" s="1784"/>
      <c r="AI35" s="1784"/>
      <c r="AJ35" s="1784"/>
      <c r="AK35" s="1784"/>
      <c r="AL35" s="1784"/>
      <c r="AM35" s="1784"/>
      <c r="AN35" s="1784"/>
      <c r="AO35" s="1784"/>
      <c r="AP35" s="1784"/>
      <c r="AQ35" s="1784"/>
      <c r="AR35" s="1784"/>
      <c r="AS35" s="1784"/>
      <c r="AT35" s="1784"/>
      <c r="AU35" s="1784"/>
      <c r="AV35" s="1784"/>
      <c r="AW35" s="1784"/>
      <c r="AX35" s="1784"/>
      <c r="AY35" s="1784"/>
      <c r="AZ35" s="1784"/>
      <c r="BA35" s="1784"/>
      <c r="BB35" s="1784"/>
      <c r="BC35" s="1784"/>
      <c r="BD35" s="1784"/>
      <c r="BE35" s="1784"/>
      <c r="BF35" s="1784"/>
      <c r="BG35" s="1784"/>
      <c r="BH35" s="1784"/>
      <c r="BI35" s="1784"/>
      <c r="BJ35" s="1784"/>
      <c r="BK35" s="1784"/>
      <c r="BL35" s="1784"/>
      <c r="BM35" s="1784"/>
      <c r="BN35" s="1784"/>
      <c r="BO35" s="1784"/>
      <c r="BP35" s="1784"/>
      <c r="BQ35" s="1784"/>
      <c r="BR35" s="1784"/>
      <c r="BS35" s="1784"/>
      <c r="BT35" s="1784"/>
      <c r="BU35" s="1784"/>
      <c r="BV35" s="1784"/>
      <c r="BW35" s="1784"/>
      <c r="BX35" s="1784"/>
      <c r="BY35" s="1784"/>
      <c r="BZ35" s="1785"/>
      <c r="CA35" s="1713" t="s">
        <v>92</v>
      </c>
      <c r="CB35" s="1666"/>
      <c r="CC35" s="1666"/>
      <c r="CD35" s="1666"/>
      <c r="CE35" s="1666"/>
      <c r="CF35" s="1666"/>
      <c r="CG35" s="1666"/>
      <c r="CH35" s="1666"/>
      <c r="CI35" s="1666"/>
      <c r="CJ35" s="1666"/>
      <c r="CK35" s="1666"/>
      <c r="CL35" s="1667"/>
    </row>
    <row r="36" spans="1:96" ht="15.75">
      <c r="A36" s="362" t="s">
        <v>24</v>
      </c>
      <c r="B36" s="1779" t="s">
        <v>569</v>
      </c>
      <c r="C36" s="1779"/>
      <c r="D36" s="1779"/>
      <c r="E36" s="1779"/>
      <c r="F36" s="1779"/>
      <c r="G36" s="1779"/>
      <c r="H36" s="1779"/>
      <c r="I36" s="1779"/>
      <c r="J36" s="1779"/>
      <c r="K36" s="1779"/>
      <c r="L36" s="1779"/>
      <c r="M36" s="1779"/>
      <c r="N36" s="1779"/>
      <c r="O36" s="1779"/>
      <c r="P36" s="1779"/>
      <c r="Q36" s="1779"/>
      <c r="R36" s="1779"/>
      <c r="S36" s="1779"/>
      <c r="T36" s="1779"/>
      <c r="U36" s="1779"/>
      <c r="V36" s="1780"/>
      <c r="W36" s="1780"/>
      <c r="X36" s="1780"/>
      <c r="Y36" s="1780"/>
      <c r="Z36" s="1780"/>
      <c r="AA36" s="1780"/>
      <c r="AB36" s="1780"/>
      <c r="AC36" s="1780"/>
      <c r="AD36" s="1780"/>
      <c r="AE36" s="1780"/>
      <c r="AF36" s="1780"/>
      <c r="AG36" s="1780"/>
      <c r="AH36" s="1780"/>
      <c r="AI36" s="1780"/>
      <c r="AJ36" s="1780"/>
      <c r="AK36" s="1780"/>
      <c r="AL36" s="1780"/>
      <c r="AM36" s="1780"/>
      <c r="AN36" s="1780"/>
      <c r="AO36" s="1780"/>
      <c r="AP36" s="1780"/>
      <c r="AQ36" s="1780"/>
      <c r="AR36" s="1780"/>
      <c r="AS36" s="1780"/>
      <c r="AT36" s="1780"/>
      <c r="AU36" s="1780"/>
      <c r="AV36" s="1780"/>
      <c r="AW36" s="1780"/>
      <c r="AX36" s="1780"/>
      <c r="AY36" s="1780"/>
      <c r="AZ36" s="1780"/>
      <c r="BA36" s="1780"/>
      <c r="BB36" s="1780"/>
      <c r="BC36" s="1780"/>
      <c r="BD36" s="1780"/>
      <c r="BE36" s="1780"/>
      <c r="BF36" s="1780"/>
      <c r="BG36" s="1780"/>
      <c r="BH36" s="1780"/>
      <c r="BI36" s="1780"/>
      <c r="BJ36" s="1781"/>
      <c r="BK36" s="1781"/>
      <c r="BL36" s="1781"/>
      <c r="BM36" s="1781"/>
      <c r="BN36" s="1781"/>
      <c r="BO36" s="1781"/>
      <c r="BP36" s="1781"/>
      <c r="BQ36" s="1781"/>
      <c r="BR36" s="1781"/>
      <c r="BS36" s="1781"/>
      <c r="BT36" s="1781"/>
      <c r="BU36" s="1781"/>
      <c r="BV36" s="1781"/>
      <c r="BW36" s="1781"/>
      <c r="BX36" s="1781"/>
      <c r="BY36" s="1781"/>
      <c r="BZ36" s="1782"/>
      <c r="CA36" s="1668" t="s">
        <v>93</v>
      </c>
      <c r="CB36" s="1669"/>
      <c r="CC36" s="1669"/>
      <c r="CD36" s="1669"/>
      <c r="CE36" s="1669"/>
      <c r="CF36" s="1669"/>
      <c r="CG36" s="1669"/>
      <c r="CH36" s="1669"/>
      <c r="CI36" s="1669"/>
      <c r="CJ36" s="1669"/>
      <c r="CK36" s="1669"/>
      <c r="CL36" s="1670"/>
    </row>
    <row r="37" spans="1:96" ht="12.75" customHeight="1">
      <c r="A37" s="493" t="s">
        <v>132</v>
      </c>
      <c r="B37" s="1801">
        <v>1</v>
      </c>
      <c r="C37" s="1801"/>
      <c r="D37" s="1801"/>
      <c r="E37" s="1801"/>
      <c r="F37" s="1801"/>
      <c r="G37" s="1801"/>
      <c r="H37" s="1801"/>
      <c r="I37" s="1801"/>
      <c r="J37" s="1801"/>
      <c r="K37" s="1801"/>
      <c r="L37" s="1801"/>
      <c r="M37" s="1801"/>
      <c r="N37" s="1801"/>
      <c r="O37" s="1801"/>
      <c r="P37" s="1801"/>
      <c r="Q37" s="1801"/>
      <c r="R37" s="1801"/>
      <c r="S37" s="1801"/>
      <c r="T37" s="1801"/>
      <c r="U37" s="1801"/>
      <c r="V37" s="1801">
        <v>2</v>
      </c>
      <c r="W37" s="1801"/>
      <c r="X37" s="1801"/>
      <c r="Y37" s="1801"/>
      <c r="Z37" s="1801"/>
      <c r="AA37" s="1801"/>
      <c r="AB37" s="1801"/>
      <c r="AC37" s="1801"/>
      <c r="AD37" s="1801"/>
      <c r="AE37" s="1801"/>
      <c r="AF37" s="1801"/>
      <c r="AG37" s="1801"/>
      <c r="AH37" s="1801"/>
      <c r="AI37" s="1801"/>
      <c r="AJ37" s="1801"/>
      <c r="AK37" s="1801"/>
      <c r="AL37" s="1801"/>
      <c r="AM37" s="1801"/>
      <c r="AN37" s="1801"/>
      <c r="AO37" s="1801"/>
      <c r="AP37" s="1770" t="s">
        <v>570</v>
      </c>
      <c r="AQ37" s="1771"/>
      <c r="AR37" s="1771"/>
      <c r="AS37" s="1771"/>
      <c r="AT37" s="1771"/>
      <c r="AU37" s="1771"/>
      <c r="AV37" s="1771"/>
      <c r="AW37" s="1771"/>
      <c r="AX37" s="1771"/>
      <c r="AY37" s="1771"/>
      <c r="AZ37" s="1771"/>
      <c r="BA37" s="1771"/>
      <c r="BB37" s="1771"/>
      <c r="BC37" s="1771"/>
      <c r="BD37" s="1771"/>
      <c r="BE37" s="1771"/>
      <c r="BF37" s="1771"/>
      <c r="BG37" s="1771"/>
      <c r="BH37" s="1771"/>
      <c r="BI37" s="1772"/>
      <c r="BJ37" s="1802" t="s">
        <v>571</v>
      </c>
      <c r="BK37" s="1803"/>
      <c r="BL37" s="1803"/>
      <c r="BM37" s="1803"/>
      <c r="BN37" s="1803"/>
      <c r="BO37" s="1803"/>
      <c r="BP37" s="1803"/>
      <c r="BQ37" s="1803"/>
      <c r="BR37" s="1803"/>
      <c r="BS37" s="1803"/>
      <c r="BT37" s="1803"/>
      <c r="BU37" s="1803"/>
      <c r="BV37" s="1803"/>
      <c r="BW37" s="1803"/>
      <c r="BX37" s="1803"/>
      <c r="BY37" s="1803"/>
      <c r="BZ37" s="1804"/>
      <c r="CA37" s="1625" t="s">
        <v>96</v>
      </c>
      <c r="CB37" s="1626"/>
      <c r="CC37" s="1626"/>
      <c r="CD37" s="1627"/>
      <c r="CE37" s="1628" t="s">
        <v>97</v>
      </c>
      <c r="CF37" s="1629"/>
      <c r="CG37" s="1629"/>
      <c r="CH37" s="1630"/>
      <c r="CI37" s="1628" t="s">
        <v>98</v>
      </c>
      <c r="CJ37" s="1629"/>
      <c r="CK37" s="1629"/>
      <c r="CL37" s="1631"/>
      <c r="CM37" s="364" t="s">
        <v>572</v>
      </c>
      <c r="CN37" s="364" t="s">
        <v>14</v>
      </c>
      <c r="CO37" s="364" t="s">
        <v>573</v>
      </c>
      <c r="CP37" s="541"/>
      <c r="CQ37" s="541"/>
      <c r="CR37" s="541"/>
    </row>
    <row r="38" spans="1:96" ht="12.75" customHeight="1">
      <c r="A38" s="494"/>
      <c r="B38" s="495"/>
      <c r="C38" s="496"/>
      <c r="D38" s="496"/>
      <c r="E38" s="496"/>
      <c r="F38" s="496"/>
      <c r="G38" s="496"/>
      <c r="H38" s="496"/>
      <c r="I38" s="496"/>
      <c r="J38" s="496"/>
      <c r="K38" s="496"/>
      <c r="L38" s="496"/>
      <c r="M38" s="496"/>
      <c r="N38" s="496"/>
      <c r="O38" s="496"/>
      <c r="P38" s="496"/>
      <c r="Q38" s="496"/>
      <c r="R38" s="496"/>
      <c r="S38" s="496"/>
      <c r="T38" s="496"/>
      <c r="U38" s="497"/>
      <c r="V38" s="496"/>
      <c r="W38" s="496"/>
      <c r="X38" s="496"/>
      <c r="Y38" s="496"/>
      <c r="Z38" s="496"/>
      <c r="AA38" s="496"/>
      <c r="AB38" s="496"/>
      <c r="AC38" s="496"/>
      <c r="AD38" s="496"/>
      <c r="AE38" s="496"/>
      <c r="AF38" s="496"/>
      <c r="AG38" s="496"/>
      <c r="AH38" s="496"/>
      <c r="AI38" s="496"/>
      <c r="AJ38" s="496"/>
      <c r="AK38" s="496"/>
      <c r="AL38" s="496"/>
      <c r="AM38" s="496"/>
      <c r="AN38" s="496"/>
      <c r="AO38" s="497"/>
      <c r="AP38" s="498"/>
      <c r="AQ38" s="498"/>
      <c r="AR38" s="498"/>
      <c r="AS38" s="498"/>
      <c r="AT38" s="498"/>
      <c r="AU38" s="498"/>
      <c r="AV38" s="498"/>
      <c r="AW38" s="498"/>
      <c r="AX38" s="498"/>
      <c r="AY38" s="498"/>
      <c r="AZ38" s="498"/>
      <c r="BA38" s="498"/>
      <c r="BB38" s="498"/>
      <c r="BC38" s="498"/>
      <c r="BD38" s="498"/>
      <c r="BE38" s="498"/>
      <c r="BF38" s="498"/>
      <c r="BG38" s="498"/>
      <c r="BH38" s="498"/>
      <c r="BI38" s="499"/>
      <c r="BJ38" s="500"/>
      <c r="BK38" s="500"/>
      <c r="BL38" s="500"/>
      <c r="BM38" s="500"/>
      <c r="BN38" s="500"/>
      <c r="BO38" s="500"/>
      <c r="BP38" s="500"/>
      <c r="BQ38" s="500"/>
      <c r="BR38" s="500"/>
      <c r="BS38" s="500"/>
      <c r="BT38" s="500"/>
      <c r="BU38" s="500"/>
      <c r="BV38" s="500"/>
      <c r="BW38" s="500"/>
      <c r="BX38" s="500"/>
      <c r="BY38" s="500"/>
      <c r="BZ38" s="500"/>
      <c r="CA38" s="1671" t="s">
        <v>617</v>
      </c>
      <c r="CB38" s="1613"/>
      <c r="CC38" s="1612" t="s">
        <v>39</v>
      </c>
      <c r="CD38" s="1612"/>
      <c r="CE38" s="1672" t="s">
        <v>617</v>
      </c>
      <c r="CF38" s="1613"/>
      <c r="CG38" s="1612" t="s">
        <v>39</v>
      </c>
      <c r="CH38" s="1613"/>
      <c r="CI38" s="1612" t="s">
        <v>617</v>
      </c>
      <c r="CJ38" s="1613"/>
      <c r="CK38" s="1612" t="s">
        <v>39</v>
      </c>
      <c r="CL38" s="1613"/>
      <c r="CM38" s="364"/>
      <c r="CN38" s="364"/>
      <c r="CO38" s="364"/>
    </row>
    <row r="39" spans="1:96" ht="10.5" customHeight="1">
      <c r="A39" s="356"/>
      <c r="B39" s="365"/>
      <c r="U39" s="366"/>
      <c r="AO39" s="366"/>
      <c r="BI39" s="366"/>
      <c r="BZ39" s="366"/>
      <c r="CA39" s="1728" t="s">
        <v>54</v>
      </c>
      <c r="CB39" s="1729"/>
      <c r="CC39" s="1729"/>
      <c r="CD39" s="1729"/>
      <c r="CE39" s="1683" t="s">
        <v>54</v>
      </c>
      <c r="CF39" s="1684"/>
      <c r="CG39" s="1684"/>
      <c r="CH39" s="1685"/>
      <c r="CI39" s="1684" t="s">
        <v>54</v>
      </c>
      <c r="CJ39" s="1684"/>
      <c r="CK39" s="1684"/>
      <c r="CL39" s="1807"/>
      <c r="CM39" s="367"/>
      <c r="CN39" s="368" t="s">
        <v>54</v>
      </c>
      <c r="CO39" s="369">
        <v>3.1779999999999999</v>
      </c>
      <c r="CP39" s="541" t="s">
        <v>96</v>
      </c>
      <c r="CQ39" s="541" t="s">
        <v>97</v>
      </c>
      <c r="CR39" s="541" t="s">
        <v>98</v>
      </c>
    </row>
    <row r="40" spans="1:96" ht="4.5" customHeight="1">
      <c r="A40" s="356"/>
      <c r="B40" s="370"/>
      <c r="C40" s="371"/>
      <c r="D40" s="371"/>
      <c r="E40" s="371"/>
      <c r="F40" s="371"/>
      <c r="G40" s="371"/>
      <c r="H40" s="371"/>
      <c r="I40" s="371"/>
      <c r="J40" s="371"/>
      <c r="K40" s="371"/>
      <c r="L40" s="371"/>
      <c r="M40" s="371"/>
      <c r="N40" s="371"/>
      <c r="O40" s="371"/>
      <c r="P40" s="371"/>
      <c r="Q40" s="371"/>
      <c r="R40" s="371"/>
      <c r="S40" s="371"/>
      <c r="T40" s="371"/>
      <c r="U40" s="372"/>
      <c r="V40" s="371"/>
      <c r="W40" s="371"/>
      <c r="X40" s="371"/>
      <c r="Y40" s="371"/>
      <c r="Z40" s="371"/>
      <c r="AA40" s="371"/>
      <c r="AB40" s="371"/>
      <c r="AC40" s="371"/>
      <c r="AD40" s="371"/>
      <c r="AE40" s="371"/>
      <c r="AF40" s="371"/>
      <c r="AG40" s="371"/>
      <c r="AH40" s="371"/>
      <c r="AI40" s="371"/>
      <c r="AJ40" s="371"/>
      <c r="AK40" s="371"/>
      <c r="AL40" s="371"/>
      <c r="AM40" s="371"/>
      <c r="AN40" s="371"/>
      <c r="AO40" s="372"/>
      <c r="AP40" s="371"/>
      <c r="AQ40" s="371"/>
      <c r="AR40" s="371"/>
      <c r="AS40" s="371"/>
      <c r="AT40" s="371"/>
      <c r="AU40" s="371"/>
      <c r="AV40" s="371"/>
      <c r="AW40" s="371"/>
      <c r="AX40" s="371"/>
      <c r="AY40" s="371"/>
      <c r="AZ40" s="371"/>
      <c r="BA40" s="371"/>
      <c r="BB40" s="371"/>
      <c r="BC40" s="371"/>
      <c r="BD40" s="371"/>
      <c r="BE40" s="371"/>
      <c r="BF40" s="371"/>
      <c r="BG40" s="371"/>
      <c r="BH40" s="371"/>
      <c r="BI40" s="372"/>
      <c r="BJ40" s="371"/>
      <c r="BK40" s="371"/>
      <c r="BL40" s="371"/>
      <c r="BM40" s="371"/>
      <c r="BN40" s="371"/>
      <c r="BZ40" s="366"/>
      <c r="CA40" s="1634"/>
      <c r="CB40" s="1635"/>
      <c r="CC40" s="1635"/>
      <c r="CD40" s="1635"/>
      <c r="CE40" s="1617"/>
      <c r="CF40" s="1618"/>
      <c r="CG40" s="1618"/>
      <c r="CH40" s="1619"/>
      <c r="CI40" s="1618"/>
      <c r="CJ40" s="1618"/>
      <c r="CK40" s="1618"/>
      <c r="CL40" s="1621"/>
      <c r="CM40" s="377"/>
      <c r="CN40" s="377"/>
      <c r="CO40" s="377"/>
    </row>
    <row r="41" spans="1:96" ht="13.5" customHeight="1">
      <c r="A41" s="501" t="s">
        <v>55</v>
      </c>
      <c r="B41" s="378"/>
      <c r="C41" s="379"/>
      <c r="D41" s="379"/>
      <c r="E41" s="379"/>
      <c r="F41" s="379"/>
      <c r="G41" s="379"/>
      <c r="H41" s="379"/>
      <c r="I41" s="379"/>
      <c r="J41" s="379"/>
      <c r="K41" s="379"/>
      <c r="L41" s="379"/>
      <c r="M41" s="379"/>
      <c r="N41" s="379"/>
      <c r="O41" s="379"/>
      <c r="P41" s="379"/>
      <c r="Q41" s="379"/>
      <c r="R41" s="379"/>
      <c r="S41" s="379"/>
      <c r="T41" s="379"/>
      <c r="U41" s="380"/>
      <c r="V41" s="379"/>
      <c r="W41" s="379"/>
      <c r="X41" s="379"/>
      <c r="Y41" s="379"/>
      <c r="Z41" s="379"/>
      <c r="AA41" s="379"/>
      <c r="AB41" s="379"/>
      <c r="AC41" s="379"/>
      <c r="AD41" s="379"/>
      <c r="AE41" s="379"/>
      <c r="AF41" s="379"/>
      <c r="AG41" s="379"/>
      <c r="AH41" s="379"/>
      <c r="AI41" s="379"/>
      <c r="AJ41" s="379"/>
      <c r="AK41" s="379"/>
      <c r="AL41" s="379"/>
      <c r="AM41" s="379"/>
      <c r="AN41" s="379"/>
      <c r="AO41" s="380"/>
      <c r="AP41" s="379"/>
      <c r="AQ41" s="379"/>
      <c r="AR41" s="379"/>
      <c r="AS41" s="379"/>
      <c r="AT41" s="379"/>
      <c r="AU41" s="379"/>
      <c r="AV41" s="379"/>
      <c r="AW41" s="379"/>
      <c r="AX41" s="379"/>
      <c r="AY41" s="379"/>
      <c r="AZ41" s="379"/>
      <c r="BA41" s="379"/>
      <c r="BB41" s="379"/>
      <c r="BC41" s="379"/>
      <c r="BD41" s="379"/>
      <c r="BE41" s="379"/>
      <c r="BF41" s="379"/>
      <c r="BG41" s="379"/>
      <c r="BH41" s="379"/>
      <c r="BI41" s="380"/>
      <c r="BJ41" s="379"/>
      <c r="BK41" s="379"/>
      <c r="BL41" s="379"/>
      <c r="BM41" s="379"/>
      <c r="BN41" s="379"/>
      <c r="BO41" s="379"/>
      <c r="BP41" s="379"/>
      <c r="BQ41" s="379"/>
      <c r="BR41" s="379"/>
      <c r="BS41" s="379"/>
      <c r="BT41" s="379"/>
      <c r="BU41" s="379"/>
      <c r="BV41" s="379"/>
      <c r="BW41" s="379"/>
      <c r="BX41" s="379"/>
      <c r="BY41" s="379"/>
      <c r="BZ41" s="380"/>
      <c r="CA41" s="1808">
        <f>'ESTADO RED VIS'!I12</f>
        <v>3.1779999999999999</v>
      </c>
      <c r="CB41" s="1809"/>
      <c r="CC41" s="1794">
        <f>CA41/CO39</f>
        <v>1</v>
      </c>
      <c r="CD41" s="1793"/>
      <c r="CE41" s="1795">
        <f>'ESTADO RED VIS'!J12</f>
        <v>0</v>
      </c>
      <c r="CF41" s="1795"/>
      <c r="CG41" s="1796">
        <f>CE41/CO39</f>
        <v>0</v>
      </c>
      <c r="CH41" s="1797"/>
      <c r="CI41" s="1798">
        <f>'ESTADO RED VIS'!K12</f>
        <v>0</v>
      </c>
      <c r="CJ41" s="1798"/>
      <c r="CK41" s="1799">
        <f>CI41/CO39</f>
        <v>0</v>
      </c>
      <c r="CL41" s="1800"/>
      <c r="CM41" s="367">
        <f>CA41+CE41+CI41</f>
        <v>3.1779999999999999</v>
      </c>
      <c r="CN41" s="381">
        <f>CC41+CG41+CK41</f>
        <v>1</v>
      </c>
      <c r="CO41" s="377"/>
      <c r="CP41" s="542">
        <f>CC41</f>
        <v>1</v>
      </c>
      <c r="CQ41" s="542">
        <f>CG41</f>
        <v>0</v>
      </c>
      <c r="CR41" s="542">
        <f>CK41</f>
        <v>0</v>
      </c>
    </row>
    <row r="42" spans="1:96" ht="10.5" customHeight="1">
      <c r="A42" s="502"/>
      <c r="B42" s="365"/>
      <c r="U42" s="366"/>
      <c r="AO42" s="366"/>
      <c r="BI42" s="366"/>
      <c r="BZ42" s="366"/>
      <c r="CA42" s="1787" t="s">
        <v>54</v>
      </c>
      <c r="CB42" s="1788"/>
      <c r="CC42" s="1788"/>
      <c r="CD42" s="1788"/>
      <c r="CE42" s="1789" t="s">
        <v>54</v>
      </c>
      <c r="CF42" s="1789"/>
      <c r="CG42" s="1789"/>
      <c r="CH42" s="1789"/>
      <c r="CI42" s="1790" t="s">
        <v>54</v>
      </c>
      <c r="CJ42" s="1790"/>
      <c r="CK42" s="1790"/>
      <c r="CL42" s="1791"/>
      <c r="CO42" s="377"/>
    </row>
    <row r="43" spans="1:96" ht="4.5" customHeight="1">
      <c r="A43" s="501"/>
      <c r="B43" s="365"/>
      <c r="U43" s="366"/>
      <c r="AO43" s="366"/>
      <c r="BI43" s="366"/>
      <c r="BZ43" s="366"/>
      <c r="CA43" s="1787"/>
      <c r="CB43" s="1788"/>
      <c r="CC43" s="1788"/>
      <c r="CD43" s="1788"/>
      <c r="CE43" s="1789"/>
      <c r="CF43" s="1789"/>
      <c r="CG43" s="1789"/>
      <c r="CH43" s="1789"/>
      <c r="CI43" s="1790"/>
      <c r="CJ43" s="1790"/>
      <c r="CK43" s="1790"/>
      <c r="CL43" s="1791"/>
      <c r="CM43" s="367" t="s">
        <v>54</v>
      </c>
      <c r="CN43" s="381" t="s">
        <v>54</v>
      </c>
      <c r="CO43" s="377"/>
    </row>
    <row r="44" spans="1:96" ht="13.5" customHeight="1">
      <c r="A44" s="501" t="s">
        <v>88</v>
      </c>
      <c r="B44" s="378"/>
      <c r="C44" s="379"/>
      <c r="D44" s="379"/>
      <c r="E44" s="379"/>
      <c r="F44" s="379"/>
      <c r="G44" s="379"/>
      <c r="H44" s="379"/>
      <c r="I44" s="379"/>
      <c r="J44" s="379"/>
      <c r="K44" s="379"/>
      <c r="L44" s="379"/>
      <c r="M44" s="379"/>
      <c r="N44" s="379"/>
      <c r="O44" s="379"/>
      <c r="P44" s="379"/>
      <c r="Q44" s="379"/>
      <c r="R44" s="379"/>
      <c r="S44" s="379"/>
      <c r="T44" s="379"/>
      <c r="U44" s="380"/>
      <c r="V44" s="379"/>
      <c r="W44" s="379"/>
      <c r="X44" s="379"/>
      <c r="Y44" s="379"/>
      <c r="Z44" s="379"/>
      <c r="AA44" s="379"/>
      <c r="AB44" s="379"/>
      <c r="AC44" s="379"/>
      <c r="AD44" s="379"/>
      <c r="AE44" s="379"/>
      <c r="AF44" s="379"/>
      <c r="AG44" s="379"/>
      <c r="AH44" s="379"/>
      <c r="AI44" s="379"/>
      <c r="AJ44" s="379"/>
      <c r="AK44" s="379"/>
      <c r="AL44" s="379"/>
      <c r="AM44" s="379"/>
      <c r="AN44" s="379"/>
      <c r="AO44" s="380"/>
      <c r="AP44" s="379"/>
      <c r="AQ44" s="379"/>
      <c r="AR44" s="379"/>
      <c r="AS44" s="379"/>
      <c r="AT44" s="379"/>
      <c r="AU44" s="379"/>
      <c r="AV44" s="379"/>
      <c r="AW44" s="379"/>
      <c r="AX44" s="379"/>
      <c r="AY44" s="379"/>
      <c r="AZ44" s="379"/>
      <c r="BA44" s="379"/>
      <c r="BB44" s="379"/>
      <c r="BC44" s="379"/>
      <c r="BD44" s="379"/>
      <c r="BE44" s="379"/>
      <c r="BF44" s="379"/>
      <c r="BG44" s="379"/>
      <c r="BH44" s="379"/>
      <c r="BI44" s="380"/>
      <c r="BJ44" s="379"/>
      <c r="BK44" s="379"/>
      <c r="BL44" s="379"/>
      <c r="BM44" s="379"/>
      <c r="BN44" s="379"/>
      <c r="BO44" s="379"/>
      <c r="BP44" s="379"/>
      <c r="BQ44" s="379"/>
      <c r="BR44" s="379"/>
      <c r="BS44" s="379"/>
      <c r="BT44" s="379"/>
      <c r="BU44" s="379"/>
      <c r="BV44" s="379"/>
      <c r="BW44" s="379"/>
      <c r="BX44" s="379"/>
      <c r="BY44" s="379"/>
      <c r="BZ44" s="380"/>
      <c r="CA44" s="1792"/>
      <c r="CB44" s="1793"/>
      <c r="CC44" s="1794"/>
      <c r="CD44" s="1793"/>
      <c r="CE44" s="1795"/>
      <c r="CF44" s="1795"/>
      <c r="CG44" s="1796"/>
      <c r="CH44" s="1797"/>
      <c r="CI44" s="1798"/>
      <c r="CJ44" s="1798"/>
      <c r="CK44" s="1799"/>
      <c r="CL44" s="1800"/>
      <c r="CM44" s="385">
        <f>CA44+CE44+CI44</f>
        <v>0</v>
      </c>
      <c r="CN44" s="381">
        <f>CC44+CG44+CK44</f>
        <v>0</v>
      </c>
      <c r="CO44" s="377"/>
    </row>
    <row r="45" spans="1:96" ht="10.5" customHeight="1">
      <c r="A45" s="502"/>
      <c r="B45" s="365"/>
      <c r="U45" s="366"/>
      <c r="AO45" s="366"/>
      <c r="BI45" s="366"/>
      <c r="BZ45" s="366"/>
      <c r="CA45" s="1787" t="s">
        <v>54</v>
      </c>
      <c r="CB45" s="1788"/>
      <c r="CC45" s="1788"/>
      <c r="CD45" s="1788"/>
      <c r="CE45" s="1789" t="s">
        <v>54</v>
      </c>
      <c r="CF45" s="1789"/>
      <c r="CG45" s="1789"/>
      <c r="CH45" s="1789"/>
      <c r="CI45" s="1790" t="s">
        <v>54</v>
      </c>
      <c r="CJ45" s="1790"/>
      <c r="CK45" s="1790"/>
      <c r="CL45" s="1791"/>
      <c r="CO45" s="377"/>
    </row>
    <row r="46" spans="1:96" ht="4.5" customHeight="1">
      <c r="A46" s="501"/>
      <c r="B46" s="365"/>
      <c r="U46" s="366"/>
      <c r="AO46" s="366"/>
      <c r="BI46" s="366"/>
      <c r="BZ46" s="366"/>
      <c r="CA46" s="1787"/>
      <c r="CB46" s="1788"/>
      <c r="CC46" s="1788"/>
      <c r="CD46" s="1788"/>
      <c r="CE46" s="1789"/>
      <c r="CF46" s="1789"/>
      <c r="CG46" s="1789"/>
      <c r="CH46" s="1789"/>
      <c r="CI46" s="1790"/>
      <c r="CJ46" s="1790"/>
      <c r="CK46" s="1790"/>
      <c r="CL46" s="1791"/>
      <c r="CM46" s="367" t="s">
        <v>54</v>
      </c>
      <c r="CN46" s="381" t="s">
        <v>54</v>
      </c>
      <c r="CO46" s="377"/>
    </row>
    <row r="47" spans="1:96" ht="13.5" customHeight="1">
      <c r="A47" s="501" t="s">
        <v>618</v>
      </c>
      <c r="B47" s="378"/>
      <c r="C47" s="379"/>
      <c r="D47" s="379"/>
      <c r="E47" s="379"/>
      <c r="F47" s="379"/>
      <c r="G47" s="379"/>
      <c r="H47" s="379"/>
      <c r="I47" s="379"/>
      <c r="J47" s="379"/>
      <c r="K47" s="379"/>
      <c r="L47" s="379"/>
      <c r="M47" s="379"/>
      <c r="N47" s="379"/>
      <c r="O47" s="379"/>
      <c r="P47" s="379"/>
      <c r="Q47" s="379"/>
      <c r="R47" s="379"/>
      <c r="S47" s="379"/>
      <c r="T47" s="379"/>
      <c r="U47" s="380"/>
      <c r="V47" s="379"/>
      <c r="W47" s="379"/>
      <c r="X47" s="379"/>
      <c r="Y47" s="379"/>
      <c r="Z47" s="379"/>
      <c r="AA47" s="379"/>
      <c r="AB47" s="379"/>
      <c r="AC47" s="379"/>
      <c r="AD47" s="379"/>
      <c r="AE47" s="379"/>
      <c r="AF47" s="379"/>
      <c r="AG47" s="379"/>
      <c r="AH47" s="379"/>
      <c r="AI47" s="379"/>
      <c r="AJ47" s="379"/>
      <c r="AK47" s="379"/>
      <c r="AL47" s="379"/>
      <c r="AM47" s="379"/>
      <c r="AN47" s="379"/>
      <c r="AO47" s="380"/>
      <c r="AP47" s="379"/>
      <c r="AQ47" s="379"/>
      <c r="AR47" s="379"/>
      <c r="AS47" s="379"/>
      <c r="AT47" s="379"/>
      <c r="AU47" s="379"/>
      <c r="AV47" s="379"/>
      <c r="AW47" s="379"/>
      <c r="AX47" s="379"/>
      <c r="AY47" s="379"/>
      <c r="AZ47" s="379"/>
      <c r="BA47" s="379"/>
      <c r="BB47" s="379"/>
      <c r="BC47" s="379"/>
      <c r="BD47" s="379"/>
      <c r="BE47" s="379"/>
      <c r="BF47" s="379"/>
      <c r="BG47" s="379"/>
      <c r="BH47" s="379"/>
      <c r="BI47" s="380"/>
      <c r="BJ47" s="379"/>
      <c r="BK47" s="379"/>
      <c r="BL47" s="379"/>
      <c r="BM47" s="379"/>
      <c r="BN47" s="379"/>
      <c r="BO47" s="379"/>
      <c r="BP47" s="379"/>
      <c r="BQ47" s="379"/>
      <c r="BR47" s="379"/>
      <c r="BS47" s="379"/>
      <c r="BT47" s="379"/>
      <c r="BU47" s="379"/>
      <c r="BV47" s="379"/>
      <c r="BW47" s="379"/>
      <c r="BX47" s="379"/>
      <c r="BY47" s="379"/>
      <c r="BZ47" s="380"/>
      <c r="CA47" s="1792">
        <v>0</v>
      </c>
      <c r="CB47" s="1793"/>
      <c r="CC47" s="1794">
        <f>CA47/CO39</f>
        <v>0</v>
      </c>
      <c r="CD47" s="1793"/>
      <c r="CE47" s="1795">
        <v>0</v>
      </c>
      <c r="CF47" s="1795"/>
      <c r="CG47" s="1796">
        <f>CE47/CO39</f>
        <v>0</v>
      </c>
      <c r="CH47" s="1797"/>
      <c r="CI47" s="1798">
        <v>0</v>
      </c>
      <c r="CJ47" s="1798"/>
      <c r="CK47" s="1799">
        <f>CI47/CO39</f>
        <v>0</v>
      </c>
      <c r="CL47" s="1800"/>
      <c r="CM47" s="385">
        <f>CA47+CE47+CI47</f>
        <v>0</v>
      </c>
      <c r="CN47" s="381">
        <f>CC47+CG47+CK47</f>
        <v>0</v>
      </c>
      <c r="CO47" s="377"/>
    </row>
    <row r="48" spans="1:96" ht="10.5" customHeight="1">
      <c r="A48" s="502"/>
      <c r="B48" s="365"/>
      <c r="U48" s="366"/>
      <c r="AO48" s="366"/>
      <c r="BI48" s="366"/>
      <c r="BZ48" s="366"/>
      <c r="CA48" s="1787" t="s">
        <v>54</v>
      </c>
      <c r="CB48" s="1788"/>
      <c r="CC48" s="1788"/>
      <c r="CD48" s="1788"/>
      <c r="CE48" s="1789" t="s">
        <v>54</v>
      </c>
      <c r="CF48" s="1789"/>
      <c r="CG48" s="1789"/>
      <c r="CH48" s="1789"/>
      <c r="CI48" s="1790" t="s">
        <v>54</v>
      </c>
      <c r="CJ48" s="1790"/>
      <c r="CK48" s="1790"/>
      <c r="CL48" s="1791"/>
      <c r="CM48" s="367" t="s">
        <v>54</v>
      </c>
      <c r="CN48" s="381" t="s">
        <v>54</v>
      </c>
      <c r="CO48" s="377"/>
    </row>
    <row r="49" spans="1:93" ht="4.5" customHeight="1">
      <c r="A49" s="501"/>
      <c r="B49" s="365"/>
      <c r="U49" s="366"/>
      <c r="AO49" s="366"/>
      <c r="BI49" s="366"/>
      <c r="BZ49" s="366"/>
      <c r="CA49" s="1787"/>
      <c r="CB49" s="1788"/>
      <c r="CC49" s="1788"/>
      <c r="CD49" s="1788"/>
      <c r="CE49" s="1789"/>
      <c r="CF49" s="1789"/>
      <c r="CG49" s="1789"/>
      <c r="CH49" s="1789"/>
      <c r="CI49" s="1790"/>
      <c r="CJ49" s="1790"/>
      <c r="CK49" s="1790"/>
      <c r="CL49" s="1791"/>
      <c r="CM49" s="367"/>
      <c r="CN49" s="381"/>
      <c r="CO49" s="377"/>
    </row>
    <row r="50" spans="1:93" ht="13.5" customHeight="1">
      <c r="A50" s="501" t="s">
        <v>56</v>
      </c>
      <c r="B50" s="378"/>
      <c r="C50" s="379"/>
      <c r="D50" s="379"/>
      <c r="E50" s="379"/>
      <c r="F50" s="379"/>
      <c r="G50" s="379"/>
      <c r="H50" s="379"/>
      <c r="I50" s="379"/>
      <c r="J50" s="379"/>
      <c r="K50" s="379"/>
      <c r="L50" s="379"/>
      <c r="M50" s="379"/>
      <c r="N50" s="379"/>
      <c r="O50" s="379"/>
      <c r="P50" s="379"/>
      <c r="Q50" s="379"/>
      <c r="R50" s="379"/>
      <c r="S50" s="379"/>
      <c r="T50" s="379"/>
      <c r="U50" s="380"/>
      <c r="V50" s="379"/>
      <c r="W50" s="379"/>
      <c r="X50" s="379"/>
      <c r="Y50" s="379"/>
      <c r="Z50" s="379"/>
      <c r="AA50" s="379"/>
      <c r="AB50" s="379"/>
      <c r="AC50" s="379"/>
      <c r="AD50" s="379"/>
      <c r="AE50" s="379"/>
      <c r="AF50" s="379"/>
      <c r="AG50" s="379"/>
      <c r="AH50" s="379"/>
      <c r="AI50" s="379"/>
      <c r="AJ50" s="379"/>
      <c r="AK50" s="379"/>
      <c r="AL50" s="379"/>
      <c r="AM50" s="379"/>
      <c r="AN50" s="379"/>
      <c r="AO50" s="380"/>
      <c r="AP50" s="379"/>
      <c r="AQ50" s="379"/>
      <c r="AR50" s="379"/>
      <c r="AS50" s="379"/>
      <c r="AT50" s="379"/>
      <c r="AU50" s="379"/>
      <c r="AV50" s="379"/>
      <c r="AW50" s="379"/>
      <c r="AX50" s="379"/>
      <c r="AY50" s="379"/>
      <c r="AZ50" s="379"/>
      <c r="BA50" s="379"/>
      <c r="BB50" s="379"/>
      <c r="BC50" s="379"/>
      <c r="BD50" s="379"/>
      <c r="BE50" s="379"/>
      <c r="BF50" s="379"/>
      <c r="BG50" s="379"/>
      <c r="BH50" s="379"/>
      <c r="BI50" s="380"/>
      <c r="BJ50" s="379"/>
      <c r="BK50" s="379"/>
      <c r="BL50" s="379"/>
      <c r="BM50" s="379"/>
      <c r="BN50" s="379"/>
      <c r="BO50" s="379"/>
      <c r="BP50" s="379"/>
      <c r="BQ50" s="379"/>
      <c r="BR50" s="379"/>
      <c r="BS50" s="379"/>
      <c r="BT50" s="379"/>
      <c r="BU50" s="379"/>
      <c r="BV50" s="379"/>
      <c r="BW50" s="379"/>
      <c r="BX50" s="379"/>
      <c r="BY50" s="379"/>
      <c r="BZ50" s="380"/>
      <c r="CA50" s="1808">
        <v>0</v>
      </c>
      <c r="CB50" s="1809"/>
      <c r="CC50" s="1794">
        <f>CA50/CO39</f>
        <v>0</v>
      </c>
      <c r="CD50" s="1793"/>
      <c r="CE50" s="1795">
        <v>0</v>
      </c>
      <c r="CF50" s="1795"/>
      <c r="CG50" s="1796">
        <f>CE50/CO39</f>
        <v>0</v>
      </c>
      <c r="CH50" s="1797"/>
      <c r="CI50" s="1798">
        <v>0</v>
      </c>
      <c r="CJ50" s="1798"/>
      <c r="CK50" s="1799">
        <f>CI50/CO39</f>
        <v>0</v>
      </c>
      <c r="CL50" s="1800"/>
      <c r="CM50" s="367">
        <f>CA50+CE50+CI50</f>
        <v>0</v>
      </c>
      <c r="CN50" s="381">
        <f>CC50+CG50+CK50</f>
        <v>0</v>
      </c>
      <c r="CO50" s="377"/>
    </row>
    <row r="51" spans="1:93" ht="10.5" customHeight="1">
      <c r="A51" s="502"/>
      <c r="B51" s="365"/>
      <c r="U51" s="366"/>
      <c r="AO51" s="366"/>
      <c r="BI51" s="366"/>
      <c r="BZ51" s="366"/>
      <c r="CA51" s="1787" t="s">
        <v>54</v>
      </c>
      <c r="CB51" s="1788"/>
      <c r="CC51" s="1788"/>
      <c r="CD51" s="1788"/>
      <c r="CE51" s="1789" t="s">
        <v>54</v>
      </c>
      <c r="CF51" s="1789"/>
      <c r="CG51" s="1789"/>
      <c r="CH51" s="1789"/>
      <c r="CI51" s="1790" t="s">
        <v>54</v>
      </c>
      <c r="CJ51" s="1790"/>
      <c r="CK51" s="1790"/>
      <c r="CL51" s="1791"/>
      <c r="CM51" s="367"/>
      <c r="CN51" s="381"/>
      <c r="CO51" s="377"/>
    </row>
    <row r="52" spans="1:93" ht="4.5" customHeight="1">
      <c r="A52" s="501"/>
      <c r="B52" s="886"/>
      <c r="C52" s="373"/>
      <c r="D52" s="373"/>
      <c r="E52" s="373"/>
      <c r="F52" s="373"/>
      <c r="G52" s="373"/>
      <c r="H52" s="373"/>
      <c r="I52" s="373"/>
      <c r="J52" s="373"/>
      <c r="K52" s="373"/>
      <c r="L52" s="373"/>
      <c r="M52" s="373"/>
      <c r="N52" s="373"/>
      <c r="O52" s="373"/>
      <c r="P52" s="373"/>
      <c r="Q52" s="373"/>
      <c r="R52" s="373"/>
      <c r="S52" s="373"/>
      <c r="T52" s="373"/>
      <c r="U52" s="401"/>
      <c r="V52" s="371"/>
      <c r="W52" s="371"/>
      <c r="X52" s="371"/>
      <c r="Y52" s="371"/>
      <c r="Z52" s="371"/>
      <c r="AA52" s="371"/>
      <c r="AB52" s="371"/>
      <c r="AC52" s="371"/>
      <c r="AD52" s="371"/>
      <c r="AE52" s="371"/>
      <c r="AF52" s="371"/>
      <c r="AG52" s="371"/>
      <c r="AH52" s="371"/>
      <c r="AI52" s="371"/>
      <c r="AJ52" s="371"/>
      <c r="AK52" s="371"/>
      <c r="AL52" s="371"/>
      <c r="AM52" s="371"/>
      <c r="AN52" s="371"/>
      <c r="AO52" s="372"/>
      <c r="AP52" s="373"/>
      <c r="AQ52" s="373"/>
      <c r="AR52" s="373"/>
      <c r="AS52" s="373"/>
      <c r="AT52" s="373"/>
      <c r="AU52" s="373"/>
      <c r="AV52" s="373"/>
      <c r="AW52" s="373"/>
      <c r="AX52" s="373"/>
      <c r="AY52" s="373"/>
      <c r="AZ52" s="373"/>
      <c r="BA52" s="373"/>
      <c r="BB52" s="373"/>
      <c r="BC52" s="373"/>
      <c r="BD52" s="373"/>
      <c r="BE52" s="373"/>
      <c r="BF52" s="373"/>
      <c r="BG52" s="373"/>
      <c r="BH52" s="373"/>
      <c r="BI52" s="401"/>
      <c r="BJ52" s="371"/>
      <c r="BK52" s="371"/>
      <c r="BL52" s="371"/>
      <c r="BM52" s="371"/>
      <c r="BN52" s="371"/>
      <c r="BZ52" s="366"/>
      <c r="CA52" s="1787"/>
      <c r="CB52" s="1788"/>
      <c r="CC52" s="1788"/>
      <c r="CD52" s="1788"/>
      <c r="CE52" s="1789"/>
      <c r="CF52" s="1789"/>
      <c r="CG52" s="1789"/>
      <c r="CH52" s="1789"/>
      <c r="CI52" s="1790"/>
      <c r="CJ52" s="1790"/>
      <c r="CK52" s="1790"/>
      <c r="CL52" s="1791"/>
      <c r="CM52" s="367" t="s">
        <v>54</v>
      </c>
      <c r="CN52" s="381" t="s">
        <v>54</v>
      </c>
      <c r="CO52" s="367"/>
    </row>
    <row r="53" spans="1:93" ht="13.5" customHeight="1">
      <c r="A53" s="501" t="s">
        <v>229</v>
      </c>
      <c r="B53" s="378"/>
      <c r="C53" s="379"/>
      <c r="D53" s="379"/>
      <c r="E53" s="379"/>
      <c r="F53" s="379"/>
      <c r="G53" s="379"/>
      <c r="H53" s="379"/>
      <c r="I53" s="379"/>
      <c r="J53" s="379"/>
      <c r="K53" s="379"/>
      <c r="L53" s="379"/>
      <c r="M53" s="379"/>
      <c r="N53" s="379"/>
      <c r="O53" s="379"/>
      <c r="P53" s="379"/>
      <c r="Q53" s="379"/>
      <c r="R53" s="379"/>
      <c r="S53" s="379"/>
      <c r="T53" s="379"/>
      <c r="U53" s="380"/>
      <c r="V53" s="379"/>
      <c r="W53" s="379"/>
      <c r="X53" s="379"/>
      <c r="Y53" s="379"/>
      <c r="Z53" s="379"/>
      <c r="AA53" s="379"/>
      <c r="AB53" s="379"/>
      <c r="AC53" s="379"/>
      <c r="AD53" s="379"/>
      <c r="AE53" s="379"/>
      <c r="AF53" s="379"/>
      <c r="AG53" s="379"/>
      <c r="AH53" s="379"/>
      <c r="AI53" s="379"/>
      <c r="AJ53" s="379"/>
      <c r="AK53" s="379"/>
      <c r="AL53" s="379"/>
      <c r="AM53" s="379"/>
      <c r="AN53" s="379"/>
      <c r="AO53" s="380"/>
      <c r="AP53" s="379"/>
      <c r="AQ53" s="379"/>
      <c r="AR53" s="379"/>
      <c r="AS53" s="379"/>
      <c r="AT53" s="379"/>
      <c r="AU53" s="379"/>
      <c r="AV53" s="379"/>
      <c r="AW53" s="379"/>
      <c r="AX53" s="379"/>
      <c r="AY53" s="379"/>
      <c r="AZ53" s="379"/>
      <c r="BA53" s="379"/>
      <c r="BB53" s="379"/>
      <c r="BC53" s="379"/>
      <c r="BD53" s="379"/>
      <c r="BE53" s="379"/>
      <c r="BF53" s="379"/>
      <c r="BG53" s="379"/>
      <c r="BH53" s="379"/>
      <c r="BI53" s="380"/>
      <c r="BJ53" s="379"/>
      <c r="BK53" s="379"/>
      <c r="BL53" s="379"/>
      <c r="BM53" s="379"/>
      <c r="BN53" s="379"/>
      <c r="BO53" s="379"/>
      <c r="BP53" s="379"/>
      <c r="BQ53" s="379"/>
      <c r="BR53" s="379"/>
      <c r="BS53" s="379"/>
      <c r="BT53" s="379"/>
      <c r="BU53" s="379"/>
      <c r="BV53" s="379"/>
      <c r="BW53" s="379"/>
      <c r="BX53" s="379"/>
      <c r="BY53" s="379"/>
      <c r="BZ53" s="380"/>
      <c r="CA53" s="1808">
        <v>1.1779999999999999</v>
      </c>
      <c r="CB53" s="1809"/>
      <c r="CC53" s="1794">
        <f>CA53/CO39</f>
        <v>0.37067337948395218</v>
      </c>
      <c r="CD53" s="1793"/>
      <c r="CE53" s="1795">
        <v>2</v>
      </c>
      <c r="CF53" s="1795"/>
      <c r="CG53" s="1796">
        <f>CE53/CO39</f>
        <v>0.62932662051604782</v>
      </c>
      <c r="CH53" s="1797"/>
      <c r="CI53" s="1798"/>
      <c r="CJ53" s="1798"/>
      <c r="CK53" s="1799">
        <f>CI53/CO39</f>
        <v>0</v>
      </c>
      <c r="CL53" s="1800"/>
      <c r="CM53" s="367">
        <f>CA53+CE53+CI53</f>
        <v>3.1779999999999999</v>
      </c>
      <c r="CN53" s="381">
        <f>CC53+CG53+CK53</f>
        <v>1</v>
      </c>
      <c r="CO53" s="377"/>
    </row>
    <row r="54" spans="1:93" ht="10.5" customHeight="1">
      <c r="A54" s="502"/>
      <c r="B54" s="365"/>
      <c r="U54" s="366"/>
      <c r="AO54" s="366"/>
      <c r="BI54" s="366"/>
      <c r="BZ54" s="366"/>
      <c r="CA54" s="1787" t="s">
        <v>54</v>
      </c>
      <c r="CB54" s="1788"/>
      <c r="CC54" s="1788"/>
      <c r="CD54" s="1788"/>
      <c r="CE54" s="1789" t="s">
        <v>54</v>
      </c>
      <c r="CF54" s="1789"/>
      <c r="CG54" s="1789"/>
      <c r="CH54" s="1789"/>
      <c r="CI54" s="1790" t="s">
        <v>54</v>
      </c>
      <c r="CJ54" s="1790"/>
      <c r="CK54" s="1790"/>
      <c r="CL54" s="1791"/>
      <c r="CM54" s="367" t="s">
        <v>54</v>
      </c>
      <c r="CN54" s="381" t="s">
        <v>54</v>
      </c>
      <c r="CO54" s="367"/>
    </row>
    <row r="55" spans="1:93" ht="3.75" customHeight="1">
      <c r="A55" s="501"/>
      <c r="B55" s="371"/>
      <c r="C55" s="371"/>
      <c r="D55" s="372"/>
      <c r="E55" s="371"/>
      <c r="F55" s="371"/>
      <c r="G55" s="371"/>
      <c r="H55" s="371"/>
      <c r="I55" s="371"/>
      <c r="J55" s="371"/>
      <c r="K55" s="371"/>
      <c r="L55" s="371"/>
      <c r="M55" s="371"/>
      <c r="N55" s="371"/>
      <c r="O55" s="371"/>
      <c r="P55" s="371"/>
      <c r="Q55" s="372"/>
      <c r="R55" s="371"/>
      <c r="S55" s="371"/>
      <c r="T55" s="371"/>
      <c r="U55" s="371"/>
      <c r="V55" s="371"/>
      <c r="W55" s="371"/>
      <c r="X55" s="371"/>
      <c r="Y55" s="371"/>
      <c r="Z55" s="371"/>
      <c r="AA55" s="371"/>
      <c r="AB55" s="371"/>
      <c r="AC55" s="371"/>
      <c r="AD55" s="372"/>
      <c r="AE55" s="371"/>
      <c r="AF55" s="371"/>
      <c r="AG55" s="371"/>
      <c r="AH55" s="371"/>
      <c r="AI55" s="371"/>
      <c r="AJ55" s="371"/>
      <c r="AK55" s="371"/>
      <c r="AL55" s="371"/>
      <c r="AM55" s="371"/>
      <c r="AN55" s="371"/>
      <c r="AO55" s="371"/>
      <c r="AP55" s="371"/>
      <c r="AQ55" s="372"/>
      <c r="AR55" s="371"/>
      <c r="AS55" s="371"/>
      <c r="AT55" s="371"/>
      <c r="AU55" s="371"/>
      <c r="AV55" s="371"/>
      <c r="AW55" s="371"/>
      <c r="AX55" s="371"/>
      <c r="AY55" s="371"/>
      <c r="AZ55" s="371"/>
      <c r="BA55" s="371"/>
      <c r="BB55" s="371"/>
      <c r="BC55" s="371"/>
      <c r="BD55" s="372"/>
      <c r="BE55" s="371"/>
      <c r="BF55" s="371"/>
      <c r="BG55" s="371"/>
      <c r="BH55" s="371"/>
      <c r="BI55" s="371"/>
      <c r="BJ55" s="371"/>
      <c r="BK55" s="371"/>
      <c r="BL55" s="371"/>
      <c r="BM55" s="371"/>
      <c r="BN55" s="371"/>
      <c r="BZ55" s="366"/>
      <c r="CA55" s="1787"/>
      <c r="CB55" s="1788"/>
      <c r="CC55" s="1788"/>
      <c r="CD55" s="1788"/>
      <c r="CE55" s="1789"/>
      <c r="CF55" s="1789"/>
      <c r="CG55" s="1789"/>
      <c r="CH55" s="1789"/>
      <c r="CI55" s="1790"/>
      <c r="CJ55" s="1790"/>
      <c r="CK55" s="1790"/>
      <c r="CL55" s="1791"/>
      <c r="CM55" s="367"/>
      <c r="CN55" s="381"/>
      <c r="CO55" s="377"/>
    </row>
    <row r="56" spans="1:93" ht="12.75" customHeight="1">
      <c r="A56" s="501" t="s">
        <v>57</v>
      </c>
      <c r="B56" s="378"/>
      <c r="C56" s="379"/>
      <c r="D56" s="379"/>
      <c r="E56" s="379"/>
      <c r="F56" s="379"/>
      <c r="G56" s="379"/>
      <c r="H56" s="379"/>
      <c r="I56" s="379"/>
      <c r="J56" s="379"/>
      <c r="K56" s="379"/>
      <c r="L56" s="379"/>
      <c r="M56" s="379"/>
      <c r="N56" s="379"/>
      <c r="O56" s="379"/>
      <c r="P56" s="379"/>
      <c r="Q56" s="379"/>
      <c r="R56" s="379"/>
      <c r="S56" s="379"/>
      <c r="T56" s="379"/>
      <c r="U56" s="380"/>
      <c r="V56" s="379"/>
      <c r="W56" s="379"/>
      <c r="X56" s="379"/>
      <c r="Y56" s="379"/>
      <c r="Z56" s="379"/>
      <c r="AA56" s="379"/>
      <c r="AB56" s="379"/>
      <c r="AC56" s="379"/>
      <c r="AD56" s="379"/>
      <c r="AE56" s="379"/>
      <c r="AF56" s="379"/>
      <c r="AG56" s="379"/>
      <c r="AH56" s="379"/>
      <c r="AI56" s="379"/>
      <c r="AJ56" s="379"/>
      <c r="AK56" s="379"/>
      <c r="AL56" s="379"/>
      <c r="AM56" s="379"/>
      <c r="AN56" s="379"/>
      <c r="AO56" s="380"/>
      <c r="AP56" s="379"/>
      <c r="AQ56" s="379"/>
      <c r="AR56" s="379"/>
      <c r="AS56" s="379"/>
      <c r="AT56" s="379"/>
      <c r="AU56" s="379"/>
      <c r="AV56" s="379"/>
      <c r="AW56" s="379"/>
      <c r="AX56" s="379"/>
      <c r="AY56" s="379"/>
      <c r="AZ56" s="379"/>
      <c r="BA56" s="379"/>
      <c r="BB56" s="379"/>
      <c r="BC56" s="379"/>
      <c r="BD56" s="379"/>
      <c r="BE56" s="379"/>
      <c r="BF56" s="379"/>
      <c r="BG56" s="379"/>
      <c r="BH56" s="379"/>
      <c r="BI56" s="380"/>
      <c r="BJ56" s="379"/>
      <c r="BK56" s="379"/>
      <c r="BL56" s="379"/>
      <c r="BM56" s="379"/>
      <c r="BN56" s="379"/>
      <c r="BO56" s="379"/>
      <c r="BP56" s="379"/>
      <c r="BQ56" s="379"/>
      <c r="BR56" s="379"/>
      <c r="BS56" s="379"/>
      <c r="BT56" s="379"/>
      <c r="BU56" s="379"/>
      <c r="BV56" s="379"/>
      <c r="BW56" s="379"/>
      <c r="BX56" s="379"/>
      <c r="BY56" s="379"/>
      <c r="BZ56" s="380"/>
      <c r="CA56" s="1808">
        <v>0</v>
      </c>
      <c r="CB56" s="1809"/>
      <c r="CC56" s="1794">
        <f>CA56/CO39</f>
        <v>0</v>
      </c>
      <c r="CD56" s="1793"/>
      <c r="CE56" s="1795">
        <v>0</v>
      </c>
      <c r="CF56" s="1795"/>
      <c r="CG56" s="1796">
        <f>CE56/CO39</f>
        <v>0</v>
      </c>
      <c r="CH56" s="1797"/>
      <c r="CI56" s="1798">
        <v>3.18</v>
      </c>
      <c r="CJ56" s="1798"/>
      <c r="CK56" s="1799">
        <f>CI56/CO39</f>
        <v>1.0006293266205162</v>
      </c>
      <c r="CL56" s="1800"/>
      <c r="CM56" s="367">
        <f>CA56+CE56+CI56</f>
        <v>3.18</v>
      </c>
      <c r="CN56" s="381">
        <f>CC56+CG56+CK56</f>
        <v>1.0006293266205162</v>
      </c>
      <c r="CO56" s="377"/>
    </row>
    <row r="57" spans="1:93" ht="10.5" customHeight="1">
      <c r="A57" s="502"/>
      <c r="B57" s="365"/>
      <c r="U57" s="366"/>
      <c r="AO57" s="366"/>
      <c r="BI57" s="366"/>
      <c r="BZ57" s="366"/>
      <c r="CA57" s="1787" t="s">
        <v>54</v>
      </c>
      <c r="CB57" s="1788"/>
      <c r="CC57" s="1788"/>
      <c r="CD57" s="1788"/>
      <c r="CE57" s="1789" t="s">
        <v>54</v>
      </c>
      <c r="CF57" s="1789"/>
      <c r="CG57" s="1789"/>
      <c r="CH57" s="1789"/>
      <c r="CI57" s="1790" t="s">
        <v>54</v>
      </c>
      <c r="CJ57" s="1790"/>
      <c r="CK57" s="1790"/>
      <c r="CL57" s="1791"/>
      <c r="CM57" s="367"/>
      <c r="CN57" s="381"/>
      <c r="CO57" s="377"/>
    </row>
    <row r="58" spans="1:93" ht="4.5" customHeight="1">
      <c r="A58" s="501"/>
      <c r="B58" s="371"/>
      <c r="C58" s="371"/>
      <c r="D58" s="371"/>
      <c r="E58" s="371"/>
      <c r="F58" s="371"/>
      <c r="G58" s="371"/>
      <c r="H58" s="371"/>
      <c r="I58" s="371"/>
      <c r="J58" s="371"/>
      <c r="K58" s="371"/>
      <c r="L58" s="371"/>
      <c r="M58" s="371"/>
      <c r="N58" s="371"/>
      <c r="O58" s="371"/>
      <c r="P58" s="371"/>
      <c r="Q58" s="371"/>
      <c r="R58" s="371"/>
      <c r="S58" s="371"/>
      <c r="T58" s="371"/>
      <c r="U58" s="372"/>
      <c r="V58" s="371"/>
      <c r="W58" s="371"/>
      <c r="X58" s="371"/>
      <c r="Y58" s="371"/>
      <c r="Z58" s="371"/>
      <c r="AA58" s="371"/>
      <c r="AB58" s="371"/>
      <c r="AC58" s="371"/>
      <c r="AD58" s="371"/>
      <c r="AE58" s="371"/>
      <c r="AF58" s="371"/>
      <c r="AG58" s="371"/>
      <c r="AH58" s="371"/>
      <c r="AI58" s="371"/>
      <c r="AJ58" s="371"/>
      <c r="AK58" s="371"/>
      <c r="AL58" s="371"/>
      <c r="AM58" s="371"/>
      <c r="AN58" s="371"/>
      <c r="AO58" s="372"/>
      <c r="AP58" s="371"/>
      <c r="AQ58" s="371"/>
      <c r="AR58" s="371"/>
      <c r="AS58" s="371"/>
      <c r="AT58" s="371"/>
      <c r="AU58" s="371"/>
      <c r="AV58" s="371"/>
      <c r="AW58" s="371"/>
      <c r="AX58" s="371"/>
      <c r="AY58" s="371"/>
      <c r="AZ58" s="371"/>
      <c r="BA58" s="371"/>
      <c r="BB58" s="371"/>
      <c r="BC58" s="371"/>
      <c r="BD58" s="371"/>
      <c r="BE58" s="371"/>
      <c r="BF58" s="371"/>
      <c r="BG58" s="371"/>
      <c r="BH58" s="371"/>
      <c r="BI58" s="372"/>
      <c r="BJ58" s="371"/>
      <c r="BK58" s="371"/>
      <c r="BL58" s="371"/>
      <c r="BM58" s="371"/>
      <c r="BN58" s="371"/>
      <c r="BO58" s="386"/>
      <c r="BZ58" s="366"/>
      <c r="CA58" s="1787"/>
      <c r="CB58" s="1788"/>
      <c r="CC58" s="1788"/>
      <c r="CD58" s="1788"/>
      <c r="CE58" s="1789"/>
      <c r="CF58" s="1789"/>
      <c r="CG58" s="1789"/>
      <c r="CH58" s="1789"/>
      <c r="CI58" s="1790"/>
      <c r="CJ58" s="1790"/>
      <c r="CK58" s="1790"/>
      <c r="CL58" s="1791"/>
      <c r="CM58" s="367" t="s">
        <v>54</v>
      </c>
      <c r="CN58" s="381" t="s">
        <v>54</v>
      </c>
      <c r="CO58" s="367"/>
    </row>
    <row r="59" spans="1:93" ht="12.75" customHeight="1">
      <c r="A59" s="501" t="s">
        <v>58</v>
      </c>
      <c r="B59" s="378"/>
      <c r="C59" s="379"/>
      <c r="D59" s="379"/>
      <c r="E59" s="379"/>
      <c r="F59" s="379"/>
      <c r="G59" s="379"/>
      <c r="H59" s="379"/>
      <c r="I59" s="379"/>
      <c r="J59" s="379"/>
      <c r="K59" s="379"/>
      <c r="L59" s="379"/>
      <c r="M59" s="379"/>
      <c r="N59" s="379"/>
      <c r="O59" s="379"/>
      <c r="P59" s="379"/>
      <c r="Q59" s="379"/>
      <c r="R59" s="379"/>
      <c r="S59" s="379"/>
      <c r="T59" s="379"/>
      <c r="U59" s="380"/>
      <c r="V59" s="379"/>
      <c r="W59" s="379"/>
      <c r="X59" s="379"/>
      <c r="Y59" s="379"/>
      <c r="Z59" s="379"/>
      <c r="AA59" s="379"/>
      <c r="AB59" s="379"/>
      <c r="AC59" s="379"/>
      <c r="AD59" s="379"/>
      <c r="AE59" s="379"/>
      <c r="AF59" s="379"/>
      <c r="AG59" s="379"/>
      <c r="AH59" s="379"/>
      <c r="AI59" s="379"/>
      <c r="AJ59" s="379"/>
      <c r="AK59" s="379"/>
      <c r="AL59" s="379"/>
      <c r="AM59" s="379"/>
      <c r="AN59" s="379"/>
      <c r="AO59" s="380"/>
      <c r="AP59" s="379"/>
      <c r="AQ59" s="379"/>
      <c r="AR59" s="379"/>
      <c r="AS59" s="379"/>
      <c r="AT59" s="379"/>
      <c r="AU59" s="379"/>
      <c r="AV59" s="379"/>
      <c r="AW59" s="379"/>
      <c r="AX59" s="379"/>
      <c r="AY59" s="379"/>
      <c r="AZ59" s="379"/>
      <c r="BA59" s="379"/>
      <c r="BB59" s="379"/>
      <c r="BC59" s="379"/>
      <c r="BD59" s="379"/>
      <c r="BE59" s="379"/>
      <c r="BF59" s="379"/>
      <c r="BG59" s="379"/>
      <c r="BH59" s="379"/>
      <c r="BI59" s="380"/>
      <c r="BJ59" s="379"/>
      <c r="BK59" s="379"/>
      <c r="BL59" s="379"/>
      <c r="BM59" s="379"/>
      <c r="BN59" s="379"/>
      <c r="BO59" s="379"/>
      <c r="BP59" s="379"/>
      <c r="BQ59" s="379"/>
      <c r="BR59" s="379"/>
      <c r="BS59" s="379"/>
      <c r="BT59" s="379"/>
      <c r="BU59" s="379"/>
      <c r="BV59" s="379"/>
      <c r="BW59" s="379"/>
      <c r="BX59" s="379"/>
      <c r="BY59" s="379"/>
      <c r="BZ59" s="380"/>
      <c r="CA59" s="1808">
        <v>3.1779999999999999</v>
      </c>
      <c r="CB59" s="1809"/>
      <c r="CC59" s="1794">
        <f>CA59/CO39</f>
        <v>1</v>
      </c>
      <c r="CD59" s="1793"/>
      <c r="CE59" s="1795">
        <v>0</v>
      </c>
      <c r="CF59" s="1795"/>
      <c r="CG59" s="1796">
        <f>CE59/CO39</f>
        <v>0</v>
      </c>
      <c r="CH59" s="1797"/>
      <c r="CI59" s="1798">
        <v>0</v>
      </c>
      <c r="CJ59" s="1798"/>
      <c r="CK59" s="1799">
        <f>CI59/CO39</f>
        <v>0</v>
      </c>
      <c r="CL59" s="1800"/>
      <c r="CM59" s="367">
        <f>CA59+CE59+CI59</f>
        <v>3.1779999999999999</v>
      </c>
      <c r="CN59" s="381">
        <f>CC59+CG59+CK59</f>
        <v>1</v>
      </c>
      <c r="CO59" s="377"/>
    </row>
    <row r="60" spans="1:93" ht="10.5" customHeight="1">
      <c r="A60" s="502"/>
      <c r="B60" s="365"/>
      <c r="U60" s="366"/>
      <c r="AO60" s="366"/>
      <c r="BI60" s="366"/>
      <c r="BZ60" s="366"/>
      <c r="CA60" s="1787" t="s">
        <v>54</v>
      </c>
      <c r="CB60" s="1788"/>
      <c r="CC60" s="1788"/>
      <c r="CD60" s="1788"/>
      <c r="CE60" s="1789" t="s">
        <v>54</v>
      </c>
      <c r="CF60" s="1789"/>
      <c r="CG60" s="1789"/>
      <c r="CH60" s="1789"/>
      <c r="CI60" s="1790" t="s">
        <v>54</v>
      </c>
      <c r="CJ60" s="1790"/>
      <c r="CK60" s="1790"/>
      <c r="CL60" s="1791"/>
      <c r="CM60" s="367" t="s">
        <v>54</v>
      </c>
      <c r="CN60" s="381" t="s">
        <v>54</v>
      </c>
      <c r="CO60" s="377"/>
    </row>
    <row r="61" spans="1:93" ht="4.5" customHeight="1">
      <c r="A61" s="501"/>
      <c r="B61" s="371"/>
      <c r="C61" s="371"/>
      <c r="D61" s="371"/>
      <c r="E61" s="371"/>
      <c r="F61" s="371"/>
      <c r="G61" s="371"/>
      <c r="H61" s="371"/>
      <c r="I61" s="371"/>
      <c r="J61" s="371"/>
      <c r="K61" s="371"/>
      <c r="L61" s="371"/>
      <c r="M61" s="371"/>
      <c r="N61" s="371"/>
      <c r="O61" s="371"/>
      <c r="P61" s="371"/>
      <c r="Q61" s="371"/>
      <c r="R61" s="371"/>
      <c r="S61" s="371"/>
      <c r="T61" s="371"/>
      <c r="U61" s="372"/>
      <c r="V61" s="371"/>
      <c r="W61" s="371"/>
      <c r="X61" s="371"/>
      <c r="Y61" s="371"/>
      <c r="Z61" s="371"/>
      <c r="AA61" s="371"/>
      <c r="AB61" s="371"/>
      <c r="AC61" s="371"/>
      <c r="AD61" s="371"/>
      <c r="AE61" s="371"/>
      <c r="AF61" s="371"/>
      <c r="AG61" s="371"/>
      <c r="AH61" s="371"/>
      <c r="AI61" s="371"/>
      <c r="AJ61" s="371"/>
      <c r="AK61" s="371"/>
      <c r="AL61" s="371"/>
      <c r="AM61" s="371"/>
      <c r="AN61" s="371"/>
      <c r="AO61" s="372"/>
      <c r="AP61" s="371"/>
      <c r="AQ61" s="371"/>
      <c r="AR61" s="371"/>
      <c r="AS61" s="371"/>
      <c r="AT61" s="371"/>
      <c r="AU61" s="371"/>
      <c r="AV61" s="371"/>
      <c r="AW61" s="371"/>
      <c r="AX61" s="371"/>
      <c r="AY61" s="371"/>
      <c r="AZ61" s="371"/>
      <c r="BA61" s="371"/>
      <c r="BB61" s="371"/>
      <c r="BC61" s="371"/>
      <c r="BD61" s="371"/>
      <c r="BE61" s="371"/>
      <c r="BF61" s="371"/>
      <c r="BG61" s="371"/>
      <c r="BH61" s="371"/>
      <c r="BI61" s="372"/>
      <c r="BJ61" s="371"/>
      <c r="BK61" s="371"/>
      <c r="BL61" s="371"/>
      <c r="BM61" s="371"/>
      <c r="BN61" s="371"/>
      <c r="BZ61" s="366"/>
      <c r="CA61" s="1787"/>
      <c r="CB61" s="1788"/>
      <c r="CC61" s="1788"/>
      <c r="CD61" s="1788"/>
      <c r="CE61" s="1789"/>
      <c r="CF61" s="1789"/>
      <c r="CG61" s="1789"/>
      <c r="CH61" s="1789"/>
      <c r="CI61" s="1790"/>
      <c r="CJ61" s="1790"/>
      <c r="CK61" s="1790"/>
      <c r="CL61" s="1791"/>
      <c r="CM61" s="367"/>
      <c r="CN61" s="377"/>
      <c r="CO61" s="377"/>
    </row>
    <row r="62" spans="1:93" ht="13.5" customHeight="1">
      <c r="A62" s="503" t="s">
        <v>59</v>
      </c>
      <c r="B62" s="378"/>
      <c r="C62" s="379"/>
      <c r="D62" s="379"/>
      <c r="E62" s="379"/>
      <c r="F62" s="379"/>
      <c r="G62" s="379"/>
      <c r="H62" s="379"/>
      <c r="I62" s="379"/>
      <c r="J62" s="379"/>
      <c r="K62" s="379"/>
      <c r="L62" s="379"/>
      <c r="M62" s="379"/>
      <c r="N62" s="379"/>
      <c r="O62" s="379"/>
      <c r="P62" s="379"/>
      <c r="Q62" s="379"/>
      <c r="R62" s="379"/>
      <c r="S62" s="379"/>
      <c r="T62" s="379"/>
      <c r="U62" s="380"/>
      <c r="V62" s="379"/>
      <c r="W62" s="379"/>
      <c r="X62" s="379"/>
      <c r="Y62" s="379"/>
      <c r="Z62" s="379"/>
      <c r="AA62" s="379"/>
      <c r="AB62" s="379"/>
      <c r="AC62" s="379"/>
      <c r="AD62" s="379"/>
      <c r="AE62" s="379"/>
      <c r="AF62" s="379"/>
      <c r="AG62" s="379"/>
      <c r="AH62" s="379"/>
      <c r="AI62" s="379"/>
      <c r="AJ62" s="379"/>
      <c r="AK62" s="379"/>
      <c r="AL62" s="379"/>
      <c r="AM62" s="379"/>
      <c r="AN62" s="379"/>
      <c r="AO62" s="380"/>
      <c r="AP62" s="379"/>
      <c r="AQ62" s="379"/>
      <c r="AR62" s="379"/>
      <c r="AS62" s="379"/>
      <c r="AT62" s="379"/>
      <c r="AU62" s="379"/>
      <c r="AV62" s="379"/>
      <c r="AW62" s="379"/>
      <c r="AX62" s="379"/>
      <c r="AY62" s="379"/>
      <c r="AZ62" s="379"/>
      <c r="BA62" s="379"/>
      <c r="BB62" s="379"/>
      <c r="BC62" s="379"/>
      <c r="BD62" s="379"/>
      <c r="BE62" s="379"/>
      <c r="BF62" s="379"/>
      <c r="BG62" s="379"/>
      <c r="BH62" s="379"/>
      <c r="BI62" s="380"/>
      <c r="BJ62" s="379"/>
      <c r="BK62" s="379"/>
      <c r="BL62" s="379"/>
      <c r="BM62" s="379"/>
      <c r="BN62" s="379"/>
      <c r="BO62" s="379"/>
      <c r="BP62" s="379"/>
      <c r="BQ62" s="379"/>
      <c r="BR62" s="379"/>
      <c r="BS62" s="379"/>
      <c r="BT62" s="379"/>
      <c r="BU62" s="379"/>
      <c r="BV62" s="379"/>
      <c r="BW62" s="379"/>
      <c r="BX62" s="379"/>
      <c r="BY62" s="379"/>
      <c r="BZ62" s="380"/>
      <c r="CA62" s="1808">
        <v>3.1779999999999999</v>
      </c>
      <c r="CB62" s="1809"/>
      <c r="CC62" s="1794">
        <f>CA62/CO39</f>
        <v>1</v>
      </c>
      <c r="CD62" s="1793"/>
      <c r="CE62" s="1795">
        <v>0</v>
      </c>
      <c r="CF62" s="1795"/>
      <c r="CG62" s="1796">
        <f>CE62/CO39</f>
        <v>0</v>
      </c>
      <c r="CH62" s="1797"/>
      <c r="CI62" s="1798">
        <v>0</v>
      </c>
      <c r="CJ62" s="1798"/>
      <c r="CK62" s="1799">
        <f>CI62/CO39</f>
        <v>0</v>
      </c>
      <c r="CL62" s="1800"/>
      <c r="CM62" s="367">
        <f>CA62+CE62+CI62</f>
        <v>3.1779999999999999</v>
      </c>
      <c r="CN62" s="381">
        <f>CC62+CG62+CK62</f>
        <v>1</v>
      </c>
    </row>
    <row r="63" spans="1:93" ht="10.5" customHeight="1">
      <c r="A63" s="501"/>
      <c r="B63" s="365"/>
      <c r="U63" s="366"/>
      <c r="AO63" s="366"/>
      <c r="BI63" s="366"/>
      <c r="BZ63" s="366"/>
      <c r="CA63" s="1787" t="s">
        <v>54</v>
      </c>
      <c r="CB63" s="1788"/>
      <c r="CC63" s="1788"/>
      <c r="CD63" s="1788"/>
      <c r="CE63" s="1789" t="s">
        <v>54</v>
      </c>
      <c r="CF63" s="1789"/>
      <c r="CG63" s="1789"/>
      <c r="CH63" s="1789"/>
      <c r="CI63" s="1790" t="s">
        <v>54</v>
      </c>
      <c r="CJ63" s="1790"/>
      <c r="CK63" s="1790"/>
      <c r="CL63" s="1791"/>
      <c r="CM63" s="387"/>
    </row>
    <row r="64" spans="1:93" ht="4.5" customHeight="1">
      <c r="A64" s="501"/>
      <c r="B64" s="371"/>
      <c r="C64" s="371"/>
      <c r="D64" s="371"/>
      <c r="E64" s="371"/>
      <c r="F64" s="371"/>
      <c r="G64" s="371"/>
      <c r="H64" s="371"/>
      <c r="I64" s="371"/>
      <c r="J64" s="371"/>
      <c r="K64" s="371"/>
      <c r="L64" s="371"/>
      <c r="M64" s="371"/>
      <c r="N64" s="371"/>
      <c r="O64" s="371"/>
      <c r="P64" s="371"/>
      <c r="Q64" s="371"/>
      <c r="R64" s="371"/>
      <c r="S64" s="371"/>
      <c r="T64" s="371"/>
      <c r="U64" s="372"/>
      <c r="V64" s="371"/>
      <c r="W64" s="371"/>
      <c r="X64" s="371"/>
      <c r="Y64" s="371"/>
      <c r="Z64" s="371"/>
      <c r="AA64" s="371"/>
      <c r="AB64" s="371"/>
      <c r="AC64" s="371"/>
      <c r="AD64" s="371"/>
      <c r="AE64" s="371"/>
      <c r="AF64" s="371"/>
      <c r="AG64" s="371"/>
      <c r="AH64" s="371"/>
      <c r="AI64" s="371"/>
      <c r="AJ64" s="371"/>
      <c r="AK64" s="371"/>
      <c r="AL64" s="371"/>
      <c r="AM64" s="371"/>
      <c r="AN64" s="371"/>
      <c r="AO64" s="372"/>
      <c r="AP64" s="371"/>
      <c r="AQ64" s="371"/>
      <c r="AR64" s="371"/>
      <c r="AS64" s="371"/>
      <c r="AT64" s="371"/>
      <c r="AU64" s="371"/>
      <c r="AV64" s="371"/>
      <c r="AW64" s="371"/>
      <c r="AX64" s="371"/>
      <c r="AY64" s="371"/>
      <c r="AZ64" s="371"/>
      <c r="BA64" s="371"/>
      <c r="BB64" s="371"/>
      <c r="BC64" s="371"/>
      <c r="BD64" s="371"/>
      <c r="BE64" s="371"/>
      <c r="BF64" s="371"/>
      <c r="BG64" s="371"/>
      <c r="BH64" s="371"/>
      <c r="BI64" s="372"/>
      <c r="BJ64" s="371"/>
      <c r="BK64" s="371"/>
      <c r="BL64" s="371"/>
      <c r="BM64" s="371"/>
      <c r="BN64" s="371"/>
      <c r="BZ64" s="366"/>
      <c r="CA64" s="1787"/>
      <c r="CB64" s="1788"/>
      <c r="CC64" s="1788"/>
      <c r="CD64" s="1788"/>
      <c r="CE64" s="1789"/>
      <c r="CF64" s="1789"/>
      <c r="CG64" s="1789"/>
      <c r="CH64" s="1789"/>
      <c r="CI64" s="1790"/>
      <c r="CJ64" s="1790"/>
      <c r="CK64" s="1790"/>
      <c r="CL64" s="1791"/>
      <c r="CM64" s="387"/>
    </row>
    <row r="65" spans="1:92" ht="13.5" customHeight="1" thickBot="1">
      <c r="A65" s="504" t="s">
        <v>575</v>
      </c>
      <c r="B65" s="388"/>
      <c r="C65" s="359"/>
      <c r="D65" s="359"/>
      <c r="E65" s="359"/>
      <c r="F65" s="359"/>
      <c r="G65" s="359"/>
      <c r="H65" s="359"/>
      <c r="I65" s="359"/>
      <c r="J65" s="359"/>
      <c r="K65" s="359"/>
      <c r="L65" s="359"/>
      <c r="M65" s="359"/>
      <c r="N65" s="359"/>
      <c r="O65" s="359"/>
      <c r="P65" s="359"/>
      <c r="Q65" s="359"/>
      <c r="R65" s="359"/>
      <c r="S65" s="359"/>
      <c r="T65" s="359"/>
      <c r="U65" s="389"/>
      <c r="V65" s="359"/>
      <c r="W65" s="359"/>
      <c r="X65" s="359"/>
      <c r="Y65" s="359"/>
      <c r="Z65" s="359"/>
      <c r="AA65" s="359"/>
      <c r="AB65" s="359"/>
      <c r="AC65" s="359"/>
      <c r="AD65" s="359"/>
      <c r="AE65" s="359"/>
      <c r="AF65" s="359"/>
      <c r="AG65" s="359"/>
      <c r="AH65" s="359"/>
      <c r="AI65" s="359"/>
      <c r="AJ65" s="359"/>
      <c r="AK65" s="359"/>
      <c r="AL65" s="359"/>
      <c r="AM65" s="359"/>
      <c r="AN65" s="359"/>
      <c r="AO65" s="389"/>
      <c r="AP65" s="359"/>
      <c r="AQ65" s="359"/>
      <c r="AR65" s="359"/>
      <c r="AS65" s="359"/>
      <c r="AT65" s="359"/>
      <c r="AU65" s="359"/>
      <c r="AV65" s="359"/>
      <c r="AW65" s="359"/>
      <c r="AX65" s="359"/>
      <c r="AY65" s="359"/>
      <c r="AZ65" s="359"/>
      <c r="BA65" s="359"/>
      <c r="BB65" s="359"/>
      <c r="BC65" s="359"/>
      <c r="BD65" s="359"/>
      <c r="BE65" s="359"/>
      <c r="BF65" s="359"/>
      <c r="BG65" s="359"/>
      <c r="BH65" s="359"/>
      <c r="BI65" s="389"/>
      <c r="BJ65" s="359"/>
      <c r="BK65" s="359"/>
      <c r="BL65" s="359"/>
      <c r="BM65" s="359"/>
      <c r="BN65" s="359"/>
      <c r="BO65" s="359"/>
      <c r="BP65" s="359"/>
      <c r="BQ65" s="359"/>
      <c r="BR65" s="359"/>
      <c r="BS65" s="359"/>
      <c r="BT65" s="359"/>
      <c r="BU65" s="359"/>
      <c r="BV65" s="359"/>
      <c r="BW65" s="359"/>
      <c r="BX65" s="359"/>
      <c r="BY65" s="359"/>
      <c r="BZ65" s="389"/>
      <c r="CA65" s="1808">
        <v>3.1779999999999999</v>
      </c>
      <c r="CB65" s="1809"/>
      <c r="CC65" s="1810">
        <f>CA65/CO39</f>
        <v>1</v>
      </c>
      <c r="CD65" s="1811"/>
      <c r="CE65" s="1812">
        <f>CO39-CA65</f>
        <v>0</v>
      </c>
      <c r="CF65" s="1812"/>
      <c r="CG65" s="1813">
        <f>CE65/CO39</f>
        <v>0</v>
      </c>
      <c r="CH65" s="1814"/>
      <c r="CI65" s="1815">
        <v>0</v>
      </c>
      <c r="CJ65" s="1815"/>
      <c r="CK65" s="1816">
        <f>CI65/CO39</f>
        <v>0</v>
      </c>
      <c r="CL65" s="1817"/>
      <c r="CM65" s="367">
        <f>CA65+CE65+CI65</f>
        <v>3.1779999999999999</v>
      </c>
      <c r="CN65" s="381">
        <f>CC65+CG65+CK65</f>
        <v>1</v>
      </c>
    </row>
    <row r="67" spans="1:92">
      <c r="CA67" s="1786" t="s">
        <v>440</v>
      </c>
      <c r="CB67" s="1786"/>
      <c r="CC67" s="1786"/>
      <c r="CD67" s="1786"/>
      <c r="CE67" s="1786"/>
      <c r="CF67" s="1786"/>
      <c r="CG67" s="1786"/>
      <c r="CH67" s="1786"/>
      <c r="CI67" s="1786"/>
      <c r="CJ67" s="1786"/>
      <c r="CK67" s="1786"/>
      <c r="CL67" s="1786"/>
      <c r="CM67" s="1786"/>
    </row>
  </sheetData>
  <mergeCells count="115">
    <mergeCell ref="CA65:CB65"/>
    <mergeCell ref="CC65:CD65"/>
    <mergeCell ref="CE65:CF65"/>
    <mergeCell ref="CG65:CH65"/>
    <mergeCell ref="CI65:CJ65"/>
    <mergeCell ref="CK65:CL65"/>
    <mergeCell ref="A34:A35"/>
    <mergeCell ref="CA63:CD64"/>
    <mergeCell ref="CA60:CD61"/>
    <mergeCell ref="CA57:CD58"/>
    <mergeCell ref="CA54:CD55"/>
    <mergeCell ref="CA51:CD52"/>
    <mergeCell ref="CA35:CL35"/>
    <mergeCell ref="CA36:CL36"/>
    <mergeCell ref="CE63:CH64"/>
    <mergeCell ref="CI63:CL64"/>
    <mergeCell ref="CA59:CB59"/>
    <mergeCell ref="CC59:CD59"/>
    <mergeCell ref="CE59:CF59"/>
    <mergeCell ref="CG59:CH59"/>
    <mergeCell ref="CI59:CJ59"/>
    <mergeCell ref="CK59:CL59"/>
    <mergeCell ref="CE60:CH61"/>
    <mergeCell ref="CI60:CL61"/>
    <mergeCell ref="CA62:CB62"/>
    <mergeCell ref="CC62:CD62"/>
    <mergeCell ref="CE62:CF62"/>
    <mergeCell ref="CG62:CH62"/>
    <mergeCell ref="CI62:CJ62"/>
    <mergeCell ref="CK62:CL62"/>
    <mergeCell ref="CE54:CH55"/>
    <mergeCell ref="CI54:CL55"/>
    <mergeCell ref="CA56:CB56"/>
    <mergeCell ref="CC56:CD56"/>
    <mergeCell ref="CE56:CF56"/>
    <mergeCell ref="CG56:CH56"/>
    <mergeCell ref="CI56:CJ56"/>
    <mergeCell ref="CK56:CL56"/>
    <mergeCell ref="CE57:CH58"/>
    <mergeCell ref="CI57:CL58"/>
    <mergeCell ref="CA50:CB50"/>
    <mergeCell ref="CC50:CD50"/>
    <mergeCell ref="CE50:CF50"/>
    <mergeCell ref="CG50:CH50"/>
    <mergeCell ref="CI50:CJ50"/>
    <mergeCell ref="CK50:CL50"/>
    <mergeCell ref="CE51:CH52"/>
    <mergeCell ref="CI51:CL52"/>
    <mergeCell ref="CA53:CB53"/>
    <mergeCell ref="CC53:CD53"/>
    <mergeCell ref="CE53:CF53"/>
    <mergeCell ref="CG53:CH53"/>
    <mergeCell ref="CI53:CJ53"/>
    <mergeCell ref="CK53:CL53"/>
    <mergeCell ref="CA47:CB47"/>
    <mergeCell ref="CC47:CD47"/>
    <mergeCell ref="CE47:CF47"/>
    <mergeCell ref="CG47:CH47"/>
    <mergeCell ref="CI47:CJ47"/>
    <mergeCell ref="CK47:CL47"/>
    <mergeCell ref="CA48:CD49"/>
    <mergeCell ref="CE48:CH49"/>
    <mergeCell ref="CI48:CL49"/>
    <mergeCell ref="CA41:CB41"/>
    <mergeCell ref="CC41:CD41"/>
    <mergeCell ref="CE41:CF41"/>
    <mergeCell ref="CG41:CH41"/>
    <mergeCell ref="CI41:CJ41"/>
    <mergeCell ref="CK41:CL41"/>
    <mergeCell ref="CA45:CD46"/>
    <mergeCell ref="CE45:CH46"/>
    <mergeCell ref="CI45:CL46"/>
    <mergeCell ref="CA39:CD40"/>
    <mergeCell ref="CE39:CH40"/>
    <mergeCell ref="CI39:CL40"/>
    <mergeCell ref="CA38:CB38"/>
    <mergeCell ref="CC38:CD38"/>
    <mergeCell ref="CE38:CF38"/>
    <mergeCell ref="CG38:CH38"/>
    <mergeCell ref="CI38:CJ38"/>
    <mergeCell ref="CK38:CL38"/>
    <mergeCell ref="A1:CL1"/>
    <mergeCell ref="A2:CL2"/>
    <mergeCell ref="A3:CL3"/>
    <mergeCell ref="A4:CL4"/>
    <mergeCell ref="B9:G9"/>
    <mergeCell ref="B10:G10"/>
    <mergeCell ref="B11:G11"/>
    <mergeCell ref="B12:G12"/>
    <mergeCell ref="AY16:CL16"/>
    <mergeCell ref="BX14:CL14"/>
    <mergeCell ref="B34:BZ34"/>
    <mergeCell ref="B36:U36"/>
    <mergeCell ref="V36:AO36"/>
    <mergeCell ref="AP36:BI36"/>
    <mergeCell ref="BJ36:BZ36"/>
    <mergeCell ref="B35:BZ35"/>
    <mergeCell ref="CA34:CL34"/>
    <mergeCell ref="CA67:CM67"/>
    <mergeCell ref="CA42:CD43"/>
    <mergeCell ref="CE42:CH43"/>
    <mergeCell ref="CI42:CL43"/>
    <mergeCell ref="CA44:CB44"/>
    <mergeCell ref="CC44:CD44"/>
    <mergeCell ref="CE44:CF44"/>
    <mergeCell ref="CG44:CH44"/>
    <mergeCell ref="CI44:CJ44"/>
    <mergeCell ref="CK44:CL44"/>
    <mergeCell ref="B37:U37"/>
    <mergeCell ref="V37:AO37"/>
    <mergeCell ref="AP37:BI37"/>
    <mergeCell ref="BJ37:BZ37"/>
    <mergeCell ref="CA37:CD37"/>
    <mergeCell ref="CE37:CH37"/>
    <mergeCell ref="CI37:CL37"/>
  </mergeCells>
  <hyperlinks>
    <hyperlink ref="CA67" location="'TABLA DE CONTENIDO'!A1" display="VOLVER A TABLA DE CONTENIDO"/>
  </hyperlinks>
  <printOptions horizontalCentered="1"/>
  <pageMargins left="0.39370078740157483" right="0.39370078740157483" top="1.299212598425197" bottom="0.39370078740157483" header="0.27559055118110237" footer="0.43307086614173229"/>
  <pageSetup paperSize="9" scale="70" orientation="portrait" r:id="rId1"/>
  <headerFooter alignWithMargins="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70"/>
  <sheetViews>
    <sheetView view="pageBreakPreview" zoomScaleNormal="100" zoomScaleSheetLayoutView="100" workbookViewId="0">
      <selection activeCell="F6" sqref="F6"/>
    </sheetView>
  </sheetViews>
  <sheetFormatPr baseColWidth="10" defaultRowHeight="12.75"/>
  <cols>
    <col min="1" max="1" width="25.7109375" customWidth="1"/>
    <col min="2" max="3" width="33.7109375" customWidth="1"/>
    <col min="4" max="4" width="9" customWidth="1"/>
    <col min="8" max="8" width="14.7109375" customWidth="1"/>
    <col min="10" max="10" width="19.140625" customWidth="1"/>
  </cols>
  <sheetData>
    <row r="1" spans="1:17" s="29" customFormat="1" ht="23.25">
      <c r="A1" s="1579" t="s">
        <v>0</v>
      </c>
      <c r="B1" s="1579"/>
      <c r="C1" s="1579"/>
    </row>
    <row r="2" spans="1:17" s="29" customFormat="1" ht="18">
      <c r="A2" s="1580" t="s">
        <v>531</v>
      </c>
      <c r="B2" s="1580"/>
      <c r="C2" s="1580"/>
    </row>
    <row r="3" spans="1:17" s="29" customFormat="1">
      <c r="A3" s="57"/>
      <c r="B3" s="28"/>
      <c r="C3" s="1"/>
    </row>
    <row r="4" spans="1:17" s="29" customFormat="1" ht="18">
      <c r="A4" s="1580" t="s">
        <v>151</v>
      </c>
      <c r="B4" s="1580"/>
      <c r="C4" s="1580"/>
    </row>
    <row r="5" spans="1:17" s="29" customFormat="1">
      <c r="A5" s="57"/>
      <c r="B5" s="28"/>
      <c r="C5" s="1"/>
    </row>
    <row r="6" spans="1:17" s="29" customFormat="1" ht="38.25" customHeight="1">
      <c r="A6" s="1821" t="s">
        <v>509</v>
      </c>
      <c r="B6" s="1821"/>
      <c r="C6" s="1821"/>
    </row>
    <row r="7" spans="1:17" s="29" customFormat="1" ht="18">
      <c r="A7" s="58"/>
      <c r="B7" s="59"/>
      <c r="C7" s="1"/>
    </row>
    <row r="8" spans="1:17" s="29" customFormat="1">
      <c r="A8" s="137" t="s">
        <v>147</v>
      </c>
      <c r="B8" s="203" t="str">
        <f>'CUMPLIMIENTO % '!C7</f>
        <v>LUIS GABRIEL IBARRA ANGEL</v>
      </c>
    </row>
    <row r="9" spans="1:17" s="29" customFormat="1">
      <c r="A9" s="137"/>
      <c r="C9"/>
    </row>
    <row r="10" spans="1:17" s="29" customFormat="1">
      <c r="A10" s="139" t="s">
        <v>409</v>
      </c>
      <c r="B10" s="1334" t="str">
        <f>PORTADA!C31</f>
        <v>OCTUBRE - DICIEMBRE DEL 2020</v>
      </c>
      <c r="C10" s="879"/>
      <c r="D10" s="879"/>
      <c r="E10" s="879"/>
      <c r="F10" s="879"/>
      <c r="G10" s="879"/>
      <c r="H10" s="879"/>
      <c r="I10" s="879"/>
      <c r="J10" s="879"/>
      <c r="K10" s="879"/>
      <c r="L10" s="879"/>
      <c r="M10" s="879"/>
      <c r="N10" s="879"/>
      <c r="O10" s="879"/>
      <c r="P10" s="879"/>
      <c r="Q10" s="879"/>
    </row>
    <row r="11" spans="1:17" s="29" customFormat="1">
      <c r="A11" s="42"/>
      <c r="C11"/>
    </row>
    <row r="12" spans="1:17" ht="13.5" thickBot="1"/>
    <row r="13" spans="1:17" ht="12.75" customHeight="1">
      <c r="A13" s="1822" t="s">
        <v>6</v>
      </c>
      <c r="B13" s="1822" t="s">
        <v>386</v>
      </c>
      <c r="C13" s="1822" t="s">
        <v>307</v>
      </c>
    </row>
    <row r="14" spans="1:17" ht="12.75" customHeight="1">
      <c r="A14" s="1823"/>
      <c r="B14" s="1823"/>
      <c r="C14" s="1823"/>
    </row>
    <row r="15" spans="1:17" ht="13.5" customHeight="1" thickBot="1">
      <c r="A15" s="1824"/>
      <c r="B15" s="1824"/>
      <c r="C15" s="1824"/>
      <c r="D15" s="1452" t="s">
        <v>368</v>
      </c>
      <c r="E15" s="1453" t="s">
        <v>96</v>
      </c>
      <c r="F15" s="1453" t="s">
        <v>97</v>
      </c>
      <c r="G15" s="1453" t="s">
        <v>98</v>
      </c>
    </row>
    <row r="16" spans="1:17">
      <c r="A16" s="1818" t="s">
        <v>622</v>
      </c>
      <c r="B16" s="61"/>
      <c r="C16" s="17"/>
      <c r="E16" s="65">
        <f>' CR.40-La Tamb (SEMAFORO VIS)'!CP41</f>
        <v>1</v>
      </c>
      <c r="F16" s="65">
        <f>' CR.40-La Tamb (SEMAFORO VIS)'!CQ41</f>
        <v>0</v>
      </c>
      <c r="G16" s="65"/>
      <c r="H16" s="827" t="s">
        <v>836</v>
      </c>
      <c r="J16" s="62"/>
      <c r="K16" s="63"/>
    </row>
    <row r="17" spans="1:11">
      <c r="A17" s="1819"/>
      <c r="B17" s="64"/>
      <c r="C17" s="18"/>
      <c r="E17" s="65">
        <v>1</v>
      </c>
      <c r="F17" s="65">
        <v>0</v>
      </c>
      <c r="G17" s="65"/>
      <c r="H17" s="65" t="s">
        <v>837</v>
      </c>
      <c r="J17" s="65"/>
      <c r="K17" s="63"/>
    </row>
    <row r="18" spans="1:11">
      <c r="A18" s="1819"/>
      <c r="B18" s="64"/>
      <c r="C18" s="18"/>
      <c r="H18" s="65"/>
      <c r="J18" s="65"/>
      <c r="K18" s="63"/>
    </row>
    <row r="19" spans="1:11">
      <c r="A19" s="1819"/>
      <c r="B19" s="64"/>
      <c r="C19" s="18"/>
    </row>
    <row r="20" spans="1:11">
      <c r="A20" s="1819"/>
      <c r="B20" s="64"/>
      <c r="C20" s="18"/>
    </row>
    <row r="21" spans="1:11">
      <c r="A21" s="1819"/>
      <c r="B21" s="64"/>
      <c r="C21" s="18"/>
    </row>
    <row r="22" spans="1:11">
      <c r="A22" s="1819"/>
      <c r="B22" s="64"/>
      <c r="C22" s="18"/>
    </row>
    <row r="23" spans="1:11">
      <c r="A23" s="1819"/>
      <c r="B23" s="64"/>
      <c r="C23" s="18"/>
    </row>
    <row r="24" spans="1:11">
      <c r="A24" s="1819"/>
      <c r="B24" s="64"/>
      <c r="C24" s="18"/>
    </row>
    <row r="25" spans="1:11" ht="13.5" thickBot="1">
      <c r="A25" s="1820"/>
      <c r="B25" s="66"/>
      <c r="C25" s="20"/>
    </row>
    <row r="26" spans="1:11" ht="15.75">
      <c r="A26" s="1818" t="s">
        <v>623</v>
      </c>
      <c r="B26" s="199"/>
      <c r="C26" s="67"/>
      <c r="E26" s="65">
        <v>1</v>
      </c>
      <c r="F26" s="65">
        <v>0</v>
      </c>
      <c r="G26" s="65">
        <f>' PASO ESP. (SEMAFORO VIS)'!DY40</f>
        <v>0</v>
      </c>
      <c r="H26" s="827" t="s">
        <v>836</v>
      </c>
    </row>
    <row r="27" spans="1:11" ht="15">
      <c r="A27" s="1819"/>
      <c r="B27" s="200"/>
      <c r="C27" s="60"/>
      <c r="E27" s="65">
        <v>1</v>
      </c>
      <c r="F27" s="65">
        <v>0</v>
      </c>
      <c r="G27" s="65">
        <v>0</v>
      </c>
      <c r="H27" s="65" t="s">
        <v>837</v>
      </c>
    </row>
    <row r="28" spans="1:11">
      <c r="A28" s="1819"/>
      <c r="B28" s="64"/>
      <c r="C28" s="18"/>
    </row>
    <row r="29" spans="1:11">
      <c r="A29" s="1819"/>
      <c r="B29" s="64"/>
      <c r="C29" s="18"/>
      <c r="H29" s="65"/>
      <c r="J29" s="65"/>
    </row>
    <row r="30" spans="1:11">
      <c r="A30" s="1819"/>
      <c r="B30" s="64"/>
      <c r="C30" s="18"/>
      <c r="H30" s="65"/>
      <c r="J30" s="65"/>
    </row>
    <row r="31" spans="1:11">
      <c r="A31" s="1819"/>
      <c r="B31" s="64"/>
      <c r="C31" s="18"/>
    </row>
    <row r="32" spans="1:11">
      <c r="A32" s="1819"/>
      <c r="B32" s="64"/>
      <c r="C32" s="18"/>
    </row>
    <row r="33" spans="1:10">
      <c r="A33" s="1819"/>
      <c r="B33" s="64"/>
      <c r="C33" s="18"/>
    </row>
    <row r="34" spans="1:10">
      <c r="A34" s="1819"/>
      <c r="B34" s="64"/>
      <c r="C34" s="18"/>
    </row>
    <row r="35" spans="1:10" ht="13.5" thickBot="1">
      <c r="A35" s="1820"/>
      <c r="B35" s="66"/>
      <c r="C35" s="20"/>
    </row>
    <row r="36" spans="1:10">
      <c r="A36" s="1818" t="s">
        <v>624</v>
      </c>
      <c r="B36" s="61"/>
      <c r="C36" s="17"/>
      <c r="E36" s="1456">
        <f>+SUM('ESTADO RED TEC'!E25:E27)/'ESTADO RED TEC'!E28</f>
        <v>0.75517241379310351</v>
      </c>
      <c r="F36" s="1456">
        <f>+'ESTADO RED TEC'!E24/'ESTADO RED TEC'!E28</f>
        <v>0.24482758620689657</v>
      </c>
      <c r="G36" s="65">
        <f>'PASO GUAMO (SEMAFORO VIS)'!CV41</f>
        <v>0</v>
      </c>
      <c r="H36" s="827" t="s">
        <v>836</v>
      </c>
      <c r="I36" s="65"/>
    </row>
    <row r="37" spans="1:10">
      <c r="A37" s="1819"/>
      <c r="B37" s="64"/>
      <c r="C37" s="18"/>
      <c r="E37" s="1456">
        <f>+SUM('ESTADO RED TEC'!E25:E27)/'ESTADO RED TEC'!E28</f>
        <v>0.75517241379310351</v>
      </c>
      <c r="F37" s="65">
        <v>0.24</v>
      </c>
      <c r="G37" s="65">
        <v>0</v>
      </c>
      <c r="H37" s="65" t="s">
        <v>837</v>
      </c>
    </row>
    <row r="38" spans="1:10">
      <c r="A38" s="1819"/>
      <c r="B38" s="64"/>
      <c r="C38" s="18"/>
      <c r="H38" s="65"/>
      <c r="J38" s="65"/>
    </row>
    <row r="39" spans="1:10">
      <c r="A39" s="1819"/>
      <c r="B39" s="64"/>
      <c r="C39" s="18"/>
      <c r="H39" s="65"/>
      <c r="J39" s="65"/>
    </row>
    <row r="40" spans="1:10">
      <c r="A40" s="1819"/>
      <c r="B40" s="64"/>
      <c r="C40" s="18"/>
      <c r="H40" s="65"/>
      <c r="J40" s="65"/>
    </row>
    <row r="41" spans="1:10">
      <c r="A41" s="1819"/>
      <c r="B41" s="64"/>
      <c r="C41" s="18"/>
    </row>
    <row r="42" spans="1:10">
      <c r="A42" s="1819"/>
      <c r="B42" s="64"/>
      <c r="C42" s="18"/>
    </row>
    <row r="43" spans="1:10">
      <c r="A43" s="1819"/>
      <c r="B43" s="64"/>
      <c r="C43" s="18"/>
    </row>
    <row r="44" spans="1:10">
      <c r="A44" s="1819"/>
      <c r="B44" s="64"/>
      <c r="C44" s="18"/>
    </row>
    <row r="45" spans="1:10" ht="13.5" thickBot="1">
      <c r="A45" s="1820"/>
      <c r="B45" s="66"/>
      <c r="C45" s="20"/>
    </row>
    <row r="46" spans="1:10" ht="15.75">
      <c r="A46" s="1818" t="s">
        <v>625</v>
      </c>
      <c r="B46" s="199"/>
      <c r="C46" s="67"/>
      <c r="E46" s="65">
        <f>+'ESTADO RED TEC'!I40/'ESTADO RED TEC'!E66</f>
        <v>0.91613083589600219</v>
      </c>
      <c r="F46" s="65">
        <v>0</v>
      </c>
      <c r="G46" s="65">
        <f>+'ESTADO RED TEC'!I41/'ESTADO RED TEC'!E66</f>
        <v>8.3869164103997751E-2</v>
      </c>
      <c r="H46" s="827" t="s">
        <v>836</v>
      </c>
    </row>
    <row r="47" spans="1:10" ht="15">
      <c r="A47" s="1819"/>
      <c r="B47" s="200"/>
      <c r="C47" s="60"/>
      <c r="E47" s="65">
        <v>0.92</v>
      </c>
      <c r="F47" s="65">
        <v>0</v>
      </c>
      <c r="G47" s="65">
        <v>0.08</v>
      </c>
      <c r="H47" s="65" t="s">
        <v>837</v>
      </c>
    </row>
    <row r="48" spans="1:10">
      <c r="A48" s="1819"/>
      <c r="B48" s="64"/>
      <c r="C48" s="18"/>
      <c r="E48" s="65"/>
      <c r="F48" s="65"/>
      <c r="G48" s="65"/>
    </row>
    <row r="49" spans="1:10">
      <c r="A49" s="1819"/>
      <c r="B49" s="64"/>
      <c r="C49" s="18"/>
      <c r="H49" s="65"/>
      <c r="J49" s="65"/>
    </row>
    <row r="50" spans="1:10">
      <c r="A50" s="1819"/>
      <c r="B50" s="64"/>
      <c r="C50" s="18"/>
      <c r="H50" s="65"/>
      <c r="J50" s="65"/>
    </row>
    <row r="51" spans="1:10">
      <c r="A51" s="1819"/>
      <c r="B51" s="64"/>
      <c r="C51" s="18"/>
    </row>
    <row r="52" spans="1:10">
      <c r="A52" s="1819"/>
      <c r="B52" s="64"/>
      <c r="C52" s="18"/>
    </row>
    <row r="53" spans="1:10">
      <c r="A53" s="1819"/>
      <c r="B53" s="64"/>
      <c r="C53" s="18"/>
    </row>
    <row r="54" spans="1:10">
      <c r="A54" s="1819"/>
      <c r="B54" s="64"/>
      <c r="C54" s="18"/>
    </row>
    <row r="55" spans="1:10" ht="13.5" thickBot="1">
      <c r="A55" s="1820"/>
      <c r="B55" s="66"/>
      <c r="C55" s="20"/>
    </row>
    <row r="56" spans="1:10">
      <c r="A56" s="1818" t="s">
        <v>626</v>
      </c>
      <c r="B56" s="61"/>
      <c r="C56" s="17"/>
      <c r="E56" s="65">
        <f>+'ESTADO RED TEC'!J72/'ESTADO RED TEC'!E118</f>
        <v>0.74152334152334165</v>
      </c>
      <c r="F56" s="65">
        <f>+'ESTADO RED TEC'!J73/'ESTADO RED TEC'!E118</f>
        <v>0.2166629439356712</v>
      </c>
      <c r="G56" s="65">
        <f>+'ESTADO RED TEC'!J74/'ESTADO RED TEC'!E118</f>
        <v>6.4150100513736874E-2</v>
      </c>
      <c r="H56" s="827" t="s">
        <v>836</v>
      </c>
    </row>
    <row r="57" spans="1:10">
      <c r="A57" s="1819"/>
      <c r="B57" s="64"/>
      <c r="C57" s="18"/>
      <c r="E57" s="65">
        <v>0.74</v>
      </c>
      <c r="F57" s="65">
        <v>0.22</v>
      </c>
      <c r="G57" s="65">
        <v>0.06</v>
      </c>
      <c r="H57" s="65" t="s">
        <v>837</v>
      </c>
    </row>
    <row r="58" spans="1:10">
      <c r="A58" s="1819"/>
      <c r="B58" s="64"/>
      <c r="C58" s="18"/>
      <c r="H58" s="65"/>
      <c r="J58" s="65"/>
    </row>
    <row r="59" spans="1:10">
      <c r="A59" s="1819"/>
      <c r="B59" s="64"/>
      <c r="C59" s="18"/>
      <c r="H59" s="65"/>
      <c r="J59" s="65"/>
    </row>
    <row r="60" spans="1:10">
      <c r="A60" s="1819"/>
      <c r="B60" s="64"/>
      <c r="C60" s="18"/>
      <c r="H60" s="65"/>
      <c r="J60" s="65"/>
    </row>
    <row r="61" spans="1:10">
      <c r="A61" s="1819"/>
      <c r="B61" s="64"/>
      <c r="C61" s="18"/>
    </row>
    <row r="62" spans="1:10">
      <c r="A62" s="1819"/>
      <c r="B62" s="64"/>
      <c r="C62" s="18"/>
    </row>
    <row r="63" spans="1:10">
      <c r="A63" s="1819"/>
      <c r="B63" s="64"/>
      <c r="C63" s="18"/>
    </row>
    <row r="64" spans="1:10">
      <c r="A64" s="1819"/>
      <c r="B64" s="64"/>
      <c r="C64" s="18"/>
    </row>
    <row r="65" spans="1:4" ht="13.5" thickBot="1">
      <c r="A65" s="1820"/>
      <c r="B65" s="66"/>
      <c r="C65" s="20"/>
    </row>
    <row r="67" spans="1:4">
      <c r="A67" s="198" t="s">
        <v>84</v>
      </c>
      <c r="B67" s="201"/>
    </row>
    <row r="68" spans="1:4">
      <c r="A68" s="6" t="s">
        <v>85</v>
      </c>
      <c r="D68" s="202"/>
    </row>
    <row r="69" spans="1:4">
      <c r="A69" s="6" t="s">
        <v>86</v>
      </c>
    </row>
    <row r="70" spans="1:4">
      <c r="A70" s="6" t="s">
        <v>87</v>
      </c>
      <c r="C70" s="250" t="s">
        <v>440</v>
      </c>
    </row>
  </sheetData>
  <mergeCells count="12">
    <mergeCell ref="A1:C1"/>
    <mergeCell ref="A2:C2"/>
    <mergeCell ref="A4:C4"/>
    <mergeCell ref="A6:C6"/>
    <mergeCell ref="A13:A15"/>
    <mergeCell ref="B13:B15"/>
    <mergeCell ref="C13:C15"/>
    <mergeCell ref="A16:A25"/>
    <mergeCell ref="A26:A35"/>
    <mergeCell ref="A36:A45"/>
    <mergeCell ref="A46:A55"/>
    <mergeCell ref="A56:A65"/>
  </mergeCells>
  <phoneticPr fontId="3" type="noConversion"/>
  <hyperlinks>
    <hyperlink ref="C70" location="'TABLA DE CONTENIDO'!A1" display="VOLVER A TABLA DE CONTENIDO"/>
  </hyperlinks>
  <printOptions horizontalCentered="1" verticalCentered="1"/>
  <pageMargins left="0.47244094488188981" right="0.51181102362204722" top="0.39370078740157483" bottom="0.6692913385826772" header="0.31496062992125984" footer="0.51181102362204722"/>
  <pageSetup scale="70" orientation="portrait" horizontalDpi="120" verticalDpi="144" r:id="rId1"/>
  <headerFooter alignWithMargins="0"/>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82"/>
  <sheetViews>
    <sheetView showGridLines="0" view="pageBreakPreview" zoomScaleNormal="75" zoomScaleSheetLayoutView="100" workbookViewId="0">
      <selection activeCell="A7" sqref="A7:G7"/>
    </sheetView>
  </sheetViews>
  <sheetFormatPr baseColWidth="10" defaultRowHeight="12.75"/>
  <cols>
    <col min="1" max="1" width="24.5703125" style="546" customWidth="1"/>
    <col min="2" max="2" width="15.5703125" style="546" customWidth="1"/>
    <col min="3" max="3" width="17" style="546" customWidth="1"/>
    <col min="4" max="4" width="48" style="546" customWidth="1"/>
    <col min="5" max="5" width="6.5703125" style="546" bestFit="1" customWidth="1"/>
    <col min="6" max="6" width="14" style="546" customWidth="1"/>
    <col min="7" max="7" width="19.140625" style="546" customWidth="1"/>
    <col min="8" max="16384" width="11.42578125" style="546"/>
  </cols>
  <sheetData>
    <row r="1" spans="1:9" ht="21" customHeight="1">
      <c r="A1" s="1849" t="s">
        <v>0</v>
      </c>
      <c r="B1" s="1849"/>
      <c r="C1" s="1849"/>
      <c r="D1" s="1849"/>
      <c r="E1" s="1849"/>
      <c r="F1" s="1849"/>
      <c r="G1" s="1849"/>
    </row>
    <row r="2" spans="1:9" ht="18">
      <c r="A2" s="1850" t="s">
        <v>627</v>
      </c>
      <c r="B2" s="1850"/>
      <c r="C2" s="1850"/>
      <c r="D2" s="1850"/>
      <c r="E2" s="1850"/>
      <c r="F2" s="1850"/>
      <c r="G2" s="1850"/>
    </row>
    <row r="3" spans="1:9" ht="9" customHeight="1">
      <c r="A3" s="547"/>
      <c r="B3" s="548"/>
      <c r="C3" s="548"/>
      <c r="D3" s="548"/>
      <c r="E3" s="548"/>
      <c r="F3" s="548"/>
      <c r="G3" s="548"/>
    </row>
    <row r="4" spans="1:9" ht="18" customHeight="1">
      <c r="A4" s="1850" t="s">
        <v>628</v>
      </c>
      <c r="B4" s="1850"/>
      <c r="C4" s="1850"/>
      <c r="D4" s="1850"/>
      <c r="E4" s="1850"/>
      <c r="F4" s="1850"/>
      <c r="G4" s="1850"/>
    </row>
    <row r="5" spans="1:9" ht="10.5" customHeight="1">
      <c r="A5" s="549"/>
      <c r="B5" s="549"/>
      <c r="C5" s="549"/>
      <c r="D5" s="549"/>
      <c r="E5" s="549"/>
      <c r="F5" s="549"/>
      <c r="G5" s="549"/>
    </row>
    <row r="6" spans="1:9" ht="18">
      <c r="A6" s="1851" t="s">
        <v>518</v>
      </c>
      <c r="B6" s="1851"/>
      <c r="C6" s="1851"/>
      <c r="D6" s="1851"/>
      <c r="E6" s="1851"/>
      <c r="F6" s="1851"/>
      <c r="G6" s="1851"/>
    </row>
    <row r="7" spans="1:9" ht="18.75" customHeight="1">
      <c r="A7" s="1851"/>
      <c r="B7" s="1851"/>
      <c r="C7" s="1851"/>
      <c r="D7" s="1851"/>
      <c r="E7" s="1851"/>
      <c r="F7" s="1851"/>
      <c r="G7" s="1851"/>
    </row>
    <row r="8" spans="1:9" ht="9.75" customHeight="1">
      <c r="A8" s="550"/>
      <c r="B8" s="550"/>
      <c r="C8" s="550"/>
      <c r="D8" s="550"/>
      <c r="F8" s="940"/>
      <c r="G8" s="940"/>
    </row>
    <row r="9" spans="1:9" ht="16.5" customHeight="1">
      <c r="A9" s="960" t="s">
        <v>147</v>
      </c>
      <c r="B9" s="546" t="str">
        <f>'CUMPLIMIENTO % '!C7</f>
        <v>LUIS GABRIEL IBARRA ANGEL</v>
      </c>
      <c r="D9" s="939" t="s">
        <v>306</v>
      </c>
      <c r="E9" s="1848" t="str">
        <f>PORTADA!C31</f>
        <v>OCTUBRE - DICIEMBRE DEL 2020</v>
      </c>
      <c r="F9" s="1848"/>
      <c r="G9" s="1848"/>
      <c r="H9" s="552"/>
      <c r="I9" s="552"/>
    </row>
    <row r="10" spans="1:9" ht="16.5" customHeight="1" thickBot="1">
      <c r="A10" s="553"/>
      <c r="C10" s="554"/>
      <c r="E10" s="941"/>
      <c r="F10" s="941"/>
      <c r="G10" s="941"/>
      <c r="H10" s="552"/>
      <c r="I10" s="552"/>
    </row>
    <row r="11" spans="1:9" ht="12.75" customHeight="1">
      <c r="A11" s="1846" t="s">
        <v>100</v>
      </c>
      <c r="B11" s="1842" t="s">
        <v>101</v>
      </c>
      <c r="C11" s="1842" t="s">
        <v>102</v>
      </c>
      <c r="D11" s="1842" t="s">
        <v>6</v>
      </c>
      <c r="E11" s="1844" t="s">
        <v>150</v>
      </c>
      <c r="F11" s="555" t="s">
        <v>103</v>
      </c>
      <c r="G11" s="1838" t="s">
        <v>105</v>
      </c>
    </row>
    <row r="12" spans="1:9" ht="12.75" customHeight="1" thickBot="1">
      <c r="A12" s="1847"/>
      <c r="B12" s="1843"/>
      <c r="C12" s="1843"/>
      <c r="D12" s="1843"/>
      <c r="E12" s="1845"/>
      <c r="F12" s="556" t="s">
        <v>104</v>
      </c>
      <c r="G12" s="1839"/>
    </row>
    <row r="13" spans="1:9" ht="13.5" customHeight="1">
      <c r="A13" s="1840" t="s">
        <v>543</v>
      </c>
      <c r="B13" s="557" t="s">
        <v>106</v>
      </c>
      <c r="C13" s="557" t="s">
        <v>533</v>
      </c>
      <c r="D13" s="1825" t="s">
        <v>629</v>
      </c>
      <c r="E13" s="557">
        <v>0.97499999999999998</v>
      </c>
      <c r="F13" s="1825" t="s">
        <v>14</v>
      </c>
      <c r="G13" s="558" t="s">
        <v>872</v>
      </c>
    </row>
    <row r="14" spans="1:9" ht="15.75" customHeight="1">
      <c r="A14" s="1841"/>
      <c r="B14" s="559" t="s">
        <v>533</v>
      </c>
      <c r="C14" s="559" t="s">
        <v>630</v>
      </c>
      <c r="D14" s="1826"/>
      <c r="E14" s="559">
        <v>0.97499999999999998</v>
      </c>
      <c r="F14" s="1826"/>
      <c r="G14" s="558" t="s">
        <v>872</v>
      </c>
    </row>
    <row r="15" spans="1:9" ht="15.75" customHeight="1">
      <c r="A15" s="1841"/>
      <c r="B15" s="559" t="s">
        <v>630</v>
      </c>
      <c r="C15" s="559" t="s">
        <v>107</v>
      </c>
      <c r="D15" s="1826"/>
      <c r="E15" s="559">
        <f>'[1]Estado Resumen'!$D$13</f>
        <v>0.996</v>
      </c>
      <c r="F15" s="1826"/>
      <c r="G15" s="558" t="s">
        <v>872</v>
      </c>
    </row>
    <row r="16" spans="1:9" ht="15" customHeight="1" thickBot="1">
      <c r="A16" s="1841"/>
      <c r="B16" s="560" t="s">
        <v>107</v>
      </c>
      <c r="C16" s="560" t="s">
        <v>544</v>
      </c>
      <c r="D16" s="1826"/>
      <c r="E16" s="560">
        <f>'[1]Estado Resumen'!$D$14</f>
        <v>0.224</v>
      </c>
      <c r="F16" s="1826"/>
      <c r="G16" s="558" t="str">
        <f>'[2]Estado Resumen'!$F$14</f>
        <v>Bueno</v>
      </c>
    </row>
    <row r="17" spans="1:9" ht="12.75" customHeight="1" thickBot="1">
      <c r="A17" s="561"/>
      <c r="B17" s="562"/>
      <c r="C17" s="562"/>
      <c r="D17" s="563" t="s">
        <v>483</v>
      </c>
      <c r="E17" s="564">
        <f>SUM(E13:E16)</f>
        <v>3.17</v>
      </c>
      <c r="F17" s="562"/>
      <c r="G17" s="565"/>
    </row>
    <row r="18" spans="1:9" ht="12.75" customHeight="1">
      <c r="A18" s="1833">
        <v>4507</v>
      </c>
      <c r="B18" s="1037" t="s">
        <v>879</v>
      </c>
      <c r="C18" s="1037" t="s">
        <v>858</v>
      </c>
      <c r="D18" s="1828" t="s">
        <v>675</v>
      </c>
      <c r="E18" s="1045">
        <v>0.54300000000000004</v>
      </c>
      <c r="F18" s="1826" t="str">
        <f>+F13</f>
        <v>P</v>
      </c>
      <c r="G18" s="1046" t="s">
        <v>872</v>
      </c>
      <c r="I18" s="887"/>
    </row>
    <row r="19" spans="1:9" ht="12.75" customHeight="1">
      <c r="A19" s="1833"/>
      <c r="B19" s="566" t="s">
        <v>858</v>
      </c>
      <c r="C19" s="566" t="s">
        <v>859</v>
      </c>
      <c r="D19" s="1828"/>
      <c r="E19" s="567">
        <v>1.06</v>
      </c>
      <c r="F19" s="1826"/>
      <c r="G19" s="558" t="s">
        <v>872</v>
      </c>
    </row>
    <row r="20" spans="1:9" ht="12.75" customHeight="1">
      <c r="A20" s="1833"/>
      <c r="B20" s="566" t="str">
        <f>+C19</f>
        <v>42+0000</v>
      </c>
      <c r="C20" s="566" t="s">
        <v>631</v>
      </c>
      <c r="D20" s="1828"/>
      <c r="E20" s="567">
        <v>0.86</v>
      </c>
      <c r="F20" s="1826"/>
      <c r="G20" s="558" t="str">
        <f>'[3]Estado Resumen'!$G$20</f>
        <v>Bueno</v>
      </c>
    </row>
    <row r="21" spans="1:9" ht="12.75" customHeight="1">
      <c r="A21" s="1833"/>
      <c r="B21" s="566" t="str">
        <f>+C20</f>
        <v>43+0000</v>
      </c>
      <c r="C21" s="566" t="s">
        <v>552</v>
      </c>
      <c r="D21" s="1828"/>
      <c r="E21" s="568">
        <v>1.157</v>
      </c>
      <c r="F21" s="1826"/>
      <c r="G21" s="558" t="str">
        <f>'[3]Estado Resumen'!$G$21</f>
        <v>Bueno</v>
      </c>
    </row>
    <row r="22" spans="1:9" ht="12.75" customHeight="1" thickBot="1">
      <c r="A22" s="1836"/>
      <c r="B22" s="566" t="str">
        <f>+C21</f>
        <v>44+0000</v>
      </c>
      <c r="C22" s="566" t="s">
        <v>546</v>
      </c>
      <c r="D22" s="1828"/>
      <c r="E22" s="568">
        <v>1.08</v>
      </c>
      <c r="F22" s="1826"/>
      <c r="G22" s="1046" t="s">
        <v>872</v>
      </c>
    </row>
    <row r="23" spans="1:9" ht="12.75" customHeight="1" thickBot="1">
      <c r="A23" s="561"/>
      <c r="B23" s="562"/>
      <c r="C23" s="562"/>
      <c r="D23" s="563" t="s">
        <v>483</v>
      </c>
      <c r="E23" s="569">
        <f>SUM(E18:E22)</f>
        <v>4.7</v>
      </c>
      <c r="F23" s="562"/>
      <c r="G23" s="565"/>
    </row>
    <row r="24" spans="1:9" ht="12.75" customHeight="1">
      <c r="A24" s="1833">
        <v>4507</v>
      </c>
      <c r="B24" s="570" t="s">
        <v>540</v>
      </c>
      <c r="C24" s="559" t="s">
        <v>844</v>
      </c>
      <c r="D24" s="1826" t="s">
        <v>539</v>
      </c>
      <c r="E24" s="567">
        <f>+'[4]Estado Resumen'!$D12</f>
        <v>0.99399999999999999</v>
      </c>
      <c r="F24" s="1826" t="str">
        <f>+F13</f>
        <v>P</v>
      </c>
      <c r="G24" s="558" t="s">
        <v>873</v>
      </c>
    </row>
    <row r="25" spans="1:9" ht="12.75" customHeight="1">
      <c r="A25" s="1833"/>
      <c r="B25" s="570" t="s">
        <v>844</v>
      </c>
      <c r="C25" s="559" t="s">
        <v>553</v>
      </c>
      <c r="D25" s="1826"/>
      <c r="E25" s="567">
        <f>+'[4]Estado Resumen'!$D13</f>
        <v>1</v>
      </c>
      <c r="F25" s="1826"/>
      <c r="G25" s="558" t="s">
        <v>872</v>
      </c>
    </row>
    <row r="26" spans="1:9" ht="12.75" customHeight="1">
      <c r="A26" s="1833"/>
      <c r="B26" s="570" t="s">
        <v>553</v>
      </c>
      <c r="C26" s="559" t="s">
        <v>564</v>
      </c>
      <c r="D26" s="1826"/>
      <c r="E26" s="567">
        <f>+'[4]Estado Resumen'!$D14</f>
        <v>1</v>
      </c>
      <c r="F26" s="1826"/>
      <c r="G26" s="558" t="s">
        <v>872</v>
      </c>
    </row>
    <row r="27" spans="1:9" ht="12.75" customHeight="1" thickBot="1">
      <c r="A27" s="1833"/>
      <c r="B27" s="570" t="s">
        <v>564</v>
      </c>
      <c r="C27" s="559" t="s">
        <v>541</v>
      </c>
      <c r="D27" s="1826"/>
      <c r="E27" s="567">
        <v>1.0660000000000001</v>
      </c>
      <c r="F27" s="1826"/>
      <c r="G27" s="558" t="s">
        <v>872</v>
      </c>
    </row>
    <row r="28" spans="1:9" ht="12.75" customHeight="1" thickBot="1">
      <c r="A28" s="561"/>
      <c r="B28" s="562"/>
      <c r="C28" s="562"/>
      <c r="D28" s="563" t="s">
        <v>483</v>
      </c>
      <c r="E28" s="564">
        <f>SUM(E24:E27)</f>
        <v>4.0599999999999996</v>
      </c>
      <c r="F28" s="562"/>
      <c r="G28" s="565"/>
    </row>
    <row r="29" spans="1:9" ht="12.75" customHeight="1">
      <c r="A29" s="1835">
        <v>3603</v>
      </c>
      <c r="B29" s="572" t="s">
        <v>106</v>
      </c>
      <c r="C29" s="573" t="s">
        <v>533</v>
      </c>
      <c r="D29" s="1834" t="s">
        <v>557</v>
      </c>
      <c r="E29" s="574">
        <v>0.73299999999999998</v>
      </c>
      <c r="F29" s="1825" t="s">
        <v>14</v>
      </c>
      <c r="G29" s="558" t="s">
        <v>872</v>
      </c>
    </row>
    <row r="30" spans="1:9" ht="12.75" customHeight="1">
      <c r="A30" s="1833"/>
      <c r="B30" s="575" t="s">
        <v>533</v>
      </c>
      <c r="C30" s="566" t="s">
        <v>630</v>
      </c>
      <c r="D30" s="1828"/>
      <c r="E30" s="574">
        <v>1.004</v>
      </c>
      <c r="F30" s="1826"/>
      <c r="G30" s="558" t="s">
        <v>872</v>
      </c>
    </row>
    <row r="31" spans="1:9" ht="12.75" customHeight="1">
      <c r="A31" s="1833"/>
      <c r="B31" s="575" t="s">
        <v>630</v>
      </c>
      <c r="C31" s="566" t="s">
        <v>107</v>
      </c>
      <c r="D31" s="1828"/>
      <c r="E31" s="574">
        <v>0.99299999999999999</v>
      </c>
      <c r="F31" s="1826"/>
      <c r="G31" s="558" t="s">
        <v>874</v>
      </c>
    </row>
    <row r="32" spans="1:9" ht="12.75" customHeight="1">
      <c r="A32" s="1833"/>
      <c r="B32" s="575" t="s">
        <v>107</v>
      </c>
      <c r="C32" s="566" t="s">
        <v>554</v>
      </c>
      <c r="D32" s="1828"/>
      <c r="E32" s="574">
        <v>1.0029999999999999</v>
      </c>
      <c r="F32" s="1826"/>
      <c r="G32" s="558" t="s">
        <v>874</v>
      </c>
    </row>
    <row r="33" spans="1:10" ht="12.75" customHeight="1">
      <c r="A33" s="1833"/>
      <c r="B33" s="575" t="s">
        <v>554</v>
      </c>
      <c r="C33" s="566" t="s">
        <v>558</v>
      </c>
      <c r="D33" s="1828"/>
      <c r="E33" s="574">
        <v>1.004</v>
      </c>
      <c r="F33" s="1826"/>
      <c r="G33" s="558" t="s">
        <v>874</v>
      </c>
    </row>
    <row r="34" spans="1:10" ht="12.75" customHeight="1">
      <c r="A34" s="1833"/>
      <c r="B34" s="575" t="s">
        <v>558</v>
      </c>
      <c r="C34" s="566" t="s">
        <v>108</v>
      </c>
      <c r="D34" s="1828"/>
      <c r="E34" s="574">
        <v>0.99199999999999999</v>
      </c>
      <c r="F34" s="1826"/>
      <c r="G34" s="558" t="s">
        <v>872</v>
      </c>
    </row>
    <row r="35" spans="1:10" ht="12.75" customHeight="1">
      <c r="A35" s="1833"/>
      <c r="B35" s="575" t="s">
        <v>108</v>
      </c>
      <c r="C35" s="566" t="s">
        <v>560</v>
      </c>
      <c r="D35" s="1828"/>
      <c r="E35" s="574">
        <v>0.98</v>
      </c>
      <c r="F35" s="1826"/>
      <c r="G35" s="558" t="s">
        <v>871</v>
      </c>
    </row>
    <row r="36" spans="1:10" ht="12.75" customHeight="1">
      <c r="A36" s="1833"/>
      <c r="B36" s="575" t="s">
        <v>560</v>
      </c>
      <c r="C36" s="566" t="s">
        <v>561</v>
      </c>
      <c r="D36" s="1828"/>
      <c r="E36" s="574">
        <v>1.016</v>
      </c>
      <c r="F36" s="1826"/>
      <c r="G36" s="558" t="s">
        <v>871</v>
      </c>
    </row>
    <row r="37" spans="1:10" ht="12.75" customHeight="1">
      <c r="A37" s="1833"/>
      <c r="B37" s="575" t="s">
        <v>561</v>
      </c>
      <c r="C37" s="566" t="s">
        <v>633</v>
      </c>
      <c r="D37" s="1828"/>
      <c r="E37" s="574">
        <v>0.98799999999999999</v>
      </c>
      <c r="F37" s="1826"/>
      <c r="G37" s="558" t="s">
        <v>871</v>
      </c>
      <c r="I37" s="1372"/>
    </row>
    <row r="38" spans="1:10" ht="12.75" customHeight="1">
      <c r="A38" s="1833"/>
      <c r="B38" s="575" t="s">
        <v>633</v>
      </c>
      <c r="C38" s="566" t="s">
        <v>555</v>
      </c>
      <c r="D38" s="1828"/>
      <c r="E38" s="574">
        <v>1.008</v>
      </c>
      <c r="F38" s="1826"/>
      <c r="G38" s="558" t="s">
        <v>871</v>
      </c>
    </row>
    <row r="39" spans="1:10" ht="12.75" customHeight="1">
      <c r="A39" s="1833"/>
      <c r="B39" s="575" t="s">
        <v>555</v>
      </c>
      <c r="C39" s="566" t="s">
        <v>634</v>
      </c>
      <c r="D39" s="1828"/>
      <c r="E39" s="574">
        <v>0.996</v>
      </c>
      <c r="F39" s="1826"/>
      <c r="G39" s="558" t="s">
        <v>871</v>
      </c>
    </row>
    <row r="40" spans="1:10" ht="12.75" customHeight="1">
      <c r="A40" s="1833"/>
      <c r="B40" s="575" t="s">
        <v>634</v>
      </c>
      <c r="C40" s="566" t="s">
        <v>641</v>
      </c>
      <c r="D40" s="1828"/>
      <c r="E40" s="574">
        <v>1.014</v>
      </c>
      <c r="F40" s="1826"/>
      <c r="G40" s="558" t="s">
        <v>871</v>
      </c>
      <c r="I40" s="1372">
        <f>+SUM(E29:E30)+SUM(E34:E65)</f>
        <v>32.770000000000003</v>
      </c>
      <c r="J40" s="546" t="s">
        <v>96</v>
      </c>
    </row>
    <row r="41" spans="1:10" ht="12.75" customHeight="1">
      <c r="A41" s="1833"/>
      <c r="B41" s="575" t="s">
        <v>641</v>
      </c>
      <c r="C41" s="566" t="s">
        <v>845</v>
      </c>
      <c r="D41" s="1828"/>
      <c r="E41" s="574">
        <v>0.98399999999999999</v>
      </c>
      <c r="F41" s="1826"/>
      <c r="G41" s="558" t="s">
        <v>871</v>
      </c>
      <c r="I41" s="1372">
        <f>+SUM(E31:E33)</f>
        <v>3</v>
      </c>
      <c r="J41" s="546" t="s">
        <v>98</v>
      </c>
    </row>
    <row r="42" spans="1:10" ht="12.75" customHeight="1">
      <c r="A42" s="1833"/>
      <c r="B42" s="575" t="s">
        <v>845</v>
      </c>
      <c r="C42" s="566" t="s">
        <v>846</v>
      </c>
      <c r="D42" s="1828"/>
      <c r="E42" s="574">
        <v>1.0129999999999999</v>
      </c>
      <c r="F42" s="1826"/>
      <c r="G42" s="558" t="s">
        <v>871</v>
      </c>
    </row>
    <row r="43" spans="1:10" ht="12.75" customHeight="1">
      <c r="A43" s="1833"/>
      <c r="B43" s="575" t="s">
        <v>846</v>
      </c>
      <c r="C43" s="566" t="s">
        <v>635</v>
      </c>
      <c r="D43" s="1828"/>
      <c r="E43" s="574">
        <v>1</v>
      </c>
      <c r="F43" s="1826"/>
      <c r="G43" s="558" t="s">
        <v>871</v>
      </c>
    </row>
    <row r="44" spans="1:10" ht="12.75" customHeight="1">
      <c r="A44" s="1833"/>
      <c r="B44" s="575" t="s">
        <v>635</v>
      </c>
      <c r="C44" s="566" t="s">
        <v>642</v>
      </c>
      <c r="D44" s="1828"/>
      <c r="E44" s="574">
        <v>0.97499999999999998</v>
      </c>
      <c r="F44" s="1826"/>
      <c r="G44" s="558" t="s">
        <v>871</v>
      </c>
    </row>
    <row r="45" spans="1:10" ht="12.75" customHeight="1">
      <c r="A45" s="1833"/>
      <c r="B45" s="575" t="s">
        <v>642</v>
      </c>
      <c r="C45" s="566" t="s">
        <v>636</v>
      </c>
      <c r="D45" s="1828"/>
      <c r="E45" s="574">
        <v>0.96399999999999997</v>
      </c>
      <c r="F45" s="1826"/>
      <c r="G45" s="558" t="s">
        <v>871</v>
      </c>
    </row>
    <row r="46" spans="1:10" ht="12.75" customHeight="1">
      <c r="A46" s="1833"/>
      <c r="B46" s="575" t="s">
        <v>636</v>
      </c>
      <c r="C46" s="566" t="s">
        <v>562</v>
      </c>
      <c r="D46" s="1828"/>
      <c r="E46" s="574">
        <v>0.98699999999999999</v>
      </c>
      <c r="F46" s="1826"/>
      <c r="G46" s="558" t="s">
        <v>871</v>
      </c>
    </row>
    <row r="47" spans="1:10" ht="12.75" customHeight="1">
      <c r="A47" s="1833"/>
      <c r="B47" s="575" t="s">
        <v>562</v>
      </c>
      <c r="C47" s="566" t="s">
        <v>637</v>
      </c>
      <c r="D47" s="1828"/>
      <c r="E47" s="574">
        <v>0.96799999999999997</v>
      </c>
      <c r="F47" s="1826"/>
      <c r="G47" s="558" t="s">
        <v>872</v>
      </c>
    </row>
    <row r="48" spans="1:10" ht="12.75" customHeight="1">
      <c r="A48" s="1833"/>
      <c r="B48" s="575" t="s">
        <v>637</v>
      </c>
      <c r="C48" s="566" t="s">
        <v>643</v>
      </c>
      <c r="D48" s="1828"/>
      <c r="E48" s="574">
        <v>0.95899999999999996</v>
      </c>
      <c r="F48" s="1826"/>
      <c r="G48" s="558" t="s">
        <v>872</v>
      </c>
    </row>
    <row r="49" spans="1:7" ht="12.75" customHeight="1">
      <c r="A49" s="1833"/>
      <c r="B49" s="575" t="s">
        <v>643</v>
      </c>
      <c r="C49" s="566" t="s">
        <v>563</v>
      </c>
      <c r="D49" s="1828"/>
      <c r="E49" s="574">
        <v>0.998</v>
      </c>
      <c r="F49" s="1826"/>
      <c r="G49" s="558" t="s">
        <v>871</v>
      </c>
    </row>
    <row r="50" spans="1:7" ht="12.75" customHeight="1">
      <c r="A50" s="1833"/>
      <c r="B50" s="575" t="s">
        <v>563</v>
      </c>
      <c r="C50" s="566" t="s">
        <v>638</v>
      </c>
      <c r="D50" s="1828"/>
      <c r="E50" s="574">
        <v>0.997</v>
      </c>
      <c r="F50" s="1826"/>
      <c r="G50" s="558" t="s">
        <v>871</v>
      </c>
    </row>
    <row r="51" spans="1:7" ht="12.75" customHeight="1">
      <c r="A51" s="1833"/>
      <c r="B51" s="575" t="s">
        <v>638</v>
      </c>
      <c r="C51" s="566" t="s">
        <v>639</v>
      </c>
      <c r="D51" s="1828"/>
      <c r="E51" s="574">
        <v>1.0009999999999999</v>
      </c>
      <c r="F51" s="1826"/>
      <c r="G51" s="558" t="s">
        <v>871</v>
      </c>
    </row>
    <row r="52" spans="1:7" ht="12.75" customHeight="1">
      <c r="A52" s="1833"/>
      <c r="B52" s="575" t="s">
        <v>639</v>
      </c>
      <c r="C52" s="566" t="s">
        <v>847</v>
      </c>
      <c r="D52" s="1828"/>
      <c r="E52" s="574">
        <v>1.01</v>
      </c>
      <c r="F52" s="1826"/>
      <c r="G52" s="558" t="s">
        <v>872</v>
      </c>
    </row>
    <row r="53" spans="1:7" ht="12.75" customHeight="1">
      <c r="A53" s="1833"/>
      <c r="B53" s="575" t="s">
        <v>847</v>
      </c>
      <c r="C53" s="566" t="s">
        <v>844</v>
      </c>
      <c r="D53" s="1828"/>
      <c r="E53" s="574">
        <v>0.97799999999999998</v>
      </c>
      <c r="F53" s="1826"/>
      <c r="G53" s="558" t="s">
        <v>871</v>
      </c>
    </row>
    <row r="54" spans="1:7" ht="12.75" customHeight="1">
      <c r="A54" s="1833"/>
      <c r="B54" s="575" t="s">
        <v>844</v>
      </c>
      <c r="C54" s="566" t="s">
        <v>553</v>
      </c>
      <c r="D54" s="1828"/>
      <c r="E54" s="574">
        <v>0.98499999999999999</v>
      </c>
      <c r="F54" s="1826"/>
      <c r="G54" s="558" t="s">
        <v>871</v>
      </c>
    </row>
    <row r="55" spans="1:7" ht="12.75" customHeight="1">
      <c r="A55" s="1833"/>
      <c r="B55" s="575" t="s">
        <v>553</v>
      </c>
      <c r="C55" s="566" t="s">
        <v>564</v>
      </c>
      <c r="D55" s="1828"/>
      <c r="E55" s="574">
        <v>0.998</v>
      </c>
      <c r="F55" s="1826"/>
      <c r="G55" s="558" t="s">
        <v>871</v>
      </c>
    </row>
    <row r="56" spans="1:7" ht="12.75" customHeight="1">
      <c r="A56" s="1833"/>
      <c r="B56" s="575" t="s">
        <v>564</v>
      </c>
      <c r="C56" s="566" t="s">
        <v>644</v>
      </c>
      <c r="D56" s="1828"/>
      <c r="E56" s="574">
        <v>0.99299999999999999</v>
      </c>
      <c r="F56" s="1826"/>
      <c r="G56" s="558" t="s">
        <v>871</v>
      </c>
    </row>
    <row r="57" spans="1:7" ht="12.75" customHeight="1">
      <c r="A57" s="1833"/>
      <c r="B57" s="575" t="s">
        <v>644</v>
      </c>
      <c r="C57" s="566" t="s">
        <v>848</v>
      </c>
      <c r="D57" s="1828"/>
      <c r="E57" s="574">
        <v>1.004</v>
      </c>
      <c r="F57" s="1826"/>
      <c r="G57" s="558" t="s">
        <v>872</v>
      </c>
    </row>
    <row r="58" spans="1:7" ht="12.75" customHeight="1">
      <c r="A58" s="1833"/>
      <c r="B58" s="575" t="s">
        <v>848</v>
      </c>
      <c r="C58" s="566" t="s">
        <v>849</v>
      </c>
      <c r="D58" s="1828"/>
      <c r="E58" s="574">
        <v>0.98599999999999999</v>
      </c>
      <c r="F58" s="1826"/>
      <c r="G58" s="558" t="s">
        <v>871</v>
      </c>
    </row>
    <row r="59" spans="1:7" ht="12.75" customHeight="1">
      <c r="A59" s="1833"/>
      <c r="B59" s="575" t="s">
        <v>849</v>
      </c>
      <c r="C59" s="566" t="s">
        <v>850</v>
      </c>
      <c r="D59" s="1828"/>
      <c r="E59" s="574">
        <v>1.002</v>
      </c>
      <c r="F59" s="1826"/>
      <c r="G59" s="558" t="s">
        <v>871</v>
      </c>
    </row>
    <row r="60" spans="1:7" ht="12.75" customHeight="1">
      <c r="A60" s="1833"/>
      <c r="B60" s="575" t="s">
        <v>850</v>
      </c>
      <c r="C60" s="566" t="s">
        <v>851</v>
      </c>
      <c r="D60" s="1828"/>
      <c r="E60" s="574">
        <v>0.99199999999999999</v>
      </c>
      <c r="F60" s="1826"/>
      <c r="G60" s="558" t="s">
        <v>871</v>
      </c>
    </row>
    <row r="61" spans="1:7" ht="12.75" customHeight="1">
      <c r="A61" s="1833"/>
      <c r="B61" s="575" t="s">
        <v>851</v>
      </c>
      <c r="C61" s="566" t="s">
        <v>852</v>
      </c>
      <c r="D61" s="1828"/>
      <c r="E61" s="574">
        <v>0.998</v>
      </c>
      <c r="F61" s="1826"/>
      <c r="G61" s="558" t="s">
        <v>871</v>
      </c>
    </row>
    <row r="62" spans="1:7" ht="12.75" customHeight="1">
      <c r="A62" s="1833"/>
      <c r="B62" s="575" t="s">
        <v>852</v>
      </c>
      <c r="C62" s="566" t="s">
        <v>640</v>
      </c>
      <c r="D62" s="1828"/>
      <c r="E62" s="574">
        <v>0.99399999999999999</v>
      </c>
      <c r="F62" s="1826"/>
      <c r="G62" s="558" t="s">
        <v>872</v>
      </c>
    </row>
    <row r="63" spans="1:7" ht="12.75" customHeight="1">
      <c r="A63" s="1833"/>
      <c r="B63" s="575" t="s">
        <v>640</v>
      </c>
      <c r="C63" s="566" t="s">
        <v>556</v>
      </c>
      <c r="D63" s="1828"/>
      <c r="E63" s="574">
        <v>1</v>
      </c>
      <c r="F63" s="1826"/>
      <c r="G63" s="558" t="s">
        <v>871</v>
      </c>
    </row>
    <row r="64" spans="1:7" ht="12.75" customHeight="1">
      <c r="A64" s="1833"/>
      <c r="B64" s="575" t="s">
        <v>556</v>
      </c>
      <c r="C64" s="566" t="s">
        <v>853</v>
      </c>
      <c r="D64" s="1828"/>
      <c r="E64" s="574">
        <v>1</v>
      </c>
      <c r="F64" s="1826"/>
      <c r="G64" s="558" t="s">
        <v>871</v>
      </c>
    </row>
    <row r="65" spans="1:11" ht="12.75" customHeight="1" thickBot="1">
      <c r="A65" s="1836"/>
      <c r="B65" s="575" t="s">
        <v>853</v>
      </c>
      <c r="C65" s="566" t="s">
        <v>537</v>
      </c>
      <c r="D65" s="1828"/>
      <c r="E65" s="574">
        <v>0.253</v>
      </c>
      <c r="F65" s="1826"/>
      <c r="G65" s="558" t="s">
        <v>871</v>
      </c>
      <c r="I65" s="1372"/>
    </row>
    <row r="66" spans="1:11" ht="12.75" customHeight="1" thickBot="1">
      <c r="A66" s="576" t="s">
        <v>54</v>
      </c>
      <c r="B66" s="577"/>
      <c r="C66" s="577"/>
      <c r="D66" s="578" t="s">
        <v>483</v>
      </c>
      <c r="E66" s="579">
        <f>SUM(E29:E65)</f>
        <v>35.770000000000003</v>
      </c>
      <c r="F66" s="580"/>
      <c r="G66" s="565"/>
    </row>
    <row r="67" spans="1:11">
      <c r="A67" s="1835">
        <v>3602</v>
      </c>
      <c r="B67" s="573" t="s">
        <v>533</v>
      </c>
      <c r="C67" s="573" t="s">
        <v>630</v>
      </c>
      <c r="D67" s="1834" t="s">
        <v>565</v>
      </c>
      <c r="E67" s="581">
        <v>0.83699999999999997</v>
      </c>
      <c r="F67" s="1825" t="s">
        <v>14</v>
      </c>
      <c r="G67" s="558" t="s">
        <v>871</v>
      </c>
    </row>
    <row r="68" spans="1:11">
      <c r="A68" s="1833"/>
      <c r="B68" s="575" t="s">
        <v>630</v>
      </c>
      <c r="C68" s="566" t="s">
        <v>107</v>
      </c>
      <c r="D68" s="1828"/>
      <c r="E68" s="574">
        <v>0.95599999999999996</v>
      </c>
      <c r="F68" s="1826"/>
      <c r="G68" s="558" t="s">
        <v>871</v>
      </c>
    </row>
    <row r="69" spans="1:11">
      <c r="A69" s="1833"/>
      <c r="B69" s="575" t="s">
        <v>107</v>
      </c>
      <c r="C69" s="566" t="s">
        <v>554</v>
      </c>
      <c r="D69" s="1828"/>
      <c r="E69" s="574">
        <v>0.95499999999999996</v>
      </c>
      <c r="F69" s="1826"/>
      <c r="G69" s="558" t="s">
        <v>871</v>
      </c>
    </row>
    <row r="70" spans="1:11">
      <c r="A70" s="1833"/>
      <c r="B70" s="575" t="s">
        <v>554</v>
      </c>
      <c r="C70" s="566" t="s">
        <v>558</v>
      </c>
      <c r="D70" s="1828"/>
      <c r="E70" s="574">
        <v>0.95099999999999996</v>
      </c>
      <c r="F70" s="1826"/>
      <c r="G70" s="558" t="s">
        <v>871</v>
      </c>
    </row>
    <row r="71" spans="1:11">
      <c r="A71" s="1833"/>
      <c r="B71" s="575" t="s">
        <v>558</v>
      </c>
      <c r="C71" s="566" t="s">
        <v>108</v>
      </c>
      <c r="D71" s="1828"/>
      <c r="E71" s="574">
        <v>0.94199999999999995</v>
      </c>
      <c r="F71" s="1826"/>
      <c r="G71" s="558" t="s">
        <v>871</v>
      </c>
    </row>
    <row r="72" spans="1:11">
      <c r="A72" s="1833"/>
      <c r="B72" s="575" t="s">
        <v>108</v>
      </c>
      <c r="C72" s="566" t="s">
        <v>560</v>
      </c>
      <c r="D72" s="1828"/>
      <c r="E72" s="574">
        <v>0.97499999999999998</v>
      </c>
      <c r="F72" s="1826"/>
      <c r="G72" s="558" t="s">
        <v>871</v>
      </c>
      <c r="J72" s="1372">
        <f>+SUM(E67:E73)+SUM(E84:E107)+SUM(E110:E113)</f>
        <v>33.198</v>
      </c>
      <c r="K72" s="546" t="s">
        <v>96</v>
      </c>
    </row>
    <row r="73" spans="1:11">
      <c r="A73" s="1833"/>
      <c r="B73" s="575" t="s">
        <v>560</v>
      </c>
      <c r="C73" s="566" t="s">
        <v>561</v>
      </c>
      <c r="D73" s="1828"/>
      <c r="E73" s="574">
        <v>0.98499999999999999</v>
      </c>
      <c r="F73" s="1826"/>
      <c r="G73" s="558" t="s">
        <v>871</v>
      </c>
      <c r="J73" s="1372">
        <f>+SUM(E74:E80)+SUM(E82:E83)+E89</f>
        <v>9.6999999999999993</v>
      </c>
      <c r="K73" s="546" t="s">
        <v>97</v>
      </c>
    </row>
    <row r="74" spans="1:11">
      <c r="A74" s="1833"/>
      <c r="B74" s="575" t="s">
        <v>561</v>
      </c>
      <c r="C74" s="566" t="s">
        <v>633</v>
      </c>
      <c r="D74" s="1828"/>
      <c r="E74" s="574">
        <v>0.95899999999999996</v>
      </c>
      <c r="F74" s="1826"/>
      <c r="G74" s="558" t="s">
        <v>873</v>
      </c>
      <c r="J74" s="1372">
        <f>+E81+E108+E109</f>
        <v>2.8719999999999999</v>
      </c>
      <c r="K74" s="546" t="s">
        <v>98</v>
      </c>
    </row>
    <row r="75" spans="1:11">
      <c r="A75" s="1833"/>
      <c r="B75" s="575" t="s">
        <v>633</v>
      </c>
      <c r="C75" s="566" t="s">
        <v>555</v>
      </c>
      <c r="D75" s="1828"/>
      <c r="E75" s="574">
        <v>0.98699999999999999</v>
      </c>
      <c r="F75" s="1826"/>
      <c r="G75" s="558" t="s">
        <v>873</v>
      </c>
    </row>
    <row r="76" spans="1:11">
      <c r="A76" s="1833"/>
      <c r="B76" s="575" t="s">
        <v>555</v>
      </c>
      <c r="C76" s="566" t="s">
        <v>634</v>
      </c>
      <c r="D76" s="1828"/>
      <c r="E76" s="574">
        <v>0.96299999999999997</v>
      </c>
      <c r="F76" s="1826"/>
      <c r="G76" s="558" t="s">
        <v>873</v>
      </c>
    </row>
    <row r="77" spans="1:11">
      <c r="A77" s="1833"/>
      <c r="B77" s="575" t="s">
        <v>634</v>
      </c>
      <c r="C77" s="566" t="s">
        <v>641</v>
      </c>
      <c r="D77" s="1828"/>
      <c r="E77" s="574">
        <v>0.95099999999999996</v>
      </c>
      <c r="F77" s="1826"/>
      <c r="G77" s="558" t="s">
        <v>873</v>
      </c>
    </row>
    <row r="78" spans="1:11">
      <c r="A78" s="1833"/>
      <c r="B78" s="575" t="s">
        <v>641</v>
      </c>
      <c r="C78" s="566" t="s">
        <v>845</v>
      </c>
      <c r="D78" s="1828"/>
      <c r="E78" s="574">
        <v>0.95699999999999996</v>
      </c>
      <c r="F78" s="1826"/>
      <c r="G78" s="558" t="s">
        <v>873</v>
      </c>
    </row>
    <row r="79" spans="1:11">
      <c r="A79" s="1833"/>
      <c r="B79" s="575" t="s">
        <v>845</v>
      </c>
      <c r="C79" s="566" t="s">
        <v>846</v>
      </c>
      <c r="D79" s="1828"/>
      <c r="E79" s="574">
        <v>0.95899999999999996</v>
      </c>
      <c r="F79" s="1826"/>
      <c r="G79" s="558" t="s">
        <v>873</v>
      </c>
    </row>
    <row r="80" spans="1:11">
      <c r="A80" s="1833"/>
      <c r="B80" s="575" t="s">
        <v>846</v>
      </c>
      <c r="C80" s="566" t="s">
        <v>635</v>
      </c>
      <c r="D80" s="1828"/>
      <c r="E80" s="574">
        <v>0.98099999999999998</v>
      </c>
      <c r="F80" s="1826"/>
      <c r="G80" s="558" t="s">
        <v>873</v>
      </c>
    </row>
    <row r="81" spans="1:7">
      <c r="A81" s="1833"/>
      <c r="B81" s="575" t="s">
        <v>635</v>
      </c>
      <c r="C81" s="566" t="s">
        <v>642</v>
      </c>
      <c r="D81" s="1828"/>
      <c r="E81" s="574">
        <v>0.97299999999999998</v>
      </c>
      <c r="F81" s="1826"/>
      <c r="G81" s="558" t="s">
        <v>874</v>
      </c>
    </row>
    <row r="82" spans="1:7">
      <c r="A82" s="1833"/>
      <c r="B82" s="575" t="s">
        <v>642</v>
      </c>
      <c r="C82" s="566" t="s">
        <v>636</v>
      </c>
      <c r="D82" s="1828"/>
      <c r="E82" s="574">
        <v>0.97799999999999998</v>
      </c>
      <c r="F82" s="1826"/>
      <c r="G82" s="558" t="s">
        <v>873</v>
      </c>
    </row>
    <row r="83" spans="1:7">
      <c r="A83" s="1833"/>
      <c r="B83" s="575" t="s">
        <v>636</v>
      </c>
      <c r="C83" s="566" t="s">
        <v>562</v>
      </c>
      <c r="D83" s="1828"/>
      <c r="E83" s="574">
        <v>0.96499999999999997</v>
      </c>
      <c r="F83" s="1826"/>
      <c r="G83" s="558" t="s">
        <v>873</v>
      </c>
    </row>
    <row r="84" spans="1:7">
      <c r="A84" s="1833"/>
      <c r="B84" s="575" t="s">
        <v>562</v>
      </c>
      <c r="C84" s="566" t="s">
        <v>637</v>
      </c>
      <c r="D84" s="1828"/>
      <c r="E84" s="574">
        <v>0.98599999999999999</v>
      </c>
      <c r="F84" s="1826"/>
      <c r="G84" s="558" t="s">
        <v>872</v>
      </c>
    </row>
    <row r="85" spans="1:7">
      <c r="A85" s="1833"/>
      <c r="B85" s="575" t="s">
        <v>637</v>
      </c>
      <c r="C85" s="566" t="s">
        <v>643</v>
      </c>
      <c r="D85" s="1828"/>
      <c r="E85" s="574">
        <v>0.98299999999999998</v>
      </c>
      <c r="F85" s="1826"/>
      <c r="G85" s="558" t="s">
        <v>871</v>
      </c>
    </row>
    <row r="86" spans="1:7">
      <c r="A86" s="1833"/>
      <c r="B86" s="575" t="s">
        <v>643</v>
      </c>
      <c r="C86" s="566" t="s">
        <v>563</v>
      </c>
      <c r="D86" s="1828"/>
      <c r="E86" s="574">
        <v>0.98899999999999999</v>
      </c>
      <c r="F86" s="1826"/>
      <c r="G86" s="558" t="s">
        <v>872</v>
      </c>
    </row>
    <row r="87" spans="1:7">
      <c r="A87" s="1833"/>
      <c r="B87" s="575" t="s">
        <v>563</v>
      </c>
      <c r="C87" s="566" t="s">
        <v>638</v>
      </c>
      <c r="D87" s="1828"/>
      <c r="E87" s="574">
        <v>0.99099999999999999</v>
      </c>
      <c r="F87" s="1826"/>
      <c r="G87" s="558" t="s">
        <v>872</v>
      </c>
    </row>
    <row r="88" spans="1:7">
      <c r="A88" s="1833"/>
      <c r="B88" s="575" t="s">
        <v>638</v>
      </c>
      <c r="C88" s="566" t="s">
        <v>639</v>
      </c>
      <c r="D88" s="1828"/>
      <c r="E88" s="574">
        <v>0.97699999999999998</v>
      </c>
      <c r="F88" s="1826"/>
      <c r="G88" s="558" t="s">
        <v>872</v>
      </c>
    </row>
    <row r="89" spans="1:7">
      <c r="A89" s="1833"/>
      <c r="B89" s="575" t="s">
        <v>639</v>
      </c>
      <c r="C89" s="566" t="s">
        <v>847</v>
      </c>
      <c r="D89" s="1828"/>
      <c r="E89" s="574">
        <v>1</v>
      </c>
      <c r="F89" s="1826"/>
      <c r="G89" s="558" t="s">
        <v>873</v>
      </c>
    </row>
    <row r="90" spans="1:7">
      <c r="A90" s="1833"/>
      <c r="B90" s="575" t="s">
        <v>847</v>
      </c>
      <c r="C90" s="566" t="s">
        <v>844</v>
      </c>
      <c r="D90" s="1828"/>
      <c r="E90" s="574">
        <v>1</v>
      </c>
      <c r="F90" s="1826"/>
      <c r="G90" s="558" t="s">
        <v>872</v>
      </c>
    </row>
    <row r="91" spans="1:7">
      <c r="A91" s="1833"/>
      <c r="B91" s="575" t="s">
        <v>844</v>
      </c>
      <c r="C91" s="566" t="s">
        <v>553</v>
      </c>
      <c r="D91" s="1828"/>
      <c r="E91" s="574">
        <v>0.92500000000000004</v>
      </c>
      <c r="F91" s="1826"/>
      <c r="G91" s="558" t="s">
        <v>872</v>
      </c>
    </row>
    <row r="92" spans="1:7">
      <c r="A92" s="1833"/>
      <c r="B92" s="575" t="s">
        <v>553</v>
      </c>
      <c r="C92" s="566" t="s">
        <v>564</v>
      </c>
      <c r="D92" s="1828"/>
      <c r="E92" s="574">
        <v>0.98299999999999998</v>
      </c>
      <c r="F92" s="1826"/>
      <c r="G92" s="558" t="s">
        <v>871</v>
      </c>
    </row>
    <row r="93" spans="1:7">
      <c r="A93" s="1833"/>
      <c r="B93" s="575" t="s">
        <v>564</v>
      </c>
      <c r="C93" s="566" t="s">
        <v>644</v>
      </c>
      <c r="D93" s="1828"/>
      <c r="E93" s="574">
        <v>0.96699999999999997</v>
      </c>
      <c r="F93" s="1826"/>
      <c r="G93" s="558" t="s">
        <v>871</v>
      </c>
    </row>
    <row r="94" spans="1:7">
      <c r="A94" s="1833"/>
      <c r="B94" s="575" t="s">
        <v>644</v>
      </c>
      <c r="C94" s="566" t="s">
        <v>848</v>
      </c>
      <c r="D94" s="1828"/>
      <c r="E94" s="574">
        <v>0.92300000000000004</v>
      </c>
      <c r="F94" s="1826"/>
      <c r="G94" s="558" t="s">
        <v>871</v>
      </c>
    </row>
    <row r="95" spans="1:7">
      <c r="A95" s="1833"/>
      <c r="B95" s="575" t="s">
        <v>848</v>
      </c>
      <c r="C95" s="566" t="s">
        <v>849</v>
      </c>
      <c r="D95" s="1828"/>
      <c r="E95" s="574">
        <v>0.95899999999999996</v>
      </c>
      <c r="F95" s="1826"/>
      <c r="G95" s="558" t="s">
        <v>871</v>
      </c>
    </row>
    <row r="96" spans="1:7">
      <c r="A96" s="1833"/>
      <c r="B96" s="575" t="s">
        <v>849</v>
      </c>
      <c r="C96" s="566" t="s">
        <v>850</v>
      </c>
      <c r="D96" s="1828"/>
      <c r="E96" s="574">
        <v>0.96899999999999997</v>
      </c>
      <c r="F96" s="1826"/>
      <c r="G96" s="558" t="s">
        <v>871</v>
      </c>
    </row>
    <row r="97" spans="1:7">
      <c r="A97" s="1833"/>
      <c r="B97" s="575" t="s">
        <v>850</v>
      </c>
      <c r="C97" s="566" t="s">
        <v>851</v>
      </c>
      <c r="D97" s="1828"/>
      <c r="E97" s="574">
        <v>0.97399999999999998</v>
      </c>
      <c r="F97" s="1826"/>
      <c r="G97" s="558" t="s">
        <v>871</v>
      </c>
    </row>
    <row r="98" spans="1:7">
      <c r="A98" s="1833"/>
      <c r="B98" s="575" t="s">
        <v>851</v>
      </c>
      <c r="C98" s="566" t="s">
        <v>852</v>
      </c>
      <c r="D98" s="1828"/>
      <c r="E98" s="574">
        <v>0.94799999999999995</v>
      </c>
      <c r="F98" s="1826"/>
      <c r="G98" s="558" t="s">
        <v>872</v>
      </c>
    </row>
    <row r="99" spans="1:7">
      <c r="A99" s="1833"/>
      <c r="B99" s="575" t="s">
        <v>852</v>
      </c>
      <c r="C99" s="566" t="s">
        <v>640</v>
      </c>
      <c r="D99" s="1828"/>
      <c r="E99" s="574">
        <v>0.94399999999999995</v>
      </c>
      <c r="F99" s="1826"/>
      <c r="G99" s="558" t="s">
        <v>872</v>
      </c>
    </row>
    <row r="100" spans="1:7">
      <c r="A100" s="1833"/>
      <c r="B100" s="575" t="s">
        <v>640</v>
      </c>
      <c r="C100" s="566" t="s">
        <v>556</v>
      </c>
      <c r="D100" s="1828"/>
      <c r="E100" s="574">
        <v>1</v>
      </c>
      <c r="F100" s="1826"/>
      <c r="G100" s="558" t="s">
        <v>872</v>
      </c>
    </row>
    <row r="101" spans="1:7">
      <c r="A101" s="1833"/>
      <c r="B101" s="575" t="s">
        <v>556</v>
      </c>
      <c r="C101" s="566" t="s">
        <v>853</v>
      </c>
      <c r="D101" s="1828"/>
      <c r="E101" s="574">
        <v>0.90300000000000002</v>
      </c>
      <c r="F101" s="1826"/>
      <c r="G101" s="558" t="s">
        <v>872</v>
      </c>
    </row>
    <row r="102" spans="1:7">
      <c r="A102" s="1833"/>
      <c r="B102" s="575" t="s">
        <v>853</v>
      </c>
      <c r="C102" s="566" t="s">
        <v>854</v>
      </c>
      <c r="D102" s="1828"/>
      <c r="E102" s="574">
        <v>0.96899999999999997</v>
      </c>
      <c r="F102" s="1826"/>
      <c r="G102" s="558" t="s">
        <v>872</v>
      </c>
    </row>
    <row r="103" spans="1:7">
      <c r="A103" s="1833"/>
      <c r="B103" s="575" t="s">
        <v>854</v>
      </c>
      <c r="C103" s="566" t="s">
        <v>855</v>
      </c>
      <c r="D103" s="1828"/>
      <c r="E103" s="574">
        <v>0.94299999999999995</v>
      </c>
      <c r="F103" s="1826"/>
      <c r="G103" s="558" t="s">
        <v>871</v>
      </c>
    </row>
    <row r="104" spans="1:7">
      <c r="A104" s="1833"/>
      <c r="B104" s="575" t="s">
        <v>855</v>
      </c>
      <c r="C104" s="566" t="s">
        <v>856</v>
      </c>
      <c r="D104" s="1828"/>
      <c r="E104" s="574">
        <v>0.98399999999999999</v>
      </c>
      <c r="F104" s="1826"/>
      <c r="G104" s="558" t="s">
        <v>872</v>
      </c>
    </row>
    <row r="105" spans="1:7">
      <c r="A105" s="1833"/>
      <c r="B105" s="575" t="s">
        <v>856</v>
      </c>
      <c r="C105" s="566" t="s">
        <v>857</v>
      </c>
      <c r="D105" s="1828"/>
      <c r="E105" s="574">
        <v>0.98899999999999999</v>
      </c>
      <c r="F105" s="1826"/>
      <c r="G105" s="558" t="s">
        <v>872</v>
      </c>
    </row>
    <row r="106" spans="1:7">
      <c r="A106" s="1833"/>
      <c r="B106" s="575" t="s">
        <v>857</v>
      </c>
      <c r="C106" s="566" t="s">
        <v>858</v>
      </c>
      <c r="D106" s="1828"/>
      <c r="E106" s="574">
        <v>0.97</v>
      </c>
      <c r="F106" s="1826"/>
      <c r="G106" s="558" t="s">
        <v>872</v>
      </c>
    </row>
    <row r="107" spans="1:7">
      <c r="A107" s="1833"/>
      <c r="B107" s="575" t="s">
        <v>858</v>
      </c>
      <c r="C107" s="566" t="s">
        <v>859</v>
      </c>
      <c r="D107" s="1828"/>
      <c r="E107" s="574">
        <v>0.95399999999999996</v>
      </c>
      <c r="F107" s="1826"/>
      <c r="G107" s="558" t="s">
        <v>872</v>
      </c>
    </row>
    <row r="108" spans="1:7" ht="13.5" customHeight="1">
      <c r="A108" s="1833"/>
      <c r="B108" s="575" t="s">
        <v>859</v>
      </c>
      <c r="C108" s="566" t="s">
        <v>631</v>
      </c>
      <c r="D108" s="1828"/>
      <c r="E108" s="574">
        <v>0.95499999999999996</v>
      </c>
      <c r="F108" s="1826"/>
      <c r="G108" s="558" t="s">
        <v>874</v>
      </c>
    </row>
    <row r="109" spans="1:7">
      <c r="A109" s="1833"/>
      <c r="B109" s="575" t="s">
        <v>631</v>
      </c>
      <c r="C109" s="566" t="s">
        <v>552</v>
      </c>
      <c r="D109" s="1828"/>
      <c r="E109" s="574">
        <v>0.94399999999999995</v>
      </c>
      <c r="F109" s="1826"/>
      <c r="G109" s="558" t="s">
        <v>874</v>
      </c>
    </row>
    <row r="110" spans="1:7">
      <c r="A110" s="1833"/>
      <c r="B110" s="575" t="s">
        <v>552</v>
      </c>
      <c r="C110" s="566" t="s">
        <v>546</v>
      </c>
      <c r="D110" s="1828"/>
      <c r="E110" s="574">
        <v>0.96099999999999997</v>
      </c>
      <c r="F110" s="1826"/>
      <c r="G110" s="558" t="s">
        <v>872</v>
      </c>
    </row>
    <row r="111" spans="1:7">
      <c r="A111" s="1833"/>
      <c r="B111" s="575" t="s">
        <v>546</v>
      </c>
      <c r="C111" s="566" t="s">
        <v>860</v>
      </c>
      <c r="D111" s="1828"/>
      <c r="E111" s="582">
        <v>0.92200000000000004</v>
      </c>
      <c r="F111" s="1826"/>
      <c r="G111" s="558" t="s">
        <v>872</v>
      </c>
    </row>
    <row r="112" spans="1:7">
      <c r="A112" s="1833"/>
      <c r="B112" s="575" t="s">
        <v>860</v>
      </c>
      <c r="C112" s="566" t="s">
        <v>861</v>
      </c>
      <c r="D112" s="1828"/>
      <c r="E112" s="582">
        <v>0.97</v>
      </c>
      <c r="F112" s="1826"/>
      <c r="G112" s="558" t="s">
        <v>872</v>
      </c>
    </row>
    <row r="113" spans="1:7" ht="13.5" thickBot="1">
      <c r="A113" s="1833"/>
      <c r="B113" s="575" t="s">
        <v>861</v>
      </c>
      <c r="C113" s="566" t="s">
        <v>534</v>
      </c>
      <c r="D113" s="1828"/>
      <c r="E113" s="582">
        <v>0.51400000000000001</v>
      </c>
      <c r="F113" s="1826"/>
      <c r="G113" s="558" t="s">
        <v>872</v>
      </c>
    </row>
    <row r="114" spans="1:7" ht="12.75" hidden="1" customHeight="1" thickBot="1">
      <c r="A114" s="1833"/>
      <c r="B114" s="566"/>
      <c r="C114" s="566"/>
      <c r="D114" s="1828"/>
      <c r="E114" s="582"/>
      <c r="F114" s="1826"/>
      <c r="G114" s="583"/>
    </row>
    <row r="115" spans="1:7" ht="12.75" hidden="1" customHeight="1" thickBot="1">
      <c r="A115" s="1833"/>
      <c r="B115" s="566"/>
      <c r="C115" s="566"/>
      <c r="D115" s="1828"/>
      <c r="E115" s="582"/>
      <c r="F115" s="1826"/>
      <c r="G115" s="583"/>
    </row>
    <row r="116" spans="1:7" ht="12.75" hidden="1" customHeight="1" thickBot="1">
      <c r="A116" s="1833"/>
      <c r="B116" s="566"/>
      <c r="C116" s="566"/>
      <c r="D116" s="1828"/>
      <c r="E116" s="582"/>
      <c r="F116" s="1826"/>
      <c r="G116" s="583"/>
    </row>
    <row r="117" spans="1:7" ht="12.75" hidden="1" customHeight="1" thickBot="1">
      <c r="A117" s="1836"/>
      <c r="B117" s="584"/>
      <c r="C117" s="584"/>
      <c r="D117" s="1837"/>
      <c r="E117" s="585"/>
      <c r="F117" s="1827"/>
      <c r="G117" s="586"/>
    </row>
    <row r="118" spans="1:7" ht="12.75" customHeight="1" thickBot="1">
      <c r="A118" s="587"/>
      <c r="B118" s="588"/>
      <c r="C118" s="588"/>
      <c r="D118" s="578" t="s">
        <v>483</v>
      </c>
      <c r="E118" s="579">
        <f>SUM(E67:E117)</f>
        <v>44.769999999999996</v>
      </c>
      <c r="F118" s="588"/>
      <c r="G118" s="565"/>
    </row>
    <row r="119" spans="1:7" ht="12.75" customHeight="1"/>
    <row r="120" spans="1:7" ht="12.75" customHeight="1">
      <c r="A120" s="589" t="s">
        <v>314</v>
      </c>
      <c r="E120" s="590"/>
    </row>
    <row r="121" spans="1:7" ht="12.75" customHeight="1">
      <c r="A121" s="591" t="s">
        <v>508</v>
      </c>
      <c r="E121" s="590"/>
    </row>
    <row r="122" spans="1:7" ht="12.75" customHeight="1">
      <c r="A122" s="591" t="s">
        <v>418</v>
      </c>
      <c r="E122" s="590"/>
    </row>
    <row r="123" spans="1:7" ht="12.75" customHeight="1">
      <c r="E123" s="1829" t="s">
        <v>84</v>
      </c>
      <c r="F123" s="1830"/>
    </row>
    <row r="124" spans="1:7" ht="12.75" customHeight="1">
      <c r="E124" s="592" t="s">
        <v>368</v>
      </c>
      <c r="F124" s="593" t="s">
        <v>370</v>
      </c>
    </row>
    <row r="125" spans="1:7" ht="12.75" customHeight="1">
      <c r="E125" s="594" t="s">
        <v>96</v>
      </c>
      <c r="F125" s="595" t="s">
        <v>85</v>
      </c>
    </row>
    <row r="126" spans="1:7" ht="12.75" customHeight="1">
      <c r="E126" s="596" t="s">
        <v>97</v>
      </c>
      <c r="F126" s="595" t="s">
        <v>86</v>
      </c>
    </row>
    <row r="127" spans="1:7" ht="12.75" customHeight="1">
      <c r="E127" s="597" t="s">
        <v>98</v>
      </c>
      <c r="F127" s="595" t="s">
        <v>87</v>
      </c>
    </row>
    <row r="128" spans="1:7" ht="12.75" customHeight="1">
      <c r="B128" s="1831" t="s">
        <v>440</v>
      </c>
      <c r="C128" s="1832"/>
      <c r="D128" s="1832"/>
      <c r="E128" s="598" t="s">
        <v>369</v>
      </c>
      <c r="F128" s="595" t="s">
        <v>371</v>
      </c>
    </row>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21" customHeight="1"/>
    <row r="148" ht="18.75" customHeight="1"/>
    <row r="149" ht="6" customHeight="1"/>
    <row r="150" ht="18.75" customHeight="1"/>
    <row r="151" ht="13.5" customHeight="1"/>
    <row r="152" ht="20.25" customHeight="1"/>
    <row r="153" ht="19.5" customHeight="1"/>
    <row r="154" ht="19.5" customHeight="1"/>
    <row r="155" ht="17.25" customHeight="1"/>
    <row r="156" ht="12.75" customHeight="1"/>
    <row r="157" ht="13.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spans="8:8" ht="12.75" customHeight="1"/>
    <row r="178" spans="8:8" ht="12.75" customHeight="1"/>
    <row r="179" spans="8:8" ht="12.75" customHeight="1"/>
    <row r="180" spans="8:8" ht="12.75" customHeight="1"/>
    <row r="181" spans="8:8" ht="12.75" customHeight="1"/>
    <row r="182" spans="8:8" ht="19.5" customHeight="1">
      <c r="H182" s="589"/>
    </row>
  </sheetData>
  <mergeCells count="29">
    <mergeCell ref="E9:G9"/>
    <mergeCell ref="A1:G1"/>
    <mergeCell ref="A2:G2"/>
    <mergeCell ref="A4:G4"/>
    <mergeCell ref="A6:G6"/>
    <mergeCell ref="A7:G7"/>
    <mergeCell ref="G11:G12"/>
    <mergeCell ref="A13:A16"/>
    <mergeCell ref="D13:D16"/>
    <mergeCell ref="D11:D12"/>
    <mergeCell ref="E11:E12"/>
    <mergeCell ref="A11:A12"/>
    <mergeCell ref="B11:B12"/>
    <mergeCell ref="C11:C12"/>
    <mergeCell ref="F13:F16"/>
    <mergeCell ref="F67:F117"/>
    <mergeCell ref="D18:D22"/>
    <mergeCell ref="E123:F123"/>
    <mergeCell ref="B128:D128"/>
    <mergeCell ref="A24:A27"/>
    <mergeCell ref="D24:D27"/>
    <mergeCell ref="F24:F27"/>
    <mergeCell ref="D29:D65"/>
    <mergeCell ref="F29:F65"/>
    <mergeCell ref="A67:A117"/>
    <mergeCell ref="D67:D117"/>
    <mergeCell ref="A29:A65"/>
    <mergeCell ref="A18:A22"/>
    <mergeCell ref="F18:F22"/>
  </mergeCells>
  <conditionalFormatting sqref="G13 G19:G21">
    <cfRule type="expression" dxfId="187" priority="241" stopIfTrue="1">
      <formula>$G13="MUY MALO"</formula>
    </cfRule>
    <cfRule type="expression" dxfId="186" priority="242" stopIfTrue="1">
      <formula>$G13="MALO"</formula>
    </cfRule>
    <cfRule type="expression" dxfId="185" priority="243" stopIfTrue="1">
      <formula>$G13="REGULAR"</formula>
    </cfRule>
    <cfRule type="expression" dxfId="184" priority="244" stopIfTrue="1">
      <formula>$G13="BUENO"</formula>
    </cfRule>
    <cfRule type="expression" dxfId="183" priority="245" stopIfTrue="1">
      <formula>$G13="MUY BUENO"</formula>
    </cfRule>
  </conditionalFormatting>
  <conditionalFormatting sqref="G14:G16">
    <cfRule type="expression" dxfId="182" priority="221" stopIfTrue="1">
      <formula>$G14="MUY MALO"</formula>
    </cfRule>
    <cfRule type="expression" dxfId="181" priority="222" stopIfTrue="1">
      <formula>$G14="MALO"</formula>
    </cfRule>
    <cfRule type="expression" dxfId="180" priority="223" stopIfTrue="1">
      <formula>$G14="REGULAR"</formula>
    </cfRule>
    <cfRule type="expression" dxfId="179" priority="224" stopIfTrue="1">
      <formula>$G14="BUENO"</formula>
    </cfRule>
    <cfRule type="expression" dxfId="178" priority="225" stopIfTrue="1">
      <formula>$G14="MUY BUENO"</formula>
    </cfRule>
  </conditionalFormatting>
  <conditionalFormatting sqref="G77:G80 G89">
    <cfRule type="expression" dxfId="177" priority="191" stopIfTrue="1">
      <formula>$F77=$U$11</formula>
    </cfRule>
    <cfRule type="expression" dxfId="176" priority="192" stopIfTrue="1">
      <formula>$F77=$T$11</formula>
    </cfRule>
    <cfRule type="expression" dxfId="175" priority="193" stopIfTrue="1">
      <formula>$F77=$R$11</formula>
    </cfRule>
    <cfRule type="expression" dxfId="174" priority="194" stopIfTrue="1">
      <formula>$F77=$Q$11</formula>
    </cfRule>
    <cfRule type="expression" dxfId="173" priority="195" stopIfTrue="1">
      <formula>$F77=$S$11</formula>
    </cfRule>
  </conditionalFormatting>
  <conditionalFormatting sqref="G67:G73">
    <cfRule type="expression" dxfId="172" priority="186" stopIfTrue="1">
      <formula>$G67="MUY MALO"</formula>
    </cfRule>
    <cfRule type="expression" dxfId="171" priority="187" stopIfTrue="1">
      <formula>$G67="MALO"</formula>
    </cfRule>
    <cfRule type="expression" dxfId="170" priority="188" stopIfTrue="1">
      <formula>$G67="REGULAR"</formula>
    </cfRule>
    <cfRule type="expression" dxfId="169" priority="189" stopIfTrue="1">
      <formula>$G67="BUENO"</formula>
    </cfRule>
    <cfRule type="expression" dxfId="168" priority="190" stopIfTrue="1">
      <formula>$G67="MUY BUENO"</formula>
    </cfRule>
  </conditionalFormatting>
  <conditionalFormatting sqref="G81">
    <cfRule type="expression" dxfId="167" priority="181" stopIfTrue="1">
      <formula>$G81="MUY MALO"</formula>
    </cfRule>
    <cfRule type="expression" dxfId="166" priority="182" stopIfTrue="1">
      <formula>$G81="MALO"</formula>
    </cfRule>
    <cfRule type="expression" dxfId="165" priority="183" stopIfTrue="1">
      <formula>$G81="REGULAR"</formula>
    </cfRule>
    <cfRule type="expression" dxfId="164" priority="184" stopIfTrue="1">
      <formula>$G81="BUENO"</formula>
    </cfRule>
    <cfRule type="expression" dxfId="163" priority="185" stopIfTrue="1">
      <formula>$G81="MUY BUENO"</formula>
    </cfRule>
  </conditionalFormatting>
  <conditionalFormatting sqref="G74">
    <cfRule type="expression" dxfId="162" priority="176" stopIfTrue="1">
      <formula>$G74="MUY MALO"</formula>
    </cfRule>
    <cfRule type="expression" dxfId="161" priority="177" stopIfTrue="1">
      <formula>$G74="MALO"</formula>
    </cfRule>
    <cfRule type="expression" dxfId="160" priority="178" stopIfTrue="1">
      <formula>$G74="REGULAR"</formula>
    </cfRule>
    <cfRule type="expression" dxfId="159" priority="179" stopIfTrue="1">
      <formula>$G74="BUENO"</formula>
    </cfRule>
    <cfRule type="expression" dxfId="158" priority="180" stopIfTrue="1">
      <formula>$G74="MUY BUENO"</formula>
    </cfRule>
  </conditionalFormatting>
  <conditionalFormatting sqref="G75">
    <cfRule type="expression" dxfId="157" priority="171" stopIfTrue="1">
      <formula>$G75="MUY MALO"</formula>
    </cfRule>
    <cfRule type="expression" dxfId="156" priority="172" stopIfTrue="1">
      <formula>$G75="MALO"</formula>
    </cfRule>
    <cfRule type="expression" dxfId="155" priority="173" stopIfTrue="1">
      <formula>$G75="REGULAR"</formula>
    </cfRule>
    <cfRule type="expression" dxfId="154" priority="174" stopIfTrue="1">
      <formula>$G75="BUENO"</formula>
    </cfRule>
    <cfRule type="expression" dxfId="153" priority="175" stopIfTrue="1">
      <formula>$G75="MUY BUENO"</formula>
    </cfRule>
  </conditionalFormatting>
  <conditionalFormatting sqref="G76:G80">
    <cfRule type="expression" dxfId="152" priority="166" stopIfTrue="1">
      <formula>$G76="MUY MALO"</formula>
    </cfRule>
    <cfRule type="expression" dxfId="151" priority="167" stopIfTrue="1">
      <formula>$G76="MALO"</formula>
    </cfRule>
    <cfRule type="expression" dxfId="150" priority="168" stopIfTrue="1">
      <formula>$G76="REGULAR"</formula>
    </cfRule>
    <cfRule type="expression" dxfId="149" priority="169" stopIfTrue="1">
      <formula>$G76="BUENO"</formula>
    </cfRule>
    <cfRule type="expression" dxfId="148" priority="170" stopIfTrue="1">
      <formula>$G76="MUY BUENO"</formula>
    </cfRule>
  </conditionalFormatting>
  <conditionalFormatting sqref="G82:G84">
    <cfRule type="expression" dxfId="147" priority="161" stopIfTrue="1">
      <formula>$G82="MUY MALO"</formula>
    </cfRule>
    <cfRule type="expression" dxfId="146" priority="162" stopIfTrue="1">
      <formula>$G82="MALO"</formula>
    </cfRule>
    <cfRule type="expression" dxfId="145" priority="163" stopIfTrue="1">
      <formula>$G82="REGULAR"</formula>
    </cfRule>
    <cfRule type="expression" dxfId="144" priority="164" stopIfTrue="1">
      <formula>$G82="BUENO"</formula>
    </cfRule>
    <cfRule type="expression" dxfId="143" priority="165" stopIfTrue="1">
      <formula>$G82="MUY BUENO"</formula>
    </cfRule>
  </conditionalFormatting>
  <conditionalFormatting sqref="G85">
    <cfRule type="expression" dxfId="142" priority="156" stopIfTrue="1">
      <formula>$G85="MUY MALO"</formula>
    </cfRule>
    <cfRule type="expression" dxfId="141" priority="157" stopIfTrue="1">
      <formula>$G85="MALO"</formula>
    </cfRule>
    <cfRule type="expression" dxfId="140" priority="158" stopIfTrue="1">
      <formula>$G85="REGULAR"</formula>
    </cfRule>
    <cfRule type="expression" dxfId="139" priority="159" stopIfTrue="1">
      <formula>$G85="BUENO"</formula>
    </cfRule>
    <cfRule type="expression" dxfId="138" priority="160" stopIfTrue="1">
      <formula>$G85="MUY BUENO"</formula>
    </cfRule>
  </conditionalFormatting>
  <conditionalFormatting sqref="G86:G88">
    <cfRule type="expression" dxfId="137" priority="151" stopIfTrue="1">
      <formula>$G86="MUY MALO"</formula>
    </cfRule>
    <cfRule type="expression" dxfId="136" priority="152" stopIfTrue="1">
      <formula>$G86="MALO"</formula>
    </cfRule>
    <cfRule type="expression" dxfId="135" priority="153" stopIfTrue="1">
      <formula>$G86="REGULAR"</formula>
    </cfRule>
    <cfRule type="expression" dxfId="134" priority="154" stopIfTrue="1">
      <formula>$G86="BUENO"</formula>
    </cfRule>
    <cfRule type="expression" dxfId="133" priority="155" stopIfTrue="1">
      <formula>$G86="MUY BUENO"</formula>
    </cfRule>
  </conditionalFormatting>
  <conditionalFormatting sqref="G89">
    <cfRule type="expression" dxfId="132" priority="146" stopIfTrue="1">
      <formula>$G89="MUY MALO"</formula>
    </cfRule>
    <cfRule type="expression" dxfId="131" priority="147" stopIfTrue="1">
      <formula>$G89="MALO"</formula>
    </cfRule>
    <cfRule type="expression" dxfId="130" priority="148" stopIfTrue="1">
      <formula>$G89="REGULAR"</formula>
    </cfRule>
    <cfRule type="expression" dxfId="129" priority="149" stopIfTrue="1">
      <formula>$G89="BUENO"</formula>
    </cfRule>
    <cfRule type="expression" dxfId="128" priority="150" stopIfTrue="1">
      <formula>$G89="MUY BUENO"</formula>
    </cfRule>
  </conditionalFormatting>
  <conditionalFormatting sqref="G90:G91">
    <cfRule type="expression" dxfId="127" priority="141" stopIfTrue="1">
      <formula>$G90="MUY MALO"</formula>
    </cfRule>
    <cfRule type="expression" dxfId="126" priority="142" stopIfTrue="1">
      <formula>$G90="MALO"</formula>
    </cfRule>
    <cfRule type="expression" dxfId="125" priority="143" stopIfTrue="1">
      <formula>$G90="REGULAR"</formula>
    </cfRule>
    <cfRule type="expression" dxfId="124" priority="144" stopIfTrue="1">
      <formula>$G90="BUENO"</formula>
    </cfRule>
    <cfRule type="expression" dxfId="123" priority="145" stopIfTrue="1">
      <formula>$G90="MUY BUENO"</formula>
    </cfRule>
  </conditionalFormatting>
  <conditionalFormatting sqref="G92:G97">
    <cfRule type="expression" dxfId="122" priority="136" stopIfTrue="1">
      <formula>$G92="MUY MALO"</formula>
    </cfRule>
    <cfRule type="expression" dxfId="121" priority="137" stopIfTrue="1">
      <formula>$G92="MALO"</formula>
    </cfRule>
    <cfRule type="expression" dxfId="120" priority="138" stopIfTrue="1">
      <formula>$G92="REGULAR"</formula>
    </cfRule>
    <cfRule type="expression" dxfId="119" priority="139" stopIfTrue="1">
      <formula>$G92="BUENO"</formula>
    </cfRule>
    <cfRule type="expression" dxfId="118" priority="140" stopIfTrue="1">
      <formula>$G92="MUY BUENO"</formula>
    </cfRule>
  </conditionalFormatting>
  <conditionalFormatting sqref="G98:G102">
    <cfRule type="expression" dxfId="117" priority="131" stopIfTrue="1">
      <formula>$G98="MUY MALO"</formula>
    </cfRule>
    <cfRule type="expression" dxfId="116" priority="132" stopIfTrue="1">
      <formula>$G98="MALO"</formula>
    </cfRule>
    <cfRule type="expression" dxfId="115" priority="133" stopIfTrue="1">
      <formula>$G98="REGULAR"</formula>
    </cfRule>
    <cfRule type="expression" dxfId="114" priority="134" stopIfTrue="1">
      <formula>$G98="BUENO"</formula>
    </cfRule>
    <cfRule type="expression" dxfId="113" priority="135" stopIfTrue="1">
      <formula>$G98="MUY BUENO"</formula>
    </cfRule>
  </conditionalFormatting>
  <conditionalFormatting sqref="G103">
    <cfRule type="expression" dxfId="112" priority="126" stopIfTrue="1">
      <formula>$G103="MUY MALO"</formula>
    </cfRule>
    <cfRule type="expression" dxfId="111" priority="127" stopIfTrue="1">
      <formula>$G103="MALO"</formula>
    </cfRule>
    <cfRule type="expression" dxfId="110" priority="128" stopIfTrue="1">
      <formula>$G103="REGULAR"</formula>
    </cfRule>
    <cfRule type="expression" dxfId="109" priority="129" stopIfTrue="1">
      <formula>$G103="BUENO"</formula>
    </cfRule>
    <cfRule type="expression" dxfId="108" priority="130" stopIfTrue="1">
      <formula>$G103="MUY BUENO"</formula>
    </cfRule>
  </conditionalFormatting>
  <conditionalFormatting sqref="G104:G107">
    <cfRule type="expression" dxfId="107" priority="121" stopIfTrue="1">
      <formula>$G104="MUY MALO"</formula>
    </cfRule>
    <cfRule type="expression" dxfId="106" priority="122" stopIfTrue="1">
      <formula>$G104="MALO"</formula>
    </cfRule>
    <cfRule type="expression" dxfId="105" priority="123" stopIfTrue="1">
      <formula>$G104="REGULAR"</formula>
    </cfRule>
    <cfRule type="expression" dxfId="104" priority="124" stopIfTrue="1">
      <formula>$G104="BUENO"</formula>
    </cfRule>
    <cfRule type="expression" dxfId="103" priority="125" stopIfTrue="1">
      <formula>$G104="MUY BUENO"</formula>
    </cfRule>
  </conditionalFormatting>
  <conditionalFormatting sqref="G108:G109">
    <cfRule type="expression" dxfId="102" priority="116" stopIfTrue="1">
      <formula>$G108="MUY MALO"</formula>
    </cfRule>
    <cfRule type="expression" dxfId="101" priority="117" stopIfTrue="1">
      <formula>$G108="MALO"</formula>
    </cfRule>
    <cfRule type="expression" dxfId="100" priority="118" stopIfTrue="1">
      <formula>$G108="REGULAR"</formula>
    </cfRule>
    <cfRule type="expression" dxfId="99" priority="119" stopIfTrue="1">
      <formula>$G108="BUENO"</formula>
    </cfRule>
    <cfRule type="expression" dxfId="98" priority="120" stopIfTrue="1">
      <formula>$G108="MUY BUENO"</formula>
    </cfRule>
  </conditionalFormatting>
  <conditionalFormatting sqref="G110:G113">
    <cfRule type="expression" dxfId="97" priority="111" stopIfTrue="1">
      <formula>$G110="MUY MALO"</formula>
    </cfRule>
    <cfRule type="expression" dxfId="96" priority="112" stopIfTrue="1">
      <formula>$G110="MALO"</formula>
    </cfRule>
    <cfRule type="expression" dxfId="95" priority="113" stopIfTrue="1">
      <formula>$G110="REGULAR"</formula>
    </cfRule>
    <cfRule type="expression" dxfId="94" priority="114" stopIfTrue="1">
      <formula>$G110="BUENO"</formula>
    </cfRule>
    <cfRule type="expression" dxfId="93" priority="115" stopIfTrue="1">
      <formula>$G110="MUY BUENO"</formula>
    </cfRule>
  </conditionalFormatting>
  <conditionalFormatting sqref="G29:G30">
    <cfRule type="expression" dxfId="92" priority="96" stopIfTrue="1">
      <formula>$G29="MUY MALO"</formula>
    </cfRule>
    <cfRule type="expression" dxfId="91" priority="97" stopIfTrue="1">
      <formula>$G29="MALO"</formula>
    </cfRule>
    <cfRule type="expression" dxfId="90" priority="98" stopIfTrue="1">
      <formula>$G29="REGULAR"</formula>
    </cfRule>
    <cfRule type="expression" dxfId="89" priority="99" stopIfTrue="1">
      <formula>$G29="BUENO"</formula>
    </cfRule>
    <cfRule type="expression" dxfId="88" priority="100" stopIfTrue="1">
      <formula>$G29="MUY BUENO"</formula>
    </cfRule>
  </conditionalFormatting>
  <conditionalFormatting sqref="G31:G34">
    <cfRule type="expression" dxfId="87" priority="91" stopIfTrue="1">
      <formula>$G31="MUY MALO"</formula>
    </cfRule>
    <cfRule type="expression" dxfId="86" priority="92" stopIfTrue="1">
      <formula>$G31="MALO"</formula>
    </cfRule>
    <cfRule type="expression" dxfId="85" priority="93" stopIfTrue="1">
      <formula>$G31="REGULAR"</formula>
    </cfRule>
    <cfRule type="expression" dxfId="84" priority="94" stopIfTrue="1">
      <formula>$G31="BUENO"</formula>
    </cfRule>
    <cfRule type="expression" dxfId="83" priority="95" stopIfTrue="1">
      <formula>$G31="MUY BUENO"</formula>
    </cfRule>
  </conditionalFormatting>
  <conditionalFormatting sqref="G35:G46">
    <cfRule type="expression" dxfId="82" priority="86" stopIfTrue="1">
      <formula>$G35="MUY MALO"</formula>
    </cfRule>
    <cfRule type="expression" dxfId="81" priority="87" stopIfTrue="1">
      <formula>$G35="MALO"</formula>
    </cfRule>
    <cfRule type="expression" dxfId="80" priority="88" stopIfTrue="1">
      <formula>$G35="REGULAR"</formula>
    </cfRule>
    <cfRule type="expression" dxfId="79" priority="89" stopIfTrue="1">
      <formula>$G35="BUENO"</formula>
    </cfRule>
    <cfRule type="expression" dxfId="78" priority="90" stopIfTrue="1">
      <formula>$G35="MUY BUENO"</formula>
    </cfRule>
  </conditionalFormatting>
  <conditionalFormatting sqref="G47:G48">
    <cfRule type="expression" dxfId="77" priority="81" stopIfTrue="1">
      <formula>$G47="MUY MALO"</formula>
    </cfRule>
    <cfRule type="expression" dxfId="76" priority="82" stopIfTrue="1">
      <formula>$G47="MALO"</formula>
    </cfRule>
    <cfRule type="expression" dxfId="75" priority="83" stopIfTrue="1">
      <formula>$G47="REGULAR"</formula>
    </cfRule>
    <cfRule type="expression" dxfId="74" priority="84" stopIfTrue="1">
      <formula>$G47="BUENO"</formula>
    </cfRule>
    <cfRule type="expression" dxfId="73" priority="85" stopIfTrue="1">
      <formula>$G47="MUY BUENO"</formula>
    </cfRule>
  </conditionalFormatting>
  <conditionalFormatting sqref="G49:G51">
    <cfRule type="expression" dxfId="72" priority="76" stopIfTrue="1">
      <formula>$G49="MUY MALO"</formula>
    </cfRule>
    <cfRule type="expression" dxfId="71" priority="77" stopIfTrue="1">
      <formula>$G49="MALO"</formula>
    </cfRule>
    <cfRule type="expression" dxfId="70" priority="78" stopIfTrue="1">
      <formula>$G49="REGULAR"</formula>
    </cfRule>
    <cfRule type="expression" dxfId="69" priority="79" stopIfTrue="1">
      <formula>$G49="BUENO"</formula>
    </cfRule>
    <cfRule type="expression" dxfId="68" priority="80" stopIfTrue="1">
      <formula>$G49="MUY BUENO"</formula>
    </cfRule>
  </conditionalFormatting>
  <conditionalFormatting sqref="G52">
    <cfRule type="expression" dxfId="67" priority="71" stopIfTrue="1">
      <formula>$G52="MUY MALO"</formula>
    </cfRule>
    <cfRule type="expression" dxfId="66" priority="72" stopIfTrue="1">
      <formula>$G52="MALO"</formula>
    </cfRule>
    <cfRule type="expression" dxfId="65" priority="73" stopIfTrue="1">
      <formula>$G52="REGULAR"</formula>
    </cfRule>
    <cfRule type="expression" dxfId="64" priority="74" stopIfTrue="1">
      <formula>$G52="BUENO"</formula>
    </cfRule>
    <cfRule type="expression" dxfId="63" priority="75" stopIfTrue="1">
      <formula>$G52="MUY BUENO"</formula>
    </cfRule>
  </conditionalFormatting>
  <conditionalFormatting sqref="G53:G56">
    <cfRule type="expression" dxfId="62" priority="66" stopIfTrue="1">
      <formula>$G53="MUY MALO"</formula>
    </cfRule>
    <cfRule type="expression" dxfId="61" priority="67" stopIfTrue="1">
      <formula>$G53="MALO"</formula>
    </cfRule>
    <cfRule type="expression" dxfId="60" priority="68" stopIfTrue="1">
      <formula>$G53="REGULAR"</formula>
    </cfRule>
    <cfRule type="expression" dxfId="59" priority="69" stopIfTrue="1">
      <formula>$G53="BUENO"</formula>
    </cfRule>
    <cfRule type="expression" dxfId="58" priority="70" stopIfTrue="1">
      <formula>$G53="MUY BUENO"</formula>
    </cfRule>
  </conditionalFormatting>
  <conditionalFormatting sqref="G57">
    <cfRule type="expression" dxfId="57" priority="61" stopIfTrue="1">
      <formula>$G57="MUY MALO"</formula>
    </cfRule>
    <cfRule type="expression" dxfId="56" priority="62" stopIfTrue="1">
      <formula>$G57="MALO"</formula>
    </cfRule>
    <cfRule type="expression" dxfId="55" priority="63" stopIfTrue="1">
      <formula>$G57="REGULAR"</formula>
    </cfRule>
    <cfRule type="expression" dxfId="54" priority="64" stopIfTrue="1">
      <formula>$G57="BUENO"</formula>
    </cfRule>
    <cfRule type="expression" dxfId="53" priority="65" stopIfTrue="1">
      <formula>$G57="MUY BUENO"</formula>
    </cfRule>
  </conditionalFormatting>
  <conditionalFormatting sqref="G58:G61">
    <cfRule type="expression" dxfId="52" priority="56" stopIfTrue="1">
      <formula>$G58="MUY MALO"</formula>
    </cfRule>
    <cfRule type="expression" dxfId="51" priority="57" stopIfTrue="1">
      <formula>$G58="MALO"</formula>
    </cfRule>
    <cfRule type="expression" dxfId="50" priority="58" stopIfTrue="1">
      <formula>$G58="REGULAR"</formula>
    </cfRule>
    <cfRule type="expression" dxfId="49" priority="59" stopIfTrue="1">
      <formula>$G58="BUENO"</formula>
    </cfRule>
    <cfRule type="expression" dxfId="48" priority="60" stopIfTrue="1">
      <formula>$G58="MUY BUENO"</formula>
    </cfRule>
  </conditionalFormatting>
  <conditionalFormatting sqref="G62">
    <cfRule type="expression" dxfId="47" priority="51" stopIfTrue="1">
      <formula>$G62="MUY MALO"</formula>
    </cfRule>
    <cfRule type="expression" dxfId="46" priority="52" stopIfTrue="1">
      <formula>$G62="MALO"</formula>
    </cfRule>
    <cfRule type="expression" dxfId="45" priority="53" stopIfTrue="1">
      <formula>$G62="REGULAR"</formula>
    </cfRule>
    <cfRule type="expression" dxfId="44" priority="54" stopIfTrue="1">
      <formula>$G62="BUENO"</formula>
    </cfRule>
    <cfRule type="expression" dxfId="43" priority="55" stopIfTrue="1">
      <formula>$G62="MUY BUENO"</formula>
    </cfRule>
  </conditionalFormatting>
  <conditionalFormatting sqref="G63:G65">
    <cfRule type="expression" dxfId="42" priority="46" stopIfTrue="1">
      <formula>$G63="MUY MALO"</formula>
    </cfRule>
    <cfRule type="expression" dxfId="41" priority="47" stopIfTrue="1">
      <formula>$G63="MALO"</formula>
    </cfRule>
    <cfRule type="expression" dxfId="40" priority="48" stopIfTrue="1">
      <formula>$G63="REGULAR"</formula>
    </cfRule>
    <cfRule type="expression" dxfId="39" priority="49" stopIfTrue="1">
      <formula>$G63="BUENO"</formula>
    </cfRule>
    <cfRule type="expression" dxfId="38" priority="50" stopIfTrue="1">
      <formula>$G63="MUY BUENO"</formula>
    </cfRule>
  </conditionalFormatting>
  <conditionalFormatting sqref="G24:G25">
    <cfRule type="expression" dxfId="37" priority="31" stopIfTrue="1">
      <formula>$G24="MUY MALO"</formula>
    </cfRule>
    <cfRule type="expression" dxfId="36" priority="32" stopIfTrue="1">
      <formula>$G24="MALO"</formula>
    </cfRule>
    <cfRule type="expression" dxfId="35" priority="33" stopIfTrue="1">
      <formula>$G24="REGULAR"</formula>
    </cfRule>
    <cfRule type="expression" dxfId="34" priority="34" stopIfTrue="1">
      <formula>$G24="BUENO"</formula>
    </cfRule>
    <cfRule type="expression" dxfId="33" priority="35" stopIfTrue="1">
      <formula>$G24="MUY BUENO"</formula>
    </cfRule>
  </conditionalFormatting>
  <conditionalFormatting sqref="G26">
    <cfRule type="expression" dxfId="32" priority="26" stopIfTrue="1">
      <formula>$G26="MUY MALO"</formula>
    </cfRule>
    <cfRule type="expression" dxfId="31" priority="27" stopIfTrue="1">
      <formula>$G26="MALO"</formula>
    </cfRule>
    <cfRule type="expression" dxfId="30" priority="28" stopIfTrue="1">
      <formula>$G26="REGULAR"</formula>
    </cfRule>
    <cfRule type="expression" dxfId="29" priority="29" stopIfTrue="1">
      <formula>$G26="BUENO"</formula>
    </cfRule>
    <cfRule type="expression" dxfId="28" priority="30" stopIfTrue="1">
      <formula>$G26="MUY BUENO"</formula>
    </cfRule>
  </conditionalFormatting>
  <conditionalFormatting sqref="G27">
    <cfRule type="expression" dxfId="27" priority="21" stopIfTrue="1">
      <formula>$G27="MUY MALO"</formula>
    </cfRule>
    <cfRule type="expression" dxfId="26" priority="22" stopIfTrue="1">
      <formula>$G27="MALO"</formula>
    </cfRule>
    <cfRule type="expression" dxfId="25" priority="23" stopIfTrue="1">
      <formula>$G27="REGULAR"</formula>
    </cfRule>
    <cfRule type="expression" dxfId="24" priority="24" stopIfTrue="1">
      <formula>$G27="BUENO"</formula>
    </cfRule>
    <cfRule type="expression" dxfId="23" priority="25" stopIfTrue="1">
      <formula>$G27="MUY BUENO"</formula>
    </cfRule>
  </conditionalFormatting>
  <conditionalFormatting sqref="G22">
    <cfRule type="expression" dxfId="22" priority="1" stopIfTrue="1">
      <formula>$G22="MUY MALO"</formula>
    </cfRule>
    <cfRule type="expression" dxfId="21" priority="2" stopIfTrue="1">
      <formula>$G22="MALO"</formula>
    </cfRule>
    <cfRule type="expression" dxfId="20" priority="3" stopIfTrue="1">
      <formula>$G22="REGULAR"</formula>
    </cfRule>
    <cfRule type="expression" dxfId="19" priority="4" stopIfTrue="1">
      <formula>$G22="BUENO"</formula>
    </cfRule>
    <cfRule type="expression" dxfId="18" priority="5" stopIfTrue="1">
      <formula>$G22="MUY BUENO"</formula>
    </cfRule>
  </conditionalFormatting>
  <conditionalFormatting sqref="G18">
    <cfRule type="expression" dxfId="17" priority="16" stopIfTrue="1">
      <formula>$G18="MUY MALO"</formula>
    </cfRule>
    <cfRule type="expression" dxfId="16" priority="17" stopIfTrue="1">
      <formula>$G18="MALO"</formula>
    </cfRule>
    <cfRule type="expression" dxfId="15" priority="18" stopIfTrue="1">
      <formula>$G18="REGULAR"</formula>
    </cfRule>
    <cfRule type="expression" dxfId="14" priority="19" stopIfTrue="1">
      <formula>$G18="BUENO"</formula>
    </cfRule>
    <cfRule type="expression" dxfId="13" priority="20" stopIfTrue="1">
      <formula>$G18="MUY BUENO"</formula>
    </cfRule>
  </conditionalFormatting>
  <hyperlinks>
    <hyperlink ref="B128" location="'TABLA DE CONTENIDO'!A1" display="VOLVER A TABLA DE CONTENIDO"/>
  </hyperlinks>
  <printOptions horizontalCentered="1" verticalCentered="1"/>
  <pageMargins left="0.59055118110236227" right="0.39370078740157483" top="0.39370078740157483" bottom="0.59055118110236227" header="0.27559055118110237" footer="0"/>
  <pageSetup scale="65" orientation="portrait" r:id="rId1"/>
  <headerFooter alignWithMargins="0"/>
  <rowBreaks count="1" manualBreakCount="1">
    <brk id="66" max="6" man="1"/>
  </rowBreaks>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P67"/>
  <sheetViews>
    <sheetView showGridLines="0" view="pageBreakPreview" zoomScaleNormal="75" zoomScaleSheetLayoutView="100" workbookViewId="0">
      <selection activeCell="DM55" sqref="DM55"/>
    </sheetView>
  </sheetViews>
  <sheetFormatPr baseColWidth="10" defaultColWidth="12.5703125" defaultRowHeight="15"/>
  <cols>
    <col min="1" max="1" width="30.42578125" style="445" customWidth="1"/>
    <col min="2" max="96" width="0.5703125" style="445" customWidth="1"/>
    <col min="97" max="97" width="2.140625" style="445" customWidth="1"/>
    <col min="98" max="98" width="2.85546875" style="445" customWidth="1"/>
    <col min="99" max="109" width="2.140625" style="445" customWidth="1"/>
    <col min="110" max="110" width="2.85546875" style="445" customWidth="1"/>
    <col min="111" max="112" width="2.42578125" style="445" customWidth="1"/>
    <col min="113" max="114" width="2.140625" style="445" customWidth="1"/>
    <col min="115" max="115" width="2.5703125" style="445" customWidth="1"/>
    <col min="116" max="116" width="5" style="445" customWidth="1"/>
    <col min="117" max="16384" width="12.5703125" style="445"/>
  </cols>
  <sheetData>
    <row r="1" spans="1:116">
      <c r="A1" s="1903"/>
      <c r="B1" s="1903"/>
      <c r="C1" s="1903"/>
      <c r="D1" s="1903"/>
      <c r="E1" s="1903"/>
      <c r="F1" s="1903"/>
      <c r="G1" s="1903"/>
      <c r="H1" s="1903"/>
      <c r="I1" s="1903"/>
      <c r="J1" s="1903"/>
      <c r="K1" s="1903"/>
      <c r="L1" s="1903"/>
      <c r="M1" s="1903"/>
      <c r="N1" s="1903"/>
      <c r="O1" s="1903"/>
      <c r="P1" s="1903"/>
      <c r="Q1" s="1903"/>
      <c r="R1" s="1903"/>
      <c r="S1" s="1903"/>
      <c r="T1" s="1903"/>
      <c r="U1" s="1903"/>
      <c r="V1" s="1903"/>
      <c r="W1" s="1903"/>
      <c r="X1" s="1903"/>
      <c r="Y1" s="1903"/>
      <c r="Z1" s="1903"/>
      <c r="AA1" s="1903"/>
      <c r="AB1" s="1903"/>
      <c r="AC1" s="1903"/>
      <c r="AD1" s="1903"/>
      <c r="AE1" s="1903"/>
      <c r="AF1" s="1903"/>
      <c r="AG1" s="1903"/>
      <c r="AH1" s="1903"/>
      <c r="AI1" s="1903"/>
      <c r="AJ1" s="1903"/>
      <c r="AK1" s="1903"/>
      <c r="AL1" s="1903"/>
      <c r="AM1" s="1903"/>
      <c r="AN1" s="1903"/>
      <c r="AO1" s="1903"/>
      <c r="AP1" s="1903"/>
      <c r="AQ1" s="1903"/>
      <c r="AR1" s="1903"/>
      <c r="AS1" s="1903"/>
      <c r="AT1" s="1903"/>
      <c r="AU1" s="1903"/>
      <c r="AV1" s="1903"/>
      <c r="AW1" s="1903"/>
      <c r="AX1" s="1903"/>
      <c r="AY1" s="1903"/>
      <c r="AZ1" s="1903"/>
      <c r="BA1" s="1903"/>
      <c r="BB1" s="1903"/>
      <c r="BC1" s="1903"/>
      <c r="BD1" s="1903"/>
      <c r="BE1" s="1903"/>
      <c r="BF1" s="1903"/>
      <c r="BG1" s="1903"/>
      <c r="BH1" s="1903"/>
      <c r="BI1" s="1903"/>
      <c r="BJ1" s="1903"/>
      <c r="BK1" s="1903"/>
      <c r="BL1" s="1903"/>
      <c r="BM1" s="1903"/>
      <c r="BN1" s="1903"/>
      <c r="BO1" s="1903"/>
      <c r="BP1" s="1903"/>
      <c r="BQ1" s="1903"/>
      <c r="BR1" s="1903"/>
      <c r="BS1" s="1903"/>
      <c r="BT1" s="1903"/>
      <c r="BU1" s="1903"/>
      <c r="BV1" s="1903"/>
      <c r="BW1" s="1903"/>
      <c r="BX1" s="1903"/>
      <c r="BY1" s="1903"/>
      <c r="BZ1" s="1903"/>
      <c r="CA1" s="1903"/>
      <c r="CB1" s="1903"/>
      <c r="CC1" s="1903"/>
      <c r="CD1" s="1903"/>
      <c r="CE1" s="1903"/>
      <c r="CF1" s="1903"/>
      <c r="CG1" s="1903"/>
      <c r="CH1" s="1903"/>
      <c r="CI1" s="1903"/>
      <c r="CJ1" s="1903"/>
      <c r="CK1" s="1903"/>
      <c r="CL1" s="1903"/>
      <c r="CM1" s="1903"/>
      <c r="CN1" s="1903"/>
      <c r="CO1" s="1903"/>
      <c r="CP1" s="1903"/>
      <c r="CQ1" s="1903"/>
      <c r="CR1" s="1903"/>
      <c r="CS1" s="1903"/>
      <c r="CT1" s="1903"/>
      <c r="CU1" s="1903"/>
      <c r="CV1" s="1903"/>
      <c r="CW1" s="1903"/>
      <c r="CX1" s="1903"/>
      <c r="CY1" s="1903"/>
      <c r="CZ1" s="1903"/>
      <c r="DA1" s="1903"/>
      <c r="DB1" s="1903"/>
      <c r="DC1" s="1903"/>
      <c r="DD1" s="1903"/>
      <c r="DE1" s="1903"/>
      <c r="DF1" s="1903"/>
      <c r="DG1" s="1903"/>
      <c r="DH1" s="1903"/>
      <c r="DI1" s="1903"/>
      <c r="DJ1" s="1903"/>
      <c r="DK1" s="1903"/>
      <c r="DL1" s="1903"/>
    </row>
    <row r="2" spans="1:116" s="407" customFormat="1" ht="23.25">
      <c r="A2" s="1907" t="s">
        <v>0</v>
      </c>
      <c r="B2" s="1907"/>
      <c r="C2" s="1907"/>
      <c r="D2" s="1907"/>
      <c r="E2" s="1907"/>
      <c r="F2" s="1907"/>
      <c r="G2" s="1907"/>
      <c r="H2" s="1907"/>
      <c r="I2" s="1907"/>
      <c r="J2" s="1907"/>
      <c r="K2" s="1907"/>
      <c r="L2" s="1907"/>
      <c r="M2" s="1907"/>
      <c r="N2" s="1907"/>
      <c r="O2" s="1907"/>
      <c r="P2" s="1907"/>
      <c r="Q2" s="1907"/>
      <c r="R2" s="1907"/>
      <c r="S2" s="1907"/>
      <c r="T2" s="1907"/>
      <c r="U2" s="1907"/>
      <c r="V2" s="1907"/>
      <c r="W2" s="1907"/>
      <c r="X2" s="1907"/>
      <c r="Y2" s="1907"/>
      <c r="Z2" s="1907"/>
      <c r="AA2" s="1907"/>
      <c r="AB2" s="1907"/>
      <c r="AC2" s="1907"/>
      <c r="AD2" s="1907"/>
      <c r="AE2" s="1907"/>
      <c r="AF2" s="1907"/>
      <c r="AG2" s="1907"/>
      <c r="AH2" s="1907"/>
      <c r="AI2" s="1907"/>
      <c r="AJ2" s="1907"/>
      <c r="AK2" s="1907"/>
      <c r="AL2" s="1907"/>
      <c r="AM2" s="1907"/>
      <c r="AN2" s="1907"/>
      <c r="AO2" s="1907"/>
      <c r="AP2" s="1907"/>
      <c r="AQ2" s="1907"/>
      <c r="AR2" s="1907"/>
      <c r="AS2" s="1907"/>
      <c r="AT2" s="1907"/>
      <c r="AU2" s="1907"/>
      <c r="AV2" s="1907"/>
      <c r="AW2" s="1907"/>
      <c r="AX2" s="1907"/>
      <c r="AY2" s="1907"/>
      <c r="AZ2" s="1907"/>
      <c r="BA2" s="1907"/>
      <c r="BB2" s="1907"/>
      <c r="BC2" s="1907"/>
      <c r="BD2" s="1907"/>
      <c r="BE2" s="1907"/>
      <c r="BF2" s="1907"/>
      <c r="BG2" s="1907"/>
      <c r="BH2" s="1907"/>
      <c r="BI2" s="1907"/>
      <c r="BJ2" s="1907"/>
      <c r="BK2" s="1907"/>
      <c r="BL2" s="1907"/>
      <c r="BM2" s="1907"/>
      <c r="BN2" s="1907"/>
      <c r="BO2" s="1907"/>
      <c r="BP2" s="1907"/>
      <c r="BQ2" s="1907"/>
      <c r="BR2" s="1907"/>
      <c r="BS2" s="1907"/>
      <c r="BT2" s="1907"/>
      <c r="BU2" s="1907"/>
      <c r="BV2" s="1907"/>
      <c r="BW2" s="1907"/>
      <c r="BX2" s="1907"/>
      <c r="BY2" s="1907"/>
      <c r="BZ2" s="1907"/>
      <c r="CA2" s="1907"/>
      <c r="CB2" s="1907"/>
      <c r="CC2" s="1907"/>
      <c r="CD2" s="1907"/>
      <c r="CE2" s="1907"/>
      <c r="CF2" s="1907"/>
      <c r="CG2" s="1907"/>
      <c r="CH2" s="1907"/>
      <c r="CI2" s="1907"/>
      <c r="CJ2" s="1907"/>
      <c r="CK2" s="1907"/>
      <c r="CL2" s="1907"/>
      <c r="CM2" s="1907"/>
      <c r="CN2" s="1907"/>
      <c r="CO2" s="1907"/>
      <c r="CP2" s="1907"/>
      <c r="CQ2" s="1907"/>
      <c r="CR2" s="1907"/>
      <c r="CS2" s="1907"/>
      <c r="CT2" s="1907"/>
      <c r="CU2" s="1907"/>
      <c r="CV2" s="1907"/>
      <c r="CW2" s="1907"/>
      <c r="CX2" s="1907"/>
      <c r="CY2" s="1907"/>
      <c r="CZ2" s="1907"/>
      <c r="DA2" s="1907"/>
      <c r="DB2" s="1907"/>
      <c r="DC2" s="1907"/>
      <c r="DD2" s="1907"/>
      <c r="DE2" s="1907"/>
      <c r="DF2" s="1907"/>
      <c r="DG2" s="1907"/>
      <c r="DH2" s="1907"/>
      <c r="DI2" s="1907"/>
      <c r="DJ2" s="1907"/>
      <c r="DK2" s="1907"/>
      <c r="DL2" s="1907"/>
    </row>
    <row r="3" spans="1:116" s="407" customFormat="1" ht="22.5" customHeight="1">
      <c r="A3" s="1912" t="s">
        <v>531</v>
      </c>
      <c r="B3" s="1912"/>
      <c r="C3" s="1912"/>
      <c r="D3" s="1912"/>
      <c r="E3" s="1912"/>
      <c r="F3" s="1912"/>
      <c r="G3" s="1912"/>
      <c r="H3" s="1912"/>
      <c r="I3" s="1912"/>
      <c r="J3" s="1912"/>
      <c r="K3" s="1912"/>
      <c r="L3" s="1912"/>
      <c r="M3" s="1912"/>
      <c r="N3" s="1912"/>
      <c r="O3" s="1912"/>
      <c r="P3" s="1912"/>
      <c r="Q3" s="1912"/>
      <c r="R3" s="1912"/>
      <c r="S3" s="1912"/>
      <c r="T3" s="1912"/>
      <c r="U3" s="1912"/>
      <c r="V3" s="1912"/>
      <c r="W3" s="1912"/>
      <c r="X3" s="1912"/>
      <c r="Y3" s="1912"/>
      <c r="Z3" s="1912"/>
      <c r="AA3" s="1912"/>
      <c r="AB3" s="1912"/>
      <c r="AC3" s="1912"/>
      <c r="AD3" s="1912"/>
      <c r="AE3" s="1912"/>
      <c r="AF3" s="1912"/>
      <c r="AG3" s="1912"/>
      <c r="AH3" s="1912"/>
      <c r="AI3" s="1912"/>
      <c r="AJ3" s="1912"/>
      <c r="AK3" s="1912"/>
      <c r="AL3" s="1912"/>
      <c r="AM3" s="1912"/>
      <c r="AN3" s="1912"/>
      <c r="AO3" s="1912"/>
      <c r="AP3" s="1912"/>
      <c r="AQ3" s="1912"/>
      <c r="AR3" s="1912"/>
      <c r="AS3" s="1912"/>
      <c r="AT3" s="1912"/>
      <c r="AU3" s="1912"/>
      <c r="AV3" s="1912"/>
      <c r="AW3" s="1912"/>
      <c r="AX3" s="1912"/>
      <c r="AY3" s="1912"/>
      <c r="AZ3" s="1912"/>
      <c r="BA3" s="1912"/>
      <c r="BB3" s="1912"/>
      <c r="BC3" s="1912"/>
      <c r="BD3" s="1912"/>
      <c r="BE3" s="1912"/>
      <c r="BF3" s="1912"/>
      <c r="BG3" s="1912"/>
      <c r="BH3" s="1912"/>
      <c r="BI3" s="1912"/>
      <c r="BJ3" s="1912"/>
      <c r="BK3" s="1912"/>
      <c r="BL3" s="1912"/>
      <c r="BM3" s="1912"/>
      <c r="BN3" s="1912"/>
      <c r="BO3" s="1912"/>
      <c r="BP3" s="1912"/>
      <c r="BQ3" s="1912"/>
      <c r="BR3" s="1912"/>
      <c r="BS3" s="1912"/>
      <c r="BT3" s="1912"/>
      <c r="BU3" s="1912"/>
      <c r="BV3" s="1912"/>
      <c r="BW3" s="1912"/>
      <c r="BX3" s="1912"/>
      <c r="BY3" s="1912"/>
      <c r="BZ3" s="1912"/>
      <c r="CA3" s="1912"/>
      <c r="CB3" s="1912"/>
      <c r="CC3" s="1912"/>
      <c r="CD3" s="1912"/>
      <c r="CE3" s="1912"/>
      <c r="CF3" s="1912"/>
      <c r="CG3" s="1912"/>
      <c r="CH3" s="1912"/>
      <c r="CI3" s="1912"/>
      <c r="CJ3" s="1912"/>
      <c r="CK3" s="1912"/>
      <c r="CL3" s="1912"/>
      <c r="CM3" s="1912"/>
      <c r="CN3" s="1912"/>
      <c r="CO3" s="1912"/>
      <c r="CP3" s="1912"/>
      <c r="CQ3" s="1912"/>
      <c r="CR3" s="1912"/>
      <c r="CS3" s="1912"/>
      <c r="CT3" s="1912"/>
      <c r="CU3" s="1912"/>
      <c r="CV3" s="1912"/>
      <c r="CW3" s="1912"/>
      <c r="CX3" s="1912"/>
      <c r="CY3" s="1912"/>
      <c r="CZ3" s="1912"/>
      <c r="DA3" s="1912"/>
      <c r="DB3" s="1912"/>
      <c r="DC3" s="1912"/>
      <c r="DD3" s="1912"/>
      <c r="DE3" s="1912"/>
      <c r="DF3" s="1912"/>
      <c r="DG3" s="1912"/>
      <c r="DH3" s="1912"/>
      <c r="DI3" s="1912"/>
      <c r="DJ3" s="1912"/>
      <c r="DK3" s="1912"/>
      <c r="DL3" s="1912"/>
    </row>
    <row r="4" spans="1:116" s="407" customFormat="1" ht="31.5" customHeight="1">
      <c r="A4" s="1913" t="s">
        <v>372</v>
      </c>
      <c r="B4" s="1913"/>
      <c r="C4" s="1913"/>
      <c r="D4" s="1913"/>
      <c r="E4" s="1913"/>
      <c r="F4" s="1913"/>
      <c r="G4" s="1913"/>
      <c r="H4" s="1913"/>
      <c r="I4" s="1913"/>
      <c r="J4" s="1913"/>
      <c r="K4" s="1913"/>
      <c r="L4" s="1913"/>
      <c r="M4" s="1913"/>
      <c r="N4" s="1913"/>
      <c r="O4" s="1913"/>
      <c r="P4" s="1913"/>
      <c r="Q4" s="1913"/>
      <c r="R4" s="1913"/>
      <c r="S4" s="1913"/>
      <c r="T4" s="1913"/>
      <c r="U4" s="1913"/>
      <c r="V4" s="1913"/>
      <c r="W4" s="1913"/>
      <c r="X4" s="1913"/>
      <c r="Y4" s="1913"/>
      <c r="Z4" s="1913"/>
      <c r="AA4" s="1913"/>
      <c r="AB4" s="1913"/>
      <c r="AC4" s="1913"/>
      <c r="AD4" s="1913"/>
      <c r="AE4" s="1913"/>
      <c r="AF4" s="1913"/>
      <c r="AG4" s="1913"/>
      <c r="AH4" s="1913"/>
      <c r="AI4" s="1913"/>
      <c r="AJ4" s="1913"/>
      <c r="AK4" s="1913"/>
      <c r="AL4" s="1913"/>
      <c r="AM4" s="1913"/>
      <c r="AN4" s="1913"/>
      <c r="AO4" s="1913"/>
      <c r="AP4" s="1913"/>
      <c r="AQ4" s="1913"/>
      <c r="AR4" s="1913"/>
      <c r="AS4" s="1913"/>
      <c r="AT4" s="1913"/>
      <c r="AU4" s="1913"/>
      <c r="AV4" s="1913"/>
      <c r="AW4" s="1913"/>
      <c r="AX4" s="1913"/>
      <c r="AY4" s="1913"/>
      <c r="AZ4" s="1913"/>
      <c r="BA4" s="1913"/>
      <c r="BB4" s="1913"/>
      <c r="BC4" s="1913"/>
      <c r="BD4" s="1913"/>
      <c r="BE4" s="1913"/>
      <c r="BF4" s="1913"/>
      <c r="BG4" s="1913"/>
      <c r="BH4" s="1913"/>
      <c r="BI4" s="1913"/>
      <c r="BJ4" s="1913"/>
      <c r="BK4" s="1913"/>
      <c r="BL4" s="1913"/>
      <c r="BM4" s="1913"/>
      <c r="BN4" s="1913"/>
      <c r="BO4" s="1913"/>
      <c r="BP4" s="1913"/>
      <c r="BQ4" s="1913"/>
      <c r="BR4" s="1913"/>
      <c r="BS4" s="1913"/>
      <c r="BT4" s="1913"/>
      <c r="BU4" s="1913"/>
      <c r="BV4" s="1913"/>
      <c r="BW4" s="1913"/>
      <c r="BX4" s="1913"/>
      <c r="BY4" s="1913"/>
      <c r="BZ4" s="1913"/>
      <c r="CA4" s="1913"/>
      <c r="CB4" s="1913"/>
      <c r="CC4" s="1913"/>
      <c r="CD4" s="1913"/>
      <c r="CE4" s="1913"/>
      <c r="CF4" s="1913"/>
      <c r="CG4" s="1913"/>
      <c r="CH4" s="1913"/>
      <c r="CI4" s="1913"/>
      <c r="CJ4" s="1913"/>
      <c r="CK4" s="1913"/>
      <c r="CL4" s="1913"/>
      <c r="CM4" s="1913"/>
      <c r="CN4" s="1913"/>
      <c r="CO4" s="1913"/>
      <c r="CP4" s="1913"/>
      <c r="CQ4" s="1913"/>
      <c r="CR4" s="1913"/>
      <c r="CS4" s="1913"/>
      <c r="CT4" s="1913"/>
      <c r="CU4" s="1913"/>
      <c r="CV4" s="1913"/>
      <c r="CW4" s="1913"/>
      <c r="CX4" s="1913"/>
      <c r="CY4" s="1913"/>
      <c r="CZ4" s="1913"/>
      <c r="DA4" s="1913"/>
      <c r="DB4" s="1913"/>
      <c r="DC4" s="1913"/>
      <c r="DD4" s="1913"/>
      <c r="DE4" s="1913"/>
      <c r="DF4" s="1913"/>
      <c r="DG4" s="1913"/>
      <c r="DH4" s="1913"/>
      <c r="DI4" s="1913"/>
      <c r="DJ4" s="1913"/>
      <c r="DK4" s="1913"/>
      <c r="DL4" s="1913"/>
    </row>
    <row r="5" spans="1:116" s="407" customFormat="1" ht="27" customHeight="1">
      <c r="A5" s="1913" t="s">
        <v>374</v>
      </c>
      <c r="B5" s="1913"/>
      <c r="C5" s="1913"/>
      <c r="D5" s="1913"/>
      <c r="E5" s="1913"/>
      <c r="F5" s="1913"/>
      <c r="G5" s="1913"/>
      <c r="H5" s="1913"/>
      <c r="I5" s="1913"/>
      <c r="J5" s="1913"/>
      <c r="K5" s="1913"/>
      <c r="L5" s="1913"/>
      <c r="M5" s="1913"/>
      <c r="N5" s="1913"/>
      <c r="O5" s="1913"/>
      <c r="P5" s="1913"/>
      <c r="Q5" s="1913"/>
      <c r="R5" s="1913"/>
      <c r="S5" s="1913"/>
      <c r="T5" s="1913"/>
      <c r="U5" s="1913"/>
      <c r="V5" s="1913"/>
      <c r="W5" s="1913"/>
      <c r="X5" s="1913"/>
      <c r="Y5" s="1913"/>
      <c r="Z5" s="1913"/>
      <c r="AA5" s="1913"/>
      <c r="AB5" s="1913"/>
      <c r="AC5" s="1913"/>
      <c r="AD5" s="1913"/>
      <c r="AE5" s="1913"/>
      <c r="AF5" s="1913"/>
      <c r="AG5" s="1913"/>
      <c r="AH5" s="1913"/>
      <c r="AI5" s="1913"/>
      <c r="AJ5" s="1913"/>
      <c r="AK5" s="1913"/>
      <c r="AL5" s="1913"/>
      <c r="AM5" s="1913"/>
      <c r="AN5" s="1913"/>
      <c r="AO5" s="1913"/>
      <c r="AP5" s="1913"/>
      <c r="AQ5" s="1913"/>
      <c r="AR5" s="1913"/>
      <c r="AS5" s="1913"/>
      <c r="AT5" s="1913"/>
      <c r="AU5" s="1913"/>
      <c r="AV5" s="1913"/>
      <c r="AW5" s="1913"/>
      <c r="AX5" s="1913"/>
      <c r="AY5" s="1913"/>
      <c r="AZ5" s="1913"/>
      <c r="BA5" s="1913"/>
      <c r="BB5" s="1913"/>
      <c r="BC5" s="1913"/>
      <c r="BD5" s="1913"/>
      <c r="BE5" s="1913"/>
      <c r="BF5" s="1913"/>
      <c r="BG5" s="1913"/>
      <c r="BH5" s="1913"/>
      <c r="BI5" s="1913"/>
      <c r="BJ5" s="1913"/>
      <c r="BK5" s="1913"/>
      <c r="BL5" s="1913"/>
      <c r="BM5" s="1913"/>
      <c r="BN5" s="1913"/>
      <c r="BO5" s="1913"/>
      <c r="BP5" s="1913"/>
      <c r="BQ5" s="1913"/>
      <c r="BR5" s="1913"/>
      <c r="BS5" s="1913"/>
      <c r="BT5" s="1913"/>
      <c r="BU5" s="1913"/>
      <c r="BV5" s="1913"/>
      <c r="BW5" s="1913"/>
      <c r="BX5" s="1913"/>
      <c r="BY5" s="1913"/>
      <c r="BZ5" s="1913"/>
      <c r="CA5" s="1913"/>
      <c r="CB5" s="1913"/>
      <c r="CC5" s="1913"/>
      <c r="CD5" s="1913"/>
      <c r="CE5" s="1913"/>
      <c r="CF5" s="1913"/>
      <c r="CG5" s="1913"/>
      <c r="CH5" s="1913"/>
      <c r="CI5" s="1913"/>
      <c r="CJ5" s="1913"/>
      <c r="CK5" s="1913"/>
      <c r="CL5" s="1913"/>
      <c r="CM5" s="1913"/>
      <c r="CN5" s="1913"/>
      <c r="CO5" s="1913"/>
      <c r="CP5" s="1913"/>
      <c r="CQ5" s="1913"/>
      <c r="CR5" s="1913"/>
      <c r="CS5" s="1913"/>
      <c r="CT5" s="1913"/>
      <c r="CU5" s="1913"/>
      <c r="CV5" s="1913"/>
      <c r="CW5" s="1913"/>
      <c r="CX5" s="1913"/>
      <c r="CY5" s="1913"/>
      <c r="CZ5" s="1913"/>
      <c r="DA5" s="1913"/>
      <c r="DB5" s="1913"/>
      <c r="DC5" s="1913"/>
      <c r="DD5" s="1913"/>
      <c r="DE5" s="1913"/>
      <c r="DF5" s="1913"/>
      <c r="DG5" s="1913"/>
      <c r="DH5" s="1913"/>
      <c r="DI5" s="1913"/>
      <c r="DJ5" s="1913"/>
      <c r="DK5" s="1913"/>
      <c r="DL5" s="1913"/>
    </row>
    <row r="6" spans="1:116" s="403" customFormat="1" ht="30.75" customHeight="1">
      <c r="A6" s="620" t="s">
        <v>90</v>
      </c>
      <c r="B6" s="626" t="s">
        <v>532</v>
      </c>
      <c r="C6" s="620"/>
      <c r="D6" s="620"/>
      <c r="E6" s="620"/>
      <c r="F6" s="620"/>
      <c r="G6" s="620"/>
      <c r="H6" s="620"/>
      <c r="I6" s="620"/>
      <c r="J6" s="620"/>
      <c r="K6" s="620"/>
      <c r="L6" s="620"/>
      <c r="M6" s="620"/>
      <c r="N6" s="620"/>
      <c r="O6" s="620"/>
      <c r="P6" s="620"/>
      <c r="Q6" s="620"/>
      <c r="R6" s="620"/>
      <c r="S6" s="620"/>
      <c r="T6" s="620"/>
      <c r="U6" s="620"/>
      <c r="V6" s="620"/>
      <c r="W6" s="620"/>
      <c r="X6" s="620"/>
      <c r="Y6" s="620"/>
      <c r="Z6" s="620"/>
      <c r="AA6" s="620"/>
      <c r="AB6" s="620"/>
      <c r="AC6" s="620"/>
      <c r="AD6" s="620"/>
      <c r="AE6" s="620"/>
      <c r="AF6" s="620"/>
      <c r="AG6" s="620"/>
      <c r="AH6" s="620"/>
      <c r="AI6" s="620"/>
      <c r="AJ6" s="620"/>
      <c r="AK6" s="620"/>
      <c r="AL6" s="620"/>
      <c r="AM6" s="620"/>
      <c r="AN6" s="620"/>
      <c r="AO6" s="620"/>
      <c r="AP6" s="620"/>
      <c r="AQ6" s="620"/>
      <c r="AR6" s="620"/>
      <c r="AS6" s="620"/>
      <c r="AT6" s="620"/>
      <c r="BO6" s="620"/>
      <c r="BT6" s="620" t="s">
        <v>664</v>
      </c>
      <c r="BU6" s="620"/>
      <c r="BV6" s="620"/>
      <c r="BW6" s="620"/>
      <c r="BX6" s="620"/>
      <c r="BY6" s="620"/>
      <c r="BZ6" s="620"/>
      <c r="CA6" s="620"/>
      <c r="CB6" s="620"/>
      <c r="CC6" s="620"/>
      <c r="CD6" s="620"/>
      <c r="CE6" s="620"/>
      <c r="CF6" s="620"/>
      <c r="CG6" s="620"/>
      <c r="CH6" s="620"/>
      <c r="CI6" s="620"/>
      <c r="CJ6" s="620"/>
      <c r="CK6" s="620"/>
      <c r="CL6" s="620"/>
      <c r="CM6" s="620"/>
      <c r="CN6" s="620"/>
      <c r="CO6" s="620"/>
      <c r="CP6" s="620"/>
      <c r="CQ6" s="620"/>
      <c r="CR6" s="620"/>
      <c r="CS6" s="620"/>
      <c r="CT6" s="620"/>
      <c r="CU6" s="1906">
        <v>3602</v>
      </c>
      <c r="CV6" s="1906"/>
      <c r="CW6" s="1906"/>
    </row>
    <row r="7" spans="1:116" s="403" customFormat="1" ht="9" customHeight="1">
      <c r="A7" s="620"/>
      <c r="B7" s="620"/>
      <c r="CD7" s="620"/>
      <c r="CR7" s="621"/>
      <c r="CS7" s="621"/>
      <c r="CT7" s="621"/>
      <c r="CU7" s="621"/>
      <c r="CV7" s="621"/>
    </row>
    <row r="8" spans="1:116" s="403" customFormat="1" ht="15" customHeight="1">
      <c r="A8" s="622" t="s">
        <v>661</v>
      </c>
      <c r="C8" s="1852">
        <v>1</v>
      </c>
      <c r="D8" s="1853"/>
      <c r="E8" s="1853"/>
      <c r="F8" s="1853"/>
      <c r="G8" s="1853"/>
      <c r="H8" s="604"/>
      <c r="I8" s="605" t="s">
        <v>596</v>
      </c>
      <c r="J8" s="604"/>
      <c r="K8" s="604"/>
      <c r="L8" s="604"/>
      <c r="M8" s="604"/>
      <c r="N8" s="604"/>
      <c r="O8" s="604"/>
      <c r="P8" s="604"/>
      <c r="Q8" s="604"/>
      <c r="R8" s="604"/>
      <c r="S8" s="604"/>
      <c r="T8" s="604"/>
      <c r="U8" s="604"/>
      <c r="V8" s="604"/>
      <c r="W8" s="604"/>
      <c r="X8" s="604"/>
      <c r="Y8" s="604"/>
      <c r="Z8" s="604"/>
      <c r="AA8" s="604"/>
      <c r="AB8" s="604"/>
      <c r="AC8" s="604"/>
      <c r="AD8" s="604"/>
      <c r="AE8" s="604"/>
      <c r="AF8" s="604"/>
      <c r="AG8" s="604"/>
      <c r="AH8" s="604"/>
      <c r="AI8" s="604"/>
      <c r="AJ8" s="604"/>
      <c r="AK8" s="604"/>
      <c r="AL8" s="604"/>
      <c r="AM8" s="604"/>
      <c r="AN8" s="604"/>
      <c r="AO8" s="538"/>
      <c r="AP8" s="538"/>
      <c r="AQ8" s="538"/>
      <c r="AR8" s="538"/>
      <c r="AS8" s="538"/>
      <c r="AT8" s="538"/>
      <c r="AU8" s="538"/>
      <c r="AV8" s="538"/>
      <c r="AW8" s="538"/>
      <c r="AX8" s="538"/>
      <c r="AY8" s="538"/>
      <c r="AZ8" s="538"/>
      <c r="BA8" s="538"/>
      <c r="BB8" s="538"/>
      <c r="BC8" s="538"/>
      <c r="BD8" s="691"/>
      <c r="BT8" s="442" t="s">
        <v>595</v>
      </c>
      <c r="CR8" s="623"/>
      <c r="CS8" s="621"/>
      <c r="CT8" s="621"/>
      <c r="CU8" s="621"/>
      <c r="CV8" s="621"/>
    </row>
    <row r="9" spans="1:116" s="403" customFormat="1" ht="15" customHeight="1">
      <c r="A9" s="622"/>
      <c r="C9" s="1852">
        <v>2</v>
      </c>
      <c r="D9" s="1853"/>
      <c r="E9" s="1853"/>
      <c r="F9" s="1853"/>
      <c r="G9" s="1853"/>
      <c r="I9" s="442" t="s">
        <v>598</v>
      </c>
      <c r="BD9" s="694"/>
      <c r="BT9" s="442" t="s">
        <v>597</v>
      </c>
      <c r="CR9" s="623"/>
      <c r="CS9" s="621"/>
      <c r="CT9" s="621"/>
      <c r="CU9" s="621"/>
      <c r="CV9" s="621"/>
    </row>
    <row r="10" spans="1:116" s="403" customFormat="1" ht="15" customHeight="1">
      <c r="A10" s="622"/>
      <c r="C10" s="1852">
        <v>3</v>
      </c>
      <c r="D10" s="1853"/>
      <c r="E10" s="1853"/>
      <c r="F10" s="1853"/>
      <c r="G10" s="1853"/>
      <c r="H10" s="538"/>
      <c r="I10" s="695" t="s">
        <v>600</v>
      </c>
      <c r="J10" s="538"/>
      <c r="K10" s="538"/>
      <c r="L10" s="538"/>
      <c r="M10" s="538"/>
      <c r="N10" s="538"/>
      <c r="O10" s="538"/>
      <c r="P10" s="538"/>
      <c r="Q10" s="538"/>
      <c r="R10" s="538"/>
      <c r="S10" s="538"/>
      <c r="T10" s="538"/>
      <c r="U10" s="538"/>
      <c r="V10" s="538"/>
      <c r="W10" s="538"/>
      <c r="X10" s="538"/>
      <c r="Y10" s="538"/>
      <c r="Z10" s="538"/>
      <c r="AA10" s="538"/>
      <c r="AB10" s="538"/>
      <c r="AC10" s="538"/>
      <c r="AD10" s="538"/>
      <c r="AE10" s="538"/>
      <c r="AF10" s="538"/>
      <c r="AG10" s="538"/>
      <c r="AH10" s="538"/>
      <c r="AI10" s="538"/>
      <c r="AJ10" s="538"/>
      <c r="AK10" s="538"/>
      <c r="AL10" s="538"/>
      <c r="AM10" s="538"/>
      <c r="AN10" s="538"/>
      <c r="AO10" s="538"/>
      <c r="AP10" s="538"/>
      <c r="AQ10" s="538"/>
      <c r="AR10" s="538"/>
      <c r="AS10" s="538"/>
      <c r="AT10" s="538"/>
      <c r="AU10" s="538"/>
      <c r="AV10" s="538"/>
      <c r="AW10" s="538"/>
      <c r="AX10" s="538"/>
      <c r="AY10" s="538"/>
      <c r="AZ10" s="538"/>
      <c r="BA10" s="538"/>
      <c r="BB10" s="538"/>
      <c r="BC10" s="538"/>
      <c r="BD10" s="691"/>
      <c r="BT10" s="442" t="s">
        <v>599</v>
      </c>
    </row>
    <row r="11" spans="1:116" s="403" customFormat="1" ht="15" customHeight="1">
      <c r="A11" s="622"/>
      <c r="C11" s="1852">
        <v>4</v>
      </c>
      <c r="D11" s="1853"/>
      <c r="E11" s="1853"/>
      <c r="F11" s="1853"/>
      <c r="G11" s="1853"/>
      <c r="I11" s="442" t="s">
        <v>602</v>
      </c>
      <c r="J11" s="442"/>
      <c r="BD11" s="694"/>
      <c r="BT11" s="442" t="s">
        <v>601</v>
      </c>
    </row>
    <row r="12" spans="1:116" s="403" customFormat="1" ht="15" customHeight="1">
      <c r="A12" s="622"/>
      <c r="C12" s="1852">
        <v>5</v>
      </c>
      <c r="D12" s="1853"/>
      <c r="E12" s="1853"/>
      <c r="F12" s="1853"/>
      <c r="G12" s="1853"/>
      <c r="H12" s="538"/>
      <c r="I12" s="695" t="s">
        <v>605</v>
      </c>
      <c r="J12" s="695"/>
      <c r="K12" s="538"/>
      <c r="L12" s="538"/>
      <c r="M12" s="538"/>
      <c r="N12" s="538"/>
      <c r="O12" s="538"/>
      <c r="P12" s="538"/>
      <c r="Q12" s="538"/>
      <c r="R12" s="538"/>
      <c r="S12" s="538"/>
      <c r="T12" s="538"/>
      <c r="U12" s="538"/>
      <c r="V12" s="538"/>
      <c r="W12" s="538"/>
      <c r="X12" s="538"/>
      <c r="Y12" s="538"/>
      <c r="Z12" s="538"/>
      <c r="AA12" s="538"/>
      <c r="AB12" s="538"/>
      <c r="AC12" s="538"/>
      <c r="AD12" s="538"/>
      <c r="AE12" s="538"/>
      <c r="AF12" s="538"/>
      <c r="AG12" s="538"/>
      <c r="AH12" s="538"/>
      <c r="AI12" s="538"/>
      <c r="AJ12" s="538"/>
      <c r="AK12" s="538"/>
      <c r="AL12" s="538"/>
      <c r="AM12" s="538"/>
      <c r="AN12" s="538"/>
      <c r="AO12" s="538"/>
      <c r="AP12" s="538"/>
      <c r="AQ12" s="538"/>
      <c r="AR12" s="538"/>
      <c r="AS12" s="538"/>
      <c r="AT12" s="538"/>
      <c r="AU12" s="538"/>
      <c r="AV12" s="538"/>
      <c r="AW12" s="538"/>
      <c r="AX12" s="538"/>
      <c r="AY12" s="538"/>
      <c r="AZ12" s="538"/>
      <c r="BA12" s="538"/>
      <c r="BB12" s="538"/>
      <c r="BC12" s="538"/>
      <c r="BD12" s="691"/>
      <c r="BT12" s="442" t="s">
        <v>604</v>
      </c>
    </row>
    <row r="13" spans="1:116" s="403" customFormat="1" ht="12.75">
      <c r="A13" s="622"/>
      <c r="J13" s="442"/>
    </row>
    <row r="14" spans="1:116" s="403" customFormat="1">
      <c r="A14" s="393" t="s">
        <v>147</v>
      </c>
      <c r="B14" s="392" t="str">
        <f>'CUMPLIMIENTO % '!C7</f>
        <v>LUIS GABRIEL IBARRA ANGEL</v>
      </c>
      <c r="C14" s="393"/>
      <c r="D14" s="392"/>
      <c r="E14" s="392"/>
      <c r="F14" s="392"/>
      <c r="G14" s="392"/>
      <c r="H14" s="392"/>
      <c r="I14" s="392"/>
      <c r="J14" s="392"/>
      <c r="K14" s="392"/>
      <c r="L14" s="392"/>
      <c r="M14" s="392"/>
      <c r="N14" s="392"/>
      <c r="O14" s="392"/>
      <c r="P14" s="392"/>
      <c r="Q14" s="392"/>
      <c r="R14" s="392"/>
      <c r="S14" s="392"/>
      <c r="T14" s="392"/>
      <c r="U14" s="392"/>
      <c r="V14" s="392"/>
      <c r="W14" s="392"/>
      <c r="X14" s="392"/>
      <c r="Y14" s="392"/>
      <c r="Z14" s="392"/>
      <c r="AA14" s="392"/>
      <c r="AB14" s="392"/>
      <c r="AC14" s="392"/>
      <c r="AD14" s="392"/>
      <c r="AE14" s="392"/>
      <c r="AF14" s="392"/>
      <c r="AG14" s="392"/>
      <c r="AH14" s="392"/>
      <c r="AI14" s="392"/>
      <c r="AJ14" s="392"/>
      <c r="AK14" s="392"/>
      <c r="AL14" s="392"/>
      <c r="AM14" s="392"/>
      <c r="AN14" s="392"/>
      <c r="AO14" s="392"/>
      <c r="AP14" s="392"/>
      <c r="AQ14" s="392"/>
      <c r="AR14" s="392"/>
      <c r="AS14" s="392"/>
      <c r="AT14" s="392"/>
      <c r="AU14" s="392"/>
      <c r="AV14" s="392"/>
      <c r="AW14" s="392"/>
      <c r="AX14" s="392"/>
      <c r="AY14" s="392"/>
      <c r="AZ14" s="392"/>
      <c r="BA14" s="392"/>
      <c r="BB14" s="610" t="e">
        <f>'[5]PNE - TEC'!BB11:CW11</f>
        <v>#REF!</v>
      </c>
      <c r="BC14" s="610"/>
      <c r="BD14" s="610"/>
      <c r="BE14" s="610"/>
      <c r="BF14" s="610"/>
      <c r="BG14" s="610"/>
      <c r="BH14" s="610"/>
      <c r="BI14" s="610"/>
      <c r="BJ14" s="610"/>
      <c r="BK14" s="610"/>
      <c r="BL14" s="610"/>
      <c r="BM14" s="610"/>
      <c r="BN14" s="610"/>
      <c r="BO14" s="610"/>
      <c r="BP14" s="610"/>
      <c r="BQ14" s="610"/>
      <c r="BR14" s="610"/>
      <c r="BS14" s="610"/>
      <c r="BT14" s="1859" t="s">
        <v>419</v>
      </c>
      <c r="BU14" s="1859"/>
      <c r="BV14" s="1859"/>
      <c r="BW14" s="1859"/>
      <c r="BX14" s="1859"/>
      <c r="BY14" s="1859"/>
      <c r="BZ14" s="1859"/>
      <c r="CA14" s="1859"/>
      <c r="CB14" s="1859"/>
      <c r="CC14" s="1859"/>
      <c r="CD14" s="1859"/>
      <c r="CE14" s="1859"/>
      <c r="CF14" s="1859"/>
      <c r="CG14" s="1859"/>
      <c r="CH14" s="1859"/>
      <c r="CI14" s="1859"/>
      <c r="CJ14" s="1859"/>
      <c r="CK14" s="1859"/>
      <c r="CL14" s="1859"/>
      <c r="CM14" s="1859"/>
      <c r="CN14" s="1859"/>
      <c r="CO14" s="1859"/>
      <c r="CP14" s="1859"/>
      <c r="CQ14" s="1859"/>
      <c r="CR14" s="1859"/>
      <c r="CS14" s="1859"/>
      <c r="CT14" s="1859"/>
      <c r="CU14" s="1859"/>
      <c r="CV14" s="1859"/>
      <c r="CW14" s="942" t="str">
        <f>PORTADA!C31</f>
        <v>OCTUBRE - DICIEMBRE DEL 2020</v>
      </c>
    </row>
    <row r="15" spans="1:116" ht="16.5" thickBot="1">
      <c r="A15" s="443"/>
      <c r="B15" s="444"/>
      <c r="C15" s="443"/>
      <c r="D15" s="443"/>
      <c r="E15" s="443"/>
      <c r="F15" s="443"/>
      <c r="G15" s="443"/>
      <c r="H15" s="443"/>
      <c r="I15" s="443"/>
      <c r="J15" s="443"/>
      <c r="K15" s="443"/>
      <c r="L15" s="443"/>
      <c r="M15" s="443"/>
      <c r="N15" s="443"/>
      <c r="O15" s="443"/>
      <c r="P15" s="443"/>
      <c r="Q15" s="443"/>
      <c r="R15" s="443"/>
      <c r="S15" s="443"/>
      <c r="T15" s="443"/>
      <c r="U15" s="443"/>
      <c r="V15" s="443"/>
      <c r="W15" s="443"/>
      <c r="X15" s="443"/>
      <c r="Y15" s="443"/>
      <c r="Z15" s="443"/>
      <c r="AA15" s="443"/>
      <c r="AB15" s="443"/>
      <c r="AC15" s="443"/>
      <c r="AD15" s="443"/>
      <c r="AE15" s="443"/>
      <c r="AF15" s="443"/>
      <c r="AG15" s="443"/>
      <c r="AH15" s="443"/>
      <c r="AI15" s="443"/>
      <c r="AJ15" s="443"/>
      <c r="AK15" s="443"/>
      <c r="AL15" s="443"/>
      <c r="AM15" s="443"/>
      <c r="AN15" s="443"/>
      <c r="AO15" s="443"/>
      <c r="AP15" s="443"/>
      <c r="AQ15" s="443"/>
      <c r="AR15" s="443"/>
      <c r="AS15" s="443"/>
      <c r="AT15" s="443"/>
      <c r="AU15" s="443"/>
      <c r="AV15" s="443"/>
      <c r="AW15" s="443"/>
      <c r="AX15" s="443"/>
      <c r="AY15" s="443"/>
      <c r="AZ15" s="443"/>
      <c r="BA15" s="443"/>
      <c r="BB15" s="443"/>
      <c r="BC15" s="443"/>
      <c r="BD15" s="443"/>
      <c r="BE15" s="443"/>
      <c r="BF15" s="443"/>
      <c r="BG15" s="443"/>
      <c r="BH15" s="443"/>
      <c r="BI15" s="443"/>
      <c r="BJ15" s="351"/>
      <c r="BK15" s="351"/>
      <c r="BL15" s="351"/>
      <c r="BM15" s="351"/>
      <c r="BN15" s="351"/>
      <c r="BO15" s="351"/>
      <c r="BP15" s="351"/>
      <c r="BQ15" s="351"/>
      <c r="BR15" s="351"/>
      <c r="BS15" s="351"/>
      <c r="BT15" s="351"/>
      <c r="BU15" s="351"/>
      <c r="BV15" s="351"/>
      <c r="BW15" s="351"/>
      <c r="BX15" s="351"/>
      <c r="BY15" s="351"/>
      <c r="BZ15" s="351"/>
      <c r="CA15" s="351"/>
      <c r="CB15" s="351"/>
      <c r="CC15" s="351"/>
      <c r="CD15" s="351"/>
      <c r="CE15" s="351"/>
      <c r="CF15" s="351"/>
      <c r="CG15" s="351"/>
      <c r="CH15" s="351"/>
      <c r="CI15" s="351"/>
      <c r="CJ15" s="351"/>
      <c r="CK15" s="351"/>
      <c r="CL15" s="351"/>
      <c r="CM15" s="351"/>
      <c r="CN15" s="351"/>
      <c r="CO15" s="351"/>
      <c r="CP15" s="351"/>
      <c r="CQ15" s="351"/>
      <c r="CR15" s="351"/>
      <c r="CS15" s="351"/>
      <c r="CT15" s="351"/>
      <c r="CU15" s="351"/>
      <c r="CV15" s="351"/>
      <c r="CW15" s="351"/>
      <c r="CX15" s="351"/>
      <c r="CY15" s="351"/>
      <c r="CZ15" s="351"/>
      <c r="DA15" s="351"/>
      <c r="DB15" s="351"/>
      <c r="DC15" s="351"/>
      <c r="DD15" s="351"/>
      <c r="DE15" s="351"/>
      <c r="DF15" s="351"/>
      <c r="DG15" s="351"/>
      <c r="DH15" s="351"/>
      <c r="DI15" s="351"/>
      <c r="DJ15" s="351"/>
      <c r="DK15" s="351"/>
      <c r="DL15" s="351"/>
    </row>
    <row r="16" spans="1:116" ht="21.95" customHeight="1">
      <c r="A16" s="446"/>
      <c r="B16" s="447"/>
      <c r="C16" s="447"/>
      <c r="D16" s="447"/>
      <c r="E16" s="447"/>
      <c r="F16" s="447"/>
      <c r="G16" s="447"/>
      <c r="H16" s="447"/>
      <c r="I16" s="447"/>
      <c r="J16" s="447"/>
      <c r="K16" s="447"/>
      <c r="L16" s="447"/>
      <c r="M16" s="447"/>
      <c r="N16" s="447"/>
      <c r="O16" s="447"/>
      <c r="P16" s="447"/>
      <c r="Q16" s="447"/>
      <c r="R16" s="447"/>
      <c r="S16" s="447"/>
      <c r="T16" s="447"/>
      <c r="U16" s="447"/>
      <c r="V16" s="447"/>
      <c r="W16" s="447"/>
      <c r="X16" s="447"/>
      <c r="Y16" s="447"/>
      <c r="Z16" s="447"/>
      <c r="AA16" s="447"/>
      <c r="AB16" s="447"/>
      <c r="AC16" s="447"/>
      <c r="AD16" s="447"/>
      <c r="AE16" s="447"/>
      <c r="AF16" s="447"/>
      <c r="AG16" s="447"/>
      <c r="AH16" s="447"/>
      <c r="AI16" s="447"/>
      <c r="AJ16" s="447"/>
      <c r="AK16" s="447"/>
      <c r="AL16" s="447"/>
      <c r="AM16" s="447"/>
      <c r="AN16" s="447"/>
      <c r="AO16" s="447"/>
      <c r="AP16" s="447"/>
      <c r="AQ16" s="447"/>
      <c r="AR16" s="447"/>
      <c r="AS16" s="447"/>
      <c r="AT16" s="447"/>
      <c r="AU16" s="447"/>
      <c r="AV16" s="447"/>
      <c r="AW16" s="447"/>
      <c r="AX16" s="447"/>
      <c r="AY16" s="447"/>
      <c r="AZ16" s="447"/>
      <c r="BA16" s="447"/>
      <c r="BB16" s="447"/>
      <c r="BC16" s="447"/>
      <c r="BD16" s="447"/>
      <c r="BE16" s="447"/>
      <c r="BF16" s="447"/>
      <c r="BG16" s="447"/>
      <c r="BH16" s="447"/>
      <c r="BI16" s="447"/>
      <c r="BJ16" s="447"/>
      <c r="BK16" s="447"/>
      <c r="BL16" s="447"/>
      <c r="BM16" s="447"/>
      <c r="BN16" s="447"/>
      <c r="BO16" s="447"/>
      <c r="BP16" s="447"/>
      <c r="BQ16" s="447"/>
      <c r="BR16" s="447"/>
      <c r="BS16" s="447"/>
      <c r="BT16" s="447"/>
      <c r="BU16" s="447"/>
      <c r="BV16" s="447"/>
      <c r="BW16" s="447"/>
      <c r="BX16" s="447"/>
      <c r="BY16" s="447"/>
      <c r="BZ16" s="447"/>
      <c r="CA16" s="447"/>
      <c r="CB16" s="447"/>
      <c r="CC16" s="447"/>
      <c r="CD16" s="447"/>
      <c r="CE16" s="447"/>
      <c r="CF16" s="447"/>
      <c r="CG16" s="447"/>
      <c r="CH16" s="447"/>
      <c r="CI16" s="447"/>
      <c r="CJ16" s="447"/>
      <c r="CK16" s="447"/>
      <c r="CL16" s="447"/>
      <c r="CM16" s="447"/>
      <c r="CN16" s="447"/>
      <c r="CO16" s="447"/>
      <c r="CP16" s="447"/>
      <c r="CQ16" s="447"/>
      <c r="CR16" s="447"/>
      <c r="CS16" s="447"/>
      <c r="CT16" s="447"/>
      <c r="CU16" s="447"/>
      <c r="CV16" s="447"/>
      <c r="CW16" s="447"/>
      <c r="CX16" s="447"/>
      <c r="CY16" s="447"/>
      <c r="CZ16" s="447"/>
      <c r="DA16" s="447"/>
      <c r="DB16" s="447"/>
      <c r="DC16" s="447"/>
      <c r="DD16" s="447"/>
      <c r="DE16" s="447"/>
      <c r="DF16" s="447"/>
      <c r="DG16" s="447"/>
      <c r="DH16" s="447"/>
      <c r="DI16" s="447"/>
      <c r="DJ16" s="447"/>
      <c r="DK16" s="447"/>
      <c r="DL16" s="448"/>
    </row>
    <row r="17" spans="1:116" ht="21.95" customHeight="1">
      <c r="A17" s="449"/>
      <c r="DL17" s="450"/>
    </row>
    <row r="18" spans="1:116" ht="21.95" customHeight="1">
      <c r="A18" s="449"/>
      <c r="DL18" s="450"/>
    </row>
    <row r="19" spans="1:116" ht="21.95" customHeight="1">
      <c r="A19" s="449"/>
      <c r="DL19" s="450"/>
    </row>
    <row r="20" spans="1:116" ht="21.95" customHeight="1">
      <c r="A20" s="449"/>
      <c r="DL20" s="450"/>
    </row>
    <row r="21" spans="1:116" ht="21.95" customHeight="1">
      <c r="A21" s="449"/>
      <c r="DL21" s="450"/>
    </row>
    <row r="22" spans="1:116" ht="21.95" customHeight="1">
      <c r="A22" s="449"/>
      <c r="DL22" s="450"/>
    </row>
    <row r="23" spans="1:116" ht="21.95" customHeight="1">
      <c r="A23" s="449"/>
      <c r="DL23" s="450"/>
    </row>
    <row r="24" spans="1:116" ht="21.95" customHeight="1">
      <c r="A24" s="449"/>
      <c r="DL24" s="450"/>
    </row>
    <row r="25" spans="1:116" ht="21.95" customHeight="1">
      <c r="A25" s="449"/>
      <c r="DL25" s="450"/>
    </row>
    <row r="26" spans="1:116" ht="21.95" customHeight="1">
      <c r="A26" s="449"/>
      <c r="DL26" s="450"/>
    </row>
    <row r="27" spans="1:116" ht="21.95" customHeight="1">
      <c r="A27" s="449"/>
      <c r="DL27" s="450"/>
    </row>
    <row r="28" spans="1:116" ht="21.95" customHeight="1">
      <c r="A28" s="449"/>
      <c r="DL28" s="450"/>
    </row>
    <row r="29" spans="1:116" ht="21.95" customHeight="1">
      <c r="A29" s="449"/>
      <c r="DL29" s="450"/>
    </row>
    <row r="30" spans="1:116" ht="21.95" customHeight="1">
      <c r="A30" s="449"/>
      <c r="DL30" s="450"/>
    </row>
    <row r="31" spans="1:116" ht="21.95" customHeight="1">
      <c r="A31" s="449"/>
      <c r="DL31" s="450"/>
    </row>
    <row r="32" spans="1:116" ht="21.95" customHeight="1">
      <c r="A32" s="449"/>
      <c r="DL32" s="450"/>
    </row>
    <row r="33" spans="1:120" ht="21.95" customHeight="1" thickBot="1">
      <c r="A33" s="451"/>
      <c r="B33" s="452"/>
      <c r="C33" s="452"/>
      <c r="D33" s="452"/>
      <c r="E33" s="452"/>
      <c r="F33" s="452"/>
      <c r="G33" s="452"/>
      <c r="H33" s="452"/>
      <c r="I33" s="452"/>
      <c r="J33" s="452"/>
      <c r="K33" s="452"/>
      <c r="L33" s="452"/>
      <c r="M33" s="452"/>
      <c r="N33" s="452"/>
      <c r="O33" s="452"/>
      <c r="P33" s="452"/>
      <c r="Q33" s="452"/>
      <c r="R33" s="452"/>
      <c r="S33" s="452"/>
      <c r="T33" s="452"/>
      <c r="U33" s="452"/>
      <c r="V33" s="452"/>
      <c r="W33" s="452"/>
      <c r="X33" s="452"/>
      <c r="Y33" s="452"/>
      <c r="Z33" s="452"/>
      <c r="AA33" s="452"/>
      <c r="AB33" s="452"/>
      <c r="AC33" s="452"/>
      <c r="AD33" s="452"/>
      <c r="AE33" s="452"/>
      <c r="AF33" s="452"/>
      <c r="AG33" s="452"/>
      <c r="AH33" s="452"/>
      <c r="AI33" s="452"/>
      <c r="AJ33" s="452"/>
      <c r="AK33" s="452"/>
      <c r="AL33" s="452"/>
      <c r="AM33" s="452"/>
      <c r="AN33" s="452"/>
      <c r="AO33" s="452"/>
      <c r="AP33" s="452"/>
      <c r="AQ33" s="452"/>
      <c r="AR33" s="452"/>
      <c r="AS33" s="452"/>
      <c r="AT33" s="452"/>
      <c r="AU33" s="452"/>
      <c r="AV33" s="452"/>
      <c r="AW33" s="452"/>
      <c r="AX33" s="452"/>
      <c r="AY33" s="452"/>
      <c r="AZ33" s="452"/>
      <c r="BA33" s="452"/>
      <c r="BB33" s="452"/>
      <c r="BC33" s="452"/>
      <c r="BD33" s="452"/>
      <c r="BE33" s="452"/>
      <c r="BF33" s="452"/>
      <c r="BG33" s="452"/>
      <c r="BH33" s="452"/>
      <c r="BI33" s="452"/>
      <c r="BJ33" s="452"/>
      <c r="BK33" s="452"/>
      <c r="BL33" s="452"/>
      <c r="BM33" s="452"/>
      <c r="BN33" s="452"/>
      <c r="BO33" s="452"/>
      <c r="BP33" s="452"/>
      <c r="BQ33" s="452"/>
      <c r="BR33" s="452"/>
      <c r="BS33" s="452"/>
      <c r="BT33" s="452"/>
      <c r="BU33" s="452"/>
      <c r="BV33" s="452"/>
      <c r="BW33" s="452"/>
      <c r="BX33" s="452"/>
      <c r="BY33" s="452"/>
      <c r="BZ33" s="452"/>
      <c r="CA33" s="452"/>
      <c r="CB33" s="452"/>
      <c r="CC33" s="452"/>
      <c r="CD33" s="452"/>
      <c r="CE33" s="452"/>
      <c r="CF33" s="452"/>
      <c r="CG33" s="452"/>
      <c r="CH33" s="452"/>
      <c r="CI33" s="452"/>
      <c r="CJ33" s="452"/>
      <c r="CK33" s="452"/>
      <c r="CL33" s="452"/>
      <c r="CM33" s="452"/>
      <c r="CN33" s="452"/>
      <c r="CO33" s="452"/>
      <c r="CP33" s="452"/>
      <c r="CQ33" s="452"/>
      <c r="CR33" s="452"/>
      <c r="CS33" s="452"/>
      <c r="CT33" s="452"/>
      <c r="CU33" s="452"/>
      <c r="CV33" s="452"/>
      <c r="CW33" s="452"/>
      <c r="CX33" s="452"/>
      <c r="CY33" s="452"/>
      <c r="CZ33" s="452"/>
      <c r="DA33" s="452"/>
      <c r="DB33" s="452"/>
      <c r="DC33" s="452"/>
      <c r="DD33" s="452"/>
      <c r="DE33" s="452"/>
      <c r="DF33" s="452"/>
      <c r="DG33" s="452"/>
      <c r="DH33" s="452"/>
      <c r="DI33" s="452"/>
      <c r="DJ33" s="452"/>
      <c r="DK33" s="452"/>
      <c r="DL33" s="453"/>
    </row>
    <row r="34" spans="1:120" ht="16.5" customHeight="1" thickBot="1">
      <c r="A34" s="454" t="s">
        <v>7</v>
      </c>
      <c r="B34" s="1909" t="s">
        <v>52</v>
      </c>
      <c r="C34" s="1910"/>
      <c r="D34" s="1910"/>
      <c r="E34" s="1910"/>
      <c r="F34" s="1910"/>
      <c r="G34" s="1910"/>
      <c r="H34" s="1910"/>
      <c r="I34" s="1910"/>
      <c r="J34" s="1910"/>
      <c r="K34" s="1910"/>
      <c r="L34" s="1910"/>
      <c r="M34" s="1910"/>
      <c r="N34" s="1910"/>
      <c r="O34" s="1910"/>
      <c r="P34" s="1910"/>
      <c r="Q34" s="1910"/>
      <c r="R34" s="1910"/>
      <c r="S34" s="1910"/>
      <c r="T34" s="1910"/>
      <c r="U34" s="1910"/>
      <c r="V34" s="1910"/>
      <c r="W34" s="1910"/>
      <c r="X34" s="1910"/>
      <c r="Y34" s="1910"/>
      <c r="Z34" s="1910"/>
      <c r="AA34" s="1910"/>
      <c r="AB34" s="1910"/>
      <c r="AC34" s="1910"/>
      <c r="AD34" s="1910"/>
      <c r="AE34" s="1910"/>
      <c r="AF34" s="1910"/>
      <c r="AG34" s="1910"/>
      <c r="AH34" s="1910"/>
      <c r="AI34" s="1910"/>
      <c r="AJ34" s="1910"/>
      <c r="AK34" s="1910"/>
      <c r="AL34" s="1910"/>
      <c r="AM34" s="1910"/>
      <c r="AN34" s="1910"/>
      <c r="AO34" s="1910"/>
      <c r="AP34" s="1910"/>
      <c r="AQ34" s="1910"/>
      <c r="AR34" s="1910"/>
      <c r="AS34" s="1910"/>
      <c r="AT34" s="1910"/>
      <c r="AU34" s="1910"/>
      <c r="AV34" s="1910"/>
      <c r="AW34" s="1910"/>
      <c r="AX34" s="1910"/>
      <c r="AY34" s="1910"/>
      <c r="AZ34" s="1910"/>
      <c r="BA34" s="1910"/>
      <c r="BB34" s="1910"/>
      <c r="BC34" s="1910"/>
      <c r="BD34" s="1910"/>
      <c r="BE34" s="1910"/>
      <c r="BF34" s="1910"/>
      <c r="BG34" s="1910"/>
      <c r="BH34" s="1910"/>
      <c r="BI34" s="1910"/>
      <c r="BJ34" s="1910"/>
      <c r="BK34" s="1910"/>
      <c r="BL34" s="1910"/>
      <c r="BM34" s="1910"/>
      <c r="BN34" s="1910"/>
      <c r="BO34" s="1910"/>
      <c r="BP34" s="1910"/>
      <c r="BQ34" s="1910"/>
      <c r="BR34" s="1910"/>
      <c r="BS34" s="1910"/>
      <c r="BT34" s="1910"/>
      <c r="BU34" s="1910"/>
      <c r="BV34" s="1910"/>
      <c r="BW34" s="1910"/>
      <c r="BX34" s="1910"/>
      <c r="BY34" s="1910"/>
      <c r="BZ34" s="1910"/>
      <c r="CA34" s="1910"/>
      <c r="CB34" s="1910"/>
      <c r="CC34" s="1910"/>
      <c r="CD34" s="1910"/>
      <c r="CE34" s="1910"/>
      <c r="CF34" s="1910"/>
      <c r="CG34" s="1910"/>
      <c r="CH34" s="1910"/>
      <c r="CI34" s="1910"/>
      <c r="CJ34" s="1910"/>
      <c r="CK34" s="1910"/>
      <c r="CL34" s="1910"/>
      <c r="CM34" s="1910"/>
      <c r="CN34" s="1910"/>
      <c r="CO34" s="1910"/>
      <c r="CP34" s="1910"/>
      <c r="CQ34" s="1910"/>
      <c r="CR34" s="1911"/>
      <c r="CS34" s="1663" t="s">
        <v>568</v>
      </c>
      <c r="CT34" s="1664"/>
      <c r="CU34" s="1664"/>
      <c r="CV34" s="1664"/>
      <c r="CW34" s="1664"/>
      <c r="CX34" s="1664"/>
      <c r="CY34" s="1664"/>
      <c r="CZ34" s="1664"/>
      <c r="DA34" s="1664"/>
      <c r="DB34" s="1664"/>
      <c r="DC34" s="1664"/>
      <c r="DD34" s="1664"/>
      <c r="DE34" s="1664"/>
      <c r="DF34" s="1664"/>
      <c r="DG34" s="1664"/>
      <c r="DH34" s="1664"/>
      <c r="DI34" s="1664"/>
      <c r="DJ34" s="1664"/>
      <c r="DK34" s="1664"/>
      <c r="DL34" s="1665"/>
    </row>
    <row r="35" spans="1:120" ht="16.5" thickBot="1">
      <c r="A35" s="455" t="s">
        <v>24</v>
      </c>
      <c r="B35" s="1857" t="s">
        <v>606</v>
      </c>
      <c r="C35" s="1857"/>
      <c r="D35" s="1857"/>
      <c r="E35" s="1857"/>
      <c r="F35" s="1857"/>
      <c r="G35" s="1857"/>
      <c r="H35" s="1857"/>
      <c r="I35" s="1857"/>
      <c r="J35" s="1857"/>
      <c r="K35" s="1857"/>
      <c r="L35" s="1904" t="s">
        <v>54</v>
      </c>
      <c r="M35" s="1904"/>
      <c r="N35" s="1904"/>
      <c r="O35" s="1904"/>
      <c r="P35" s="1904"/>
      <c r="Q35" s="1904"/>
      <c r="R35" s="1904"/>
      <c r="S35" s="1904"/>
      <c r="T35" s="1904"/>
      <c r="U35" s="1904"/>
      <c r="V35" s="1904" t="s">
        <v>54</v>
      </c>
      <c r="W35" s="1904"/>
      <c r="X35" s="1904"/>
      <c r="Y35" s="1904"/>
      <c r="Z35" s="1904"/>
      <c r="AA35" s="1904"/>
      <c r="AB35" s="1904"/>
      <c r="AC35" s="1904"/>
      <c r="AD35" s="1904"/>
      <c r="AE35" s="1904"/>
      <c r="AF35" s="1904" t="s">
        <v>54</v>
      </c>
      <c r="AG35" s="1904"/>
      <c r="AH35" s="1904"/>
      <c r="AI35" s="1904"/>
      <c r="AJ35" s="1904"/>
      <c r="AK35" s="1904"/>
      <c r="AL35" s="1904"/>
      <c r="AM35" s="1904"/>
      <c r="AN35" s="1904"/>
      <c r="AO35" s="1904"/>
      <c r="AP35" s="1904"/>
      <c r="AQ35" s="1904"/>
      <c r="AR35" s="1904"/>
      <c r="AS35" s="1904"/>
      <c r="AT35" s="1904"/>
      <c r="AU35" s="1904"/>
      <c r="AV35" s="1904"/>
      <c r="AW35" s="1904"/>
      <c r="AX35" s="1904"/>
      <c r="AY35" s="1904"/>
      <c r="AZ35" s="1858"/>
      <c r="BA35" s="1858"/>
      <c r="BB35" s="1858"/>
      <c r="BC35" s="1858"/>
      <c r="BD35" s="1858"/>
      <c r="BE35" s="1858"/>
      <c r="BF35" s="1858"/>
      <c r="BG35" s="1858"/>
      <c r="BH35" s="1858"/>
      <c r="BI35" s="1858"/>
      <c r="BJ35" s="1858"/>
      <c r="BK35" s="1858"/>
      <c r="BL35" s="1858"/>
      <c r="BM35" s="1858"/>
      <c r="BN35" s="1858"/>
      <c r="BO35" s="1858"/>
      <c r="BP35" s="1858"/>
      <c r="BQ35" s="1858"/>
      <c r="BR35" s="1858"/>
      <c r="BS35" s="1858"/>
      <c r="BT35" s="1858"/>
      <c r="BU35" s="1858"/>
      <c r="BV35" s="1858"/>
      <c r="BW35" s="1858"/>
      <c r="BX35" s="1858"/>
      <c r="BY35" s="1858"/>
      <c r="BZ35" s="1858"/>
      <c r="CA35" s="1858"/>
      <c r="CB35" s="1858"/>
      <c r="CC35" s="1858"/>
      <c r="CD35" s="1858"/>
      <c r="CE35" s="1858"/>
      <c r="CF35" s="1858"/>
      <c r="CG35" s="1858"/>
      <c r="CH35" s="1858"/>
      <c r="CI35" s="1858"/>
      <c r="CJ35" s="1858"/>
      <c r="CK35" s="1858"/>
      <c r="CL35" s="1858"/>
      <c r="CM35" s="1858"/>
      <c r="CN35" s="1858"/>
      <c r="CO35" s="1858"/>
      <c r="CP35" s="1858"/>
      <c r="CQ35" s="1858"/>
      <c r="CR35" s="1908"/>
      <c r="CS35" s="1854"/>
      <c r="CT35" s="1855"/>
      <c r="CU35" s="1855"/>
      <c r="CV35" s="1855"/>
      <c r="CW35" s="1855"/>
      <c r="CX35" s="1855"/>
      <c r="CY35" s="1855"/>
      <c r="CZ35" s="1855"/>
      <c r="DA35" s="1855"/>
      <c r="DB35" s="1855"/>
      <c r="DC35" s="1855"/>
      <c r="DD35" s="1855"/>
      <c r="DE35" s="1855"/>
      <c r="DF35" s="1855"/>
      <c r="DG35" s="1855"/>
      <c r="DH35" s="1855"/>
      <c r="DI35" s="1855"/>
      <c r="DJ35" s="1855"/>
      <c r="DK35" s="1855"/>
      <c r="DL35" s="1856"/>
    </row>
    <row r="36" spans="1:120" ht="12.75" customHeight="1" thickBot="1">
      <c r="A36" s="456" t="s">
        <v>607</v>
      </c>
      <c r="B36" s="1679" t="s">
        <v>608</v>
      </c>
      <c r="C36" s="1680"/>
      <c r="D36" s="1680"/>
      <c r="E36" s="1680"/>
      <c r="F36" s="1680"/>
      <c r="G36" s="1680"/>
      <c r="H36" s="1680"/>
      <c r="I36" s="1680"/>
      <c r="J36" s="1680"/>
      <c r="K36" s="1681"/>
      <c r="L36" s="1679" t="s">
        <v>609</v>
      </c>
      <c r="M36" s="1680"/>
      <c r="N36" s="1680"/>
      <c r="O36" s="1680"/>
      <c r="P36" s="1680"/>
      <c r="Q36" s="1680"/>
      <c r="R36" s="1680"/>
      <c r="S36" s="1680"/>
      <c r="T36" s="1680"/>
      <c r="U36" s="1681"/>
      <c r="V36" s="1679" t="s">
        <v>610</v>
      </c>
      <c r="W36" s="1680"/>
      <c r="X36" s="1680"/>
      <c r="Y36" s="1680"/>
      <c r="Z36" s="1680"/>
      <c r="AA36" s="1680"/>
      <c r="AB36" s="1680"/>
      <c r="AC36" s="1680"/>
      <c r="AD36" s="1680"/>
      <c r="AE36" s="1681"/>
      <c r="AF36" s="1679" t="s">
        <v>611</v>
      </c>
      <c r="AG36" s="1680"/>
      <c r="AH36" s="1680"/>
      <c r="AI36" s="1680"/>
      <c r="AJ36" s="1680"/>
      <c r="AK36" s="1680"/>
      <c r="AL36" s="1680"/>
      <c r="AM36" s="1680"/>
      <c r="AN36" s="1680"/>
      <c r="AO36" s="1681"/>
      <c r="AP36" s="1679" t="s">
        <v>612</v>
      </c>
      <c r="AQ36" s="1680"/>
      <c r="AR36" s="1680"/>
      <c r="AS36" s="1680"/>
      <c r="AT36" s="1680"/>
      <c r="AU36" s="1680"/>
      <c r="AV36" s="1680"/>
      <c r="AW36" s="1680"/>
      <c r="AX36" s="1680"/>
      <c r="AY36" s="1681"/>
      <c r="AZ36" s="1679" t="s">
        <v>613</v>
      </c>
      <c r="BA36" s="1680"/>
      <c r="BB36" s="1680"/>
      <c r="BC36" s="1680"/>
      <c r="BD36" s="1680"/>
      <c r="BE36" s="1680"/>
      <c r="BF36" s="1680"/>
      <c r="BG36" s="1680"/>
      <c r="BH36" s="1680"/>
      <c r="BI36" s="1681"/>
      <c r="BJ36" s="1679" t="s">
        <v>614</v>
      </c>
      <c r="BK36" s="1680"/>
      <c r="BL36" s="1680"/>
      <c r="BM36" s="1680"/>
      <c r="BN36" s="1680"/>
      <c r="BO36" s="1680"/>
      <c r="BP36" s="1680"/>
      <c r="BQ36" s="1680"/>
      <c r="BR36" s="1680"/>
      <c r="BS36" s="1681"/>
      <c r="BT36" s="1622">
        <v>40</v>
      </c>
      <c r="BU36" s="1623"/>
      <c r="BV36" s="1623"/>
      <c r="BW36" s="1623"/>
      <c r="BX36" s="1623"/>
      <c r="BY36" s="1623"/>
      <c r="BZ36" s="1623"/>
      <c r="CA36" s="1623"/>
      <c r="CB36" s="1623"/>
      <c r="CC36" s="1682"/>
      <c r="CD36" s="1622" t="s">
        <v>534</v>
      </c>
      <c r="CE36" s="1623"/>
      <c r="CF36" s="1623"/>
      <c r="CG36" s="1623"/>
      <c r="CH36" s="1623"/>
      <c r="CI36" s="1623"/>
      <c r="CJ36" s="1623"/>
      <c r="CK36" s="1623"/>
      <c r="CL36" s="1623"/>
      <c r="CM36" s="1623"/>
      <c r="CN36" s="1623"/>
      <c r="CO36" s="1623"/>
      <c r="CP36" s="1623"/>
      <c r="CQ36" s="1623"/>
      <c r="CR36" s="1624"/>
      <c r="CS36" s="1864" t="s">
        <v>368</v>
      </c>
      <c r="CT36" s="1865"/>
      <c r="CU36" s="1865"/>
      <c r="CV36" s="1865"/>
      <c r="CW36" s="1865" t="s">
        <v>96</v>
      </c>
      <c r="CX36" s="1865"/>
      <c r="CY36" s="1865"/>
      <c r="CZ36" s="1865"/>
      <c r="DA36" s="1865" t="s">
        <v>97</v>
      </c>
      <c r="DB36" s="1865"/>
      <c r="DC36" s="1865"/>
      <c r="DD36" s="1865"/>
      <c r="DE36" s="1865" t="s">
        <v>98</v>
      </c>
      <c r="DF36" s="1865"/>
      <c r="DG36" s="1865"/>
      <c r="DH36" s="1865"/>
      <c r="DI36" s="1865" t="s">
        <v>369</v>
      </c>
      <c r="DJ36" s="1865"/>
      <c r="DK36" s="1865"/>
      <c r="DL36" s="1905"/>
      <c r="DM36" s="611" t="s">
        <v>572</v>
      </c>
      <c r="DN36" s="611" t="s">
        <v>14</v>
      </c>
      <c r="DO36" s="611" t="s">
        <v>573</v>
      </c>
    </row>
    <row r="37" spans="1:120" ht="13.5" customHeight="1">
      <c r="A37" s="446"/>
      <c r="B37" s="463"/>
      <c r="C37" s="447"/>
      <c r="D37" s="447"/>
      <c r="E37" s="447"/>
      <c r="F37" s="447"/>
      <c r="G37" s="447"/>
      <c r="H37" s="447"/>
      <c r="I37" s="447"/>
      <c r="J37" s="447"/>
      <c r="K37" s="464"/>
      <c r="L37" s="447"/>
      <c r="M37" s="447"/>
      <c r="N37" s="447"/>
      <c r="O37" s="447"/>
      <c r="P37" s="447"/>
      <c r="Q37" s="447"/>
      <c r="R37" s="447"/>
      <c r="S37" s="447"/>
      <c r="T37" s="447"/>
      <c r="U37" s="464"/>
      <c r="V37" s="447"/>
      <c r="W37" s="447"/>
      <c r="X37" s="447"/>
      <c r="Y37" s="447"/>
      <c r="Z37" s="447"/>
      <c r="AA37" s="447"/>
      <c r="AB37" s="447"/>
      <c r="AC37" s="447"/>
      <c r="AD37" s="447"/>
      <c r="AE37" s="464"/>
      <c r="AF37" s="447"/>
      <c r="AG37" s="447"/>
      <c r="AH37" s="447"/>
      <c r="AI37" s="447"/>
      <c r="AJ37" s="447"/>
      <c r="AK37" s="447"/>
      <c r="AL37" s="447"/>
      <c r="AM37" s="447"/>
      <c r="AN37" s="447"/>
      <c r="AO37" s="464"/>
      <c r="AP37" s="447"/>
      <c r="AQ37" s="447"/>
      <c r="AR37" s="447"/>
      <c r="AS37" s="447"/>
      <c r="AT37" s="447"/>
      <c r="AU37" s="447"/>
      <c r="AV37" s="447"/>
      <c r="AW37" s="447"/>
      <c r="AX37" s="447"/>
      <c r="AY37" s="464"/>
      <c r="AZ37" s="447"/>
      <c r="BA37" s="447"/>
      <c r="BB37" s="447"/>
      <c r="BC37" s="447"/>
      <c r="BD37" s="447"/>
      <c r="BE37" s="447"/>
      <c r="BF37" s="447"/>
      <c r="BG37" s="447"/>
      <c r="BH37" s="447"/>
      <c r="BI37" s="464"/>
      <c r="BJ37" s="447"/>
      <c r="BK37" s="447"/>
      <c r="BL37" s="447"/>
      <c r="BM37" s="447"/>
      <c r="BN37" s="447"/>
      <c r="BO37" s="447"/>
      <c r="BP37" s="447"/>
      <c r="BQ37" s="447"/>
      <c r="BR37" s="447"/>
      <c r="BS37" s="464"/>
      <c r="BT37" s="447"/>
      <c r="BU37" s="447"/>
      <c r="BV37" s="447"/>
      <c r="BW37" s="447"/>
      <c r="BX37" s="447"/>
      <c r="BY37" s="447"/>
      <c r="BZ37" s="447"/>
      <c r="CA37" s="447"/>
      <c r="CB37" s="447"/>
      <c r="CC37" s="464"/>
      <c r="CD37" s="447"/>
      <c r="CE37" s="447"/>
      <c r="CF37" s="447"/>
      <c r="CG37" s="447"/>
      <c r="CH37" s="447"/>
      <c r="CI37" s="447"/>
      <c r="CJ37" s="447"/>
      <c r="CK37" s="447"/>
      <c r="CL37" s="447"/>
      <c r="CM37" s="464"/>
      <c r="CN37" s="447"/>
      <c r="CO37" s="447"/>
      <c r="CP37" s="447"/>
      <c r="CQ37" s="447"/>
      <c r="CR37" s="448"/>
      <c r="CS37" s="1860" t="s">
        <v>617</v>
      </c>
      <c r="CT37" s="1861"/>
      <c r="CU37" s="1861" t="s">
        <v>39</v>
      </c>
      <c r="CV37" s="1861"/>
      <c r="CW37" s="1861" t="s">
        <v>617</v>
      </c>
      <c r="CX37" s="1861"/>
      <c r="CY37" s="1861" t="s">
        <v>39</v>
      </c>
      <c r="CZ37" s="1861"/>
      <c r="DA37" s="1861" t="s">
        <v>617</v>
      </c>
      <c r="DB37" s="1861"/>
      <c r="DC37" s="1861" t="s">
        <v>39</v>
      </c>
      <c r="DD37" s="1861"/>
      <c r="DE37" s="1861" t="s">
        <v>617</v>
      </c>
      <c r="DF37" s="1861"/>
      <c r="DG37" s="1861" t="s">
        <v>39</v>
      </c>
      <c r="DH37" s="1861"/>
      <c r="DI37" s="1861" t="s">
        <v>617</v>
      </c>
      <c r="DJ37" s="1861"/>
      <c r="DK37" s="1861" t="s">
        <v>39</v>
      </c>
      <c r="DL37" s="1866"/>
      <c r="DM37" s="612"/>
      <c r="DN37" s="627"/>
      <c r="DO37" s="613">
        <v>44.77</v>
      </c>
    </row>
    <row r="38" spans="1:120" ht="4.5" customHeight="1">
      <c r="A38" s="449"/>
      <c r="B38" s="478"/>
      <c r="D38" s="930"/>
      <c r="E38" s="930"/>
      <c r="F38" s="930"/>
      <c r="G38" s="930"/>
      <c r="H38" s="930"/>
      <c r="I38" s="930"/>
      <c r="J38" s="930"/>
      <c r="K38" s="930"/>
      <c r="L38" s="930"/>
      <c r="M38" s="930"/>
      <c r="N38" s="930"/>
      <c r="O38" s="930"/>
      <c r="P38" s="930"/>
      <c r="Q38" s="466"/>
      <c r="R38" s="466"/>
      <c r="S38" s="466"/>
      <c r="T38" s="466"/>
      <c r="U38" s="466"/>
      <c r="V38" s="466"/>
      <c r="W38" s="466"/>
      <c r="X38" s="466"/>
      <c r="Y38" s="466"/>
      <c r="Z38" s="466"/>
      <c r="AA38" s="466"/>
      <c r="AB38" s="466"/>
      <c r="AC38" s="1024"/>
      <c r="AD38" s="1024"/>
      <c r="AE38" s="1868"/>
      <c r="AF38" s="1868"/>
      <c r="AG38" s="1025"/>
      <c r="AH38" s="1025"/>
      <c r="AI38" s="1025"/>
      <c r="AJ38" s="1025"/>
      <c r="AK38" s="1025"/>
      <c r="AL38" s="1025"/>
      <c r="AM38" s="1026"/>
      <c r="AN38" s="1026"/>
      <c r="AO38" s="1025"/>
      <c r="AP38" s="1025"/>
      <c r="AQ38" s="1025"/>
      <c r="AR38" s="1025"/>
      <c r="AS38" s="1025"/>
      <c r="AT38" s="1025"/>
      <c r="AU38" s="1024"/>
      <c r="AV38" s="1024"/>
      <c r="AW38" s="1024"/>
      <c r="AX38" s="1025"/>
      <c r="AY38" s="1025"/>
      <c r="AZ38" s="1025"/>
      <c r="BA38" s="1025"/>
      <c r="BB38" s="1026"/>
      <c r="BC38" s="1026"/>
      <c r="BD38" s="1026"/>
      <c r="BE38" s="1026"/>
      <c r="BF38" s="1026"/>
      <c r="BG38" s="1026"/>
      <c r="BH38" s="1026"/>
      <c r="BI38" s="1026"/>
      <c r="BJ38" s="1026"/>
      <c r="BK38" s="1025"/>
      <c r="BL38" s="1025"/>
      <c r="BM38" s="1025"/>
      <c r="BN38" s="1025"/>
      <c r="BO38" s="1025"/>
      <c r="BP38" s="1025"/>
      <c r="BQ38" s="1025"/>
      <c r="BR38" s="1025"/>
      <c r="BS38" s="1025"/>
      <c r="BT38" s="1025"/>
      <c r="BU38" s="1025"/>
      <c r="BV38" s="1025"/>
      <c r="BW38" s="1026"/>
      <c r="BX38" s="1026"/>
      <c r="BY38" s="1025"/>
      <c r="BZ38" s="1025"/>
      <c r="CA38" s="1025"/>
      <c r="CB38" s="1025"/>
      <c r="CC38" s="1025"/>
      <c r="CD38" s="1025"/>
      <c r="CE38" s="1025"/>
      <c r="CF38" s="1025"/>
      <c r="CG38" s="1025"/>
      <c r="CH38" s="1868"/>
      <c r="CI38" s="1868"/>
      <c r="CJ38" s="1868"/>
      <c r="CK38" s="1868"/>
      <c r="CL38" s="1025" t="s">
        <v>1103</v>
      </c>
      <c r="CM38" s="467"/>
      <c r="CN38" s="467"/>
      <c r="CO38" s="467"/>
      <c r="CP38" s="467"/>
      <c r="CQ38" s="467"/>
      <c r="CR38" s="467"/>
      <c r="CS38" s="1862"/>
      <c r="CT38" s="1863"/>
      <c r="CU38" s="1863"/>
      <c r="CV38" s="1863"/>
      <c r="CW38" s="1863"/>
      <c r="CX38" s="1863"/>
      <c r="CY38" s="1863"/>
      <c r="CZ38" s="1863"/>
      <c r="DA38" s="1863"/>
      <c r="DB38" s="1863"/>
      <c r="DC38" s="1863"/>
      <c r="DD38" s="1863"/>
      <c r="DE38" s="1863"/>
      <c r="DF38" s="1863"/>
      <c r="DG38" s="1863"/>
      <c r="DH38" s="1863"/>
      <c r="DI38" s="1863"/>
      <c r="DJ38" s="1863"/>
      <c r="DK38" s="1863"/>
      <c r="DL38" s="1867"/>
      <c r="DM38" s="615"/>
      <c r="DN38" s="615"/>
      <c r="DO38" s="615"/>
    </row>
    <row r="39" spans="1:120" ht="13.5" customHeight="1">
      <c r="A39" s="472" t="s">
        <v>55</v>
      </c>
      <c r="B39" s="473"/>
      <c r="C39" s="474"/>
      <c r="D39" s="474"/>
      <c r="E39" s="474"/>
      <c r="F39" s="474"/>
      <c r="G39" s="474"/>
      <c r="H39" s="474"/>
      <c r="I39" s="474"/>
      <c r="J39" s="474"/>
      <c r="K39" s="475"/>
      <c r="L39" s="474"/>
      <c r="M39" s="474"/>
      <c r="N39" s="474"/>
      <c r="O39" s="474"/>
      <c r="P39" s="474"/>
      <c r="Q39" s="474"/>
      <c r="R39" s="474"/>
      <c r="S39" s="474"/>
      <c r="T39" s="474"/>
      <c r="U39" s="475"/>
      <c r="V39" s="474"/>
      <c r="W39" s="474"/>
      <c r="X39" s="474"/>
      <c r="Y39" s="474"/>
      <c r="Z39" s="474"/>
      <c r="AA39" s="474"/>
      <c r="AB39" s="474"/>
      <c r="AC39" s="474"/>
      <c r="AD39" s="474"/>
      <c r="AE39" s="475"/>
      <c r="AF39" s="474"/>
      <c r="AG39" s="474"/>
      <c r="AH39" s="474"/>
      <c r="AI39" s="474"/>
      <c r="AJ39" s="474"/>
      <c r="AK39" s="474"/>
      <c r="AL39" s="474"/>
      <c r="AM39" s="474"/>
      <c r="AN39" s="474"/>
      <c r="AO39" s="475"/>
      <c r="AP39" s="474"/>
      <c r="AQ39" s="474"/>
      <c r="AR39" s="474"/>
      <c r="AS39" s="474"/>
      <c r="AT39" s="474"/>
      <c r="AU39" s="474"/>
      <c r="AV39" s="474"/>
      <c r="AW39" s="474"/>
      <c r="AX39" s="474"/>
      <c r="AY39" s="475"/>
      <c r="AZ39" s="474"/>
      <c r="BA39" s="474"/>
      <c r="BB39" s="474"/>
      <c r="BC39" s="474"/>
      <c r="BD39" s="474"/>
      <c r="BE39" s="474"/>
      <c r="BF39" s="474"/>
      <c r="BG39" s="474"/>
      <c r="BH39" s="474"/>
      <c r="BI39" s="475"/>
      <c r="BJ39" s="474"/>
      <c r="BK39" s="474"/>
      <c r="BL39" s="474"/>
      <c r="BM39" s="474"/>
      <c r="BN39" s="474"/>
      <c r="BO39" s="474"/>
      <c r="BP39" s="474"/>
      <c r="BQ39" s="474"/>
      <c r="BR39" s="474"/>
      <c r="BS39" s="475"/>
      <c r="BT39" s="474"/>
      <c r="BU39" s="474"/>
      <c r="BV39" s="474"/>
      <c r="BW39" s="474"/>
      <c r="BX39" s="474"/>
      <c r="BY39" s="474"/>
      <c r="BZ39" s="474"/>
      <c r="CA39" s="474"/>
      <c r="CB39" s="474"/>
      <c r="CC39" s="475"/>
      <c r="CD39" s="474"/>
      <c r="CE39" s="474"/>
      <c r="CF39" s="474"/>
      <c r="CG39" s="474"/>
      <c r="CH39" s="474"/>
      <c r="CI39" s="474"/>
      <c r="CJ39" s="474"/>
      <c r="CK39" s="474"/>
      <c r="CL39" s="474"/>
      <c r="CM39" s="475"/>
      <c r="CN39" s="474"/>
      <c r="CO39" s="474"/>
      <c r="CP39" s="474"/>
      <c r="CQ39" s="474"/>
      <c r="CR39" s="476"/>
      <c r="CS39" s="1893">
        <f>'[6]Estado Resumen'!$C$64</f>
        <v>14.302</v>
      </c>
      <c r="CT39" s="1894"/>
      <c r="CU39" s="1880">
        <f>CS39/$DM$39</f>
        <v>0.31945499218226492</v>
      </c>
      <c r="CV39" s="1881"/>
      <c r="CW39" s="1647">
        <f>'[6]Estado Resumen'!$E$64</f>
        <v>21.784999999999997</v>
      </c>
      <c r="CX39" s="1648"/>
      <c r="CY39" s="1649">
        <f>CW39/$DM$39</f>
        <v>0.48659816841635017</v>
      </c>
      <c r="CZ39" s="1874"/>
      <c r="DA39" s="1875">
        <f>'[6]Estado Resumen'!$G$64</f>
        <v>5.8109999999999999</v>
      </c>
      <c r="DB39" s="1639"/>
      <c r="DC39" s="1876">
        <f>DA39/$DM$39</f>
        <v>0.12979673888764798</v>
      </c>
      <c r="DD39" s="1877"/>
      <c r="DE39" s="1870">
        <f>'[6]Estado Resumen'!$I$64</f>
        <v>2.8719999999999999</v>
      </c>
      <c r="DF39" s="1871"/>
      <c r="DG39" s="1872">
        <f>DE39/$DM$39</f>
        <v>6.4150100513736874E-2</v>
      </c>
      <c r="DH39" s="1873"/>
      <c r="DI39" s="1869">
        <f>'[6]Estado Resumen'!$K$64</f>
        <v>0</v>
      </c>
      <c r="DJ39" s="1643"/>
      <c r="DK39" s="1636">
        <f>DI39/$DM$39</f>
        <v>0</v>
      </c>
      <c r="DL39" s="1637"/>
      <c r="DM39" s="612">
        <f>CS39+DE39+DI39+CW39+DA39</f>
        <v>44.769999999999996</v>
      </c>
      <c r="DN39" s="616">
        <f>+CU39+CY39+DC39+DG39+DK39</f>
        <v>1</v>
      </c>
      <c r="DO39" s="612">
        <f>+CS39+CW39</f>
        <v>36.086999999999996</v>
      </c>
    </row>
    <row r="40" spans="1:120" ht="13.5" customHeight="1">
      <c r="A40" s="477"/>
      <c r="B40" s="478"/>
      <c r="K40" s="479"/>
      <c r="U40" s="479"/>
      <c r="Z40" s="629"/>
      <c r="AE40" s="479"/>
      <c r="AI40" s="467"/>
      <c r="AO40" s="479"/>
      <c r="AT40" s="467"/>
      <c r="AY40" s="479"/>
      <c r="BA40" s="466"/>
      <c r="BI40" s="479"/>
      <c r="BM40" s="466"/>
      <c r="BS40" s="479"/>
      <c r="BX40" s="466"/>
      <c r="CB40" s="467"/>
      <c r="CC40" s="479"/>
      <c r="CM40" s="479"/>
      <c r="CR40" s="450"/>
      <c r="CS40" s="1889" t="s">
        <v>54</v>
      </c>
      <c r="CT40" s="1789"/>
      <c r="CU40" s="1789"/>
      <c r="CV40" s="1890"/>
      <c r="CW40" s="1651" t="s">
        <v>54</v>
      </c>
      <c r="CX40" s="1652"/>
      <c r="CY40" s="1652"/>
      <c r="CZ40" s="1891"/>
      <c r="DA40" s="382" t="s">
        <v>54</v>
      </c>
      <c r="DB40" s="383"/>
      <c r="DC40" s="383"/>
      <c r="DD40" s="384"/>
      <c r="DE40" s="1878" t="s">
        <v>54</v>
      </c>
      <c r="DF40" s="1654"/>
      <c r="DG40" s="1654"/>
      <c r="DH40" s="1686"/>
      <c r="DI40" s="1878" t="s">
        <v>54</v>
      </c>
      <c r="DJ40" s="1654"/>
      <c r="DK40" s="1654"/>
      <c r="DL40" s="1686"/>
      <c r="DM40" s="481"/>
      <c r="DN40" s="349"/>
      <c r="DO40" s="615"/>
    </row>
    <row r="41" spans="1:120" ht="3.75" customHeight="1">
      <c r="A41" s="472"/>
      <c r="B41" s="478"/>
      <c r="K41" s="479"/>
      <c r="U41" s="479"/>
      <c r="Z41" s="629"/>
      <c r="AE41" s="479"/>
      <c r="AI41" s="467"/>
      <c r="AO41" s="479"/>
      <c r="AT41" s="467"/>
      <c r="AY41" s="479"/>
      <c r="BA41" s="466"/>
      <c r="BI41" s="479"/>
      <c r="BM41" s="466"/>
      <c r="BS41" s="479"/>
      <c r="BX41" s="466"/>
      <c r="CB41" s="467"/>
      <c r="CC41" s="479"/>
      <c r="CM41" s="479"/>
      <c r="CR41" s="450"/>
      <c r="CS41" s="1889"/>
      <c r="CT41" s="1789"/>
      <c r="CU41" s="1789"/>
      <c r="CV41" s="1890"/>
      <c r="CW41" s="1634"/>
      <c r="CX41" s="1635"/>
      <c r="CY41" s="1635"/>
      <c r="CZ41" s="1892"/>
      <c r="DA41" s="374"/>
      <c r="DB41" s="375"/>
      <c r="DC41" s="375"/>
      <c r="DD41" s="376"/>
      <c r="DE41" s="1879"/>
      <c r="DF41" s="1618"/>
      <c r="DG41" s="1618"/>
      <c r="DH41" s="1621"/>
      <c r="DI41" s="1879"/>
      <c r="DJ41" s="1618"/>
      <c r="DK41" s="1618"/>
      <c r="DL41" s="1621"/>
      <c r="DM41" s="612" t="s">
        <v>54</v>
      </c>
      <c r="DN41" s="616" t="s">
        <v>54</v>
      </c>
      <c r="DO41" s="615"/>
    </row>
    <row r="42" spans="1:120" ht="13.5" customHeight="1">
      <c r="A42" s="482" t="s">
        <v>594</v>
      </c>
      <c r="B42" s="473"/>
      <c r="C42" s="474"/>
      <c r="D42" s="474"/>
      <c r="E42" s="474"/>
      <c r="F42" s="474"/>
      <c r="G42" s="474"/>
      <c r="H42" s="474"/>
      <c r="I42" s="474"/>
      <c r="J42" s="474"/>
      <c r="K42" s="475"/>
      <c r="L42" s="474"/>
      <c r="M42" s="474"/>
      <c r="N42" s="474"/>
      <c r="O42" s="474"/>
      <c r="P42" s="474"/>
      <c r="Q42" s="474"/>
      <c r="R42" s="474"/>
      <c r="S42" s="474"/>
      <c r="T42" s="474"/>
      <c r="U42" s="475"/>
      <c r="V42" s="474"/>
      <c r="W42" s="474"/>
      <c r="X42" s="474"/>
      <c r="Y42" s="474"/>
      <c r="Z42" s="630"/>
      <c r="AA42" s="474"/>
      <c r="AB42" s="474"/>
      <c r="AC42" s="474"/>
      <c r="AD42" s="474"/>
      <c r="AE42" s="475"/>
      <c r="AF42" s="474"/>
      <c r="AG42" s="474"/>
      <c r="AH42" s="474"/>
      <c r="AI42" s="484"/>
      <c r="AJ42" s="474"/>
      <c r="AK42" s="474"/>
      <c r="AL42" s="474"/>
      <c r="AM42" s="474"/>
      <c r="AN42" s="474"/>
      <c r="AO42" s="475"/>
      <c r="AP42" s="474"/>
      <c r="AQ42" s="474"/>
      <c r="AR42" s="474"/>
      <c r="AS42" s="474"/>
      <c r="AT42" s="484"/>
      <c r="AU42" s="474"/>
      <c r="AV42" s="474"/>
      <c r="AW42" s="474"/>
      <c r="AX42" s="474"/>
      <c r="AY42" s="475"/>
      <c r="AZ42" s="474"/>
      <c r="BA42" s="631"/>
      <c r="BB42" s="474"/>
      <c r="BC42" s="474"/>
      <c r="BD42" s="474"/>
      <c r="BE42" s="474"/>
      <c r="BF42" s="474"/>
      <c r="BG42" s="474"/>
      <c r="BH42" s="474"/>
      <c r="BI42" s="475"/>
      <c r="BJ42" s="474"/>
      <c r="BK42" s="474"/>
      <c r="BL42" s="474"/>
      <c r="BM42" s="631"/>
      <c r="BN42" s="474"/>
      <c r="BO42" s="474"/>
      <c r="BP42" s="474"/>
      <c r="BQ42" s="474"/>
      <c r="BR42" s="474"/>
      <c r="BS42" s="475"/>
      <c r="BT42" s="474"/>
      <c r="BU42" s="474"/>
      <c r="BV42" s="474"/>
      <c r="BW42" s="474"/>
      <c r="BX42" s="631"/>
      <c r="BY42" s="474"/>
      <c r="BZ42" s="474"/>
      <c r="CA42" s="474"/>
      <c r="CB42" s="484"/>
      <c r="CC42" s="475"/>
      <c r="CD42" s="474"/>
      <c r="CE42" s="474"/>
      <c r="CF42" s="474"/>
      <c r="CG42" s="474"/>
      <c r="CH42" s="474"/>
      <c r="CI42" s="474"/>
      <c r="CJ42" s="474"/>
      <c r="CK42" s="474"/>
      <c r="CL42" s="474"/>
      <c r="CM42" s="475"/>
      <c r="CN42" s="474"/>
      <c r="CO42" s="474"/>
      <c r="CP42" s="474"/>
      <c r="CQ42" s="474"/>
      <c r="CR42" s="476"/>
      <c r="CS42" s="1893">
        <v>0</v>
      </c>
      <c r="CT42" s="1894"/>
      <c r="CU42" s="1880">
        <v>0</v>
      </c>
      <c r="CV42" s="1881"/>
      <c r="CW42" s="1647">
        <v>3</v>
      </c>
      <c r="CX42" s="1648"/>
      <c r="CY42" s="1649">
        <v>0.5</v>
      </c>
      <c r="CZ42" s="1874"/>
      <c r="DA42" s="1875">
        <v>3</v>
      </c>
      <c r="DB42" s="1639"/>
      <c r="DC42" s="1876">
        <v>0.5</v>
      </c>
      <c r="DD42" s="1877"/>
      <c r="DE42" s="1870">
        <v>0</v>
      </c>
      <c r="DF42" s="1871"/>
      <c r="DG42" s="1872">
        <v>0</v>
      </c>
      <c r="DH42" s="1873"/>
      <c r="DI42" s="1869">
        <v>0</v>
      </c>
      <c r="DJ42" s="1643"/>
      <c r="DK42" s="1636">
        <v>0</v>
      </c>
      <c r="DL42" s="1637"/>
      <c r="DM42" s="612">
        <f>CS42+DE42+DI42+CW42+DA42</f>
        <v>6</v>
      </c>
      <c r="DN42" s="616">
        <f>+CU42+CY42+DC42+DG42+DK42</f>
        <v>1</v>
      </c>
      <c r="DO42" s="615"/>
    </row>
    <row r="43" spans="1:120" ht="13.5" customHeight="1">
      <c r="A43" s="477"/>
      <c r="B43" s="478"/>
      <c r="K43" s="479"/>
      <c r="U43" s="479"/>
      <c r="AE43" s="479"/>
      <c r="AO43" s="479"/>
      <c r="AY43" s="479"/>
      <c r="BI43" s="479"/>
      <c r="BS43" s="479"/>
      <c r="CC43" s="479"/>
      <c r="CM43" s="479"/>
      <c r="CR43" s="450"/>
      <c r="CS43" s="1889" t="s">
        <v>54</v>
      </c>
      <c r="CT43" s="1789"/>
      <c r="CU43" s="1789"/>
      <c r="CV43" s="1890"/>
      <c r="CW43" s="1651" t="s">
        <v>54</v>
      </c>
      <c r="CX43" s="1652"/>
      <c r="CY43" s="1652"/>
      <c r="CZ43" s="1891"/>
      <c r="DA43" s="382" t="s">
        <v>54</v>
      </c>
      <c r="DB43" s="383"/>
      <c r="DC43" s="383"/>
      <c r="DD43" s="384"/>
      <c r="DE43" s="1878" t="s">
        <v>54</v>
      </c>
      <c r="DF43" s="1654"/>
      <c r="DG43" s="1654"/>
      <c r="DH43" s="1686"/>
      <c r="DI43" s="1878" t="s">
        <v>54</v>
      </c>
      <c r="DJ43" s="1654"/>
      <c r="DK43" s="1654"/>
      <c r="DL43" s="1686"/>
      <c r="DM43" s="612" t="s">
        <v>54</v>
      </c>
      <c r="DN43" s="616" t="s">
        <v>54</v>
      </c>
      <c r="DO43" s="615"/>
      <c r="DP43" s="485"/>
    </row>
    <row r="44" spans="1:120" ht="3.75" customHeight="1">
      <c r="A44" s="472"/>
      <c r="B44" s="478"/>
      <c r="D44" s="466"/>
      <c r="E44" s="466"/>
      <c r="K44" s="479"/>
      <c r="L44" s="466"/>
      <c r="M44" s="466"/>
      <c r="P44" s="466"/>
      <c r="Q44" s="466"/>
      <c r="R44" s="466"/>
      <c r="S44" s="466"/>
      <c r="T44" s="466"/>
      <c r="U44" s="470"/>
      <c r="V44" s="467"/>
      <c r="W44" s="467"/>
      <c r="X44" s="467"/>
      <c r="Y44" s="467"/>
      <c r="Z44" s="467"/>
      <c r="AA44" s="467"/>
      <c r="AB44" s="467"/>
      <c r="AC44" s="467"/>
      <c r="AD44" s="628"/>
      <c r="AE44" s="632"/>
      <c r="AF44" s="628"/>
      <c r="AG44" s="628"/>
      <c r="AH44" s="628"/>
      <c r="AI44" s="467"/>
      <c r="AJ44" s="467"/>
      <c r="AK44" s="467"/>
      <c r="AL44" s="466"/>
      <c r="AM44" s="466"/>
      <c r="AO44" s="479"/>
      <c r="AR44" s="467"/>
      <c r="AS44" s="467"/>
      <c r="AT44" s="467"/>
      <c r="AU44" s="467"/>
      <c r="AV44" s="467"/>
      <c r="AW44" s="467"/>
      <c r="AX44" s="467"/>
      <c r="AY44" s="471"/>
      <c r="BC44" s="466"/>
      <c r="BD44" s="466"/>
      <c r="BE44" s="466"/>
      <c r="BF44" s="466"/>
      <c r="BG44" s="628"/>
      <c r="BH44" s="628"/>
      <c r="BI44" s="632"/>
      <c r="BL44" s="467"/>
      <c r="BM44" s="467"/>
      <c r="BN44" s="467"/>
      <c r="BO44" s="467"/>
      <c r="BP44" s="467"/>
      <c r="BQ44" s="467"/>
      <c r="BR44" s="466"/>
      <c r="BS44" s="470"/>
      <c r="BT44" s="466"/>
      <c r="BU44" s="466"/>
      <c r="BV44" s="466"/>
      <c r="BW44" s="466"/>
      <c r="BX44" s="466"/>
      <c r="BY44" s="466"/>
      <c r="BZ44" s="467"/>
      <c r="CA44" s="467"/>
      <c r="CB44" s="467"/>
      <c r="CC44" s="632"/>
      <c r="CD44" s="628"/>
      <c r="CE44" s="467"/>
      <c r="CF44" s="467"/>
      <c r="CG44" s="466"/>
      <c r="CH44" s="467"/>
      <c r="CI44" s="467"/>
      <c r="CJ44" s="467"/>
      <c r="CK44" s="467"/>
      <c r="CL44" s="467"/>
      <c r="CM44" s="471"/>
      <c r="CN44" s="466"/>
      <c r="CO44" s="466"/>
      <c r="CP44" s="466"/>
      <c r="CQ44" s="466"/>
      <c r="CR44" s="633"/>
      <c r="CS44" s="1889"/>
      <c r="CT44" s="1789"/>
      <c r="CU44" s="1789"/>
      <c r="CV44" s="1890"/>
      <c r="CW44" s="1634"/>
      <c r="CX44" s="1635"/>
      <c r="CY44" s="1635"/>
      <c r="CZ44" s="1892"/>
      <c r="DA44" s="374"/>
      <c r="DB44" s="375"/>
      <c r="DC44" s="375"/>
      <c r="DD44" s="376"/>
      <c r="DE44" s="1879"/>
      <c r="DF44" s="1618"/>
      <c r="DG44" s="1618"/>
      <c r="DH44" s="1621"/>
      <c r="DI44" s="1879"/>
      <c r="DJ44" s="1618"/>
      <c r="DK44" s="1618"/>
      <c r="DL44" s="1621"/>
      <c r="DM44" s="612"/>
      <c r="DN44" s="616"/>
      <c r="DO44" s="615"/>
    </row>
    <row r="45" spans="1:120" ht="13.5" customHeight="1">
      <c r="A45" s="472" t="s">
        <v>56</v>
      </c>
      <c r="B45" s="473"/>
      <c r="C45" s="474"/>
      <c r="D45" s="474"/>
      <c r="E45" s="474"/>
      <c r="F45" s="474"/>
      <c r="G45" s="474"/>
      <c r="H45" s="474"/>
      <c r="I45" s="474"/>
      <c r="J45" s="474"/>
      <c r="K45" s="475"/>
      <c r="L45" s="474"/>
      <c r="M45" s="474"/>
      <c r="N45" s="474"/>
      <c r="O45" s="474"/>
      <c r="P45" s="474"/>
      <c r="Q45" s="474"/>
      <c r="R45" s="474"/>
      <c r="S45" s="474"/>
      <c r="T45" s="474"/>
      <c r="U45" s="475"/>
      <c r="V45" s="474"/>
      <c r="W45" s="474"/>
      <c r="X45" s="474"/>
      <c r="Y45" s="474"/>
      <c r="Z45" s="474"/>
      <c r="AA45" s="474"/>
      <c r="AB45" s="474"/>
      <c r="AC45" s="474"/>
      <c r="AD45" s="474"/>
      <c r="AE45" s="475"/>
      <c r="AF45" s="474"/>
      <c r="AG45" s="474"/>
      <c r="AH45" s="474"/>
      <c r="AI45" s="474"/>
      <c r="AJ45" s="474"/>
      <c r="AK45" s="474"/>
      <c r="AL45" s="474"/>
      <c r="AM45" s="474"/>
      <c r="AN45" s="474"/>
      <c r="AO45" s="475"/>
      <c r="AP45" s="474"/>
      <c r="AQ45" s="474"/>
      <c r="AR45" s="474"/>
      <c r="AS45" s="474"/>
      <c r="AT45" s="474"/>
      <c r="AU45" s="474"/>
      <c r="AV45" s="474"/>
      <c r="AW45" s="474"/>
      <c r="AX45" s="474"/>
      <c r="AY45" s="475"/>
      <c r="AZ45" s="474"/>
      <c r="BA45" s="474"/>
      <c r="BB45" s="474"/>
      <c r="BC45" s="474"/>
      <c r="BD45" s="474"/>
      <c r="BE45" s="474"/>
      <c r="BF45" s="474"/>
      <c r="BG45" s="474"/>
      <c r="BH45" s="474"/>
      <c r="BI45" s="475"/>
      <c r="BJ45" s="474"/>
      <c r="BK45" s="474"/>
      <c r="BL45" s="474"/>
      <c r="BM45" s="474"/>
      <c r="BN45" s="474"/>
      <c r="BO45" s="474"/>
      <c r="BP45" s="474"/>
      <c r="BQ45" s="474"/>
      <c r="BR45" s="474"/>
      <c r="BS45" s="475"/>
      <c r="BT45" s="474"/>
      <c r="BU45" s="474"/>
      <c r="BV45" s="474"/>
      <c r="BW45" s="474"/>
      <c r="BX45" s="474"/>
      <c r="BY45" s="474"/>
      <c r="BZ45" s="474"/>
      <c r="CA45" s="474"/>
      <c r="CB45" s="474"/>
      <c r="CC45" s="475"/>
      <c r="CD45" s="474"/>
      <c r="CE45" s="474"/>
      <c r="CF45" s="474"/>
      <c r="CG45" s="474"/>
      <c r="CH45" s="474"/>
      <c r="CI45" s="474"/>
      <c r="CJ45" s="474"/>
      <c r="CK45" s="474"/>
      <c r="CL45" s="474"/>
      <c r="CM45" s="475"/>
      <c r="CN45" s="474"/>
      <c r="CO45" s="474"/>
      <c r="CP45" s="474"/>
      <c r="CQ45" s="474"/>
      <c r="CR45" s="476"/>
      <c r="CS45" s="1893">
        <v>0</v>
      </c>
      <c r="CT45" s="1894"/>
      <c r="CU45" s="1880">
        <v>0</v>
      </c>
      <c r="CV45" s="1881"/>
      <c r="CW45" s="1647">
        <f>43.904-DA45-DE45</f>
        <v>17.984000000000002</v>
      </c>
      <c r="CX45" s="1648"/>
      <c r="CY45" s="1649">
        <f>+CW45/$DO$37</f>
        <v>0.40169756533392897</v>
      </c>
      <c r="CZ45" s="1874"/>
      <c r="DA45" s="1875">
        <v>20.440000000000001</v>
      </c>
      <c r="DB45" s="1639"/>
      <c r="DC45" s="1876">
        <f>+DA45/$DO$37</f>
        <v>0.45655572928300203</v>
      </c>
      <c r="DD45" s="1877"/>
      <c r="DE45" s="1870">
        <v>5.48</v>
      </c>
      <c r="DF45" s="1871"/>
      <c r="DG45" s="1872">
        <f>+DE45/$DO$37</f>
        <v>0.12240339513066786</v>
      </c>
      <c r="DH45" s="1873"/>
      <c r="DI45" s="1869">
        <v>0</v>
      </c>
      <c r="DJ45" s="1643"/>
      <c r="DK45" s="1636">
        <v>0</v>
      </c>
      <c r="DL45" s="1637"/>
      <c r="DM45" s="612">
        <f>CS45+DE45+DI45+CW45+DA45</f>
        <v>43.904000000000003</v>
      </c>
      <c r="DN45" s="616">
        <f>+CU45+CY45+DC45+DG45+DK45</f>
        <v>0.9806566897475989</v>
      </c>
      <c r="DO45" s="615"/>
    </row>
    <row r="46" spans="1:120" ht="13.5" customHeight="1">
      <c r="A46" s="477"/>
      <c r="B46" s="478"/>
      <c r="K46" s="479"/>
      <c r="U46" s="479"/>
      <c r="AE46" s="479"/>
      <c r="AO46" s="479"/>
      <c r="AY46" s="479"/>
      <c r="BI46" s="479"/>
      <c r="BS46" s="479"/>
      <c r="CC46" s="479"/>
      <c r="CM46" s="479"/>
      <c r="CR46" s="450"/>
      <c r="CS46" s="1889" t="s">
        <v>54</v>
      </c>
      <c r="CT46" s="1789"/>
      <c r="CU46" s="1789"/>
      <c r="CV46" s="1890"/>
      <c r="CW46" s="1651" t="s">
        <v>54</v>
      </c>
      <c r="CX46" s="1652"/>
      <c r="CY46" s="1652"/>
      <c r="CZ46" s="1891"/>
      <c r="DA46" s="382" t="s">
        <v>54</v>
      </c>
      <c r="DB46" s="383"/>
      <c r="DC46" s="383"/>
      <c r="DD46" s="384"/>
      <c r="DE46" s="1878" t="s">
        <v>54</v>
      </c>
      <c r="DF46" s="1654"/>
      <c r="DG46" s="1654"/>
      <c r="DH46" s="1686"/>
      <c r="DI46" s="1878" t="s">
        <v>54</v>
      </c>
      <c r="DJ46" s="1654"/>
      <c r="DK46" s="1654"/>
      <c r="DL46" s="1686"/>
      <c r="DM46" s="612"/>
      <c r="DN46" s="616"/>
      <c r="DO46" s="615"/>
    </row>
    <row r="47" spans="1:120" ht="4.5" customHeight="1">
      <c r="A47" s="472"/>
      <c r="B47" s="478"/>
      <c r="D47" s="467"/>
      <c r="E47" s="467"/>
      <c r="F47" s="467"/>
      <c r="G47" s="467"/>
      <c r="H47" s="467"/>
      <c r="I47" s="467"/>
      <c r="J47" s="467"/>
      <c r="K47" s="471"/>
      <c r="L47" s="467"/>
      <c r="M47" s="467"/>
      <c r="N47" s="467"/>
      <c r="O47" s="467"/>
      <c r="P47" s="467"/>
      <c r="Q47" s="467"/>
      <c r="R47" s="467"/>
      <c r="S47" s="467"/>
      <c r="T47" s="467"/>
      <c r="U47" s="471"/>
      <c r="V47" s="467"/>
      <c r="W47" s="467"/>
      <c r="X47" s="466"/>
      <c r="Y47" s="466"/>
      <c r="Z47" s="467"/>
      <c r="AA47" s="467"/>
      <c r="AB47" s="467"/>
      <c r="AC47" s="467"/>
      <c r="AD47" s="467"/>
      <c r="AE47" s="471"/>
      <c r="AF47" s="467"/>
      <c r="AG47" s="467"/>
      <c r="AH47" s="467"/>
      <c r="AI47" s="467"/>
      <c r="AJ47" s="467"/>
      <c r="AK47" s="467"/>
      <c r="AL47" s="467"/>
      <c r="AM47" s="467"/>
      <c r="AN47" s="467"/>
      <c r="AO47" s="471"/>
      <c r="AP47" s="467"/>
      <c r="AQ47" s="467"/>
      <c r="AR47" s="467"/>
      <c r="AS47" s="467"/>
      <c r="AT47" s="467"/>
      <c r="AU47" s="467"/>
      <c r="AV47" s="467"/>
      <c r="AW47" s="467"/>
      <c r="AX47" s="467"/>
      <c r="AY47" s="471"/>
      <c r="AZ47" s="467"/>
      <c r="BA47" s="467"/>
      <c r="BB47" s="466"/>
      <c r="BC47" s="466"/>
      <c r="BD47" s="467"/>
      <c r="BE47" s="467"/>
      <c r="BF47" s="467"/>
      <c r="BG47" s="467"/>
      <c r="BH47" s="467"/>
      <c r="BI47" s="471"/>
      <c r="BJ47" s="467"/>
      <c r="BK47" s="467"/>
      <c r="BL47" s="467"/>
      <c r="BM47" s="467"/>
      <c r="BN47" s="467"/>
      <c r="BO47" s="467"/>
      <c r="BP47" s="467"/>
      <c r="BQ47" s="467"/>
      <c r="BR47" s="467"/>
      <c r="BS47" s="471"/>
      <c r="BT47" s="467"/>
      <c r="BU47" s="467"/>
      <c r="BV47" s="467"/>
      <c r="BW47" s="467"/>
      <c r="BX47" s="467"/>
      <c r="BY47" s="467"/>
      <c r="BZ47" s="466"/>
      <c r="CA47" s="466"/>
      <c r="CB47" s="466"/>
      <c r="CC47" s="470"/>
      <c r="CD47" s="466"/>
      <c r="CE47" s="466"/>
      <c r="CF47" s="467"/>
      <c r="CG47" s="467"/>
      <c r="CH47" s="467"/>
      <c r="CI47" s="467"/>
      <c r="CJ47" s="467"/>
      <c r="CK47" s="467"/>
      <c r="CL47" s="467"/>
      <c r="CM47" s="471"/>
      <c r="CN47" s="467"/>
      <c r="CO47" s="467"/>
      <c r="CP47" s="467"/>
      <c r="CQ47" s="467"/>
      <c r="CR47" s="634"/>
      <c r="CS47" s="1889"/>
      <c r="CT47" s="1789"/>
      <c r="CU47" s="1789"/>
      <c r="CV47" s="1890"/>
      <c r="CW47" s="1634"/>
      <c r="CX47" s="1635"/>
      <c r="CY47" s="1635"/>
      <c r="CZ47" s="1892"/>
      <c r="DA47" s="374"/>
      <c r="DB47" s="375"/>
      <c r="DC47" s="375"/>
      <c r="DD47" s="376"/>
      <c r="DE47" s="1879"/>
      <c r="DF47" s="1618"/>
      <c r="DG47" s="1618"/>
      <c r="DH47" s="1621"/>
      <c r="DI47" s="1879"/>
      <c r="DJ47" s="1618"/>
      <c r="DK47" s="1618"/>
      <c r="DL47" s="1621"/>
      <c r="DM47" s="612" t="s">
        <v>54</v>
      </c>
      <c r="DN47" s="616" t="s">
        <v>54</v>
      </c>
      <c r="DO47" s="612"/>
    </row>
    <row r="48" spans="1:120" ht="13.5" customHeight="1">
      <c r="A48" s="472" t="s">
        <v>574</v>
      </c>
      <c r="B48" s="473"/>
      <c r="C48" s="474"/>
      <c r="D48" s="474"/>
      <c r="E48" s="474"/>
      <c r="F48" s="474"/>
      <c r="G48" s="474"/>
      <c r="H48" s="474"/>
      <c r="I48" s="474"/>
      <c r="J48" s="474"/>
      <c r="K48" s="475"/>
      <c r="L48" s="474"/>
      <c r="M48" s="474"/>
      <c r="N48" s="474"/>
      <c r="O48" s="474"/>
      <c r="P48" s="474"/>
      <c r="Q48" s="474"/>
      <c r="R48" s="474"/>
      <c r="S48" s="474"/>
      <c r="T48" s="474"/>
      <c r="U48" s="475"/>
      <c r="V48" s="474"/>
      <c r="W48" s="474"/>
      <c r="X48" s="474"/>
      <c r="Y48" s="474"/>
      <c r="Z48" s="474"/>
      <c r="AA48" s="474"/>
      <c r="AB48" s="474"/>
      <c r="AC48" s="474"/>
      <c r="AD48" s="474"/>
      <c r="AE48" s="475"/>
      <c r="AF48" s="474"/>
      <c r="AG48" s="474"/>
      <c r="AH48" s="474"/>
      <c r="AI48" s="474"/>
      <c r="AJ48" s="474"/>
      <c r="AK48" s="474"/>
      <c r="AL48" s="474"/>
      <c r="AM48" s="474"/>
      <c r="AN48" s="474"/>
      <c r="AO48" s="475"/>
      <c r="AP48" s="474"/>
      <c r="AQ48" s="474"/>
      <c r="AR48" s="474"/>
      <c r="AS48" s="474"/>
      <c r="AT48" s="474"/>
      <c r="AU48" s="474"/>
      <c r="AV48" s="474"/>
      <c r="AW48" s="474"/>
      <c r="AX48" s="474"/>
      <c r="AY48" s="475"/>
      <c r="AZ48" s="474"/>
      <c r="BA48" s="474"/>
      <c r="BB48" s="474"/>
      <c r="BC48" s="474"/>
      <c r="BD48" s="474"/>
      <c r="BE48" s="474"/>
      <c r="BF48" s="474"/>
      <c r="BG48" s="474"/>
      <c r="BH48" s="474"/>
      <c r="BI48" s="475"/>
      <c r="BJ48" s="474"/>
      <c r="BK48" s="474"/>
      <c r="BL48" s="474"/>
      <c r="BM48" s="474"/>
      <c r="BN48" s="474"/>
      <c r="BO48" s="474"/>
      <c r="BP48" s="474"/>
      <c r="BQ48" s="474"/>
      <c r="BR48" s="474"/>
      <c r="BS48" s="475"/>
      <c r="BT48" s="474"/>
      <c r="BU48" s="474"/>
      <c r="BV48" s="474"/>
      <c r="BW48" s="474"/>
      <c r="BX48" s="474"/>
      <c r="BY48" s="474"/>
      <c r="BZ48" s="474"/>
      <c r="CA48" s="474"/>
      <c r="CB48" s="474"/>
      <c r="CC48" s="475"/>
      <c r="CD48" s="474"/>
      <c r="CE48" s="474"/>
      <c r="CF48" s="474"/>
      <c r="CG48" s="474"/>
      <c r="CH48" s="474"/>
      <c r="CI48" s="474"/>
      <c r="CJ48" s="474"/>
      <c r="CK48" s="474"/>
      <c r="CL48" s="474"/>
      <c r="CM48" s="475"/>
      <c r="CN48" s="474"/>
      <c r="CO48" s="474"/>
      <c r="CP48" s="474"/>
      <c r="CQ48" s="474"/>
      <c r="CR48" s="476"/>
      <c r="CS48" s="1893">
        <v>0</v>
      </c>
      <c r="CT48" s="1894"/>
      <c r="CU48" s="1880">
        <v>0</v>
      </c>
      <c r="CV48" s="1881"/>
      <c r="CW48" s="1647">
        <f>43.904-DA48</f>
        <v>39.162000000000006</v>
      </c>
      <c r="CX48" s="1648"/>
      <c r="CY48" s="1649">
        <f>+CW48/$DO$37</f>
        <v>0.87473754746482024</v>
      </c>
      <c r="CZ48" s="1874"/>
      <c r="DA48" s="1875">
        <f>0.951+0.908+2.883</f>
        <v>4.742</v>
      </c>
      <c r="DB48" s="1639"/>
      <c r="DC48" s="1876">
        <f>+DA48/$DO$37</f>
        <v>0.10591914228277864</v>
      </c>
      <c r="DD48" s="1877"/>
      <c r="DE48" s="1870">
        <v>0</v>
      </c>
      <c r="DF48" s="1871"/>
      <c r="DG48" s="1872">
        <f>+DE48/$DO$37</f>
        <v>0</v>
      </c>
      <c r="DH48" s="1873"/>
      <c r="DI48" s="1869">
        <v>0</v>
      </c>
      <c r="DJ48" s="1643"/>
      <c r="DK48" s="1636">
        <v>0</v>
      </c>
      <c r="DL48" s="1637"/>
      <c r="DM48" s="612">
        <f>CS48+DE48+DI48+CW48+DA48</f>
        <v>43.904000000000003</v>
      </c>
      <c r="DN48" s="616">
        <f>+CU48+CY48+DC48+DG48+DK48</f>
        <v>0.9806566897475989</v>
      </c>
      <c r="DO48" s="615"/>
    </row>
    <row r="49" spans="1:119" ht="13.5" customHeight="1">
      <c r="A49" s="477"/>
      <c r="B49" s="478"/>
      <c r="K49" s="479"/>
      <c r="U49" s="479"/>
      <c r="AE49" s="479"/>
      <c r="AO49" s="479"/>
      <c r="AY49" s="479"/>
      <c r="BI49" s="479"/>
      <c r="BS49" s="479"/>
      <c r="CC49" s="479"/>
      <c r="CM49" s="479"/>
      <c r="CR49" s="450"/>
      <c r="CS49" s="1889" t="s">
        <v>54</v>
      </c>
      <c r="CT49" s="1789"/>
      <c r="CU49" s="1789"/>
      <c r="CV49" s="1890"/>
      <c r="CW49" s="1651" t="s">
        <v>54</v>
      </c>
      <c r="CX49" s="1652"/>
      <c r="CY49" s="1652"/>
      <c r="CZ49" s="1891"/>
      <c r="DA49" s="382" t="s">
        <v>54</v>
      </c>
      <c r="DB49" s="383"/>
      <c r="DC49" s="383"/>
      <c r="DD49" s="384"/>
      <c r="DE49" s="1878" t="s">
        <v>54</v>
      </c>
      <c r="DF49" s="1654"/>
      <c r="DG49" s="1654"/>
      <c r="DH49" s="1686"/>
      <c r="DI49" s="1878" t="s">
        <v>54</v>
      </c>
      <c r="DJ49" s="1654"/>
      <c r="DK49" s="1654"/>
      <c r="DL49" s="1686"/>
      <c r="DM49" s="612" t="s">
        <v>54</v>
      </c>
      <c r="DN49" s="616" t="s">
        <v>54</v>
      </c>
      <c r="DO49" s="612"/>
    </row>
    <row r="50" spans="1:119" ht="3.75" customHeight="1">
      <c r="A50" s="472"/>
      <c r="B50" s="478"/>
      <c r="D50" s="466"/>
      <c r="E50" s="466"/>
      <c r="F50" s="466"/>
      <c r="G50" s="466"/>
      <c r="H50" s="466"/>
      <c r="I50" s="466"/>
      <c r="J50" s="466"/>
      <c r="K50" s="470"/>
      <c r="L50" s="466"/>
      <c r="M50" s="466"/>
      <c r="N50" s="466"/>
      <c r="O50" s="466"/>
      <c r="P50" s="466"/>
      <c r="Q50" s="466"/>
      <c r="R50" s="466"/>
      <c r="S50" s="466"/>
      <c r="T50" s="466"/>
      <c r="U50" s="470"/>
      <c r="V50" s="466"/>
      <c r="W50" s="466"/>
      <c r="X50" s="466"/>
      <c r="Y50" s="466"/>
      <c r="Z50" s="466"/>
      <c r="AA50" s="466"/>
      <c r="AB50" s="466"/>
      <c r="AC50" s="466"/>
      <c r="AD50" s="466"/>
      <c r="AE50" s="470"/>
      <c r="AF50" s="466"/>
      <c r="AG50" s="466"/>
      <c r="AH50" s="466"/>
      <c r="AI50" s="466"/>
      <c r="AJ50" s="466"/>
      <c r="AK50" s="466"/>
      <c r="AL50" s="466"/>
      <c r="AM50" s="466"/>
      <c r="AN50" s="466"/>
      <c r="AO50" s="470"/>
      <c r="AP50" s="466"/>
      <c r="AQ50" s="466"/>
      <c r="AR50" s="466"/>
      <c r="AS50" s="466"/>
      <c r="AT50" s="466"/>
      <c r="AU50" s="466"/>
      <c r="AV50" s="466"/>
      <c r="AW50" s="466"/>
      <c r="AX50" s="466"/>
      <c r="AY50" s="470"/>
      <c r="AZ50" s="466"/>
      <c r="BA50" s="466"/>
      <c r="BB50" s="467"/>
      <c r="BC50" s="467"/>
      <c r="BD50" s="467"/>
      <c r="BE50" s="467"/>
      <c r="BF50" s="467"/>
      <c r="BG50" s="467"/>
      <c r="BH50" s="467"/>
      <c r="BI50" s="471"/>
      <c r="BJ50" s="467"/>
      <c r="BK50" s="467"/>
      <c r="BL50" s="467"/>
      <c r="BM50" s="467"/>
      <c r="BN50" s="467"/>
      <c r="BO50" s="467"/>
      <c r="BP50" s="467"/>
      <c r="BQ50" s="467"/>
      <c r="BR50" s="467"/>
      <c r="BS50" s="471"/>
      <c r="BT50" s="467"/>
      <c r="BU50" s="467"/>
      <c r="BV50" s="467"/>
      <c r="BW50" s="467"/>
      <c r="BX50" s="467"/>
      <c r="BY50" s="467"/>
      <c r="BZ50" s="467"/>
      <c r="CA50" s="467"/>
      <c r="CB50" s="467"/>
      <c r="CC50" s="471"/>
      <c r="CD50" s="467"/>
      <c r="CE50" s="467"/>
      <c r="CF50" s="467"/>
      <c r="CG50" s="467"/>
      <c r="CH50" s="467"/>
      <c r="CI50" s="467"/>
      <c r="CJ50" s="467"/>
      <c r="CK50" s="467"/>
      <c r="CL50" s="467"/>
      <c r="CM50" s="471"/>
      <c r="CN50" s="467"/>
      <c r="CO50" s="467"/>
      <c r="CP50" s="467"/>
      <c r="CQ50" s="467"/>
      <c r="CR50" s="634"/>
      <c r="CS50" s="1889"/>
      <c r="CT50" s="1789"/>
      <c r="CU50" s="1789"/>
      <c r="CV50" s="1890"/>
      <c r="CW50" s="1634"/>
      <c r="CX50" s="1635"/>
      <c r="CY50" s="1635"/>
      <c r="CZ50" s="1892"/>
      <c r="DA50" s="374"/>
      <c r="DB50" s="375"/>
      <c r="DC50" s="375"/>
      <c r="DD50" s="376"/>
      <c r="DE50" s="1879"/>
      <c r="DF50" s="1618"/>
      <c r="DG50" s="1618"/>
      <c r="DH50" s="1621"/>
      <c r="DI50" s="1879"/>
      <c r="DJ50" s="1618"/>
      <c r="DK50" s="1618"/>
      <c r="DL50" s="1621"/>
      <c r="DM50" s="612"/>
      <c r="DN50" s="616"/>
      <c r="DO50" s="615"/>
    </row>
    <row r="51" spans="1:119" ht="13.5" customHeight="1">
      <c r="A51" s="472" t="s">
        <v>57</v>
      </c>
      <c r="B51" s="473"/>
      <c r="C51" s="474"/>
      <c r="D51" s="474"/>
      <c r="E51" s="474"/>
      <c r="F51" s="474"/>
      <c r="G51" s="474"/>
      <c r="H51" s="474"/>
      <c r="I51" s="474"/>
      <c r="J51" s="474"/>
      <c r="K51" s="475"/>
      <c r="L51" s="474"/>
      <c r="M51" s="474"/>
      <c r="N51" s="474"/>
      <c r="O51" s="474"/>
      <c r="P51" s="474"/>
      <c r="Q51" s="474"/>
      <c r="R51" s="474"/>
      <c r="S51" s="474"/>
      <c r="T51" s="474"/>
      <c r="U51" s="475"/>
      <c r="V51" s="474"/>
      <c r="W51" s="474"/>
      <c r="X51" s="474"/>
      <c r="Y51" s="474"/>
      <c r="Z51" s="474"/>
      <c r="AA51" s="474"/>
      <c r="AB51" s="474"/>
      <c r="AC51" s="474"/>
      <c r="AD51" s="474"/>
      <c r="AE51" s="475"/>
      <c r="AF51" s="474"/>
      <c r="AG51" s="474"/>
      <c r="AH51" s="474"/>
      <c r="AI51" s="474"/>
      <c r="AJ51" s="474"/>
      <c r="AK51" s="474"/>
      <c r="AL51" s="474"/>
      <c r="AM51" s="474"/>
      <c r="AN51" s="474"/>
      <c r="AO51" s="475"/>
      <c r="AP51" s="474"/>
      <c r="AQ51" s="474"/>
      <c r="AR51" s="474"/>
      <c r="AS51" s="474"/>
      <c r="AT51" s="474"/>
      <c r="AU51" s="474"/>
      <c r="AV51" s="474"/>
      <c r="AW51" s="474"/>
      <c r="AX51" s="474"/>
      <c r="AY51" s="475"/>
      <c r="AZ51" s="474"/>
      <c r="BA51" s="474"/>
      <c r="BB51" s="474"/>
      <c r="BC51" s="474"/>
      <c r="BD51" s="474"/>
      <c r="BE51" s="474"/>
      <c r="BF51" s="474"/>
      <c r="BG51" s="474"/>
      <c r="BH51" s="474"/>
      <c r="BI51" s="475"/>
      <c r="BJ51" s="474"/>
      <c r="BK51" s="474"/>
      <c r="BL51" s="474"/>
      <c r="BM51" s="474"/>
      <c r="BN51" s="474"/>
      <c r="BO51" s="474"/>
      <c r="BP51" s="474"/>
      <c r="BQ51" s="474"/>
      <c r="BR51" s="474"/>
      <c r="BS51" s="475"/>
      <c r="BT51" s="474"/>
      <c r="BU51" s="474"/>
      <c r="BV51" s="474"/>
      <c r="BW51" s="474"/>
      <c r="BX51" s="474"/>
      <c r="BY51" s="474"/>
      <c r="BZ51" s="474"/>
      <c r="CA51" s="474"/>
      <c r="CB51" s="474"/>
      <c r="CC51" s="475"/>
      <c r="CD51" s="474"/>
      <c r="CE51" s="474"/>
      <c r="CF51" s="474"/>
      <c r="CG51" s="474"/>
      <c r="CH51" s="474"/>
      <c r="CI51" s="474"/>
      <c r="CJ51" s="474"/>
      <c r="CK51" s="474"/>
      <c r="CL51" s="474"/>
      <c r="CM51" s="475"/>
      <c r="CN51" s="474"/>
      <c r="CO51" s="474"/>
      <c r="CP51" s="474"/>
      <c r="CQ51" s="474"/>
      <c r="CR51" s="476"/>
      <c r="CS51" s="1893">
        <v>0</v>
      </c>
      <c r="CT51" s="1894"/>
      <c r="CU51" s="1880">
        <v>0</v>
      </c>
      <c r="CV51" s="1881"/>
      <c r="CW51" s="1902">
        <f>+DO37-DA51</f>
        <v>21.300000000000004</v>
      </c>
      <c r="CX51" s="1648"/>
      <c r="CY51" s="1649">
        <f>+CW51/$DO$37</f>
        <v>0.47576502121956676</v>
      </c>
      <c r="CZ51" s="1874"/>
      <c r="DA51" s="1875">
        <v>23.47</v>
      </c>
      <c r="DB51" s="1639"/>
      <c r="DC51" s="1876">
        <f>+DA51/$DO$37</f>
        <v>0.52423497878043324</v>
      </c>
      <c r="DD51" s="1877"/>
      <c r="DE51" s="1870">
        <v>0</v>
      </c>
      <c r="DF51" s="1871"/>
      <c r="DG51" s="1872">
        <f>+DE51/$DO$37</f>
        <v>0</v>
      </c>
      <c r="DH51" s="1873"/>
      <c r="DI51" s="1869">
        <v>0</v>
      </c>
      <c r="DJ51" s="1643"/>
      <c r="DK51" s="1636">
        <v>0</v>
      </c>
      <c r="DL51" s="1637"/>
      <c r="DM51" s="612">
        <f>CS51+DE51+DI51+CW51+DA51</f>
        <v>44.77</v>
      </c>
      <c r="DN51" s="616">
        <f>+CU51+CY51+DC51+DG51+DK51</f>
        <v>1</v>
      </c>
      <c r="DO51" s="615"/>
    </row>
    <row r="52" spans="1:119" ht="13.5" customHeight="1">
      <c r="A52" s="477"/>
      <c r="B52" s="478"/>
      <c r="K52" s="479"/>
      <c r="U52" s="479"/>
      <c r="AE52" s="479"/>
      <c r="AO52" s="479"/>
      <c r="AY52" s="479"/>
      <c r="BI52" s="479"/>
      <c r="BS52" s="479"/>
      <c r="CC52" s="479"/>
      <c r="CM52" s="479"/>
      <c r="CR52" s="450"/>
      <c r="CS52" s="1889" t="s">
        <v>54</v>
      </c>
      <c r="CT52" s="1789"/>
      <c r="CU52" s="1789"/>
      <c r="CV52" s="1890"/>
      <c r="CW52" s="1651" t="s">
        <v>54</v>
      </c>
      <c r="CX52" s="1652"/>
      <c r="CY52" s="1652"/>
      <c r="CZ52" s="1891"/>
      <c r="DA52" s="382" t="s">
        <v>54</v>
      </c>
      <c r="DB52" s="383"/>
      <c r="DC52" s="383"/>
      <c r="DD52" s="384"/>
      <c r="DE52" s="1878" t="s">
        <v>54</v>
      </c>
      <c r="DF52" s="1654"/>
      <c r="DG52" s="1654"/>
      <c r="DH52" s="1686"/>
      <c r="DI52" s="1878" t="s">
        <v>54</v>
      </c>
      <c r="DJ52" s="1654"/>
      <c r="DK52" s="1654"/>
      <c r="DL52" s="1686"/>
      <c r="DM52" s="612"/>
      <c r="DN52" s="616"/>
      <c r="DO52" s="615"/>
    </row>
    <row r="53" spans="1:119" ht="3.75" customHeight="1">
      <c r="A53" s="472"/>
      <c r="B53" s="478"/>
      <c r="D53" s="467"/>
      <c r="E53" s="467"/>
      <c r="F53" s="467"/>
      <c r="G53" s="467"/>
      <c r="H53" s="467"/>
      <c r="I53" s="467"/>
      <c r="J53" s="467"/>
      <c r="K53" s="471"/>
      <c r="L53" s="467"/>
      <c r="M53" s="467"/>
      <c r="N53" s="467"/>
      <c r="O53" s="467"/>
      <c r="P53" s="467"/>
      <c r="Q53" s="467"/>
      <c r="R53" s="467"/>
      <c r="S53" s="467"/>
      <c r="T53" s="467"/>
      <c r="U53" s="471"/>
      <c r="V53" s="467"/>
      <c r="W53" s="467"/>
      <c r="X53" s="467"/>
      <c r="Y53" s="467"/>
      <c r="Z53" s="467"/>
      <c r="AA53" s="467"/>
      <c r="AB53" s="467"/>
      <c r="AC53" s="467"/>
      <c r="AD53" s="467"/>
      <c r="AE53" s="471"/>
      <c r="AF53" s="467"/>
      <c r="AG53" s="467"/>
      <c r="AH53" s="467"/>
      <c r="AI53" s="467"/>
      <c r="AJ53" s="467"/>
      <c r="AK53" s="467"/>
      <c r="AL53" s="467"/>
      <c r="AM53" s="467"/>
      <c r="AN53" s="467"/>
      <c r="AO53" s="471"/>
      <c r="AP53" s="467"/>
      <c r="AQ53" s="467"/>
      <c r="AR53" s="467"/>
      <c r="AS53" s="467"/>
      <c r="AT53" s="467"/>
      <c r="AU53" s="467"/>
      <c r="AV53" s="467"/>
      <c r="AW53" s="467"/>
      <c r="AX53" s="467"/>
      <c r="AY53" s="471"/>
      <c r="AZ53" s="467"/>
      <c r="BA53" s="467"/>
      <c r="BB53" s="467"/>
      <c r="BC53" s="467"/>
      <c r="BD53" s="467"/>
      <c r="BE53" s="467"/>
      <c r="BF53" s="467"/>
      <c r="BG53" s="467"/>
      <c r="BH53" s="467"/>
      <c r="BI53" s="471"/>
      <c r="BJ53" s="467"/>
      <c r="BK53" s="467"/>
      <c r="BL53" s="467"/>
      <c r="BM53" s="467"/>
      <c r="BN53" s="467"/>
      <c r="BO53" s="467"/>
      <c r="BP53" s="467"/>
      <c r="BQ53" s="467"/>
      <c r="BR53" s="467"/>
      <c r="BS53" s="471"/>
      <c r="BT53" s="467"/>
      <c r="BU53" s="467"/>
      <c r="BV53" s="467"/>
      <c r="BW53" s="467"/>
      <c r="BX53" s="467"/>
      <c r="BY53" s="467"/>
      <c r="BZ53" s="467"/>
      <c r="CA53" s="467"/>
      <c r="CB53" s="467"/>
      <c r="CC53" s="471"/>
      <c r="CD53" s="467"/>
      <c r="CE53" s="467"/>
      <c r="CF53" s="467"/>
      <c r="CG53" s="467"/>
      <c r="CH53" s="467"/>
      <c r="CI53" s="467"/>
      <c r="CJ53" s="467"/>
      <c r="CK53" s="467"/>
      <c r="CL53" s="467"/>
      <c r="CM53" s="471"/>
      <c r="CN53" s="467"/>
      <c r="CO53" s="467"/>
      <c r="CP53" s="467"/>
      <c r="CQ53" s="467"/>
      <c r="CR53" s="634"/>
      <c r="CS53" s="1889"/>
      <c r="CT53" s="1789"/>
      <c r="CU53" s="1789"/>
      <c r="CV53" s="1890"/>
      <c r="CW53" s="1634"/>
      <c r="CX53" s="1635"/>
      <c r="CY53" s="1635"/>
      <c r="CZ53" s="1892"/>
      <c r="DA53" s="374"/>
      <c r="DB53" s="375"/>
      <c r="DC53" s="375"/>
      <c r="DD53" s="376"/>
      <c r="DE53" s="1879"/>
      <c r="DF53" s="1618"/>
      <c r="DG53" s="1618"/>
      <c r="DH53" s="1621"/>
      <c r="DI53" s="1879"/>
      <c r="DJ53" s="1618"/>
      <c r="DK53" s="1618"/>
      <c r="DL53" s="1621"/>
      <c r="DM53" s="612" t="s">
        <v>54</v>
      </c>
      <c r="DN53" s="616" t="s">
        <v>54</v>
      </c>
      <c r="DO53" s="612"/>
    </row>
    <row r="54" spans="1:119" ht="13.5" customHeight="1">
      <c r="A54" s="472" t="s">
        <v>58</v>
      </c>
      <c r="B54" s="473"/>
      <c r="C54" s="474"/>
      <c r="D54" s="474"/>
      <c r="E54" s="474"/>
      <c r="F54" s="474"/>
      <c r="G54" s="474"/>
      <c r="H54" s="474"/>
      <c r="I54" s="474"/>
      <c r="J54" s="474"/>
      <c r="K54" s="475"/>
      <c r="L54" s="474"/>
      <c r="M54" s="474"/>
      <c r="N54" s="474"/>
      <c r="O54" s="474"/>
      <c r="P54" s="474"/>
      <c r="Q54" s="474"/>
      <c r="R54" s="474"/>
      <c r="S54" s="474"/>
      <c r="T54" s="474"/>
      <c r="U54" s="475"/>
      <c r="V54" s="474"/>
      <c r="W54" s="474"/>
      <c r="X54" s="474"/>
      <c r="Y54" s="474"/>
      <c r="Z54" s="474"/>
      <c r="AA54" s="474"/>
      <c r="AB54" s="474"/>
      <c r="AC54" s="474"/>
      <c r="AD54" s="474"/>
      <c r="AE54" s="475"/>
      <c r="AF54" s="474"/>
      <c r="AG54" s="474"/>
      <c r="AH54" s="474"/>
      <c r="AI54" s="474"/>
      <c r="AJ54" s="474"/>
      <c r="AK54" s="474"/>
      <c r="AL54" s="474"/>
      <c r="AM54" s="474"/>
      <c r="AN54" s="474"/>
      <c r="AO54" s="475"/>
      <c r="AP54" s="474"/>
      <c r="AQ54" s="474"/>
      <c r="AR54" s="474"/>
      <c r="AS54" s="474"/>
      <c r="AT54" s="474"/>
      <c r="AU54" s="474"/>
      <c r="AV54" s="474"/>
      <c r="AW54" s="474"/>
      <c r="AX54" s="474"/>
      <c r="AY54" s="475"/>
      <c r="AZ54" s="474"/>
      <c r="BA54" s="474"/>
      <c r="BB54" s="474"/>
      <c r="BC54" s="474"/>
      <c r="BD54" s="474"/>
      <c r="BE54" s="474"/>
      <c r="BF54" s="474"/>
      <c r="BG54" s="474"/>
      <c r="BH54" s="474"/>
      <c r="BI54" s="475"/>
      <c r="BJ54" s="474"/>
      <c r="BK54" s="474"/>
      <c r="BL54" s="474"/>
      <c r="BM54" s="474"/>
      <c r="BN54" s="474"/>
      <c r="BO54" s="474"/>
      <c r="BP54" s="474"/>
      <c r="BQ54" s="474"/>
      <c r="BR54" s="474"/>
      <c r="BS54" s="475"/>
      <c r="BT54" s="474"/>
      <c r="BU54" s="474"/>
      <c r="BV54" s="474"/>
      <c r="BW54" s="474"/>
      <c r="BX54" s="474"/>
      <c r="BY54" s="474"/>
      <c r="BZ54" s="474"/>
      <c r="CA54" s="474"/>
      <c r="CB54" s="474"/>
      <c r="CC54" s="475"/>
      <c r="CD54" s="474"/>
      <c r="CE54" s="474"/>
      <c r="CF54" s="474"/>
      <c r="CG54" s="474"/>
      <c r="CH54" s="474"/>
      <c r="CI54" s="474"/>
      <c r="CJ54" s="474"/>
      <c r="CK54" s="474"/>
      <c r="CL54" s="474"/>
      <c r="CM54" s="475"/>
      <c r="CN54" s="474"/>
      <c r="CO54" s="474"/>
      <c r="CP54" s="474"/>
      <c r="CQ54" s="474"/>
      <c r="CR54" s="476"/>
      <c r="CS54" s="1893">
        <v>0</v>
      </c>
      <c r="CT54" s="1894"/>
      <c r="CU54" s="1880">
        <v>0</v>
      </c>
      <c r="CV54" s="1881"/>
      <c r="CW54" s="1647">
        <f>+$DO$37</f>
        <v>44.77</v>
      </c>
      <c r="CX54" s="1648"/>
      <c r="CY54" s="1649">
        <f>+CW54/$DO$37</f>
        <v>1</v>
      </c>
      <c r="CZ54" s="1874"/>
      <c r="DA54" s="1875">
        <v>0</v>
      </c>
      <c r="DB54" s="1639"/>
      <c r="DC54" s="1876">
        <f>+DA54/$DO$37</f>
        <v>0</v>
      </c>
      <c r="DD54" s="1877"/>
      <c r="DE54" s="1870">
        <v>0</v>
      </c>
      <c r="DF54" s="1871"/>
      <c r="DG54" s="1872">
        <f>+DE54/$DO$37</f>
        <v>0</v>
      </c>
      <c r="DH54" s="1873"/>
      <c r="DI54" s="1869">
        <v>0</v>
      </c>
      <c r="DJ54" s="1643"/>
      <c r="DK54" s="1636">
        <v>0</v>
      </c>
      <c r="DL54" s="1637"/>
      <c r="DM54" s="612">
        <f>CS54+DE54+DI54+CW54+DA54</f>
        <v>44.77</v>
      </c>
      <c r="DN54" s="616">
        <f>+CU54+CY54+DC54+DG54+DK54</f>
        <v>1</v>
      </c>
      <c r="DO54" s="615"/>
    </row>
    <row r="55" spans="1:119" ht="13.5" customHeight="1">
      <c r="A55" s="477"/>
      <c r="B55" s="478"/>
      <c r="K55" s="479"/>
      <c r="U55" s="479"/>
      <c r="AE55" s="479"/>
      <c r="AO55" s="479"/>
      <c r="AY55" s="479"/>
      <c r="BI55" s="479"/>
      <c r="BS55" s="479"/>
      <c r="CC55" s="479"/>
      <c r="CM55" s="479"/>
      <c r="CR55" s="450"/>
      <c r="CS55" s="1889" t="s">
        <v>54</v>
      </c>
      <c r="CT55" s="1789"/>
      <c r="CU55" s="1789"/>
      <c r="CV55" s="1890"/>
      <c r="CW55" s="1651" t="s">
        <v>54</v>
      </c>
      <c r="CX55" s="1652"/>
      <c r="CY55" s="1652"/>
      <c r="CZ55" s="1891"/>
      <c r="DA55" s="382" t="s">
        <v>54</v>
      </c>
      <c r="DB55" s="383"/>
      <c r="DC55" s="383"/>
      <c r="DD55" s="384"/>
      <c r="DE55" s="1878" t="s">
        <v>54</v>
      </c>
      <c r="DF55" s="1654"/>
      <c r="DG55" s="1654"/>
      <c r="DH55" s="1686"/>
      <c r="DI55" s="1878" t="s">
        <v>54</v>
      </c>
      <c r="DJ55" s="1654"/>
      <c r="DK55" s="1654"/>
      <c r="DL55" s="1686"/>
      <c r="DM55" s="612" t="s">
        <v>54</v>
      </c>
      <c r="DN55" s="616" t="s">
        <v>54</v>
      </c>
      <c r="DO55" s="615"/>
    </row>
    <row r="56" spans="1:119" ht="3.75" customHeight="1">
      <c r="A56" s="472"/>
      <c r="B56" s="478"/>
      <c r="D56" s="467"/>
      <c r="E56" s="467"/>
      <c r="F56" s="467"/>
      <c r="G56" s="467"/>
      <c r="H56" s="467"/>
      <c r="I56" s="467"/>
      <c r="J56" s="467"/>
      <c r="K56" s="471"/>
      <c r="L56" s="467"/>
      <c r="M56" s="467"/>
      <c r="N56" s="467"/>
      <c r="O56" s="467"/>
      <c r="P56" s="467"/>
      <c r="Q56" s="467"/>
      <c r="R56" s="467"/>
      <c r="S56" s="467"/>
      <c r="T56" s="467"/>
      <c r="U56" s="471"/>
      <c r="V56" s="467"/>
      <c r="W56" s="467"/>
      <c r="X56" s="467"/>
      <c r="Y56" s="467"/>
      <c r="Z56" s="467"/>
      <c r="AA56" s="467"/>
      <c r="AB56" s="467"/>
      <c r="AC56" s="467"/>
      <c r="AD56" s="467"/>
      <c r="AE56" s="471"/>
      <c r="AF56" s="467"/>
      <c r="AG56" s="467"/>
      <c r="AH56" s="467"/>
      <c r="AI56" s="467"/>
      <c r="AJ56" s="467"/>
      <c r="AK56" s="467"/>
      <c r="AL56" s="467"/>
      <c r="AM56" s="467"/>
      <c r="AN56" s="467"/>
      <c r="AO56" s="471"/>
      <c r="AP56" s="467"/>
      <c r="AQ56" s="467"/>
      <c r="AR56" s="467"/>
      <c r="AS56" s="467"/>
      <c r="AT56" s="467"/>
      <c r="AU56" s="467"/>
      <c r="AV56" s="467"/>
      <c r="AW56" s="467"/>
      <c r="AX56" s="467"/>
      <c r="AY56" s="471"/>
      <c r="AZ56" s="467"/>
      <c r="BA56" s="467"/>
      <c r="BB56" s="467"/>
      <c r="BC56" s="467"/>
      <c r="BD56" s="467"/>
      <c r="BE56" s="467"/>
      <c r="BF56" s="467"/>
      <c r="BG56" s="467"/>
      <c r="BH56" s="467"/>
      <c r="BI56" s="471"/>
      <c r="BJ56" s="467"/>
      <c r="BK56" s="467"/>
      <c r="BL56" s="467"/>
      <c r="BM56" s="467"/>
      <c r="BN56" s="467"/>
      <c r="BO56" s="467"/>
      <c r="BP56" s="467"/>
      <c r="BQ56" s="467"/>
      <c r="BR56" s="467"/>
      <c r="BS56" s="471"/>
      <c r="BT56" s="467"/>
      <c r="BU56" s="467"/>
      <c r="BV56" s="467"/>
      <c r="BW56" s="467"/>
      <c r="BX56" s="467"/>
      <c r="BY56" s="467"/>
      <c r="BZ56" s="467"/>
      <c r="CA56" s="467"/>
      <c r="CB56" s="467"/>
      <c r="CC56" s="471"/>
      <c r="CD56" s="467"/>
      <c r="CE56" s="467"/>
      <c r="CF56" s="467"/>
      <c r="CG56" s="467"/>
      <c r="CH56" s="467"/>
      <c r="CI56" s="467"/>
      <c r="CJ56" s="467"/>
      <c r="CK56" s="467"/>
      <c r="CL56" s="467"/>
      <c r="CM56" s="471"/>
      <c r="CN56" s="467"/>
      <c r="CO56" s="467"/>
      <c r="CP56" s="467"/>
      <c r="CQ56" s="467"/>
      <c r="CR56" s="634"/>
      <c r="CS56" s="1889"/>
      <c r="CT56" s="1789"/>
      <c r="CU56" s="1789"/>
      <c r="CV56" s="1890"/>
      <c r="CW56" s="1634"/>
      <c r="CX56" s="1635"/>
      <c r="CY56" s="1635"/>
      <c r="CZ56" s="1892"/>
      <c r="DA56" s="374"/>
      <c r="DB56" s="375"/>
      <c r="DC56" s="375"/>
      <c r="DD56" s="376"/>
      <c r="DE56" s="1879"/>
      <c r="DF56" s="1618"/>
      <c r="DG56" s="1618"/>
      <c r="DH56" s="1621"/>
      <c r="DI56" s="1879"/>
      <c r="DJ56" s="1618"/>
      <c r="DK56" s="1618"/>
      <c r="DL56" s="1621"/>
      <c r="DM56" s="612"/>
      <c r="DN56" s="615"/>
      <c r="DO56" s="615"/>
    </row>
    <row r="57" spans="1:119" ht="13.5" customHeight="1">
      <c r="A57" s="482" t="s">
        <v>59</v>
      </c>
      <c r="B57" s="473"/>
      <c r="C57" s="474"/>
      <c r="D57" s="474"/>
      <c r="E57" s="474"/>
      <c r="F57" s="474"/>
      <c r="G57" s="474"/>
      <c r="H57" s="474"/>
      <c r="I57" s="474"/>
      <c r="J57" s="474"/>
      <c r="K57" s="475"/>
      <c r="L57" s="474"/>
      <c r="M57" s="474"/>
      <c r="N57" s="474"/>
      <c r="O57" s="474"/>
      <c r="P57" s="474"/>
      <c r="Q57" s="474"/>
      <c r="R57" s="474"/>
      <c r="S57" s="474"/>
      <c r="T57" s="474"/>
      <c r="U57" s="475"/>
      <c r="V57" s="474"/>
      <c r="W57" s="474"/>
      <c r="X57" s="474"/>
      <c r="Y57" s="474"/>
      <c r="Z57" s="474"/>
      <c r="AA57" s="474"/>
      <c r="AB57" s="474"/>
      <c r="AC57" s="474"/>
      <c r="AD57" s="474"/>
      <c r="AE57" s="475"/>
      <c r="AF57" s="474"/>
      <c r="AG57" s="474"/>
      <c r="AH57" s="474"/>
      <c r="AI57" s="474"/>
      <c r="AJ57" s="474"/>
      <c r="AK57" s="474"/>
      <c r="AL57" s="474"/>
      <c r="AM57" s="474"/>
      <c r="AN57" s="474"/>
      <c r="AO57" s="475"/>
      <c r="AP57" s="474"/>
      <c r="AQ57" s="474"/>
      <c r="AR57" s="474"/>
      <c r="AS57" s="474"/>
      <c r="AT57" s="474"/>
      <c r="AU57" s="474"/>
      <c r="AV57" s="474"/>
      <c r="AW57" s="474"/>
      <c r="AX57" s="474"/>
      <c r="AY57" s="475"/>
      <c r="AZ57" s="474"/>
      <c r="BA57" s="474"/>
      <c r="BB57" s="474"/>
      <c r="BC57" s="474"/>
      <c r="BD57" s="474"/>
      <c r="BE57" s="474"/>
      <c r="BF57" s="474"/>
      <c r="BG57" s="474"/>
      <c r="BH57" s="474"/>
      <c r="BI57" s="475"/>
      <c r="BJ57" s="474"/>
      <c r="BK57" s="474"/>
      <c r="BL57" s="474"/>
      <c r="BM57" s="474"/>
      <c r="BN57" s="474"/>
      <c r="BO57" s="474"/>
      <c r="BP57" s="474"/>
      <c r="BQ57" s="474"/>
      <c r="BR57" s="474"/>
      <c r="BS57" s="475"/>
      <c r="BT57" s="474"/>
      <c r="BU57" s="474"/>
      <c r="BV57" s="474"/>
      <c r="BW57" s="474"/>
      <c r="BX57" s="474"/>
      <c r="BY57" s="474"/>
      <c r="BZ57" s="474"/>
      <c r="CA57" s="474"/>
      <c r="CB57" s="474"/>
      <c r="CC57" s="475"/>
      <c r="CD57" s="474"/>
      <c r="CE57" s="474"/>
      <c r="CF57" s="474"/>
      <c r="CG57" s="474"/>
      <c r="CH57" s="474"/>
      <c r="CI57" s="474"/>
      <c r="CJ57" s="474"/>
      <c r="CK57" s="474"/>
      <c r="CL57" s="474"/>
      <c r="CM57" s="475"/>
      <c r="CN57" s="474"/>
      <c r="CO57" s="474"/>
      <c r="CP57" s="474"/>
      <c r="CQ57" s="474"/>
      <c r="CR57" s="476"/>
      <c r="CS57" s="1893">
        <v>0</v>
      </c>
      <c r="CT57" s="1894"/>
      <c r="CU57" s="1880">
        <v>0</v>
      </c>
      <c r="CV57" s="1881"/>
      <c r="CW57" s="1647">
        <f>+$DO$37</f>
        <v>44.77</v>
      </c>
      <c r="CX57" s="1648"/>
      <c r="CY57" s="1649">
        <f>+CW57/$DO$37</f>
        <v>1</v>
      </c>
      <c r="CZ57" s="1874"/>
      <c r="DA57" s="1875">
        <v>0</v>
      </c>
      <c r="DB57" s="1639"/>
      <c r="DC57" s="1876">
        <f>+DA57/$DO$37</f>
        <v>0</v>
      </c>
      <c r="DD57" s="1877"/>
      <c r="DE57" s="1870">
        <v>0</v>
      </c>
      <c r="DF57" s="1871"/>
      <c r="DG57" s="1872">
        <f>+DE57/$DO$37</f>
        <v>0</v>
      </c>
      <c r="DH57" s="1873"/>
      <c r="DI57" s="1869">
        <v>0</v>
      </c>
      <c r="DJ57" s="1643"/>
      <c r="DK57" s="1636">
        <v>0</v>
      </c>
      <c r="DL57" s="1637"/>
      <c r="DM57" s="612">
        <f>CS57+DE57+DI57+CW57+DA57</f>
        <v>44.77</v>
      </c>
      <c r="DN57" s="616">
        <f>+CU57+CY57+DC57+DG57+DK57</f>
        <v>1</v>
      </c>
      <c r="DO57" s="349"/>
    </row>
    <row r="58" spans="1:119" ht="13.5" customHeight="1">
      <c r="A58" s="477"/>
      <c r="B58" s="478"/>
      <c r="K58" s="479"/>
      <c r="U58" s="479"/>
      <c r="AE58" s="479"/>
      <c r="AO58" s="479"/>
      <c r="AY58" s="479"/>
      <c r="BI58" s="479"/>
      <c r="BS58" s="479"/>
      <c r="CC58" s="479"/>
      <c r="CM58" s="479"/>
      <c r="CR58" s="450"/>
      <c r="CS58" s="1889" t="s">
        <v>54</v>
      </c>
      <c r="CT58" s="1789"/>
      <c r="CU58" s="1789"/>
      <c r="CV58" s="1890"/>
      <c r="CW58" s="1651" t="s">
        <v>54</v>
      </c>
      <c r="CX58" s="1652"/>
      <c r="CY58" s="1652"/>
      <c r="CZ58" s="1891"/>
      <c r="DA58" s="382" t="s">
        <v>54</v>
      </c>
      <c r="DB58" s="383"/>
      <c r="DC58" s="383"/>
      <c r="DD58" s="384"/>
      <c r="DE58" s="1878" t="s">
        <v>54</v>
      </c>
      <c r="DF58" s="1654"/>
      <c r="DG58" s="1654"/>
      <c r="DH58" s="1686"/>
      <c r="DI58" s="1878" t="s">
        <v>54</v>
      </c>
      <c r="DJ58" s="1654"/>
      <c r="DK58" s="1654"/>
      <c r="DL58" s="1686"/>
      <c r="DM58" s="387"/>
      <c r="DN58" s="349"/>
      <c r="DO58" s="349"/>
    </row>
    <row r="59" spans="1:119" ht="3.75" customHeight="1">
      <c r="A59" s="472"/>
      <c r="B59" s="478"/>
      <c r="D59" s="466"/>
      <c r="E59" s="466"/>
      <c r="F59" s="466"/>
      <c r="G59" s="466"/>
      <c r="H59" s="466"/>
      <c r="I59" s="466"/>
      <c r="J59" s="466"/>
      <c r="K59" s="470"/>
      <c r="L59" s="466"/>
      <c r="M59" s="466"/>
      <c r="N59" s="466"/>
      <c r="O59" s="466"/>
      <c r="P59" s="466"/>
      <c r="Q59" s="466"/>
      <c r="R59" s="466"/>
      <c r="S59" s="466"/>
      <c r="T59" s="466"/>
      <c r="U59" s="470"/>
      <c r="V59" s="466"/>
      <c r="W59" s="466"/>
      <c r="X59" s="466"/>
      <c r="Y59" s="466"/>
      <c r="Z59" s="466"/>
      <c r="AA59" s="466"/>
      <c r="AB59" s="466"/>
      <c r="AC59" s="466"/>
      <c r="AD59" s="466"/>
      <c r="AE59" s="470"/>
      <c r="AF59" s="466"/>
      <c r="AG59" s="466"/>
      <c r="AH59" s="466"/>
      <c r="AI59" s="466"/>
      <c r="AJ59" s="466"/>
      <c r="AK59" s="466"/>
      <c r="AL59" s="466"/>
      <c r="AM59" s="466"/>
      <c r="AN59" s="466"/>
      <c r="AO59" s="470"/>
      <c r="AP59" s="466"/>
      <c r="AQ59" s="466"/>
      <c r="AR59" s="466"/>
      <c r="AS59" s="466"/>
      <c r="AT59" s="466"/>
      <c r="AU59" s="466"/>
      <c r="AV59" s="466"/>
      <c r="AW59" s="466"/>
      <c r="AX59" s="466"/>
      <c r="AY59" s="470"/>
      <c r="AZ59" s="466"/>
      <c r="BA59" s="466"/>
      <c r="BB59" s="466"/>
      <c r="BC59" s="466"/>
      <c r="BD59" s="466"/>
      <c r="BE59" s="466"/>
      <c r="BF59" s="466"/>
      <c r="BG59" s="466"/>
      <c r="BH59" s="466"/>
      <c r="BI59" s="470"/>
      <c r="BJ59" s="466"/>
      <c r="BK59" s="466"/>
      <c r="BL59" s="466"/>
      <c r="BM59" s="466"/>
      <c r="BN59" s="466"/>
      <c r="BO59" s="466"/>
      <c r="BP59" s="466"/>
      <c r="BQ59" s="466"/>
      <c r="BR59" s="466"/>
      <c r="BS59" s="470"/>
      <c r="BT59" s="466"/>
      <c r="BU59" s="466"/>
      <c r="BV59" s="466"/>
      <c r="BW59" s="466"/>
      <c r="BX59" s="466"/>
      <c r="BY59" s="466"/>
      <c r="BZ59" s="466"/>
      <c r="CA59" s="466"/>
      <c r="CB59" s="466"/>
      <c r="CC59" s="470"/>
      <c r="CD59" s="466"/>
      <c r="CE59" s="466"/>
      <c r="CF59" s="466"/>
      <c r="CG59" s="466"/>
      <c r="CH59" s="466"/>
      <c r="CI59" s="466"/>
      <c r="CJ59" s="466"/>
      <c r="CK59" s="466"/>
      <c r="CL59" s="466"/>
      <c r="CM59" s="470"/>
      <c r="CN59" s="466"/>
      <c r="CO59" s="466"/>
      <c r="CP59" s="466"/>
      <c r="CQ59" s="466"/>
      <c r="CR59" s="633"/>
      <c r="CS59" s="1889"/>
      <c r="CT59" s="1789"/>
      <c r="CU59" s="1789"/>
      <c r="CV59" s="1890"/>
      <c r="CW59" s="1634"/>
      <c r="CX59" s="1635"/>
      <c r="CY59" s="1635"/>
      <c r="CZ59" s="1892"/>
      <c r="DA59" s="374"/>
      <c r="DB59" s="375"/>
      <c r="DC59" s="375"/>
      <c r="DD59" s="376"/>
      <c r="DE59" s="1879"/>
      <c r="DF59" s="1618"/>
      <c r="DG59" s="1618"/>
      <c r="DH59" s="1621"/>
      <c r="DI59" s="1879"/>
      <c r="DJ59" s="1618"/>
      <c r="DK59" s="1618"/>
      <c r="DL59" s="1621"/>
      <c r="DM59" s="387"/>
      <c r="DN59" s="349"/>
      <c r="DO59" s="349"/>
    </row>
    <row r="60" spans="1:119" ht="13.5" customHeight="1" thickBot="1">
      <c r="A60" s="482" t="s">
        <v>575</v>
      </c>
      <c r="B60" s="487"/>
      <c r="C60" s="452"/>
      <c r="D60" s="452"/>
      <c r="E60" s="452"/>
      <c r="F60" s="452"/>
      <c r="G60" s="452"/>
      <c r="H60" s="452"/>
      <c r="I60" s="452"/>
      <c r="J60" s="452"/>
      <c r="K60" s="488"/>
      <c r="L60" s="452"/>
      <c r="M60" s="452"/>
      <c r="N60" s="452"/>
      <c r="O60" s="452"/>
      <c r="P60" s="452"/>
      <c r="Q60" s="452"/>
      <c r="R60" s="452"/>
      <c r="S60" s="452"/>
      <c r="T60" s="452"/>
      <c r="U60" s="488"/>
      <c r="V60" s="452"/>
      <c r="W60" s="452"/>
      <c r="X60" s="452"/>
      <c r="Y60" s="452"/>
      <c r="Z60" s="452"/>
      <c r="AA60" s="452"/>
      <c r="AB60" s="452"/>
      <c r="AC60" s="452"/>
      <c r="AD60" s="452"/>
      <c r="AE60" s="488"/>
      <c r="AF60" s="452"/>
      <c r="AG60" s="452"/>
      <c r="AH60" s="452"/>
      <c r="AI60" s="452"/>
      <c r="AJ60" s="452"/>
      <c r="AK60" s="452"/>
      <c r="AL60" s="452"/>
      <c r="AM60" s="452"/>
      <c r="AN60" s="452"/>
      <c r="AO60" s="488"/>
      <c r="AP60" s="452"/>
      <c r="AQ60" s="452"/>
      <c r="AR60" s="452"/>
      <c r="AS60" s="452"/>
      <c r="AT60" s="452"/>
      <c r="AU60" s="452"/>
      <c r="AV60" s="452"/>
      <c r="AW60" s="452"/>
      <c r="AX60" s="452"/>
      <c r="AY60" s="488"/>
      <c r="AZ60" s="452"/>
      <c r="BA60" s="452"/>
      <c r="BB60" s="452"/>
      <c r="BC60" s="452"/>
      <c r="BD60" s="452"/>
      <c r="BE60" s="452"/>
      <c r="BF60" s="452"/>
      <c r="BG60" s="452"/>
      <c r="BH60" s="452"/>
      <c r="BI60" s="488"/>
      <c r="BJ60" s="452"/>
      <c r="BK60" s="452"/>
      <c r="BL60" s="452"/>
      <c r="BM60" s="452"/>
      <c r="BN60" s="452"/>
      <c r="BO60" s="452"/>
      <c r="BP60" s="452"/>
      <c r="BQ60" s="452"/>
      <c r="BR60" s="452"/>
      <c r="BS60" s="488"/>
      <c r="BT60" s="452"/>
      <c r="BU60" s="452"/>
      <c r="BV60" s="452"/>
      <c r="BW60" s="452"/>
      <c r="BX60" s="452"/>
      <c r="BY60" s="452"/>
      <c r="BZ60" s="452"/>
      <c r="CA60" s="452"/>
      <c r="CB60" s="452"/>
      <c r="CC60" s="488"/>
      <c r="CD60" s="452"/>
      <c r="CE60" s="452"/>
      <c r="CF60" s="452"/>
      <c r="CG60" s="452"/>
      <c r="CH60" s="452"/>
      <c r="CI60" s="452"/>
      <c r="CJ60" s="452"/>
      <c r="CK60" s="452"/>
      <c r="CL60" s="452"/>
      <c r="CM60" s="488"/>
      <c r="CN60" s="452"/>
      <c r="CO60" s="452"/>
      <c r="CP60" s="452"/>
      <c r="CQ60" s="452"/>
      <c r="CR60" s="453"/>
      <c r="CS60" s="1895">
        <v>0</v>
      </c>
      <c r="CT60" s="1896"/>
      <c r="CU60" s="1897">
        <v>0</v>
      </c>
      <c r="CV60" s="1898"/>
      <c r="CW60" s="1899">
        <v>0</v>
      </c>
      <c r="CX60" s="1900"/>
      <c r="CY60" s="1700">
        <f>+CW60/$DO$37</f>
        <v>0</v>
      </c>
      <c r="CZ60" s="1901"/>
      <c r="DA60" s="1875">
        <f>+DO37</f>
        <v>44.77</v>
      </c>
      <c r="DB60" s="1639"/>
      <c r="DC60" s="1876">
        <f>+DA60/$DO$37</f>
        <v>1</v>
      </c>
      <c r="DD60" s="1877"/>
      <c r="DE60" s="1882">
        <v>0</v>
      </c>
      <c r="DF60" s="1883"/>
      <c r="DG60" s="1884">
        <f>+DE60/$DO$37</f>
        <v>0</v>
      </c>
      <c r="DH60" s="1885"/>
      <c r="DI60" s="1886">
        <v>0</v>
      </c>
      <c r="DJ60" s="1707"/>
      <c r="DK60" s="1887">
        <v>0</v>
      </c>
      <c r="DL60" s="1888"/>
      <c r="DM60" s="612">
        <f>CS60+DE60+DI60+CW60+DA60</f>
        <v>44.77</v>
      </c>
      <c r="DN60" s="616">
        <f>+CU60+CY60+DC60+DG60+DK60</f>
        <v>1</v>
      </c>
      <c r="DO60" s="349"/>
    </row>
    <row r="61" spans="1:119" s="349" customFormat="1">
      <c r="A61" s="350"/>
    </row>
    <row r="62" spans="1:119" s="546" customFormat="1" ht="12.75">
      <c r="A62" s="618" t="s">
        <v>315</v>
      </c>
    </row>
    <row r="63" spans="1:119" s="546" customFormat="1">
      <c r="N63" s="349"/>
      <c r="O63" s="349"/>
      <c r="P63" s="349"/>
      <c r="Q63" s="349"/>
      <c r="R63" s="349"/>
      <c r="S63" s="349"/>
      <c r="T63" s="349"/>
      <c r="U63" s="349"/>
      <c r="CD63" s="619" t="s">
        <v>440</v>
      </c>
      <c r="CE63" s="619"/>
      <c r="CF63" s="619"/>
      <c r="CG63" s="619"/>
      <c r="CH63" s="619"/>
      <c r="CI63" s="619"/>
      <c r="CJ63" s="619"/>
      <c r="CK63" s="619"/>
      <c r="CL63" s="553"/>
      <c r="CM63" s="553"/>
      <c r="CN63" s="553"/>
      <c r="CO63" s="553"/>
      <c r="CP63" s="553"/>
      <c r="CQ63" s="553"/>
      <c r="CR63" s="553"/>
      <c r="CS63" s="553"/>
      <c r="CT63" s="553"/>
      <c r="CU63" s="553"/>
      <c r="CV63" s="553"/>
      <c r="CW63" s="553"/>
    </row>
    <row r="64" spans="1:119" s="546" customFormat="1" ht="12.75"/>
    <row r="65" spans="97:116">
      <c r="CS65" s="489"/>
      <c r="CT65" s="489"/>
      <c r="CU65" s="489"/>
      <c r="CV65" s="489"/>
      <c r="CW65" s="489"/>
      <c r="CX65" s="489"/>
      <c r="CY65" s="489"/>
      <c r="CZ65" s="489"/>
      <c r="DA65" s="489"/>
      <c r="DB65" s="489"/>
      <c r="DC65" s="489"/>
      <c r="DD65" s="489"/>
      <c r="DE65" s="489"/>
      <c r="DF65" s="489"/>
      <c r="DG65" s="489"/>
      <c r="DH65" s="489" t="s">
        <v>54</v>
      </c>
      <c r="DI65" s="489"/>
      <c r="DJ65" s="489"/>
      <c r="DK65" s="489"/>
      <c r="DL65" s="489"/>
    </row>
    <row r="66" spans="97:116">
      <c r="CS66" s="489"/>
      <c r="CT66" s="489"/>
      <c r="CU66" s="489"/>
      <c r="CV66" s="489"/>
      <c r="CW66" s="489"/>
      <c r="CX66" s="489"/>
      <c r="CY66" s="489"/>
      <c r="CZ66" s="489"/>
      <c r="DA66" s="489"/>
      <c r="DB66" s="489"/>
      <c r="DC66" s="489"/>
      <c r="DD66" s="489"/>
      <c r="DE66" s="489"/>
      <c r="DF66" s="489"/>
      <c r="DG66" s="489"/>
      <c r="DH66" s="489"/>
      <c r="DI66" s="489"/>
      <c r="DJ66" s="489"/>
      <c r="DK66" s="489"/>
      <c r="DL66" s="489"/>
    </row>
    <row r="67" spans="97:116">
      <c r="CS67" s="489"/>
      <c r="CT67" s="489"/>
      <c r="CU67" s="489"/>
      <c r="CV67" s="489"/>
      <c r="CW67" s="489"/>
      <c r="CX67" s="489"/>
      <c r="CY67" s="489"/>
      <c r="CZ67" s="489"/>
      <c r="DA67" s="489"/>
      <c r="DB67" s="489"/>
      <c r="DC67" s="489"/>
      <c r="DD67" s="489"/>
      <c r="DE67" s="489"/>
      <c r="DF67" s="489"/>
      <c r="DG67" s="489"/>
      <c r="DH67" s="489"/>
      <c r="DI67" s="489"/>
      <c r="DJ67" s="489"/>
      <c r="DK67" s="489"/>
      <c r="DL67" s="489"/>
    </row>
  </sheetData>
  <mergeCells count="158">
    <mergeCell ref="A1:DL1"/>
    <mergeCell ref="L35:U35"/>
    <mergeCell ref="V35:AE35"/>
    <mergeCell ref="AF35:AO35"/>
    <mergeCell ref="AP35:AY35"/>
    <mergeCell ref="CW36:CZ36"/>
    <mergeCell ref="DA36:DD36"/>
    <mergeCell ref="DE36:DH36"/>
    <mergeCell ref="DI36:DL36"/>
    <mergeCell ref="CU6:CW6"/>
    <mergeCell ref="C8:G8"/>
    <mergeCell ref="A2:DL2"/>
    <mergeCell ref="AP36:AY36"/>
    <mergeCell ref="AZ36:BI36"/>
    <mergeCell ref="BJ36:BS36"/>
    <mergeCell ref="BT36:CC36"/>
    <mergeCell ref="BT35:CC35"/>
    <mergeCell ref="CD35:CR35"/>
    <mergeCell ref="CD36:CR36"/>
    <mergeCell ref="B34:CR34"/>
    <mergeCell ref="A3:DL3"/>
    <mergeCell ref="A4:DL4"/>
    <mergeCell ref="A5:DL5"/>
    <mergeCell ref="C9:G9"/>
    <mergeCell ref="DC39:DD39"/>
    <mergeCell ref="DE42:DF42"/>
    <mergeCell ref="DG42:DH42"/>
    <mergeCell ref="CS40:CV41"/>
    <mergeCell ref="CW40:CZ41"/>
    <mergeCell ref="DE40:DH41"/>
    <mergeCell ref="DI40:DL41"/>
    <mergeCell ref="CS39:CT39"/>
    <mergeCell ref="CU39:CV39"/>
    <mergeCell ref="CW39:CX39"/>
    <mergeCell ref="CY39:CZ39"/>
    <mergeCell ref="DI39:DJ39"/>
    <mergeCell ref="DK39:DL39"/>
    <mergeCell ref="DE39:DF39"/>
    <mergeCell ref="DG39:DH39"/>
    <mergeCell ref="CS43:CV44"/>
    <mergeCell ref="CW43:CZ44"/>
    <mergeCell ref="DE43:DH44"/>
    <mergeCell ref="DI43:DL44"/>
    <mergeCell ref="CS42:CT42"/>
    <mergeCell ref="CU42:CV42"/>
    <mergeCell ref="CW42:CX42"/>
    <mergeCell ref="CY42:CZ42"/>
    <mergeCell ref="DA42:DB42"/>
    <mergeCell ref="DC42:DD42"/>
    <mergeCell ref="DI42:DJ42"/>
    <mergeCell ref="DK42:DL42"/>
    <mergeCell ref="CS48:CT48"/>
    <mergeCell ref="CU48:CV48"/>
    <mergeCell ref="CW48:CX48"/>
    <mergeCell ref="CY48:CZ48"/>
    <mergeCell ref="DA48:DB48"/>
    <mergeCell ref="DC48:DD48"/>
    <mergeCell ref="DA45:DB45"/>
    <mergeCell ref="DC45:DD45"/>
    <mergeCell ref="DE48:DF48"/>
    <mergeCell ref="CS46:CV47"/>
    <mergeCell ref="CW46:CZ47"/>
    <mergeCell ref="DE46:DH47"/>
    <mergeCell ref="CS45:CT45"/>
    <mergeCell ref="CU45:CV45"/>
    <mergeCell ref="CW45:CX45"/>
    <mergeCell ref="CY45:CZ45"/>
    <mergeCell ref="DE45:DF45"/>
    <mergeCell ref="DG45:DH45"/>
    <mergeCell ref="CS52:CV53"/>
    <mergeCell ref="CW52:CZ53"/>
    <mergeCell ref="DE52:DH53"/>
    <mergeCell ref="DI52:DL53"/>
    <mergeCell ref="CS51:CT51"/>
    <mergeCell ref="CU51:CV51"/>
    <mergeCell ref="CW51:CX51"/>
    <mergeCell ref="CS49:CV50"/>
    <mergeCell ref="CW49:CZ50"/>
    <mergeCell ref="DE49:DH50"/>
    <mergeCell ref="DI49:DL50"/>
    <mergeCell ref="DI60:DJ60"/>
    <mergeCell ref="DK60:DL60"/>
    <mergeCell ref="CS55:CV56"/>
    <mergeCell ref="CW55:CZ56"/>
    <mergeCell ref="DE55:DH56"/>
    <mergeCell ref="DI55:DL56"/>
    <mergeCell ref="CS54:CT54"/>
    <mergeCell ref="CU54:CV54"/>
    <mergeCell ref="CW54:CX54"/>
    <mergeCell ref="CY54:CZ54"/>
    <mergeCell ref="DA54:DB54"/>
    <mergeCell ref="DC54:DD54"/>
    <mergeCell ref="CS60:CT60"/>
    <mergeCell ref="CU60:CV60"/>
    <mergeCell ref="CW60:CX60"/>
    <mergeCell ref="CY60:CZ60"/>
    <mergeCell ref="DA60:DB60"/>
    <mergeCell ref="DC60:DD60"/>
    <mergeCell ref="DK57:DL57"/>
    <mergeCell ref="CS58:CV59"/>
    <mergeCell ref="CW58:CZ59"/>
    <mergeCell ref="DE58:DH59"/>
    <mergeCell ref="DI58:DL59"/>
    <mergeCell ref="CS57:CT57"/>
    <mergeCell ref="CU57:CV57"/>
    <mergeCell ref="CW57:CX57"/>
    <mergeCell ref="CY57:CZ57"/>
    <mergeCell ref="DA57:DB57"/>
    <mergeCell ref="DC57:DD57"/>
    <mergeCell ref="DE60:DF60"/>
    <mergeCell ref="DE57:DF57"/>
    <mergeCell ref="DG57:DH57"/>
    <mergeCell ref="DG60:DH60"/>
    <mergeCell ref="DI57:DJ57"/>
    <mergeCell ref="DE54:DF54"/>
    <mergeCell ref="DG54:DH54"/>
    <mergeCell ref="DI54:DJ54"/>
    <mergeCell ref="DK54:DL54"/>
    <mergeCell ref="DE51:DF51"/>
    <mergeCell ref="DI48:DJ48"/>
    <mergeCell ref="DK48:DL48"/>
    <mergeCell ref="CW37:CX38"/>
    <mergeCell ref="CY37:CZ38"/>
    <mergeCell ref="DA37:DB38"/>
    <mergeCell ref="DC37:DD38"/>
    <mergeCell ref="DE37:DF38"/>
    <mergeCell ref="CY51:CZ51"/>
    <mergeCell ref="DA51:DB51"/>
    <mergeCell ref="DC51:DD51"/>
    <mergeCell ref="DG51:DH51"/>
    <mergeCell ref="DI51:DJ51"/>
    <mergeCell ref="DK51:DL51"/>
    <mergeCell ref="DG48:DH48"/>
    <mergeCell ref="DI45:DJ45"/>
    <mergeCell ref="DK45:DL45"/>
    <mergeCell ref="DI46:DL47"/>
    <mergeCell ref="DA39:DB39"/>
    <mergeCell ref="C10:G10"/>
    <mergeCell ref="CS34:DL35"/>
    <mergeCell ref="B35:K35"/>
    <mergeCell ref="AZ35:BI35"/>
    <mergeCell ref="BJ35:BS35"/>
    <mergeCell ref="C11:G11"/>
    <mergeCell ref="C12:G12"/>
    <mergeCell ref="BT14:CV14"/>
    <mergeCell ref="CS37:CT38"/>
    <mergeCell ref="CU37:CV38"/>
    <mergeCell ref="CS36:CV36"/>
    <mergeCell ref="B36:K36"/>
    <mergeCell ref="L36:U36"/>
    <mergeCell ref="V36:AE36"/>
    <mergeCell ref="AF36:AO36"/>
    <mergeCell ref="DG37:DH38"/>
    <mergeCell ref="DI37:DJ38"/>
    <mergeCell ref="DK37:DL38"/>
    <mergeCell ref="AE38:AF38"/>
    <mergeCell ref="CH38:CI38"/>
    <mergeCell ref="CJ38:CK38"/>
  </mergeCells>
  <hyperlinks>
    <hyperlink ref="CD63" location="'TABLA DE CONTENIDO'!A1" display="VOLVER A TABLA DE CONTENIDO"/>
  </hyperlinks>
  <printOptions horizontalCentered="1" verticalCentered="1"/>
  <pageMargins left="0.59055118110236227" right="0.59055118110236227" top="0.39370078740157483" bottom="0.39370078740157483" header="0.23622047244094491" footer="0"/>
  <pageSetup scale="70" orientation="portrait" copies="2" r:id="rId1"/>
  <headerFooter alignWithMargins="0"/>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L68"/>
  <sheetViews>
    <sheetView showGridLines="0" view="pageBreakPreview" zoomScaleNormal="75" zoomScaleSheetLayoutView="100" workbookViewId="0">
      <selection activeCell="CX28" sqref="CX28"/>
    </sheetView>
  </sheetViews>
  <sheetFormatPr baseColWidth="10" defaultColWidth="12.5703125" defaultRowHeight="15"/>
  <cols>
    <col min="1" max="1" width="23.28515625" style="407" customWidth="1"/>
    <col min="2" max="2" width="0.5703125" style="407" customWidth="1"/>
    <col min="3" max="81" width="0.7109375" style="407" customWidth="1"/>
    <col min="82" max="101" width="2.140625" style="407" customWidth="1"/>
    <col min="102" max="102" width="6.5703125" style="407" customWidth="1"/>
    <col min="103" max="16384" width="12.5703125" style="407"/>
  </cols>
  <sheetData>
    <row r="1" spans="1:116">
      <c r="A1" s="1919"/>
      <c r="B1" s="1919"/>
      <c r="C1" s="1919"/>
      <c r="D1" s="1919"/>
      <c r="E1" s="1919"/>
      <c r="F1" s="1919"/>
      <c r="G1" s="1919"/>
      <c r="H1" s="1919"/>
      <c r="I1" s="1919"/>
      <c r="J1" s="1919"/>
      <c r="K1" s="1919"/>
      <c r="L1" s="1919"/>
      <c r="M1" s="1919"/>
      <c r="N1" s="1919"/>
      <c r="O1" s="1919"/>
      <c r="P1" s="1919"/>
      <c r="Q1" s="1919"/>
      <c r="R1" s="1919"/>
      <c r="S1" s="1919"/>
      <c r="T1" s="1919"/>
      <c r="U1" s="1919"/>
      <c r="V1" s="1919"/>
      <c r="W1" s="1919"/>
      <c r="X1" s="1919"/>
      <c r="Y1" s="1919"/>
      <c r="Z1" s="1919"/>
      <c r="AA1" s="1919"/>
      <c r="AB1" s="1919"/>
      <c r="AC1" s="1919"/>
      <c r="AD1" s="1919"/>
      <c r="AE1" s="1919"/>
      <c r="AF1" s="1919"/>
      <c r="AG1" s="1919"/>
      <c r="AH1" s="1919"/>
      <c r="AI1" s="1919"/>
      <c r="AJ1" s="1919"/>
      <c r="AK1" s="1919"/>
      <c r="AL1" s="1919"/>
      <c r="AM1" s="1919"/>
      <c r="AN1" s="1919"/>
      <c r="AO1" s="1919"/>
      <c r="AP1" s="1919"/>
      <c r="AQ1" s="1919"/>
      <c r="AR1" s="1919"/>
      <c r="AS1" s="1919"/>
      <c r="AT1" s="1919"/>
      <c r="AU1" s="1919"/>
      <c r="AV1" s="1919"/>
      <c r="AW1" s="1919"/>
      <c r="AX1" s="1919"/>
      <c r="AY1" s="1919"/>
      <c r="AZ1" s="1919"/>
      <c r="BA1" s="1919"/>
      <c r="BB1" s="1919"/>
      <c r="BC1" s="1919"/>
      <c r="BD1" s="1919"/>
      <c r="BE1" s="1919"/>
      <c r="BF1" s="1919"/>
      <c r="BG1" s="1919"/>
      <c r="BH1" s="1919"/>
      <c r="BI1" s="1919"/>
      <c r="BJ1" s="1919"/>
      <c r="BK1" s="1919"/>
      <c r="BL1" s="1919"/>
      <c r="BM1" s="1919"/>
      <c r="BN1" s="1919"/>
      <c r="BO1" s="1919"/>
      <c r="BP1" s="1919"/>
      <c r="BQ1" s="1919"/>
      <c r="BR1" s="1919"/>
      <c r="BS1" s="1919"/>
      <c r="BT1" s="1919"/>
      <c r="BU1" s="1919"/>
      <c r="BV1" s="1919"/>
      <c r="BW1" s="1919"/>
      <c r="BX1" s="1919"/>
      <c r="BY1" s="1919"/>
      <c r="BZ1" s="1919"/>
      <c r="CA1" s="1919"/>
      <c r="CB1" s="1919"/>
      <c r="CC1" s="1919"/>
      <c r="CD1" s="1919"/>
      <c r="CE1" s="1919"/>
      <c r="CF1" s="1919"/>
      <c r="CG1" s="1919"/>
      <c r="CH1" s="1919"/>
      <c r="CI1" s="1919"/>
      <c r="CJ1" s="1919"/>
      <c r="CK1" s="1919"/>
      <c r="CL1" s="1919"/>
      <c r="CM1" s="1919"/>
      <c r="CN1" s="1919"/>
      <c r="CO1" s="1919"/>
      <c r="CP1" s="1919"/>
      <c r="CQ1" s="1919"/>
      <c r="CR1" s="1919"/>
      <c r="CS1" s="1919"/>
      <c r="CT1" s="1919"/>
      <c r="CU1" s="1919"/>
      <c r="CV1" s="1919"/>
      <c r="CW1" s="1919"/>
    </row>
    <row r="2" spans="1:116" s="445" customFormat="1">
      <c r="A2" s="1903"/>
      <c r="B2" s="1903"/>
      <c r="C2" s="1903"/>
      <c r="D2" s="1903"/>
      <c r="E2" s="1903"/>
      <c r="F2" s="1903"/>
      <c r="G2" s="1903"/>
      <c r="H2" s="1903"/>
      <c r="I2" s="1903"/>
      <c r="J2" s="1903"/>
      <c r="K2" s="1903"/>
      <c r="L2" s="1903"/>
      <c r="M2" s="1903"/>
      <c r="N2" s="1903"/>
      <c r="O2" s="1903"/>
      <c r="P2" s="1903"/>
      <c r="Q2" s="1903"/>
      <c r="R2" s="1903"/>
      <c r="S2" s="1903"/>
      <c r="T2" s="1903"/>
      <c r="U2" s="1903"/>
      <c r="V2" s="1903"/>
      <c r="W2" s="1903"/>
      <c r="X2" s="1903"/>
      <c r="Y2" s="1903"/>
      <c r="Z2" s="1903"/>
      <c r="AA2" s="1903"/>
      <c r="AB2" s="1903"/>
      <c r="AC2" s="1903"/>
      <c r="AD2" s="1903"/>
      <c r="AE2" s="1903"/>
      <c r="AF2" s="1903"/>
      <c r="AG2" s="1903"/>
      <c r="AH2" s="1903"/>
      <c r="AI2" s="1903"/>
      <c r="AJ2" s="1903"/>
      <c r="AK2" s="1903"/>
      <c r="AL2" s="1903"/>
      <c r="AM2" s="1903"/>
      <c r="AN2" s="1903"/>
      <c r="AO2" s="1903"/>
      <c r="AP2" s="1903"/>
      <c r="AQ2" s="1903"/>
      <c r="AR2" s="1903"/>
      <c r="AS2" s="1903"/>
      <c r="AT2" s="1903"/>
      <c r="AU2" s="1903"/>
      <c r="AV2" s="1903"/>
      <c r="AW2" s="1903"/>
      <c r="AX2" s="1903"/>
      <c r="AY2" s="1903"/>
      <c r="AZ2" s="1903"/>
      <c r="BA2" s="1903"/>
      <c r="BB2" s="1903"/>
      <c r="BC2" s="1903"/>
      <c r="BD2" s="1903"/>
      <c r="BE2" s="1903"/>
      <c r="BF2" s="1903"/>
      <c r="BG2" s="1903"/>
      <c r="BH2" s="1903"/>
      <c r="BI2" s="1903"/>
      <c r="BJ2" s="1903"/>
      <c r="BK2" s="1903"/>
      <c r="BL2" s="1903"/>
      <c r="BM2" s="1903"/>
      <c r="BN2" s="1903"/>
      <c r="BO2" s="1903"/>
      <c r="BP2" s="1903"/>
      <c r="BQ2" s="1903"/>
      <c r="BR2" s="1903"/>
      <c r="BS2" s="1903"/>
      <c r="BT2" s="1903"/>
      <c r="BU2" s="1903"/>
      <c r="BV2" s="1903"/>
      <c r="BW2" s="1903"/>
      <c r="BX2" s="1903"/>
      <c r="BY2" s="1903"/>
      <c r="BZ2" s="1903"/>
      <c r="CA2" s="1903"/>
      <c r="CB2" s="1903"/>
      <c r="CC2" s="1903"/>
      <c r="CD2" s="1903"/>
      <c r="CE2" s="1903"/>
      <c r="CF2" s="1903"/>
      <c r="CG2" s="1903"/>
      <c r="CH2" s="1903"/>
      <c r="CI2" s="1903"/>
      <c r="CJ2" s="1903"/>
      <c r="CK2" s="1903"/>
      <c r="CL2" s="1903"/>
      <c r="CM2" s="1903"/>
      <c r="CN2" s="1903"/>
      <c r="CO2" s="1903"/>
      <c r="CP2" s="1903"/>
      <c r="CQ2" s="1903"/>
      <c r="CR2" s="1903"/>
      <c r="CS2" s="1903"/>
      <c r="CT2" s="1903"/>
      <c r="CU2" s="1903"/>
      <c r="CV2" s="1903"/>
      <c r="CW2" s="1903"/>
      <c r="CX2" s="1903"/>
      <c r="CY2" s="1903"/>
      <c r="CZ2" s="1903"/>
      <c r="DA2" s="1903"/>
      <c r="DB2" s="1903"/>
      <c r="DC2" s="1903"/>
      <c r="DD2" s="1903"/>
      <c r="DE2" s="1903"/>
      <c r="DF2" s="1903"/>
      <c r="DG2" s="1903"/>
      <c r="DH2" s="1903"/>
      <c r="DI2" s="1903"/>
      <c r="DJ2" s="1903"/>
      <c r="DK2" s="1903"/>
      <c r="DL2" s="1903"/>
    </row>
    <row r="3" spans="1:116" ht="23.25">
      <c r="A3" s="1907" t="s">
        <v>0</v>
      </c>
      <c r="B3" s="1907"/>
      <c r="C3" s="1907"/>
      <c r="D3" s="1907"/>
      <c r="E3" s="1907"/>
      <c r="F3" s="1907"/>
      <c r="G3" s="1907"/>
      <c r="H3" s="1907"/>
      <c r="I3" s="1907"/>
      <c r="J3" s="1907"/>
      <c r="K3" s="1907"/>
      <c r="L3" s="1907"/>
      <c r="M3" s="1907"/>
      <c r="N3" s="1907"/>
      <c r="O3" s="1907"/>
      <c r="P3" s="1907"/>
      <c r="Q3" s="1907"/>
      <c r="R3" s="1907"/>
      <c r="S3" s="1907"/>
      <c r="T3" s="1907"/>
      <c r="U3" s="1907"/>
      <c r="V3" s="1907"/>
      <c r="W3" s="1907"/>
      <c r="X3" s="1907"/>
      <c r="Y3" s="1907"/>
      <c r="Z3" s="1907"/>
      <c r="AA3" s="1907"/>
      <c r="AB3" s="1907"/>
      <c r="AC3" s="1907"/>
      <c r="AD3" s="1907"/>
      <c r="AE3" s="1907"/>
      <c r="AF3" s="1907"/>
      <c r="AG3" s="1907"/>
      <c r="AH3" s="1907"/>
      <c r="AI3" s="1907"/>
      <c r="AJ3" s="1907"/>
      <c r="AK3" s="1907"/>
      <c r="AL3" s="1907"/>
      <c r="AM3" s="1907"/>
      <c r="AN3" s="1907"/>
      <c r="AO3" s="1907"/>
      <c r="AP3" s="1907"/>
      <c r="AQ3" s="1907"/>
      <c r="AR3" s="1907"/>
      <c r="AS3" s="1907"/>
      <c r="AT3" s="1907"/>
      <c r="AU3" s="1907"/>
      <c r="AV3" s="1907"/>
      <c r="AW3" s="1907"/>
      <c r="AX3" s="1907"/>
      <c r="AY3" s="1907"/>
      <c r="AZ3" s="1907"/>
      <c r="BA3" s="1907"/>
      <c r="BB3" s="1907"/>
      <c r="BC3" s="1907"/>
      <c r="BD3" s="1907"/>
      <c r="BE3" s="1907"/>
      <c r="BF3" s="1907"/>
      <c r="BG3" s="1907"/>
      <c r="BH3" s="1907"/>
      <c r="BI3" s="1907"/>
      <c r="BJ3" s="1907"/>
      <c r="BK3" s="1907"/>
      <c r="BL3" s="1907"/>
      <c r="BM3" s="1907"/>
      <c r="BN3" s="1907"/>
      <c r="BO3" s="1907"/>
      <c r="BP3" s="1907"/>
      <c r="BQ3" s="1907"/>
      <c r="BR3" s="1907"/>
      <c r="BS3" s="1907"/>
      <c r="BT3" s="1907"/>
      <c r="BU3" s="1907"/>
      <c r="BV3" s="1907"/>
      <c r="BW3" s="1907"/>
      <c r="BX3" s="1907"/>
      <c r="BY3" s="1907"/>
      <c r="BZ3" s="1907"/>
      <c r="CA3" s="1907"/>
      <c r="CB3" s="1907"/>
      <c r="CC3" s="1907"/>
      <c r="CD3" s="1907"/>
      <c r="CE3" s="1907"/>
      <c r="CF3" s="1907"/>
      <c r="CG3" s="1907"/>
      <c r="CH3" s="1907"/>
      <c r="CI3" s="1907"/>
      <c r="CJ3" s="1907"/>
      <c r="CK3" s="1907"/>
      <c r="CL3" s="1907"/>
      <c r="CM3" s="1907"/>
      <c r="CN3" s="1907"/>
      <c r="CO3" s="1907"/>
      <c r="CP3" s="1907"/>
      <c r="CQ3" s="1907"/>
      <c r="CR3" s="1907"/>
      <c r="CS3" s="1907"/>
      <c r="CT3" s="1907"/>
      <c r="CU3" s="1907"/>
      <c r="CV3" s="1907"/>
      <c r="CW3" s="1907"/>
      <c r="CX3" s="692"/>
      <c r="CY3" s="692"/>
      <c r="CZ3" s="692"/>
      <c r="DA3" s="692"/>
      <c r="DB3" s="692"/>
      <c r="DC3" s="692"/>
      <c r="DD3" s="692"/>
      <c r="DE3" s="692"/>
      <c r="DF3" s="692"/>
      <c r="DG3" s="692"/>
      <c r="DH3" s="692"/>
      <c r="DI3" s="692"/>
      <c r="DJ3" s="692"/>
      <c r="DK3" s="692"/>
      <c r="DL3" s="692"/>
    </row>
    <row r="4" spans="1:116" ht="22.5" customHeight="1">
      <c r="A4" s="1912" t="s">
        <v>531</v>
      </c>
      <c r="B4" s="1912"/>
      <c r="C4" s="1912"/>
      <c r="D4" s="1912"/>
      <c r="E4" s="1912"/>
      <c r="F4" s="1912"/>
      <c r="G4" s="1912"/>
      <c r="H4" s="1912"/>
      <c r="I4" s="1912"/>
      <c r="J4" s="1912"/>
      <c r="K4" s="1912"/>
      <c r="L4" s="1912"/>
      <c r="M4" s="1912"/>
      <c r="N4" s="1912"/>
      <c r="O4" s="1912"/>
      <c r="P4" s="1912"/>
      <c r="Q4" s="1912"/>
      <c r="R4" s="1912"/>
      <c r="S4" s="1912"/>
      <c r="T4" s="1912"/>
      <c r="U4" s="1912"/>
      <c r="V4" s="1912"/>
      <c r="W4" s="1912"/>
      <c r="X4" s="1912"/>
      <c r="Y4" s="1912"/>
      <c r="Z4" s="1912"/>
      <c r="AA4" s="1912"/>
      <c r="AB4" s="1912"/>
      <c r="AC4" s="1912"/>
      <c r="AD4" s="1912"/>
      <c r="AE4" s="1912"/>
      <c r="AF4" s="1912"/>
      <c r="AG4" s="1912"/>
      <c r="AH4" s="1912"/>
      <c r="AI4" s="1912"/>
      <c r="AJ4" s="1912"/>
      <c r="AK4" s="1912"/>
      <c r="AL4" s="1912"/>
      <c r="AM4" s="1912"/>
      <c r="AN4" s="1912"/>
      <c r="AO4" s="1912"/>
      <c r="AP4" s="1912"/>
      <c r="AQ4" s="1912"/>
      <c r="AR4" s="1912"/>
      <c r="AS4" s="1912"/>
      <c r="AT4" s="1912"/>
      <c r="AU4" s="1912"/>
      <c r="AV4" s="1912"/>
      <c r="AW4" s="1912"/>
      <c r="AX4" s="1912"/>
      <c r="AY4" s="1912"/>
      <c r="AZ4" s="1912"/>
      <c r="BA4" s="1912"/>
      <c r="BB4" s="1912"/>
      <c r="BC4" s="1912"/>
      <c r="BD4" s="1912"/>
      <c r="BE4" s="1912"/>
      <c r="BF4" s="1912"/>
      <c r="BG4" s="1912"/>
      <c r="BH4" s="1912"/>
      <c r="BI4" s="1912"/>
      <c r="BJ4" s="1912"/>
      <c r="BK4" s="1912"/>
      <c r="BL4" s="1912"/>
      <c r="BM4" s="1912"/>
      <c r="BN4" s="1912"/>
      <c r="BO4" s="1912"/>
      <c r="BP4" s="1912"/>
      <c r="BQ4" s="1912"/>
      <c r="BR4" s="1912"/>
      <c r="BS4" s="1912"/>
      <c r="BT4" s="1912"/>
      <c r="BU4" s="1912"/>
      <c r="BV4" s="1912"/>
      <c r="BW4" s="1912"/>
      <c r="BX4" s="1912"/>
      <c r="BY4" s="1912"/>
      <c r="BZ4" s="1912"/>
      <c r="CA4" s="1912"/>
      <c r="CB4" s="1912"/>
      <c r="CC4" s="1912"/>
      <c r="CD4" s="1912"/>
      <c r="CE4" s="1912"/>
      <c r="CF4" s="1912"/>
      <c r="CG4" s="1912"/>
      <c r="CH4" s="1912"/>
      <c r="CI4" s="1912"/>
      <c r="CJ4" s="1912"/>
      <c r="CK4" s="1912"/>
      <c r="CL4" s="1912"/>
      <c r="CM4" s="1912"/>
      <c r="CN4" s="1912"/>
      <c r="CO4" s="1912"/>
      <c r="CP4" s="1912"/>
      <c r="CQ4" s="1912"/>
      <c r="CR4" s="1912"/>
      <c r="CS4" s="1912"/>
      <c r="CT4" s="1912"/>
      <c r="CU4" s="1912"/>
      <c r="CV4" s="1912"/>
      <c r="CW4" s="1912"/>
      <c r="CX4" s="690"/>
      <c r="CY4" s="690"/>
      <c r="CZ4" s="690"/>
      <c r="DA4" s="690"/>
      <c r="DB4" s="690"/>
      <c r="DC4" s="690"/>
      <c r="DD4" s="690"/>
      <c r="DE4" s="690"/>
      <c r="DF4" s="690"/>
      <c r="DG4" s="690"/>
      <c r="DH4" s="690"/>
      <c r="DI4" s="690"/>
      <c r="DJ4" s="690"/>
      <c r="DK4" s="690"/>
      <c r="DL4" s="690"/>
    </row>
    <row r="5" spans="1:116" ht="31.5" customHeight="1">
      <c r="A5" s="1913" t="s">
        <v>372</v>
      </c>
      <c r="B5" s="1913"/>
      <c r="C5" s="1913"/>
      <c r="D5" s="1913"/>
      <c r="E5" s="1913"/>
      <c r="F5" s="1913"/>
      <c r="G5" s="1913"/>
      <c r="H5" s="1913"/>
      <c r="I5" s="1913"/>
      <c r="J5" s="1913"/>
      <c r="K5" s="1913"/>
      <c r="L5" s="1913"/>
      <c r="M5" s="1913"/>
      <c r="N5" s="1913"/>
      <c r="O5" s="1913"/>
      <c r="P5" s="1913"/>
      <c r="Q5" s="1913"/>
      <c r="R5" s="1913"/>
      <c r="S5" s="1913"/>
      <c r="T5" s="1913"/>
      <c r="U5" s="1913"/>
      <c r="V5" s="1913"/>
      <c r="W5" s="1913"/>
      <c r="X5" s="1913"/>
      <c r="Y5" s="1913"/>
      <c r="Z5" s="1913"/>
      <c r="AA5" s="1913"/>
      <c r="AB5" s="1913"/>
      <c r="AC5" s="1913"/>
      <c r="AD5" s="1913"/>
      <c r="AE5" s="1913"/>
      <c r="AF5" s="1913"/>
      <c r="AG5" s="1913"/>
      <c r="AH5" s="1913"/>
      <c r="AI5" s="1913"/>
      <c r="AJ5" s="1913"/>
      <c r="AK5" s="1913"/>
      <c r="AL5" s="1913"/>
      <c r="AM5" s="1913"/>
      <c r="AN5" s="1913"/>
      <c r="AO5" s="1913"/>
      <c r="AP5" s="1913"/>
      <c r="AQ5" s="1913"/>
      <c r="AR5" s="1913"/>
      <c r="AS5" s="1913"/>
      <c r="AT5" s="1913"/>
      <c r="AU5" s="1913"/>
      <c r="AV5" s="1913"/>
      <c r="AW5" s="1913"/>
      <c r="AX5" s="1913"/>
      <c r="AY5" s="1913"/>
      <c r="AZ5" s="1913"/>
      <c r="BA5" s="1913"/>
      <c r="BB5" s="1913"/>
      <c r="BC5" s="1913"/>
      <c r="BD5" s="1913"/>
      <c r="BE5" s="1913"/>
      <c r="BF5" s="1913"/>
      <c r="BG5" s="1913"/>
      <c r="BH5" s="1913"/>
      <c r="BI5" s="1913"/>
      <c r="BJ5" s="1913"/>
      <c r="BK5" s="1913"/>
      <c r="BL5" s="1913"/>
      <c r="BM5" s="1913"/>
      <c r="BN5" s="1913"/>
      <c r="BO5" s="1913"/>
      <c r="BP5" s="1913"/>
      <c r="BQ5" s="1913"/>
      <c r="BR5" s="1913"/>
      <c r="BS5" s="1913"/>
      <c r="BT5" s="1913"/>
      <c r="BU5" s="1913"/>
      <c r="BV5" s="1913"/>
      <c r="BW5" s="1913"/>
      <c r="BX5" s="1913"/>
      <c r="BY5" s="1913"/>
      <c r="BZ5" s="1913"/>
      <c r="CA5" s="1913"/>
      <c r="CB5" s="1913"/>
      <c r="CC5" s="1913"/>
      <c r="CD5" s="1913"/>
      <c r="CE5" s="1913"/>
      <c r="CF5" s="1913"/>
      <c r="CG5" s="1913"/>
      <c r="CH5" s="1913"/>
      <c r="CI5" s="1913"/>
      <c r="CJ5" s="1913"/>
      <c r="CK5" s="1913"/>
      <c r="CL5" s="1913"/>
      <c r="CM5" s="1913"/>
      <c r="CN5" s="1913"/>
      <c r="CO5" s="1913"/>
      <c r="CP5" s="1913"/>
      <c r="CQ5" s="1913"/>
      <c r="CR5" s="1913"/>
      <c r="CS5" s="1913"/>
      <c r="CT5" s="1913"/>
      <c r="CU5" s="1913"/>
      <c r="CV5" s="1913"/>
      <c r="CW5" s="1913"/>
      <c r="CX5" s="693"/>
      <c r="CY5" s="693"/>
      <c r="CZ5" s="693"/>
      <c r="DA5" s="693"/>
      <c r="DB5" s="693"/>
      <c r="DC5" s="693"/>
      <c r="DD5" s="693"/>
      <c r="DE5" s="693"/>
      <c r="DF5" s="693"/>
      <c r="DG5" s="693"/>
      <c r="DH5" s="693"/>
      <c r="DI5" s="693"/>
      <c r="DJ5" s="693"/>
      <c r="DK5" s="693"/>
      <c r="DL5" s="693"/>
    </row>
    <row r="6" spans="1:116" ht="27" customHeight="1">
      <c r="A6" s="1913" t="s">
        <v>374</v>
      </c>
      <c r="B6" s="1913"/>
      <c r="C6" s="1913"/>
      <c r="D6" s="1913"/>
      <c r="E6" s="1913"/>
      <c r="F6" s="1913"/>
      <c r="G6" s="1913"/>
      <c r="H6" s="1913"/>
      <c r="I6" s="1913"/>
      <c r="J6" s="1913"/>
      <c r="K6" s="1913"/>
      <c r="L6" s="1913"/>
      <c r="M6" s="1913"/>
      <c r="N6" s="1913"/>
      <c r="O6" s="1913"/>
      <c r="P6" s="1913"/>
      <c r="Q6" s="1913"/>
      <c r="R6" s="1913"/>
      <c r="S6" s="1913"/>
      <c r="T6" s="1913"/>
      <c r="U6" s="1913"/>
      <c r="V6" s="1913"/>
      <c r="W6" s="1913"/>
      <c r="X6" s="1913"/>
      <c r="Y6" s="1913"/>
      <c r="Z6" s="1913"/>
      <c r="AA6" s="1913"/>
      <c r="AB6" s="1913"/>
      <c r="AC6" s="1913"/>
      <c r="AD6" s="1913"/>
      <c r="AE6" s="1913"/>
      <c r="AF6" s="1913"/>
      <c r="AG6" s="1913"/>
      <c r="AH6" s="1913"/>
      <c r="AI6" s="1913"/>
      <c r="AJ6" s="1913"/>
      <c r="AK6" s="1913"/>
      <c r="AL6" s="1913"/>
      <c r="AM6" s="1913"/>
      <c r="AN6" s="1913"/>
      <c r="AO6" s="1913"/>
      <c r="AP6" s="1913"/>
      <c r="AQ6" s="1913"/>
      <c r="AR6" s="1913"/>
      <c r="AS6" s="1913"/>
      <c r="AT6" s="1913"/>
      <c r="AU6" s="1913"/>
      <c r="AV6" s="1913"/>
      <c r="AW6" s="1913"/>
      <c r="AX6" s="1913"/>
      <c r="AY6" s="1913"/>
      <c r="AZ6" s="1913"/>
      <c r="BA6" s="1913"/>
      <c r="BB6" s="1913"/>
      <c r="BC6" s="1913"/>
      <c r="BD6" s="1913"/>
      <c r="BE6" s="1913"/>
      <c r="BF6" s="1913"/>
      <c r="BG6" s="1913"/>
      <c r="BH6" s="1913"/>
      <c r="BI6" s="1913"/>
      <c r="BJ6" s="1913"/>
      <c r="BK6" s="1913"/>
      <c r="BL6" s="1913"/>
      <c r="BM6" s="1913"/>
      <c r="BN6" s="1913"/>
      <c r="BO6" s="1913"/>
      <c r="BP6" s="1913"/>
      <c r="BQ6" s="1913"/>
      <c r="BR6" s="1913"/>
      <c r="BS6" s="1913"/>
      <c r="BT6" s="1913"/>
      <c r="BU6" s="1913"/>
      <c r="BV6" s="1913"/>
      <c r="BW6" s="1913"/>
      <c r="BX6" s="1913"/>
      <c r="BY6" s="1913"/>
      <c r="BZ6" s="1913"/>
      <c r="CA6" s="1913"/>
      <c r="CB6" s="1913"/>
      <c r="CC6" s="1913"/>
      <c r="CD6" s="1913"/>
      <c r="CE6" s="1913"/>
      <c r="CF6" s="1913"/>
      <c r="CG6" s="1913"/>
      <c r="CH6" s="1913"/>
      <c r="CI6" s="1913"/>
      <c r="CJ6" s="1913"/>
      <c r="CK6" s="1913"/>
      <c r="CL6" s="1913"/>
      <c r="CM6" s="1913"/>
      <c r="CN6" s="1913"/>
      <c r="CO6" s="1913"/>
      <c r="CP6" s="1913"/>
      <c r="CQ6" s="1913"/>
      <c r="CR6" s="1913"/>
      <c r="CS6" s="1913"/>
      <c r="CT6" s="1913"/>
      <c r="CU6" s="1913"/>
      <c r="CV6" s="1913"/>
      <c r="CW6" s="1913"/>
      <c r="CX6" s="693"/>
      <c r="CY6" s="693"/>
      <c r="CZ6" s="693"/>
      <c r="DA6" s="693"/>
      <c r="DB6" s="693"/>
      <c r="DC6" s="693"/>
      <c r="DD6" s="693"/>
      <c r="DE6" s="693"/>
      <c r="DF6" s="693"/>
      <c r="DG6" s="693"/>
      <c r="DH6" s="693"/>
      <c r="DI6" s="693"/>
      <c r="DJ6" s="693"/>
      <c r="DK6" s="693"/>
      <c r="DL6" s="693"/>
    </row>
    <row r="7" spans="1:116" s="403" customFormat="1" ht="30.75" customHeight="1">
      <c r="A7" s="620" t="s">
        <v>90</v>
      </c>
      <c r="B7" s="626" t="s">
        <v>557</v>
      </c>
      <c r="C7" s="620"/>
      <c r="D7" s="620"/>
      <c r="E7" s="620"/>
      <c r="F7" s="620"/>
      <c r="G7" s="620"/>
      <c r="H7" s="620"/>
      <c r="I7" s="620"/>
      <c r="J7" s="620"/>
      <c r="K7" s="620"/>
      <c r="L7" s="620"/>
      <c r="M7" s="620"/>
      <c r="N7" s="620"/>
      <c r="O7" s="620"/>
      <c r="P7" s="620"/>
      <c r="Q7" s="620"/>
      <c r="R7" s="620"/>
      <c r="S7" s="620"/>
      <c r="T7" s="620"/>
      <c r="U7" s="620"/>
      <c r="V7" s="620"/>
      <c r="W7" s="620"/>
      <c r="X7" s="620"/>
      <c r="Y7" s="620"/>
      <c r="Z7" s="620"/>
      <c r="AA7" s="620"/>
      <c r="AB7" s="620"/>
      <c r="AC7" s="620"/>
      <c r="AD7" s="620"/>
      <c r="AE7" s="620"/>
      <c r="AF7" s="620"/>
      <c r="AG7" s="620"/>
      <c r="AH7" s="620"/>
      <c r="AI7" s="620"/>
      <c r="AJ7" s="620"/>
      <c r="AK7" s="620"/>
      <c r="AL7" s="620"/>
      <c r="AM7" s="620"/>
      <c r="AN7" s="620"/>
      <c r="AO7" s="620"/>
      <c r="AP7" s="620"/>
      <c r="AQ7" s="620"/>
      <c r="AR7" s="620"/>
      <c r="AS7" s="620"/>
      <c r="AT7" s="620"/>
      <c r="BO7" s="620"/>
      <c r="BT7" s="620" t="s">
        <v>664</v>
      </c>
      <c r="BU7" s="620"/>
      <c r="BV7" s="620"/>
      <c r="BW7" s="620"/>
      <c r="BX7" s="620"/>
      <c r="BY7" s="620"/>
      <c r="BZ7" s="620"/>
      <c r="CA7" s="620"/>
      <c r="CB7" s="620"/>
      <c r="CC7" s="620"/>
      <c r="CD7" s="620"/>
      <c r="CE7" s="620"/>
      <c r="CF7" s="620"/>
      <c r="CG7" s="620"/>
      <c r="CH7" s="620"/>
      <c r="CI7" s="1906">
        <v>3603</v>
      </c>
      <c r="CJ7" s="1906"/>
      <c r="CK7" s="1906"/>
      <c r="CL7" s="1906"/>
      <c r="CM7" s="620"/>
      <c r="CN7" s="620"/>
      <c r="CO7" s="620"/>
      <c r="CP7" s="620"/>
      <c r="CQ7" s="620"/>
      <c r="CR7" s="620"/>
      <c r="CS7" s="620"/>
      <c r="CT7" s="620"/>
      <c r="CU7" s="1906"/>
      <c r="CV7" s="1906"/>
      <c r="CW7" s="1906"/>
    </row>
    <row r="8" spans="1:116" s="403" customFormat="1" ht="9" customHeight="1">
      <c r="A8" s="620"/>
      <c r="B8" s="620"/>
      <c r="CD8" s="620"/>
      <c r="CR8" s="621"/>
      <c r="CS8" s="621"/>
      <c r="CT8" s="621"/>
      <c r="CU8" s="621"/>
      <c r="CV8" s="621"/>
    </row>
    <row r="9" spans="1:116" s="403" customFormat="1" ht="15" customHeight="1">
      <c r="A9" s="622" t="s">
        <v>661</v>
      </c>
      <c r="C9" s="1852">
        <v>1</v>
      </c>
      <c r="D9" s="1853"/>
      <c r="E9" s="1853"/>
      <c r="F9" s="1853"/>
      <c r="G9" s="1853"/>
      <c r="H9" s="604"/>
      <c r="I9" s="538" t="s">
        <v>586</v>
      </c>
      <c r="J9" s="604"/>
      <c r="K9" s="604"/>
      <c r="L9" s="604"/>
      <c r="M9" s="604"/>
      <c r="N9" s="604"/>
      <c r="O9" s="604"/>
      <c r="P9" s="604"/>
      <c r="Q9" s="604"/>
      <c r="R9" s="604"/>
      <c r="S9" s="604"/>
      <c r="T9" s="604"/>
      <c r="U9" s="604"/>
      <c r="V9" s="604"/>
      <c r="W9" s="604"/>
      <c r="X9" s="604"/>
      <c r="Y9" s="604"/>
      <c r="Z9" s="604"/>
      <c r="AA9" s="604"/>
      <c r="AB9" s="604"/>
      <c r="AC9" s="604"/>
      <c r="AD9" s="604"/>
      <c r="AE9" s="604"/>
      <c r="AF9" s="604"/>
      <c r="AG9" s="604"/>
      <c r="AH9" s="604"/>
      <c r="AI9" s="604"/>
      <c r="AJ9" s="604"/>
      <c r="AK9" s="604"/>
      <c r="AL9" s="604"/>
      <c r="AM9" s="604"/>
      <c r="AN9" s="604"/>
      <c r="AO9" s="538"/>
      <c r="AP9" s="538"/>
      <c r="AQ9" s="538"/>
      <c r="AR9" s="538"/>
      <c r="AS9" s="538"/>
      <c r="AT9" s="538"/>
      <c r="AU9" s="538"/>
      <c r="AV9" s="538"/>
      <c r="AW9" s="538"/>
      <c r="AX9" s="538"/>
      <c r="AY9" s="538"/>
      <c r="AZ9" s="538"/>
      <c r="BA9" s="538"/>
      <c r="BB9" s="538"/>
      <c r="BC9" s="538"/>
      <c r="BD9" s="691"/>
      <c r="BT9" s="403" t="s">
        <v>585</v>
      </c>
      <c r="CR9" s="623"/>
      <c r="CS9" s="621"/>
      <c r="CT9" s="621"/>
      <c r="CU9" s="621"/>
      <c r="CV9" s="621"/>
    </row>
    <row r="10" spans="1:116" s="403" customFormat="1" ht="15" customHeight="1">
      <c r="A10" s="622"/>
      <c r="C10" s="1852">
        <v>2</v>
      </c>
      <c r="D10" s="1853"/>
      <c r="E10" s="1853"/>
      <c r="F10" s="1853"/>
      <c r="G10" s="1853"/>
      <c r="H10" s="538"/>
      <c r="I10" s="538" t="s">
        <v>588</v>
      </c>
      <c r="J10" s="538"/>
      <c r="K10" s="538"/>
      <c r="L10" s="538"/>
      <c r="M10" s="538"/>
      <c r="N10" s="538"/>
      <c r="O10" s="538"/>
      <c r="P10" s="538"/>
      <c r="Q10" s="538"/>
      <c r="R10" s="538"/>
      <c r="S10" s="538"/>
      <c r="T10" s="538"/>
      <c r="U10" s="538"/>
      <c r="V10" s="538"/>
      <c r="W10" s="538"/>
      <c r="X10" s="538"/>
      <c r="Y10" s="538"/>
      <c r="Z10" s="538"/>
      <c r="AA10" s="538"/>
      <c r="AB10" s="538"/>
      <c r="AC10" s="538"/>
      <c r="AD10" s="538"/>
      <c r="AE10" s="538"/>
      <c r="AF10" s="538"/>
      <c r="AG10" s="538"/>
      <c r="AH10" s="538"/>
      <c r="AI10" s="538"/>
      <c r="AJ10" s="538"/>
      <c r="AK10" s="538"/>
      <c r="AL10" s="538"/>
      <c r="AM10" s="538"/>
      <c r="AN10" s="538"/>
      <c r="AO10" s="538"/>
      <c r="AP10" s="538"/>
      <c r="AQ10" s="538"/>
      <c r="AR10" s="538"/>
      <c r="AS10" s="538"/>
      <c r="AT10" s="538"/>
      <c r="AU10" s="538"/>
      <c r="AV10" s="538"/>
      <c r="AW10" s="538"/>
      <c r="AX10" s="538"/>
      <c r="AY10" s="538"/>
      <c r="AZ10" s="538"/>
      <c r="BA10" s="538"/>
      <c r="BB10" s="538"/>
      <c r="BC10" s="538"/>
      <c r="BD10" s="691"/>
      <c r="BT10" s="403" t="s">
        <v>587</v>
      </c>
      <c r="CR10" s="623"/>
      <c r="CS10" s="621"/>
      <c r="CT10" s="621"/>
      <c r="CU10" s="621"/>
      <c r="CV10" s="621"/>
    </row>
    <row r="11" spans="1:116" s="403" customFormat="1" ht="15" customHeight="1">
      <c r="A11" s="622"/>
      <c r="C11" s="1852">
        <v>3</v>
      </c>
      <c r="D11" s="1853"/>
      <c r="E11" s="1853"/>
      <c r="F11" s="1853"/>
      <c r="G11" s="1853"/>
      <c r="H11" s="538"/>
      <c r="I11" s="538" t="s">
        <v>590</v>
      </c>
      <c r="J11" s="538"/>
      <c r="K11" s="538"/>
      <c r="L11" s="538"/>
      <c r="M11" s="538"/>
      <c r="N11" s="538"/>
      <c r="O11" s="538"/>
      <c r="P11" s="538"/>
      <c r="Q11" s="538"/>
      <c r="R11" s="538"/>
      <c r="S11" s="538"/>
      <c r="T11" s="538"/>
      <c r="U11" s="538"/>
      <c r="V11" s="538"/>
      <c r="W11" s="538"/>
      <c r="X11" s="538"/>
      <c r="Y11" s="538"/>
      <c r="Z11" s="538"/>
      <c r="AA11" s="538"/>
      <c r="AB11" s="538"/>
      <c r="AC11" s="538"/>
      <c r="AD11" s="538"/>
      <c r="AE11" s="538"/>
      <c r="AF11" s="538"/>
      <c r="AG11" s="538"/>
      <c r="AH11" s="538"/>
      <c r="AI11" s="538"/>
      <c r="AJ11" s="538"/>
      <c r="AK11" s="538"/>
      <c r="AL11" s="538"/>
      <c r="AM11" s="538"/>
      <c r="AN11" s="538"/>
      <c r="AO11" s="538"/>
      <c r="AP11" s="538"/>
      <c r="AQ11" s="538"/>
      <c r="AR11" s="538"/>
      <c r="AS11" s="538"/>
      <c r="AT11" s="538"/>
      <c r="AU11" s="538"/>
      <c r="AV11" s="538"/>
      <c r="AW11" s="538"/>
      <c r="AX11" s="538"/>
      <c r="AY11" s="538"/>
      <c r="AZ11" s="538"/>
      <c r="BA11" s="538"/>
      <c r="BB11" s="538"/>
      <c r="BC11" s="538"/>
      <c r="BD11" s="691"/>
      <c r="BT11" s="403" t="s">
        <v>589</v>
      </c>
    </row>
    <row r="12" spans="1:116" s="403" customFormat="1" ht="15" customHeight="1">
      <c r="A12" s="622"/>
      <c r="C12" s="1852">
        <v>4</v>
      </c>
      <c r="D12" s="1853"/>
      <c r="E12" s="1853"/>
      <c r="F12" s="1853"/>
      <c r="G12" s="1853"/>
      <c r="H12" s="538"/>
      <c r="I12" s="538" t="s">
        <v>656</v>
      </c>
      <c r="J12" s="695"/>
      <c r="K12" s="538"/>
      <c r="L12" s="538"/>
      <c r="M12" s="538"/>
      <c r="N12" s="538"/>
      <c r="O12" s="538"/>
      <c r="P12" s="538"/>
      <c r="Q12" s="538"/>
      <c r="R12" s="538"/>
      <c r="S12" s="538"/>
      <c r="T12" s="538"/>
      <c r="U12" s="538"/>
      <c r="V12" s="538"/>
      <c r="W12" s="538"/>
      <c r="X12" s="538"/>
      <c r="Y12" s="538"/>
      <c r="Z12" s="538"/>
      <c r="AA12" s="538"/>
      <c r="AB12" s="538"/>
      <c r="AC12" s="538"/>
      <c r="AD12" s="538"/>
      <c r="AE12" s="538"/>
      <c r="AF12" s="538"/>
      <c r="AG12" s="538"/>
      <c r="AH12" s="538"/>
      <c r="AI12" s="538"/>
      <c r="AJ12" s="538"/>
      <c r="AK12" s="538"/>
      <c r="AL12" s="538"/>
      <c r="AM12" s="538"/>
      <c r="AN12" s="538"/>
      <c r="AO12" s="538"/>
      <c r="AP12" s="538"/>
      <c r="AQ12" s="538"/>
      <c r="AR12" s="538"/>
      <c r="AS12" s="538"/>
      <c r="AT12" s="538"/>
      <c r="AU12" s="538"/>
      <c r="AV12" s="538"/>
      <c r="AW12" s="538"/>
      <c r="AX12" s="538"/>
      <c r="AY12" s="538"/>
      <c r="AZ12" s="538"/>
      <c r="BA12" s="538"/>
      <c r="BB12" s="538"/>
      <c r="BC12" s="538"/>
      <c r="BD12" s="691"/>
      <c r="BT12" s="403" t="s">
        <v>591</v>
      </c>
    </row>
    <row r="13" spans="1:116" s="403" customFormat="1" ht="12.75">
      <c r="A13" s="622"/>
      <c r="J13" s="442"/>
    </row>
    <row r="14" spans="1:116" s="403" customFormat="1">
      <c r="A14" s="393" t="s">
        <v>147</v>
      </c>
      <c r="B14" s="392"/>
      <c r="C14" s="393"/>
      <c r="D14" s="392"/>
      <c r="E14" s="392"/>
      <c r="F14" s="392" t="str">
        <f>'CUMPLIMIENTO % '!C7</f>
        <v>LUIS GABRIEL IBARRA ANGEL</v>
      </c>
      <c r="G14" s="392"/>
      <c r="H14" s="392"/>
      <c r="I14" s="392"/>
      <c r="J14" s="392"/>
      <c r="K14" s="392"/>
      <c r="L14" s="392"/>
      <c r="M14" s="392"/>
      <c r="N14" s="392"/>
      <c r="O14" s="392"/>
      <c r="P14" s="392"/>
      <c r="Q14" s="392"/>
      <c r="R14" s="392"/>
      <c r="S14" s="392"/>
      <c r="T14" s="392"/>
      <c r="U14" s="392"/>
      <c r="V14" s="392"/>
      <c r="W14" s="392"/>
      <c r="X14" s="392"/>
      <c r="Y14" s="392"/>
      <c r="Z14" s="392"/>
      <c r="AA14" s="392"/>
      <c r="AB14" s="392"/>
      <c r="AC14" s="392"/>
      <c r="AD14" s="392"/>
      <c r="AE14" s="392"/>
      <c r="AF14" s="392"/>
      <c r="AG14" s="392"/>
      <c r="AH14" s="392"/>
      <c r="AI14" s="392"/>
      <c r="AJ14" s="392"/>
      <c r="AK14" s="392"/>
      <c r="AL14" s="392"/>
      <c r="AM14" s="392"/>
      <c r="AN14" s="392"/>
      <c r="AO14" s="392"/>
      <c r="AP14" s="392"/>
      <c r="AQ14" s="392"/>
      <c r="AR14" s="392"/>
      <c r="AS14" s="392"/>
      <c r="AT14" s="392"/>
      <c r="AU14" s="392"/>
      <c r="AV14" s="392"/>
      <c r="AW14" s="392"/>
      <c r="AX14" s="392"/>
      <c r="AY14" s="392"/>
      <c r="AZ14" s="392"/>
      <c r="BA14" s="392"/>
      <c r="BB14" s="610" t="e">
        <f>'[5]PNE - TEC'!BB12:CW12</f>
        <v>#REF!</v>
      </c>
      <c r="BC14" s="610"/>
      <c r="BD14" s="610"/>
      <c r="BE14" s="610"/>
      <c r="BF14" s="610"/>
      <c r="BG14" s="610"/>
      <c r="BH14" s="610"/>
      <c r="BI14" s="610"/>
      <c r="BJ14" s="610"/>
      <c r="BK14" s="610"/>
      <c r="BL14" s="610"/>
      <c r="BM14" s="610"/>
      <c r="BN14" s="610"/>
      <c r="BO14" s="610" t="s">
        <v>419</v>
      </c>
      <c r="BP14" s="610"/>
      <c r="BQ14" s="610"/>
      <c r="BR14" s="610"/>
      <c r="BS14" s="610"/>
      <c r="BU14" s="610"/>
      <c r="BV14" s="610"/>
      <c r="BW14" s="610"/>
      <c r="BX14" s="610"/>
      <c r="BY14" s="610"/>
      <c r="BZ14" s="610"/>
      <c r="CA14" s="610"/>
      <c r="CB14" s="610"/>
      <c r="CC14" s="610"/>
      <c r="CD14" s="610"/>
      <c r="CE14" s="610"/>
      <c r="CF14" s="610"/>
      <c r="CG14" s="610"/>
      <c r="CH14" s="610"/>
      <c r="CI14" s="942" t="str">
        <f>PORTADA!C31</f>
        <v>OCTUBRE - DICIEMBRE DEL 2020</v>
      </c>
      <c r="CJ14" s="610"/>
      <c r="CM14" s="610"/>
      <c r="CN14" s="610"/>
      <c r="CO14" s="610"/>
      <c r="CP14" s="610"/>
      <c r="CQ14" s="610"/>
      <c r="CR14" s="610"/>
      <c r="CS14" s="610"/>
      <c r="CT14" s="610"/>
      <c r="CU14" s="610"/>
      <c r="CV14" s="610"/>
      <c r="CW14" s="610"/>
    </row>
    <row r="15" spans="1:116" ht="15.75" thickBot="1">
      <c r="A15" s="392"/>
      <c r="B15" s="392"/>
      <c r="C15" s="393"/>
      <c r="D15" s="392"/>
      <c r="E15" s="392"/>
      <c r="F15" s="392"/>
      <c r="G15" s="392"/>
      <c r="H15" s="392"/>
      <c r="I15" s="392"/>
      <c r="J15" s="392"/>
      <c r="K15" s="392"/>
      <c r="L15" s="392"/>
      <c r="M15" s="392"/>
      <c r="N15" s="392"/>
      <c r="O15" s="392"/>
      <c r="P15" s="392"/>
      <c r="Q15" s="392"/>
      <c r="R15" s="392"/>
      <c r="S15" s="392"/>
      <c r="T15" s="392"/>
      <c r="U15" s="392"/>
      <c r="V15" s="392"/>
      <c r="W15" s="392"/>
      <c r="X15" s="392"/>
      <c r="Y15" s="392"/>
      <c r="Z15" s="392"/>
      <c r="AA15" s="392"/>
      <c r="AB15" s="392"/>
      <c r="AC15" s="392"/>
      <c r="AD15" s="392"/>
      <c r="AE15" s="392"/>
      <c r="AF15" s="392"/>
      <c r="AG15" s="392"/>
      <c r="AH15" s="392"/>
      <c r="AI15" s="392"/>
      <c r="AJ15" s="392"/>
      <c r="AK15" s="392"/>
      <c r="AL15" s="392"/>
      <c r="AM15" s="392"/>
      <c r="AN15" s="392"/>
      <c r="AO15" s="392"/>
      <c r="AP15" s="392"/>
      <c r="AQ15" s="392"/>
      <c r="AR15" s="392"/>
      <c r="AS15" s="392"/>
      <c r="AT15" s="392"/>
      <c r="AU15" s="392"/>
      <c r="AV15" s="392"/>
      <c r="AW15" s="392"/>
      <c r="AX15" s="392"/>
      <c r="AY15" s="392"/>
      <c r="AZ15" s="392"/>
      <c r="BA15" s="392"/>
      <c r="BB15" s="351"/>
      <c r="BC15" s="351"/>
      <c r="BD15" s="351"/>
      <c r="BE15" s="351"/>
      <c r="BF15" s="351"/>
      <c r="BG15" s="351"/>
      <c r="BH15" s="351"/>
      <c r="BI15" s="351"/>
      <c r="BJ15" s="351"/>
      <c r="BK15" s="351"/>
      <c r="BL15" s="351"/>
      <c r="BM15" s="351"/>
      <c r="BN15" s="351"/>
      <c r="BO15" s="351"/>
      <c r="BP15" s="351"/>
      <c r="BQ15" s="351"/>
      <c r="BR15" s="351"/>
      <c r="BS15" s="351"/>
      <c r="BT15" s="351"/>
      <c r="BU15" s="351"/>
      <c r="BV15" s="351"/>
      <c r="BW15" s="351"/>
      <c r="BX15" s="351"/>
      <c r="BY15" s="351"/>
      <c r="BZ15" s="351"/>
      <c r="CA15" s="351"/>
      <c r="CB15" s="351"/>
      <c r="CC15" s="351"/>
      <c r="CD15" s="351"/>
      <c r="CE15" s="351"/>
      <c r="CF15" s="351"/>
      <c r="CG15" s="351"/>
      <c r="CH15" s="351"/>
      <c r="CI15" s="351"/>
      <c r="CJ15" s="351"/>
      <c r="CK15" s="351"/>
      <c r="CL15" s="351"/>
      <c r="CM15" s="351"/>
      <c r="CN15" s="351"/>
      <c r="CO15" s="351"/>
      <c r="CP15" s="351"/>
      <c r="CQ15" s="351"/>
      <c r="CR15" s="351"/>
      <c r="CS15" s="351"/>
      <c r="CT15" s="351"/>
      <c r="CU15" s="351"/>
      <c r="CV15" s="351"/>
      <c r="CW15" s="351"/>
    </row>
    <row r="16" spans="1:116" ht="15.75" thickBot="1">
      <c r="A16" s="404"/>
      <c r="B16" s="405"/>
      <c r="C16" s="405"/>
      <c r="D16" s="405"/>
      <c r="E16" s="405"/>
      <c r="F16" s="405"/>
      <c r="G16" s="405"/>
      <c r="H16" s="405"/>
      <c r="I16" s="405"/>
      <c r="J16" s="405"/>
      <c r="K16" s="405"/>
      <c r="L16" s="405"/>
      <c r="M16" s="405"/>
      <c r="N16" s="405"/>
      <c r="O16" s="405"/>
      <c r="P16" s="405"/>
      <c r="Q16" s="405"/>
      <c r="R16" s="405"/>
      <c r="S16" s="405"/>
      <c r="T16" s="405"/>
      <c r="U16" s="405"/>
      <c r="V16" s="405"/>
      <c r="W16" s="405"/>
      <c r="X16" s="405"/>
      <c r="Y16" s="405"/>
      <c r="Z16" s="405"/>
      <c r="AA16" s="405"/>
      <c r="AB16" s="405"/>
      <c r="AC16" s="405"/>
      <c r="AD16" s="405"/>
      <c r="AE16" s="405"/>
      <c r="AF16" s="405"/>
      <c r="AG16" s="405"/>
      <c r="AH16" s="405"/>
      <c r="AI16" s="405"/>
      <c r="AJ16" s="405"/>
      <c r="AK16" s="405"/>
      <c r="AL16" s="405"/>
      <c r="AM16" s="405"/>
      <c r="AN16" s="405"/>
      <c r="AO16" s="405"/>
      <c r="AP16" s="405"/>
      <c r="AQ16" s="405"/>
      <c r="AR16" s="405"/>
      <c r="AS16" s="405"/>
      <c r="AT16" s="405"/>
      <c r="AU16" s="405"/>
      <c r="AV16" s="405"/>
      <c r="AW16" s="405"/>
      <c r="AX16" s="405"/>
      <c r="AY16" s="405"/>
      <c r="AZ16" s="405"/>
      <c r="BA16" s="405"/>
      <c r="BB16" s="405"/>
      <c r="BC16" s="405"/>
      <c r="BD16" s="405"/>
      <c r="BE16" s="405"/>
      <c r="BF16" s="405"/>
      <c r="BG16" s="405"/>
      <c r="BH16" s="405"/>
      <c r="BI16" s="405"/>
      <c r="BJ16" s="405"/>
      <c r="BK16" s="405"/>
      <c r="BL16" s="405"/>
      <c r="BM16" s="405"/>
      <c r="BN16" s="405"/>
      <c r="BO16" s="405"/>
      <c r="BP16" s="405"/>
      <c r="BQ16" s="405"/>
      <c r="BR16" s="405"/>
      <c r="BS16" s="405"/>
      <c r="BT16" s="405"/>
      <c r="BU16" s="405"/>
      <c r="BV16" s="405"/>
      <c r="BW16" s="405"/>
      <c r="BX16" s="405"/>
      <c r="BY16" s="405"/>
      <c r="BZ16" s="405"/>
      <c r="CA16" s="405"/>
      <c r="CB16" s="405"/>
      <c r="CC16" s="405"/>
      <c r="CD16" s="405"/>
      <c r="CE16" s="405"/>
      <c r="CF16" s="405"/>
      <c r="CG16" s="405"/>
      <c r="CH16" s="405"/>
      <c r="CI16" s="405"/>
      <c r="CJ16" s="405"/>
      <c r="CK16" s="405"/>
      <c r="CL16" s="405"/>
      <c r="CM16" s="405"/>
      <c r="CN16" s="405"/>
      <c r="CO16" s="405"/>
      <c r="CP16" s="405"/>
      <c r="CQ16" s="405"/>
      <c r="CR16" s="405"/>
      <c r="CS16" s="405"/>
      <c r="CT16" s="405"/>
      <c r="CU16" s="405"/>
      <c r="CV16" s="405"/>
      <c r="CW16" s="406"/>
    </row>
    <row r="17" spans="1:101" ht="21.95" customHeight="1">
      <c r="A17" s="404"/>
      <c r="B17" s="405"/>
      <c r="C17" s="405"/>
      <c r="D17" s="405"/>
      <c r="E17" s="405"/>
      <c r="F17" s="405"/>
      <c r="G17" s="405"/>
      <c r="H17" s="405"/>
      <c r="I17" s="405"/>
      <c r="J17" s="405"/>
      <c r="K17" s="405"/>
      <c r="L17" s="405"/>
      <c r="M17" s="405"/>
      <c r="N17" s="405"/>
      <c r="O17" s="405"/>
      <c r="P17" s="405"/>
      <c r="Q17" s="405"/>
      <c r="R17" s="405"/>
      <c r="S17" s="405"/>
      <c r="T17" s="405"/>
      <c r="U17" s="405"/>
      <c r="V17" s="405"/>
      <c r="W17" s="405"/>
      <c r="X17" s="405"/>
      <c r="Y17" s="405"/>
      <c r="Z17" s="405"/>
      <c r="AA17" s="405"/>
      <c r="AB17" s="405"/>
      <c r="AC17" s="405"/>
      <c r="AD17" s="405"/>
      <c r="AE17" s="405"/>
      <c r="AF17" s="405"/>
      <c r="AG17" s="405"/>
      <c r="AH17" s="405"/>
      <c r="AI17" s="405"/>
      <c r="AJ17" s="405"/>
      <c r="AK17" s="405"/>
      <c r="AL17" s="405"/>
      <c r="AM17" s="405"/>
      <c r="AN17" s="405"/>
      <c r="AO17" s="405"/>
      <c r="AP17" s="405"/>
      <c r="AQ17" s="405"/>
      <c r="AR17" s="405"/>
      <c r="AS17" s="405"/>
      <c r="AT17" s="405"/>
      <c r="AU17" s="405"/>
      <c r="AV17" s="405"/>
      <c r="AW17" s="405"/>
      <c r="AX17" s="405"/>
      <c r="AY17" s="405"/>
      <c r="AZ17" s="405"/>
      <c r="BA17" s="405"/>
      <c r="BB17" s="405"/>
      <c r="BC17" s="405"/>
      <c r="BD17" s="405"/>
      <c r="BE17" s="405"/>
      <c r="BF17" s="405"/>
      <c r="BG17" s="405"/>
      <c r="BH17" s="405"/>
      <c r="BI17" s="405"/>
      <c r="BJ17" s="405"/>
      <c r="BK17" s="405"/>
      <c r="BL17" s="405"/>
      <c r="BM17" s="405"/>
      <c r="BN17" s="405"/>
      <c r="BO17" s="405"/>
      <c r="BP17" s="405"/>
      <c r="BQ17" s="405"/>
      <c r="BR17" s="405"/>
      <c r="BS17" s="405"/>
      <c r="BT17" s="405"/>
      <c r="BU17" s="405"/>
      <c r="BV17" s="405"/>
      <c r="BW17" s="405"/>
      <c r="BX17" s="405"/>
      <c r="BY17" s="405"/>
      <c r="BZ17" s="405"/>
      <c r="CA17" s="405"/>
      <c r="CB17" s="405"/>
      <c r="CC17" s="405"/>
      <c r="CD17" s="405"/>
      <c r="CE17" s="405"/>
      <c r="CF17" s="405"/>
      <c r="CG17" s="405"/>
      <c r="CH17" s="405"/>
      <c r="CI17" s="405"/>
      <c r="CJ17" s="405"/>
      <c r="CK17" s="405"/>
      <c r="CL17" s="405"/>
      <c r="CM17" s="405"/>
      <c r="CN17" s="405"/>
      <c r="CO17" s="405"/>
      <c r="CP17" s="405"/>
      <c r="CQ17" s="405"/>
      <c r="CR17" s="405"/>
      <c r="CS17" s="405"/>
      <c r="CT17" s="405"/>
      <c r="CU17" s="405"/>
      <c r="CV17" s="405"/>
      <c r="CW17" s="406"/>
    </row>
    <row r="18" spans="1:101" ht="21.95" customHeight="1">
      <c r="A18" s="408"/>
      <c r="CW18" s="409"/>
    </row>
    <row r="19" spans="1:101" ht="21.95" customHeight="1">
      <c r="A19" s="408"/>
      <c r="CW19" s="409"/>
    </row>
    <row r="20" spans="1:101" ht="21.95" customHeight="1">
      <c r="A20" s="408"/>
      <c r="CW20" s="409"/>
    </row>
    <row r="21" spans="1:101" ht="21.95" customHeight="1">
      <c r="A21" s="408"/>
      <c r="CW21" s="409"/>
    </row>
    <row r="22" spans="1:101" ht="21.95" customHeight="1">
      <c r="A22" s="408"/>
      <c r="CW22" s="409"/>
    </row>
    <row r="23" spans="1:101" ht="21.75" customHeight="1">
      <c r="A23" s="408"/>
      <c r="CW23" s="409"/>
    </row>
    <row r="24" spans="1:101" ht="21.95" customHeight="1">
      <c r="A24" s="408"/>
      <c r="CW24" s="409"/>
    </row>
    <row r="25" spans="1:101" ht="21.95" customHeight="1">
      <c r="A25" s="408"/>
      <c r="CW25" s="409"/>
    </row>
    <row r="26" spans="1:101" ht="21.95" customHeight="1">
      <c r="A26" s="408"/>
      <c r="CW26" s="409"/>
    </row>
    <row r="27" spans="1:101" ht="21.95" customHeight="1">
      <c r="A27" s="408"/>
      <c r="CW27" s="409"/>
    </row>
    <row r="28" spans="1:101" ht="21.95" customHeight="1">
      <c r="A28" s="408"/>
      <c r="CW28" s="409"/>
    </row>
    <row r="29" spans="1:101" ht="21.95" customHeight="1">
      <c r="A29" s="408"/>
      <c r="CW29" s="409"/>
    </row>
    <row r="30" spans="1:101" ht="21.95" customHeight="1">
      <c r="A30" s="408"/>
      <c r="CW30" s="409"/>
    </row>
    <row r="31" spans="1:101" ht="21.95" customHeight="1">
      <c r="A31" s="408"/>
      <c r="CW31" s="409"/>
    </row>
    <row r="32" spans="1:101" ht="21.95" customHeight="1">
      <c r="A32" s="408"/>
      <c r="CW32" s="409"/>
    </row>
    <row r="33" spans="1:107" ht="21.95" customHeight="1" thickBot="1">
      <c r="A33" s="410"/>
      <c r="B33" s="411"/>
      <c r="C33" s="411"/>
      <c r="D33" s="411"/>
      <c r="E33" s="411"/>
      <c r="F33" s="411"/>
      <c r="G33" s="411"/>
      <c r="H33" s="411"/>
      <c r="I33" s="411"/>
      <c r="J33" s="411"/>
      <c r="K33" s="411"/>
      <c r="L33" s="411"/>
      <c r="M33" s="411"/>
      <c r="N33" s="411"/>
      <c r="O33" s="411"/>
      <c r="P33" s="411"/>
      <c r="Q33" s="411"/>
      <c r="R33" s="411"/>
      <c r="S33" s="411"/>
      <c r="T33" s="411"/>
      <c r="U33" s="411"/>
      <c r="V33" s="411"/>
      <c r="W33" s="411"/>
      <c r="X33" s="411"/>
      <c r="Y33" s="411"/>
      <c r="Z33" s="411"/>
      <c r="AA33" s="411"/>
      <c r="AB33" s="411"/>
      <c r="AC33" s="411"/>
      <c r="AD33" s="411"/>
      <c r="AE33" s="411"/>
      <c r="AF33" s="411"/>
      <c r="AG33" s="411"/>
      <c r="AH33" s="411"/>
      <c r="AI33" s="411"/>
      <c r="AJ33" s="411"/>
      <c r="AK33" s="411"/>
      <c r="AL33" s="411"/>
      <c r="AM33" s="411"/>
      <c r="AN33" s="411"/>
      <c r="AO33" s="411"/>
      <c r="AP33" s="411"/>
      <c r="AQ33" s="411"/>
      <c r="AR33" s="411"/>
      <c r="AS33" s="411"/>
      <c r="AT33" s="411"/>
      <c r="AU33" s="411"/>
      <c r="AV33" s="411"/>
      <c r="AW33" s="411"/>
      <c r="AX33" s="411"/>
      <c r="AY33" s="411"/>
      <c r="AZ33" s="411"/>
      <c r="BA33" s="411"/>
      <c r="BB33" s="411"/>
      <c r="BC33" s="411"/>
      <c r="BD33" s="411"/>
      <c r="BE33" s="411"/>
      <c r="BF33" s="411"/>
      <c r="BG33" s="411"/>
      <c r="BH33" s="411"/>
      <c r="BI33" s="411"/>
      <c r="BJ33" s="411"/>
      <c r="BK33" s="411"/>
      <c r="BL33" s="411"/>
      <c r="BM33" s="411"/>
      <c r="BN33" s="411"/>
      <c r="BO33" s="411"/>
      <c r="BP33" s="411"/>
      <c r="BQ33" s="411"/>
      <c r="BR33" s="411"/>
      <c r="BS33" s="411"/>
      <c r="BT33" s="411"/>
      <c r="BU33" s="411"/>
      <c r="BV33" s="411"/>
      <c r="BW33" s="411"/>
      <c r="BX33" s="411"/>
      <c r="BY33" s="411"/>
      <c r="BZ33" s="411"/>
      <c r="CA33" s="411"/>
      <c r="CB33" s="411"/>
      <c r="CC33" s="411"/>
      <c r="CD33" s="411"/>
      <c r="CE33" s="411"/>
      <c r="CF33" s="411"/>
      <c r="CG33" s="411"/>
      <c r="CH33" s="411"/>
      <c r="CI33" s="411"/>
      <c r="CJ33" s="411"/>
      <c r="CK33" s="411"/>
      <c r="CL33" s="411"/>
      <c r="CM33" s="411"/>
      <c r="CN33" s="411"/>
      <c r="CO33" s="411"/>
      <c r="CP33" s="411"/>
      <c r="CQ33" s="411"/>
      <c r="CR33" s="411"/>
      <c r="CS33" s="411"/>
      <c r="CT33" s="411"/>
      <c r="CU33" s="411"/>
      <c r="CV33" s="411"/>
      <c r="CW33" s="412"/>
    </row>
    <row r="34" spans="1:107" ht="16.5" customHeight="1" thickBot="1">
      <c r="A34" s="413" t="s">
        <v>7</v>
      </c>
      <c r="B34" s="1733" t="s">
        <v>52</v>
      </c>
      <c r="C34" s="1734"/>
      <c r="D34" s="1734"/>
      <c r="E34" s="1734"/>
      <c r="F34" s="1734"/>
      <c r="G34" s="1734"/>
      <c r="H34" s="1734"/>
      <c r="I34" s="1734"/>
      <c r="J34" s="1734"/>
      <c r="K34" s="1734"/>
      <c r="L34" s="1734"/>
      <c r="M34" s="1734"/>
      <c r="N34" s="1734"/>
      <c r="O34" s="1734"/>
      <c r="P34" s="1734"/>
      <c r="Q34" s="1734"/>
      <c r="R34" s="1734"/>
      <c r="S34" s="1734"/>
      <c r="T34" s="1734"/>
      <c r="U34" s="1734"/>
      <c r="V34" s="1734"/>
      <c r="W34" s="1734"/>
      <c r="X34" s="1734"/>
      <c r="Y34" s="1734"/>
      <c r="Z34" s="1734"/>
      <c r="AA34" s="1734"/>
      <c r="AB34" s="1734"/>
      <c r="AC34" s="1734"/>
      <c r="AD34" s="1734"/>
      <c r="AE34" s="1734"/>
      <c r="AF34" s="1734"/>
      <c r="AG34" s="1734"/>
      <c r="AH34" s="1734"/>
      <c r="AI34" s="1734"/>
      <c r="AJ34" s="1734"/>
      <c r="AK34" s="1734"/>
      <c r="AL34" s="1734"/>
      <c r="AM34" s="1734"/>
      <c r="AN34" s="1734"/>
      <c r="AO34" s="1734"/>
      <c r="AP34" s="1734"/>
      <c r="AQ34" s="1734"/>
      <c r="AR34" s="1734"/>
      <c r="AS34" s="1734"/>
      <c r="AT34" s="1734"/>
      <c r="AU34" s="1734"/>
      <c r="AV34" s="1734"/>
      <c r="AW34" s="1734"/>
      <c r="AX34" s="1734"/>
      <c r="AY34" s="1734"/>
      <c r="AZ34" s="1734"/>
      <c r="BA34" s="1734"/>
      <c r="BB34" s="1734"/>
      <c r="BC34" s="1734"/>
      <c r="BD34" s="1734"/>
      <c r="BE34" s="1734"/>
      <c r="BF34" s="1734"/>
      <c r="BG34" s="1734"/>
      <c r="BH34" s="1734"/>
      <c r="BI34" s="1734"/>
      <c r="BJ34" s="1734"/>
      <c r="BK34" s="1734"/>
      <c r="BL34" s="1734"/>
      <c r="BM34" s="1734"/>
      <c r="BN34" s="1734"/>
      <c r="BO34" s="1734"/>
      <c r="BP34" s="1734"/>
      <c r="BQ34" s="1734"/>
      <c r="BR34" s="1734"/>
      <c r="BS34" s="1734"/>
      <c r="BT34" s="1734"/>
      <c r="BU34" s="1734"/>
      <c r="BV34" s="1734"/>
      <c r="BW34" s="1734"/>
      <c r="BX34" s="1734"/>
      <c r="BY34" s="1734"/>
      <c r="BZ34" s="1734"/>
      <c r="CA34" s="1734"/>
      <c r="CB34" s="1734"/>
      <c r="CC34" s="1734"/>
      <c r="CD34" s="1663" t="s">
        <v>568</v>
      </c>
      <c r="CE34" s="1664"/>
      <c r="CF34" s="1664"/>
      <c r="CG34" s="1664"/>
      <c r="CH34" s="1664"/>
      <c r="CI34" s="1664"/>
      <c r="CJ34" s="1664"/>
      <c r="CK34" s="1664"/>
      <c r="CL34" s="1664"/>
      <c r="CM34" s="1664"/>
      <c r="CN34" s="1664"/>
      <c r="CO34" s="1664"/>
      <c r="CP34" s="1664"/>
      <c r="CQ34" s="1664"/>
      <c r="CR34" s="1664"/>
      <c r="CS34" s="1664"/>
      <c r="CT34" s="1664"/>
      <c r="CU34" s="1664"/>
      <c r="CV34" s="1664"/>
      <c r="CW34" s="1665"/>
    </row>
    <row r="35" spans="1:107" ht="16.5" thickBot="1">
      <c r="A35" s="414" t="s">
        <v>24</v>
      </c>
      <c r="B35" s="1742" t="s">
        <v>569</v>
      </c>
      <c r="C35" s="1743"/>
      <c r="D35" s="1743"/>
      <c r="E35" s="1743"/>
      <c r="F35" s="1743"/>
      <c r="G35" s="1743"/>
      <c r="H35" s="1743"/>
      <c r="I35" s="1743"/>
      <c r="J35" s="1743"/>
      <c r="K35" s="1743"/>
      <c r="L35" s="1744"/>
      <c r="M35" s="1744"/>
      <c r="N35" s="1744"/>
      <c r="O35" s="1744"/>
      <c r="P35" s="1744"/>
      <c r="Q35" s="1744"/>
      <c r="R35" s="1744"/>
      <c r="S35" s="1744"/>
      <c r="T35" s="1744"/>
      <c r="U35" s="1744"/>
      <c r="V35" s="1736" t="s">
        <v>54</v>
      </c>
      <c r="W35" s="1736"/>
      <c r="X35" s="1736"/>
      <c r="Y35" s="1736"/>
      <c r="Z35" s="1736"/>
      <c r="AA35" s="1736"/>
      <c r="AB35" s="1736"/>
      <c r="AC35" s="1736"/>
      <c r="AD35" s="1736"/>
      <c r="AE35" s="1736"/>
      <c r="AF35" s="1736" t="s">
        <v>54</v>
      </c>
      <c r="AG35" s="1736"/>
      <c r="AH35" s="1736"/>
      <c r="AI35" s="1736"/>
      <c r="AJ35" s="1736"/>
      <c r="AK35" s="1736"/>
      <c r="AL35" s="1736"/>
      <c r="AM35" s="1736"/>
      <c r="AN35" s="1736"/>
      <c r="AO35" s="1736"/>
      <c r="AP35" s="1736"/>
      <c r="AQ35" s="1736"/>
      <c r="AR35" s="1736"/>
      <c r="AS35" s="1736"/>
      <c r="AT35" s="1736"/>
      <c r="AU35" s="1736"/>
      <c r="AV35" s="1736"/>
      <c r="AW35" s="1736"/>
      <c r="AX35" s="1736"/>
      <c r="AY35" s="1736"/>
      <c r="AZ35" s="1736"/>
      <c r="BA35" s="1736"/>
      <c r="BB35" s="1736"/>
      <c r="BC35" s="1736"/>
      <c r="BD35" s="1736"/>
      <c r="BE35" s="1736"/>
      <c r="BF35" s="1736"/>
      <c r="BG35" s="1736"/>
      <c r="BH35" s="1736"/>
      <c r="BI35" s="1736"/>
      <c r="BJ35" s="1736" t="s">
        <v>54</v>
      </c>
      <c r="BK35" s="1736"/>
      <c r="BL35" s="1736"/>
      <c r="BM35" s="1736"/>
      <c r="BN35" s="1736"/>
      <c r="BO35" s="1736"/>
      <c r="BP35" s="1736"/>
      <c r="BQ35" s="1736"/>
      <c r="BR35" s="1736"/>
      <c r="BS35" s="1736"/>
      <c r="BT35" s="1736"/>
      <c r="BU35" s="1736"/>
      <c r="BV35" s="1736"/>
      <c r="BW35" s="1736"/>
      <c r="BX35" s="1736"/>
      <c r="BY35" s="1736"/>
      <c r="BZ35" s="1736"/>
      <c r="CA35" s="1736"/>
      <c r="CB35" s="1736"/>
      <c r="CC35" s="1737"/>
      <c r="CD35" s="1854"/>
      <c r="CE35" s="1855"/>
      <c r="CF35" s="1855"/>
      <c r="CG35" s="1855"/>
      <c r="CH35" s="1855"/>
      <c r="CI35" s="1855"/>
      <c r="CJ35" s="1855"/>
      <c r="CK35" s="1855"/>
      <c r="CL35" s="1855"/>
      <c r="CM35" s="1855"/>
      <c r="CN35" s="1855"/>
      <c r="CO35" s="1855"/>
      <c r="CP35" s="1855"/>
      <c r="CQ35" s="1855"/>
      <c r="CR35" s="1855"/>
      <c r="CS35" s="1855"/>
      <c r="CT35" s="1855"/>
      <c r="CU35" s="1855"/>
      <c r="CV35" s="1855"/>
      <c r="CW35" s="1856"/>
    </row>
    <row r="36" spans="1:107" ht="16.5" customHeight="1" thickBot="1">
      <c r="A36" s="415" t="s">
        <v>132</v>
      </c>
      <c r="B36" s="1920">
        <v>5</v>
      </c>
      <c r="C36" s="1915"/>
      <c r="D36" s="1915"/>
      <c r="E36" s="1915"/>
      <c r="F36" s="1915"/>
      <c r="G36" s="1915"/>
      <c r="H36" s="1915"/>
      <c r="I36" s="1915"/>
      <c r="J36" s="1915"/>
      <c r="K36" s="1916"/>
      <c r="L36" s="1914">
        <v>10</v>
      </c>
      <c r="M36" s="1915"/>
      <c r="N36" s="1915"/>
      <c r="O36" s="1915"/>
      <c r="P36" s="1915"/>
      <c r="Q36" s="1915"/>
      <c r="R36" s="1915"/>
      <c r="S36" s="1915"/>
      <c r="T36" s="1915"/>
      <c r="U36" s="1916"/>
      <c r="V36" s="1914">
        <v>15</v>
      </c>
      <c r="W36" s="1915"/>
      <c r="X36" s="1915"/>
      <c r="Y36" s="1915"/>
      <c r="Z36" s="1915"/>
      <c r="AA36" s="1915"/>
      <c r="AB36" s="1915"/>
      <c r="AC36" s="1915"/>
      <c r="AD36" s="1915"/>
      <c r="AE36" s="1916"/>
      <c r="AF36" s="1914">
        <v>20</v>
      </c>
      <c r="AG36" s="1915"/>
      <c r="AH36" s="1915"/>
      <c r="AI36" s="1915"/>
      <c r="AJ36" s="1915"/>
      <c r="AK36" s="1915"/>
      <c r="AL36" s="1915"/>
      <c r="AM36" s="1915"/>
      <c r="AN36" s="1915"/>
      <c r="AO36" s="1916"/>
      <c r="AP36" s="1914">
        <v>25</v>
      </c>
      <c r="AQ36" s="1915"/>
      <c r="AR36" s="1915"/>
      <c r="AS36" s="1915"/>
      <c r="AT36" s="1915"/>
      <c r="AU36" s="1915"/>
      <c r="AV36" s="1915"/>
      <c r="AW36" s="1915"/>
      <c r="AX36" s="1915"/>
      <c r="AY36" s="1916"/>
      <c r="AZ36" s="1914">
        <v>30</v>
      </c>
      <c r="BA36" s="1915"/>
      <c r="BB36" s="1915"/>
      <c r="BC36" s="1915"/>
      <c r="BD36" s="1915"/>
      <c r="BE36" s="1915"/>
      <c r="BF36" s="1915"/>
      <c r="BG36" s="1915"/>
      <c r="BH36" s="1915"/>
      <c r="BI36" s="1916"/>
      <c r="BJ36" s="1914">
        <v>35</v>
      </c>
      <c r="BK36" s="1915"/>
      <c r="BL36" s="1915"/>
      <c r="BM36" s="1915"/>
      <c r="BN36" s="1915"/>
      <c r="BO36" s="1915"/>
      <c r="BP36" s="1915"/>
      <c r="BQ36" s="1915"/>
      <c r="BR36" s="1915"/>
      <c r="BS36" s="1916"/>
      <c r="BT36" s="1917" t="s">
        <v>593</v>
      </c>
      <c r="BU36" s="1917"/>
      <c r="BV36" s="1917"/>
      <c r="BW36" s="1917"/>
      <c r="BX36" s="1917"/>
      <c r="BY36" s="1917"/>
      <c r="BZ36" s="1917"/>
      <c r="CA36" s="1917"/>
      <c r="CB36" s="1917"/>
      <c r="CC36" s="1918"/>
      <c r="CD36" s="1864" t="s">
        <v>368</v>
      </c>
      <c r="CE36" s="1865"/>
      <c r="CF36" s="1865"/>
      <c r="CG36" s="1865"/>
      <c r="CH36" s="1865" t="s">
        <v>96</v>
      </c>
      <c r="CI36" s="1865"/>
      <c r="CJ36" s="1865"/>
      <c r="CK36" s="1865"/>
      <c r="CL36" s="1865" t="s">
        <v>97</v>
      </c>
      <c r="CM36" s="1865"/>
      <c r="CN36" s="1865"/>
      <c r="CO36" s="1865"/>
      <c r="CP36" s="1865" t="s">
        <v>98</v>
      </c>
      <c r="CQ36" s="1865"/>
      <c r="CR36" s="1865"/>
      <c r="CS36" s="1865"/>
      <c r="CT36" s="1865" t="s">
        <v>369</v>
      </c>
      <c r="CU36" s="1865"/>
      <c r="CV36" s="1865"/>
      <c r="CW36" s="1905"/>
      <c r="CY36" s="611" t="s">
        <v>572</v>
      </c>
      <c r="CZ36" s="611" t="s">
        <v>14</v>
      </c>
      <c r="DA36" s="611" t="s">
        <v>573</v>
      </c>
    </row>
    <row r="37" spans="1:107" ht="10.5" customHeight="1">
      <c r="A37" s="416"/>
      <c r="K37" s="417"/>
      <c r="U37" s="417"/>
      <c r="AE37" s="417"/>
      <c r="AO37" s="417"/>
      <c r="AY37" s="417"/>
      <c r="BI37" s="417"/>
      <c r="BS37" s="417"/>
      <c r="CD37" s="1860" t="s">
        <v>617</v>
      </c>
      <c r="CE37" s="1861"/>
      <c r="CF37" s="1861" t="s">
        <v>39</v>
      </c>
      <c r="CG37" s="1861"/>
      <c r="CH37" s="1861" t="s">
        <v>617</v>
      </c>
      <c r="CI37" s="1861"/>
      <c r="CJ37" s="1861" t="s">
        <v>39</v>
      </c>
      <c r="CK37" s="1861"/>
      <c r="CL37" s="1861" t="s">
        <v>617</v>
      </c>
      <c r="CM37" s="1861"/>
      <c r="CN37" s="1861" t="s">
        <v>39</v>
      </c>
      <c r="CO37" s="1861"/>
      <c r="CP37" s="1861" t="s">
        <v>617</v>
      </c>
      <c r="CQ37" s="1861"/>
      <c r="CR37" s="1861" t="s">
        <v>39</v>
      </c>
      <c r="CS37" s="1861"/>
      <c r="CT37" s="1861" t="s">
        <v>617</v>
      </c>
      <c r="CU37" s="1861"/>
      <c r="CV37" s="1861" t="s">
        <v>39</v>
      </c>
      <c r="CW37" s="1866"/>
      <c r="CY37" s="612"/>
      <c r="CZ37" s="613" t="s">
        <v>54</v>
      </c>
      <c r="DA37" s="614">
        <v>35.770000000000003</v>
      </c>
    </row>
    <row r="38" spans="1:107" ht="3.75" customHeight="1">
      <c r="A38" s="418"/>
      <c r="B38" s="423"/>
      <c r="C38" s="978"/>
      <c r="D38" s="978"/>
      <c r="E38" s="978"/>
      <c r="F38" s="978"/>
      <c r="G38" s="1868"/>
      <c r="H38" s="1868"/>
      <c r="I38" s="1868"/>
      <c r="J38" s="1868"/>
      <c r="K38" s="1335"/>
      <c r="L38" s="979"/>
      <c r="M38" s="979"/>
      <c r="N38" s="979"/>
      <c r="O38" s="979"/>
      <c r="P38" s="931"/>
      <c r="Q38" s="931"/>
      <c r="R38" s="932"/>
      <c r="S38" s="932"/>
      <c r="T38" s="931"/>
      <c r="U38" s="933"/>
      <c r="V38" s="931"/>
      <c r="W38" s="931"/>
      <c r="X38" s="931"/>
      <c r="Y38" s="931"/>
      <c r="Z38" s="931"/>
      <c r="AA38" s="931"/>
      <c r="AB38" s="931"/>
      <c r="AC38" s="931"/>
      <c r="AD38" s="931"/>
      <c r="AE38" s="933"/>
      <c r="AF38" s="931"/>
      <c r="AG38" s="931"/>
      <c r="AH38" s="931"/>
      <c r="AI38" s="931"/>
      <c r="AJ38" s="931"/>
      <c r="AK38" s="931"/>
      <c r="AL38" s="931"/>
      <c r="AM38" s="431"/>
      <c r="AN38" s="931"/>
      <c r="AO38" s="933"/>
      <c r="AP38" s="931"/>
      <c r="AQ38" s="931"/>
      <c r="AR38" s="931"/>
      <c r="AS38" s="931"/>
      <c r="AT38" s="931"/>
      <c r="AU38" s="931"/>
      <c r="AV38" s="931"/>
      <c r="AW38" s="431"/>
      <c r="AX38" s="931"/>
      <c r="AY38" s="933"/>
      <c r="AZ38" s="931"/>
      <c r="BA38" s="931"/>
      <c r="BB38" s="931"/>
      <c r="BC38" s="931"/>
      <c r="BD38" s="931"/>
      <c r="BE38" s="931"/>
      <c r="BF38" s="931"/>
      <c r="BG38" s="931"/>
      <c r="BH38" s="931"/>
      <c r="BI38" s="933"/>
      <c r="BJ38" s="931"/>
      <c r="BK38" s="931"/>
      <c r="BL38" s="931"/>
      <c r="BM38" s="431"/>
      <c r="BN38" s="931"/>
      <c r="BO38" s="931"/>
      <c r="BP38" s="931"/>
      <c r="BQ38" s="931"/>
      <c r="BR38" s="931"/>
      <c r="BS38" s="933"/>
      <c r="BT38" s="931"/>
      <c r="BU38" s="931"/>
      <c r="BV38" s="931"/>
      <c r="BW38" s="931"/>
      <c r="CD38" s="1862"/>
      <c r="CE38" s="1863"/>
      <c r="CF38" s="1863"/>
      <c r="CG38" s="1863"/>
      <c r="CH38" s="1863"/>
      <c r="CI38" s="1863"/>
      <c r="CJ38" s="1863"/>
      <c r="CK38" s="1863"/>
      <c r="CL38" s="1863"/>
      <c r="CM38" s="1863"/>
      <c r="CN38" s="1863"/>
      <c r="CO38" s="1863"/>
      <c r="CP38" s="1863"/>
      <c r="CQ38" s="1863"/>
      <c r="CR38" s="1863"/>
      <c r="CS38" s="1863"/>
      <c r="CT38" s="1863"/>
      <c r="CU38" s="1863"/>
      <c r="CV38" s="1863"/>
      <c r="CW38" s="1867"/>
      <c r="CY38" s="615"/>
      <c r="CZ38" s="615"/>
      <c r="DA38" s="615"/>
    </row>
    <row r="39" spans="1:107" ht="13.5" customHeight="1">
      <c r="A39" s="425" t="s">
        <v>55</v>
      </c>
      <c r="B39" s="426"/>
      <c r="C39" s="426"/>
      <c r="D39" s="426"/>
      <c r="E39" s="426"/>
      <c r="F39" s="426"/>
      <c r="G39" s="426"/>
      <c r="H39" s="426"/>
      <c r="I39" s="426"/>
      <c r="J39" s="426"/>
      <c r="K39" s="427"/>
      <c r="L39" s="426"/>
      <c r="M39" s="426"/>
      <c r="N39" s="426"/>
      <c r="O39" s="426"/>
      <c r="P39" s="426"/>
      <c r="Q39" s="426"/>
      <c r="R39" s="426"/>
      <c r="S39" s="426"/>
      <c r="T39" s="426"/>
      <c r="U39" s="427"/>
      <c r="V39" s="426"/>
      <c r="W39" s="426"/>
      <c r="X39" s="426"/>
      <c r="Y39" s="426"/>
      <c r="Z39" s="426"/>
      <c r="AA39" s="426"/>
      <c r="AB39" s="426"/>
      <c r="AC39" s="426"/>
      <c r="AD39" s="426"/>
      <c r="AE39" s="427"/>
      <c r="AF39" s="426"/>
      <c r="AG39" s="426"/>
      <c r="AH39" s="426"/>
      <c r="AI39" s="426"/>
      <c r="AJ39" s="426"/>
      <c r="AK39" s="426"/>
      <c r="AL39" s="426"/>
      <c r="AM39" s="426"/>
      <c r="AN39" s="426"/>
      <c r="AO39" s="427"/>
      <c r="AP39" s="426"/>
      <c r="AQ39" s="426"/>
      <c r="AR39" s="426"/>
      <c r="AS39" s="426"/>
      <c r="AT39" s="426"/>
      <c r="AU39" s="426"/>
      <c r="AV39" s="426"/>
      <c r="AW39" s="426"/>
      <c r="AX39" s="426"/>
      <c r="AY39" s="427"/>
      <c r="AZ39" s="426"/>
      <c r="BA39" s="426"/>
      <c r="BB39" s="426"/>
      <c r="BC39" s="426"/>
      <c r="BD39" s="426"/>
      <c r="BE39" s="426"/>
      <c r="BF39" s="426"/>
      <c r="BG39" s="426"/>
      <c r="BH39" s="426"/>
      <c r="BI39" s="427"/>
      <c r="BJ39" s="426"/>
      <c r="BK39" s="426"/>
      <c r="BL39" s="426"/>
      <c r="BM39" s="426"/>
      <c r="BN39" s="426"/>
      <c r="BO39" s="426"/>
      <c r="BP39" s="426"/>
      <c r="BQ39" s="426"/>
      <c r="BR39" s="426"/>
      <c r="BS39" s="427"/>
      <c r="BT39" s="426"/>
      <c r="BU39" s="426"/>
      <c r="BV39" s="426"/>
      <c r="BW39" s="426"/>
      <c r="BX39" s="426"/>
      <c r="BY39" s="426"/>
      <c r="BZ39" s="426"/>
      <c r="CA39" s="426"/>
      <c r="CB39" s="426"/>
      <c r="CC39" s="426"/>
      <c r="CD39" s="1893">
        <f>'[7]Estado Resumen'!$C$54</f>
        <v>25.105999999999998</v>
      </c>
      <c r="CE39" s="1894"/>
      <c r="CF39" s="1880">
        <f>+CD39/$CY$39</f>
        <v>0.72397485437453135</v>
      </c>
      <c r="CG39" s="1881"/>
      <c r="CH39" s="1647">
        <f>'[7]Estado Resumen'!$E$54</f>
        <v>6.6720000000000006</v>
      </c>
      <c r="CI39" s="1648"/>
      <c r="CJ39" s="1649">
        <f>+CH39/$CY$39</f>
        <v>0.19239863890651138</v>
      </c>
      <c r="CK39" s="1874"/>
      <c r="CL39" s="1875">
        <f>'[7]Estado Resumen'!$G$54</f>
        <v>0</v>
      </c>
      <c r="CM39" s="1639"/>
      <c r="CN39" s="1876">
        <f>+CL39/$CY$39</f>
        <v>0</v>
      </c>
      <c r="CO39" s="1877"/>
      <c r="CP39" s="1870">
        <v>2.9</v>
      </c>
      <c r="CQ39" s="1871"/>
      <c r="CR39" s="1872">
        <f>+CP39/$CY$39</f>
        <v>8.3626506718957272E-2</v>
      </c>
      <c r="CS39" s="1873"/>
      <c r="CT39" s="1869">
        <f>'[7]Estado Resumen'!$K$54</f>
        <v>0</v>
      </c>
      <c r="CU39" s="1643"/>
      <c r="CV39" s="1636">
        <f>+CT39/$CY$39</f>
        <v>0</v>
      </c>
      <c r="CW39" s="1637"/>
      <c r="CY39" s="612">
        <f>CD39+CP39+CT39+CH39+CL39</f>
        <v>34.677999999999997</v>
      </c>
      <c r="CZ39" s="616">
        <f>CF39+CR39+CV39+CJ39+CN39</f>
        <v>1</v>
      </c>
      <c r="DA39" s="635"/>
    </row>
    <row r="40" spans="1:107" ht="10.5" customHeight="1">
      <c r="A40" s="418"/>
      <c r="K40" s="417"/>
      <c r="P40" s="423"/>
      <c r="U40" s="417"/>
      <c r="AA40" s="423"/>
      <c r="AE40" s="417"/>
      <c r="AO40" s="417"/>
      <c r="AP40" s="423"/>
      <c r="AT40" s="423"/>
      <c r="AY40" s="417"/>
      <c r="BA40" s="422"/>
      <c r="BI40" s="417"/>
      <c r="BJ40" s="423"/>
      <c r="BS40" s="417"/>
      <c r="CD40" s="1889" t="s">
        <v>54</v>
      </c>
      <c r="CE40" s="1789"/>
      <c r="CF40" s="1789"/>
      <c r="CG40" s="1890"/>
      <c r="CH40" s="1651" t="s">
        <v>54</v>
      </c>
      <c r="CI40" s="1652"/>
      <c r="CJ40" s="1652"/>
      <c r="CK40" s="1891"/>
      <c r="CL40" s="382" t="s">
        <v>54</v>
      </c>
      <c r="CM40" s="383"/>
      <c r="CN40" s="383"/>
      <c r="CO40" s="384"/>
      <c r="CP40" s="1878" t="s">
        <v>54</v>
      </c>
      <c r="CQ40" s="1654"/>
      <c r="CR40" s="1654"/>
      <c r="CS40" s="1686"/>
      <c r="CT40" s="1878" t="s">
        <v>54</v>
      </c>
      <c r="CU40" s="1654"/>
      <c r="CV40" s="1654"/>
      <c r="CW40" s="1686"/>
      <c r="CY40" s="349"/>
      <c r="CZ40" s="349"/>
      <c r="DA40" s="615"/>
    </row>
    <row r="41" spans="1:107" ht="3.75" customHeight="1">
      <c r="A41" s="418"/>
      <c r="K41" s="417"/>
      <c r="P41" s="423"/>
      <c r="U41" s="417"/>
      <c r="AA41" s="423"/>
      <c r="AE41" s="417"/>
      <c r="AO41" s="417"/>
      <c r="AP41" s="423"/>
      <c r="AT41" s="423"/>
      <c r="AY41" s="417"/>
      <c r="BA41" s="422"/>
      <c r="BI41" s="417"/>
      <c r="BJ41" s="423"/>
      <c r="BS41" s="417"/>
      <c r="CD41" s="1889"/>
      <c r="CE41" s="1789"/>
      <c r="CF41" s="1789"/>
      <c r="CG41" s="1890"/>
      <c r="CH41" s="1634"/>
      <c r="CI41" s="1635"/>
      <c r="CJ41" s="1635"/>
      <c r="CK41" s="1892"/>
      <c r="CL41" s="374"/>
      <c r="CM41" s="375"/>
      <c r="CN41" s="375"/>
      <c r="CO41" s="376"/>
      <c r="CP41" s="1879"/>
      <c r="CQ41" s="1618"/>
      <c r="CR41" s="1618"/>
      <c r="CS41" s="1621"/>
      <c r="CT41" s="1879"/>
      <c r="CU41" s="1618"/>
      <c r="CV41" s="1618"/>
      <c r="CW41" s="1621"/>
      <c r="CY41" s="612" t="s">
        <v>54</v>
      </c>
      <c r="CZ41" s="616" t="s">
        <v>54</v>
      </c>
      <c r="DA41" s="615"/>
    </row>
    <row r="42" spans="1:107" ht="13.5" customHeight="1">
      <c r="A42" s="425" t="s">
        <v>594</v>
      </c>
      <c r="B42" s="426"/>
      <c r="C42" s="426"/>
      <c r="D42" s="426"/>
      <c r="E42" s="426"/>
      <c r="F42" s="426"/>
      <c r="G42" s="426"/>
      <c r="H42" s="426"/>
      <c r="I42" s="426"/>
      <c r="J42" s="426"/>
      <c r="K42" s="427"/>
      <c r="L42" s="426"/>
      <c r="M42" s="426"/>
      <c r="N42" s="426"/>
      <c r="O42" s="426"/>
      <c r="P42" s="431"/>
      <c r="Q42" s="426"/>
      <c r="R42" s="426"/>
      <c r="S42" s="426"/>
      <c r="T42" s="426"/>
      <c r="U42" s="427"/>
      <c r="V42" s="426"/>
      <c r="W42" s="426"/>
      <c r="X42" s="426"/>
      <c r="Y42" s="426"/>
      <c r="Z42" s="426"/>
      <c r="AA42" s="431"/>
      <c r="AB42" s="426"/>
      <c r="AC42" s="426"/>
      <c r="AD42" s="426"/>
      <c r="AE42" s="427"/>
      <c r="AF42" s="426"/>
      <c r="AG42" s="426"/>
      <c r="AH42" s="426"/>
      <c r="AI42" s="426"/>
      <c r="AJ42" s="426"/>
      <c r="AK42" s="426"/>
      <c r="AL42" s="426"/>
      <c r="AM42" s="426"/>
      <c r="AN42" s="426"/>
      <c r="AO42" s="427"/>
      <c r="AP42" s="431"/>
      <c r="AQ42" s="426"/>
      <c r="AR42" s="426"/>
      <c r="AS42" s="426"/>
      <c r="AT42" s="431"/>
      <c r="AU42" s="426"/>
      <c r="AV42" s="426"/>
      <c r="AW42" s="426"/>
      <c r="AX42" s="426"/>
      <c r="AY42" s="427"/>
      <c r="AZ42" s="426"/>
      <c r="BA42" s="894"/>
      <c r="BB42" s="426"/>
      <c r="BC42" s="426"/>
      <c r="BD42" s="426"/>
      <c r="BE42" s="426"/>
      <c r="BF42" s="426"/>
      <c r="BG42" s="426"/>
      <c r="BH42" s="426"/>
      <c r="BI42" s="427"/>
      <c r="BJ42" s="431"/>
      <c r="BK42" s="426"/>
      <c r="BL42" s="426"/>
      <c r="BM42" s="426"/>
      <c r="BN42" s="426"/>
      <c r="BO42" s="426"/>
      <c r="BP42" s="426"/>
      <c r="BQ42" s="426"/>
      <c r="BR42" s="426"/>
      <c r="BS42" s="427"/>
      <c r="BT42" s="426"/>
      <c r="BU42" s="426"/>
      <c r="BV42" s="426"/>
      <c r="BW42" s="426"/>
      <c r="BX42" s="426"/>
      <c r="BY42" s="426"/>
      <c r="BZ42" s="426"/>
      <c r="CA42" s="426"/>
      <c r="CB42" s="426"/>
      <c r="CC42" s="426"/>
      <c r="CD42" s="1893">
        <v>0</v>
      </c>
      <c r="CE42" s="1894"/>
      <c r="CF42" s="1880">
        <v>0</v>
      </c>
      <c r="CG42" s="1881"/>
      <c r="CH42" s="1647">
        <v>5</v>
      </c>
      <c r="CI42" s="1648"/>
      <c r="CJ42" s="1649">
        <v>0.87</v>
      </c>
      <c r="CK42" s="1874"/>
      <c r="CL42" s="1875">
        <v>0</v>
      </c>
      <c r="CM42" s="1639"/>
      <c r="CN42" s="1876">
        <v>0</v>
      </c>
      <c r="CO42" s="1877"/>
      <c r="CP42" s="1870">
        <v>0</v>
      </c>
      <c r="CQ42" s="1871"/>
      <c r="CR42" s="1872">
        <f>CP42/$DA$37</f>
        <v>0</v>
      </c>
      <c r="CS42" s="1873"/>
      <c r="CT42" s="1869">
        <v>1</v>
      </c>
      <c r="CU42" s="1643"/>
      <c r="CV42" s="1636">
        <v>0.13</v>
      </c>
      <c r="CW42" s="1637"/>
      <c r="CY42" s="612">
        <f>CD42+CP42+CT42+CH42+CL42</f>
        <v>6</v>
      </c>
      <c r="CZ42" s="616">
        <f>CF42+CR42+CV42+CJ42+CN42</f>
        <v>1</v>
      </c>
      <c r="DA42" s="617"/>
    </row>
    <row r="43" spans="1:107" ht="10.5" customHeight="1">
      <c r="A43" s="418"/>
      <c r="K43" s="417"/>
      <c r="U43" s="417"/>
      <c r="AE43" s="417"/>
      <c r="AO43" s="417"/>
      <c r="AY43" s="417"/>
      <c r="BI43" s="417"/>
      <c r="BS43" s="417"/>
      <c r="CD43" s="1889" t="s">
        <v>54</v>
      </c>
      <c r="CE43" s="1789"/>
      <c r="CF43" s="1789"/>
      <c r="CG43" s="1890"/>
      <c r="CH43" s="1651" t="s">
        <v>54</v>
      </c>
      <c r="CI43" s="1652"/>
      <c r="CJ43" s="1652"/>
      <c r="CK43" s="1891"/>
      <c r="CL43" s="382" t="s">
        <v>54</v>
      </c>
      <c r="CM43" s="383"/>
      <c r="CN43" s="383"/>
      <c r="CO43" s="384"/>
      <c r="CP43" s="1878" t="s">
        <v>54</v>
      </c>
      <c r="CQ43" s="1654"/>
      <c r="CR43" s="1654"/>
      <c r="CS43" s="1686"/>
      <c r="CT43" s="1878" t="s">
        <v>54</v>
      </c>
      <c r="CU43" s="1654"/>
      <c r="CV43" s="1654"/>
      <c r="CW43" s="1686"/>
      <c r="CY43" s="612" t="s">
        <v>54</v>
      </c>
      <c r="CZ43" s="616" t="s">
        <v>54</v>
      </c>
      <c r="DA43" s="615"/>
    </row>
    <row r="44" spans="1:107" ht="3.75" customHeight="1">
      <c r="A44" s="418"/>
      <c r="B44" s="419"/>
      <c r="C44" s="419"/>
      <c r="D44" s="419"/>
      <c r="E44" s="423"/>
      <c r="F44" s="423"/>
      <c r="G44" s="423"/>
      <c r="H44" s="423"/>
      <c r="I44" s="423"/>
      <c r="J44" s="423"/>
      <c r="K44" s="433"/>
      <c r="L44" s="423"/>
      <c r="M44" s="423"/>
      <c r="N44" s="419"/>
      <c r="O44" s="419"/>
      <c r="P44" s="419"/>
      <c r="Q44" s="419"/>
      <c r="R44" s="423"/>
      <c r="S44" s="423"/>
      <c r="T44" s="423"/>
      <c r="U44" s="433"/>
      <c r="V44" s="423"/>
      <c r="W44" s="423"/>
      <c r="X44" s="423"/>
      <c r="Y44" s="419"/>
      <c r="Z44" s="419"/>
      <c r="AA44" s="419"/>
      <c r="AB44" s="419"/>
      <c r="AC44" s="423"/>
      <c r="AD44" s="423"/>
      <c r="AE44" s="433"/>
      <c r="AF44" s="423"/>
      <c r="AG44" s="423"/>
      <c r="AH44" s="419"/>
      <c r="AI44" s="419"/>
      <c r="AJ44" s="419"/>
      <c r="AK44" s="419"/>
      <c r="AO44" s="417"/>
      <c r="AY44" s="417"/>
      <c r="BI44" s="417"/>
      <c r="BJ44" s="419"/>
      <c r="BK44" s="419"/>
      <c r="BL44" s="419"/>
      <c r="BM44" s="419"/>
      <c r="BS44" s="417"/>
      <c r="CD44" s="1889"/>
      <c r="CE44" s="1789"/>
      <c r="CF44" s="1789"/>
      <c r="CG44" s="1890"/>
      <c r="CH44" s="1634"/>
      <c r="CI44" s="1635"/>
      <c r="CJ44" s="1635"/>
      <c r="CK44" s="1892"/>
      <c r="CL44" s="374"/>
      <c r="CM44" s="375"/>
      <c r="CN44" s="375"/>
      <c r="CO44" s="376"/>
      <c r="CP44" s="1879"/>
      <c r="CQ44" s="1618"/>
      <c r="CR44" s="1618"/>
      <c r="CS44" s="1621"/>
      <c r="CT44" s="1879"/>
      <c r="CU44" s="1618"/>
      <c r="CV44" s="1618"/>
      <c r="CW44" s="1621"/>
      <c r="CY44" s="612"/>
      <c r="CZ44" s="616"/>
      <c r="DA44" s="615"/>
    </row>
    <row r="45" spans="1:107" ht="13.5" customHeight="1">
      <c r="A45" s="425" t="s">
        <v>56</v>
      </c>
      <c r="B45" s="426"/>
      <c r="C45" s="426"/>
      <c r="D45" s="426"/>
      <c r="E45" s="426"/>
      <c r="F45" s="426"/>
      <c r="G45" s="426"/>
      <c r="H45" s="426"/>
      <c r="I45" s="426"/>
      <c r="J45" s="426"/>
      <c r="K45" s="427"/>
      <c r="L45" s="426"/>
      <c r="M45" s="426"/>
      <c r="N45" s="426"/>
      <c r="O45" s="426"/>
      <c r="P45" s="426"/>
      <c r="Q45" s="426"/>
      <c r="R45" s="426"/>
      <c r="S45" s="426"/>
      <c r="T45" s="426"/>
      <c r="U45" s="427"/>
      <c r="V45" s="426"/>
      <c r="W45" s="426"/>
      <c r="X45" s="426"/>
      <c r="Y45" s="426"/>
      <c r="Z45" s="426"/>
      <c r="AA45" s="426"/>
      <c r="AB45" s="426"/>
      <c r="AC45" s="426"/>
      <c r="AD45" s="426"/>
      <c r="AE45" s="427"/>
      <c r="AF45" s="426"/>
      <c r="AG45" s="426"/>
      <c r="AH45" s="426"/>
      <c r="AI45" s="426"/>
      <c r="AJ45" s="426"/>
      <c r="AK45" s="426"/>
      <c r="AL45" s="426"/>
      <c r="AM45" s="426"/>
      <c r="AN45" s="426"/>
      <c r="AO45" s="427"/>
      <c r="AP45" s="426"/>
      <c r="AQ45" s="426"/>
      <c r="AR45" s="426"/>
      <c r="AS45" s="426"/>
      <c r="AT45" s="426"/>
      <c r="AU45" s="426"/>
      <c r="AV45" s="426"/>
      <c r="AW45" s="426"/>
      <c r="AX45" s="426"/>
      <c r="AY45" s="427"/>
      <c r="AZ45" s="426"/>
      <c r="BA45" s="426"/>
      <c r="BB45" s="426"/>
      <c r="BC45" s="426"/>
      <c r="BD45" s="426"/>
      <c r="BE45" s="426"/>
      <c r="BF45" s="426"/>
      <c r="BG45" s="426"/>
      <c r="BH45" s="426"/>
      <c r="BI45" s="427"/>
      <c r="BJ45" s="426"/>
      <c r="BK45" s="426"/>
      <c r="BL45" s="426"/>
      <c r="BM45" s="426"/>
      <c r="BN45" s="426"/>
      <c r="BO45" s="426"/>
      <c r="BP45" s="426"/>
      <c r="BQ45" s="426"/>
      <c r="BR45" s="426"/>
      <c r="BS45" s="427"/>
      <c r="BT45" s="426"/>
      <c r="BU45" s="426"/>
      <c r="BV45" s="426"/>
      <c r="BW45" s="426"/>
      <c r="BX45" s="426"/>
      <c r="BY45" s="426"/>
      <c r="BZ45" s="426"/>
      <c r="CA45" s="426"/>
      <c r="CB45" s="426"/>
      <c r="CC45" s="426"/>
      <c r="CD45" s="1893">
        <v>0</v>
      </c>
      <c r="CE45" s="1894"/>
      <c r="CF45" s="1880">
        <v>0</v>
      </c>
      <c r="CG45" s="1881"/>
      <c r="CH45" s="1647">
        <v>25</v>
      </c>
      <c r="CI45" s="1648"/>
      <c r="CJ45" s="1649">
        <f>CH45/$DA$37</f>
        <v>0.69890970086664794</v>
      </c>
      <c r="CK45" s="1874"/>
      <c r="CL45" s="1875">
        <v>10.77</v>
      </c>
      <c r="CM45" s="1639"/>
      <c r="CN45" s="1876">
        <f>CL45/$DA$37</f>
        <v>0.30109029913335195</v>
      </c>
      <c r="CO45" s="1877"/>
      <c r="CP45" s="1870">
        <v>0</v>
      </c>
      <c r="CQ45" s="1871"/>
      <c r="CR45" s="1872">
        <f>CP45/$DA$37</f>
        <v>0</v>
      </c>
      <c r="CS45" s="1873"/>
      <c r="CT45" s="1869">
        <v>0</v>
      </c>
      <c r="CU45" s="1643"/>
      <c r="CV45" s="1636">
        <v>0</v>
      </c>
      <c r="CW45" s="1637"/>
      <c r="CY45" s="612">
        <f>CD45+CP45+CT45+CH45+CL45</f>
        <v>35.769999999999996</v>
      </c>
      <c r="CZ45" s="616">
        <f>CF45+CR45+CV45+CJ45+CN45</f>
        <v>0.99999999999999989</v>
      </c>
      <c r="DA45" s="615"/>
      <c r="DB45" s="434"/>
    </row>
    <row r="46" spans="1:107" ht="10.5" customHeight="1">
      <c r="A46" s="418"/>
      <c r="K46" s="417"/>
      <c r="U46" s="417"/>
      <c r="AE46" s="417"/>
      <c r="AO46" s="417"/>
      <c r="AY46" s="417"/>
      <c r="BI46" s="417"/>
      <c r="BS46" s="417"/>
      <c r="CD46" s="1889" t="s">
        <v>54</v>
      </c>
      <c r="CE46" s="1789"/>
      <c r="CF46" s="1789"/>
      <c r="CG46" s="1890"/>
      <c r="CH46" s="1651" t="s">
        <v>54</v>
      </c>
      <c r="CI46" s="1652"/>
      <c r="CJ46" s="1652"/>
      <c r="CK46" s="1891"/>
      <c r="CL46" s="382" t="s">
        <v>54</v>
      </c>
      <c r="CM46" s="383"/>
      <c r="CN46" s="383"/>
      <c r="CO46" s="384"/>
      <c r="CP46" s="1878" t="s">
        <v>54</v>
      </c>
      <c r="CQ46" s="1654"/>
      <c r="CR46" s="1654"/>
      <c r="CS46" s="1686"/>
      <c r="CT46" s="1878" t="s">
        <v>54</v>
      </c>
      <c r="CU46" s="1654"/>
      <c r="CV46" s="1654"/>
      <c r="CW46" s="1686"/>
      <c r="CY46" s="612"/>
      <c r="CZ46" s="616"/>
      <c r="DA46" s="615"/>
    </row>
    <row r="47" spans="1:107" ht="3.75" customHeight="1">
      <c r="A47" s="418"/>
      <c r="B47" s="423"/>
      <c r="C47" s="423"/>
      <c r="D47" s="423"/>
      <c r="E47" s="423"/>
      <c r="F47" s="423"/>
      <c r="G47" s="423"/>
      <c r="H47" s="423"/>
      <c r="I47" s="423"/>
      <c r="J47" s="423"/>
      <c r="K47" s="433"/>
      <c r="L47" s="423"/>
      <c r="M47" s="423"/>
      <c r="N47" s="423"/>
      <c r="O47" s="423"/>
      <c r="P47" s="423"/>
      <c r="Q47" s="423"/>
      <c r="R47" s="423"/>
      <c r="S47" s="423"/>
      <c r="T47" s="423"/>
      <c r="U47" s="433"/>
      <c r="V47" s="423"/>
      <c r="W47" s="423"/>
      <c r="X47" s="423"/>
      <c r="Y47" s="423"/>
      <c r="Z47" s="423"/>
      <c r="AA47" s="423"/>
      <c r="AB47" s="423"/>
      <c r="AC47" s="423"/>
      <c r="AD47" s="423"/>
      <c r="AE47" s="433"/>
      <c r="AF47" s="423"/>
      <c r="AG47" s="423"/>
      <c r="AH47" s="423"/>
      <c r="AI47" s="423"/>
      <c r="AJ47" s="423"/>
      <c r="AK47" s="423"/>
      <c r="AL47" s="423"/>
      <c r="AM47" s="423"/>
      <c r="AN47" s="423"/>
      <c r="AO47" s="433"/>
      <c r="AP47" s="423"/>
      <c r="AQ47" s="423"/>
      <c r="AR47" s="423"/>
      <c r="AS47" s="423"/>
      <c r="AT47" s="423"/>
      <c r="AU47" s="423"/>
      <c r="AV47" s="423"/>
      <c r="AW47" s="423"/>
      <c r="AX47" s="423"/>
      <c r="AY47" s="433"/>
      <c r="AZ47" s="423"/>
      <c r="BA47" s="423"/>
      <c r="BB47" s="423"/>
      <c r="BC47" s="423"/>
      <c r="BD47" s="423"/>
      <c r="BE47" s="423"/>
      <c r="BF47" s="423"/>
      <c r="BG47" s="423"/>
      <c r="BH47" s="423"/>
      <c r="BI47" s="433"/>
      <c r="BJ47" s="423"/>
      <c r="BK47" s="423"/>
      <c r="BL47" s="423"/>
      <c r="BM47" s="423"/>
      <c r="BN47" s="423"/>
      <c r="BO47" s="423"/>
      <c r="BP47" s="423"/>
      <c r="BQ47" s="423"/>
      <c r="BR47" s="423"/>
      <c r="BS47" s="433"/>
      <c r="BT47" s="423"/>
      <c r="BU47" s="423"/>
      <c r="BV47" s="423"/>
      <c r="CD47" s="1889"/>
      <c r="CE47" s="1789"/>
      <c r="CF47" s="1789"/>
      <c r="CG47" s="1890"/>
      <c r="CH47" s="1634"/>
      <c r="CI47" s="1635"/>
      <c r="CJ47" s="1635"/>
      <c r="CK47" s="1892"/>
      <c r="CL47" s="374"/>
      <c r="CM47" s="375"/>
      <c r="CN47" s="375"/>
      <c r="CO47" s="376"/>
      <c r="CP47" s="1879"/>
      <c r="CQ47" s="1618"/>
      <c r="CR47" s="1618"/>
      <c r="CS47" s="1621"/>
      <c r="CT47" s="1879"/>
      <c r="CU47" s="1618"/>
      <c r="CV47" s="1618"/>
      <c r="CW47" s="1621"/>
      <c r="CY47" s="612" t="s">
        <v>54</v>
      </c>
      <c r="CZ47" s="616" t="s">
        <v>54</v>
      </c>
      <c r="DA47" s="612"/>
    </row>
    <row r="48" spans="1:107" ht="13.5" customHeight="1">
      <c r="A48" s="425" t="s">
        <v>574</v>
      </c>
      <c r="B48" s="426"/>
      <c r="C48" s="426"/>
      <c r="D48" s="426"/>
      <c r="E48" s="426"/>
      <c r="F48" s="426"/>
      <c r="G48" s="426"/>
      <c r="H48" s="426"/>
      <c r="I48" s="426"/>
      <c r="J48" s="426"/>
      <c r="K48" s="427"/>
      <c r="L48" s="426"/>
      <c r="M48" s="426"/>
      <c r="N48" s="426"/>
      <c r="O48" s="426"/>
      <c r="P48" s="426"/>
      <c r="Q48" s="426"/>
      <c r="R48" s="426"/>
      <c r="S48" s="426"/>
      <c r="T48" s="426"/>
      <c r="U48" s="427"/>
      <c r="V48" s="426"/>
      <c r="W48" s="426"/>
      <c r="X48" s="426"/>
      <c r="Y48" s="426"/>
      <c r="Z48" s="426"/>
      <c r="AA48" s="426"/>
      <c r="AB48" s="426"/>
      <c r="AC48" s="426"/>
      <c r="AD48" s="426"/>
      <c r="AE48" s="427"/>
      <c r="AF48" s="426"/>
      <c r="AG48" s="426"/>
      <c r="AH48" s="426"/>
      <c r="AI48" s="426"/>
      <c r="AJ48" s="426"/>
      <c r="AK48" s="426"/>
      <c r="AL48" s="426"/>
      <c r="AM48" s="426"/>
      <c r="AN48" s="426"/>
      <c r="AO48" s="427"/>
      <c r="AP48" s="426"/>
      <c r="AQ48" s="426"/>
      <c r="AR48" s="426"/>
      <c r="AS48" s="426"/>
      <c r="AT48" s="426"/>
      <c r="AU48" s="426"/>
      <c r="AV48" s="426"/>
      <c r="AW48" s="426"/>
      <c r="AX48" s="426"/>
      <c r="AY48" s="427"/>
      <c r="AZ48" s="426"/>
      <c r="BA48" s="426"/>
      <c r="BB48" s="426"/>
      <c r="BC48" s="426"/>
      <c r="BD48" s="426"/>
      <c r="BE48" s="426"/>
      <c r="BF48" s="426"/>
      <c r="BG48" s="426"/>
      <c r="BH48" s="426"/>
      <c r="BI48" s="427"/>
      <c r="BJ48" s="426"/>
      <c r="BK48" s="426"/>
      <c r="BL48" s="426"/>
      <c r="BM48" s="426"/>
      <c r="BN48" s="426"/>
      <c r="BO48" s="426"/>
      <c r="BP48" s="426"/>
      <c r="BQ48" s="426"/>
      <c r="BR48" s="426"/>
      <c r="BS48" s="427"/>
      <c r="BT48" s="426"/>
      <c r="BU48" s="426"/>
      <c r="BV48" s="426"/>
      <c r="BW48" s="426"/>
      <c r="BX48" s="426"/>
      <c r="BY48" s="426"/>
      <c r="BZ48" s="426"/>
      <c r="CA48" s="426"/>
      <c r="CB48" s="426"/>
      <c r="CC48" s="426"/>
      <c r="CD48" s="1893">
        <v>0</v>
      </c>
      <c r="CE48" s="1894"/>
      <c r="CF48" s="1880">
        <v>0</v>
      </c>
      <c r="CG48" s="1881"/>
      <c r="CH48" s="1647">
        <f>+DA37</f>
        <v>35.770000000000003</v>
      </c>
      <c r="CI48" s="1648"/>
      <c r="CJ48" s="1649">
        <f>CH48/$DA$37</f>
        <v>1</v>
      </c>
      <c r="CK48" s="1874"/>
      <c r="CL48" s="1875">
        <v>0</v>
      </c>
      <c r="CM48" s="1639"/>
      <c r="CN48" s="1876">
        <v>0</v>
      </c>
      <c r="CO48" s="1877"/>
      <c r="CP48" s="1870">
        <v>0</v>
      </c>
      <c r="CQ48" s="1871"/>
      <c r="CR48" s="1872">
        <f>CP48/$DA$37</f>
        <v>0</v>
      </c>
      <c r="CS48" s="1873"/>
      <c r="CT48" s="1869">
        <v>0</v>
      </c>
      <c r="CU48" s="1643"/>
      <c r="CV48" s="1636">
        <v>0</v>
      </c>
      <c r="CW48" s="1637"/>
      <c r="CY48" s="612">
        <f>CD48+CP48+CT48+CH48+CL48</f>
        <v>35.770000000000003</v>
      </c>
      <c r="CZ48" s="616">
        <f>CF48+CR48+CV48+CJ48+CN48</f>
        <v>1</v>
      </c>
      <c r="DA48" s="612" t="s">
        <v>54</v>
      </c>
      <c r="DB48" s="440"/>
      <c r="DC48" s="440"/>
    </row>
    <row r="49" spans="1:105" ht="10.5" customHeight="1">
      <c r="A49" s="418"/>
      <c r="K49" s="417"/>
      <c r="U49" s="417"/>
      <c r="AE49" s="417"/>
      <c r="AO49" s="417"/>
      <c r="AY49" s="417"/>
      <c r="BI49" s="417"/>
      <c r="BS49" s="417"/>
      <c r="CD49" s="1889" t="s">
        <v>54</v>
      </c>
      <c r="CE49" s="1789"/>
      <c r="CF49" s="1789"/>
      <c r="CG49" s="1890"/>
      <c r="CH49" s="1651" t="s">
        <v>54</v>
      </c>
      <c r="CI49" s="1652"/>
      <c r="CJ49" s="1652"/>
      <c r="CK49" s="1891"/>
      <c r="CL49" s="382" t="s">
        <v>54</v>
      </c>
      <c r="CM49" s="383"/>
      <c r="CN49" s="383"/>
      <c r="CO49" s="384"/>
      <c r="CP49" s="1878" t="s">
        <v>54</v>
      </c>
      <c r="CQ49" s="1654"/>
      <c r="CR49" s="1654"/>
      <c r="CS49" s="1686"/>
      <c r="CT49" s="1878" t="s">
        <v>54</v>
      </c>
      <c r="CU49" s="1654"/>
      <c r="CV49" s="1654"/>
      <c r="CW49" s="1686"/>
      <c r="CY49" s="612" t="s">
        <v>54</v>
      </c>
      <c r="CZ49" s="616" t="s">
        <v>54</v>
      </c>
      <c r="DA49" s="612"/>
    </row>
    <row r="50" spans="1:105" ht="3.75" customHeight="1">
      <c r="A50" s="418"/>
      <c r="B50" s="419"/>
      <c r="C50" s="419"/>
      <c r="D50" s="419"/>
      <c r="E50" s="419"/>
      <c r="F50" s="419"/>
      <c r="G50" s="419"/>
      <c r="H50" s="419"/>
      <c r="I50" s="419"/>
      <c r="J50" s="419"/>
      <c r="K50" s="420"/>
      <c r="L50" s="423"/>
      <c r="M50" s="423"/>
      <c r="N50" s="419"/>
      <c r="O50" s="419"/>
      <c r="P50" s="419"/>
      <c r="Q50" s="419"/>
      <c r="R50" s="419"/>
      <c r="S50" s="419"/>
      <c r="T50" s="419"/>
      <c r="U50" s="420"/>
      <c r="V50" s="419"/>
      <c r="W50" s="419"/>
      <c r="X50" s="419"/>
      <c r="Y50" s="419"/>
      <c r="Z50" s="419"/>
      <c r="AA50" s="419"/>
      <c r="AB50" s="423"/>
      <c r="AC50" s="423"/>
      <c r="AD50" s="423"/>
      <c r="AE50" s="423"/>
      <c r="AF50" s="423"/>
      <c r="AG50" s="423"/>
      <c r="AH50" s="423"/>
      <c r="AI50" s="423"/>
      <c r="AJ50" s="423"/>
      <c r="AK50" s="423"/>
      <c r="AL50" s="423"/>
      <c r="AM50" s="423"/>
      <c r="AN50" s="423"/>
      <c r="AO50" s="423"/>
      <c r="AP50" s="423"/>
      <c r="AQ50" s="423"/>
      <c r="AR50" s="423"/>
      <c r="AS50" s="423"/>
      <c r="AT50" s="423"/>
      <c r="AU50" s="423"/>
      <c r="AV50" s="423"/>
      <c r="AW50" s="423"/>
      <c r="AX50" s="423"/>
      <c r="AY50" s="423"/>
      <c r="AZ50" s="423"/>
      <c r="BA50" s="423"/>
      <c r="BB50" s="423"/>
      <c r="BC50" s="423"/>
      <c r="BD50" s="423"/>
      <c r="BE50" s="423"/>
      <c r="BF50" s="423"/>
      <c r="BG50" s="423"/>
      <c r="BH50" s="423"/>
      <c r="BI50" s="423"/>
      <c r="BJ50" s="423"/>
      <c r="BK50" s="423"/>
      <c r="BL50" s="423"/>
      <c r="BM50" s="423"/>
      <c r="BN50" s="423"/>
      <c r="BO50" s="423"/>
      <c r="BP50" s="423"/>
      <c r="BQ50" s="423"/>
      <c r="BR50" s="423"/>
      <c r="BS50" s="423"/>
      <c r="BT50" s="423"/>
      <c r="BU50" s="423"/>
      <c r="BV50" s="423"/>
      <c r="CD50" s="1889"/>
      <c r="CE50" s="1789"/>
      <c r="CF50" s="1789"/>
      <c r="CG50" s="1890"/>
      <c r="CH50" s="1634"/>
      <c r="CI50" s="1635"/>
      <c r="CJ50" s="1635"/>
      <c r="CK50" s="1892"/>
      <c r="CL50" s="374"/>
      <c r="CM50" s="375"/>
      <c r="CN50" s="375"/>
      <c r="CO50" s="376"/>
      <c r="CP50" s="1879"/>
      <c r="CQ50" s="1618"/>
      <c r="CR50" s="1618"/>
      <c r="CS50" s="1621"/>
      <c r="CT50" s="1879"/>
      <c r="CU50" s="1618"/>
      <c r="CV50" s="1618"/>
      <c r="CW50" s="1621"/>
      <c r="CY50" s="612"/>
      <c r="CZ50" s="616"/>
      <c r="DA50" s="615"/>
    </row>
    <row r="51" spans="1:105" ht="13.5" customHeight="1">
      <c r="A51" s="425" t="s">
        <v>57</v>
      </c>
      <c r="B51" s="426"/>
      <c r="C51" s="426"/>
      <c r="D51" s="426"/>
      <c r="E51" s="426"/>
      <c r="F51" s="426"/>
      <c r="G51" s="426"/>
      <c r="H51" s="426"/>
      <c r="I51" s="426"/>
      <c r="J51" s="426"/>
      <c r="K51" s="427"/>
      <c r="L51" s="426"/>
      <c r="M51" s="426"/>
      <c r="N51" s="426"/>
      <c r="O51" s="426"/>
      <c r="P51" s="426"/>
      <c r="Q51" s="426"/>
      <c r="R51" s="426"/>
      <c r="S51" s="426"/>
      <c r="T51" s="426"/>
      <c r="U51" s="427"/>
      <c r="V51" s="426"/>
      <c r="W51" s="426"/>
      <c r="X51" s="426"/>
      <c r="Y51" s="426"/>
      <c r="Z51" s="426"/>
      <c r="AA51" s="426"/>
      <c r="AB51" s="426"/>
      <c r="AC51" s="426"/>
      <c r="AD51" s="426"/>
      <c r="AE51" s="427"/>
      <c r="AF51" s="426"/>
      <c r="AG51" s="426"/>
      <c r="AH51" s="426"/>
      <c r="AI51" s="426"/>
      <c r="AJ51" s="426"/>
      <c r="AK51" s="426"/>
      <c r="AL51" s="426"/>
      <c r="AM51" s="426"/>
      <c r="AN51" s="426"/>
      <c r="AO51" s="427"/>
      <c r="AP51" s="426"/>
      <c r="AQ51" s="426"/>
      <c r="AR51" s="426"/>
      <c r="AS51" s="426"/>
      <c r="AT51" s="426"/>
      <c r="AU51" s="426"/>
      <c r="AV51" s="426"/>
      <c r="AW51" s="426"/>
      <c r="AX51" s="426"/>
      <c r="AY51" s="427"/>
      <c r="AZ51" s="426"/>
      <c r="BA51" s="426"/>
      <c r="BB51" s="426"/>
      <c r="BC51" s="426"/>
      <c r="BD51" s="426"/>
      <c r="BE51" s="426"/>
      <c r="BF51" s="426"/>
      <c r="BG51" s="426"/>
      <c r="BH51" s="426"/>
      <c r="BI51" s="427"/>
      <c r="BJ51" s="426"/>
      <c r="BK51" s="426"/>
      <c r="BL51" s="426"/>
      <c r="BM51" s="426"/>
      <c r="BN51" s="426"/>
      <c r="BO51" s="426"/>
      <c r="BP51" s="426"/>
      <c r="BQ51" s="426"/>
      <c r="BR51" s="426"/>
      <c r="BS51" s="427"/>
      <c r="BT51" s="426"/>
      <c r="BU51" s="426"/>
      <c r="BV51" s="426"/>
      <c r="BW51" s="426"/>
      <c r="BX51" s="426"/>
      <c r="BY51" s="426"/>
      <c r="BZ51" s="426"/>
      <c r="CA51" s="426"/>
      <c r="CB51" s="426"/>
      <c r="CC51" s="426"/>
      <c r="CD51" s="1893">
        <v>0</v>
      </c>
      <c r="CE51" s="1894"/>
      <c r="CF51" s="1880">
        <v>0</v>
      </c>
      <c r="CG51" s="1881"/>
      <c r="CH51" s="1647">
        <f>27.09-1.008-0.996-1.014-0.984</f>
        <v>23.088000000000001</v>
      </c>
      <c r="CI51" s="1648"/>
      <c r="CJ51" s="1649">
        <f>CH51/$DA$37</f>
        <v>0.64545708694436676</v>
      </c>
      <c r="CK51" s="1874"/>
      <c r="CL51" s="1875">
        <f>+DA37-CH51</f>
        <v>12.682000000000002</v>
      </c>
      <c r="CM51" s="1639"/>
      <c r="CN51" s="1876">
        <f>CL51/$DA$37</f>
        <v>0.35454291305563324</v>
      </c>
      <c r="CO51" s="1877"/>
      <c r="CP51" s="1870">
        <v>0</v>
      </c>
      <c r="CQ51" s="1871"/>
      <c r="CR51" s="1872">
        <f>CP51/$DA$37</f>
        <v>0</v>
      </c>
      <c r="CS51" s="1873"/>
      <c r="CT51" s="1869">
        <v>0</v>
      </c>
      <c r="CU51" s="1643"/>
      <c r="CV51" s="1636">
        <v>0</v>
      </c>
      <c r="CW51" s="1637"/>
      <c r="CY51" s="612">
        <f>CD51+CP51+CT51+CH51+CL51</f>
        <v>35.770000000000003</v>
      </c>
      <c r="CZ51" s="616">
        <f>CF51+CR51+CV51+CJ51+CN51</f>
        <v>1</v>
      </c>
      <c r="DA51" s="612" t="s">
        <v>54</v>
      </c>
    </row>
    <row r="52" spans="1:105" ht="10.5" customHeight="1">
      <c r="A52" s="418"/>
      <c r="K52" s="417"/>
      <c r="U52" s="417"/>
      <c r="AE52" s="417"/>
      <c r="AO52" s="417"/>
      <c r="AY52" s="417"/>
      <c r="BI52" s="417"/>
      <c r="BS52" s="417"/>
      <c r="CD52" s="1889" t="s">
        <v>54</v>
      </c>
      <c r="CE52" s="1789"/>
      <c r="CF52" s="1789"/>
      <c r="CG52" s="1890"/>
      <c r="CH52" s="1651" t="s">
        <v>54</v>
      </c>
      <c r="CI52" s="1652"/>
      <c r="CJ52" s="1652"/>
      <c r="CK52" s="1891"/>
      <c r="CL52" s="382" t="s">
        <v>54</v>
      </c>
      <c r="CM52" s="383"/>
      <c r="CN52" s="383"/>
      <c r="CO52" s="384"/>
      <c r="CP52" s="1878" t="s">
        <v>54</v>
      </c>
      <c r="CQ52" s="1654"/>
      <c r="CR52" s="1654"/>
      <c r="CS52" s="1686"/>
      <c r="CT52" s="1878" t="s">
        <v>54</v>
      </c>
      <c r="CU52" s="1654"/>
      <c r="CV52" s="1654"/>
      <c r="CW52" s="1686"/>
      <c r="CY52" s="612"/>
      <c r="CZ52" s="616"/>
      <c r="DA52" s="615"/>
    </row>
    <row r="53" spans="1:105" ht="3.75" customHeight="1">
      <c r="A53" s="418"/>
      <c r="B53" s="423"/>
      <c r="C53" s="423"/>
      <c r="D53" s="423"/>
      <c r="E53" s="423"/>
      <c r="F53" s="423"/>
      <c r="G53" s="423"/>
      <c r="H53" s="423"/>
      <c r="I53" s="423"/>
      <c r="J53" s="423"/>
      <c r="K53" s="433"/>
      <c r="L53" s="423"/>
      <c r="M53" s="423"/>
      <c r="N53" s="423"/>
      <c r="O53" s="423"/>
      <c r="P53" s="423"/>
      <c r="Q53" s="423"/>
      <c r="R53" s="423"/>
      <c r="S53" s="423"/>
      <c r="T53" s="423"/>
      <c r="U53" s="433"/>
      <c r="V53" s="423"/>
      <c r="W53" s="423"/>
      <c r="X53" s="423"/>
      <c r="Y53" s="423"/>
      <c r="Z53" s="423"/>
      <c r="AA53" s="423"/>
      <c r="AB53" s="423"/>
      <c r="AC53" s="423"/>
      <c r="AD53" s="423"/>
      <c r="AE53" s="433"/>
      <c r="AF53" s="423"/>
      <c r="AG53" s="423"/>
      <c r="AH53" s="423"/>
      <c r="AI53" s="423"/>
      <c r="AJ53" s="423"/>
      <c r="AK53" s="423"/>
      <c r="AL53" s="423"/>
      <c r="AM53" s="423"/>
      <c r="AN53" s="423"/>
      <c r="AO53" s="433"/>
      <c r="AP53" s="423"/>
      <c r="AQ53" s="423"/>
      <c r="AR53" s="423"/>
      <c r="AS53" s="423"/>
      <c r="AT53" s="423"/>
      <c r="AU53" s="423"/>
      <c r="AV53" s="423"/>
      <c r="AW53" s="423"/>
      <c r="AX53" s="423"/>
      <c r="AY53" s="433"/>
      <c r="AZ53" s="423"/>
      <c r="BA53" s="423"/>
      <c r="BB53" s="423"/>
      <c r="BC53" s="423"/>
      <c r="BD53" s="423"/>
      <c r="BE53" s="423"/>
      <c r="BF53" s="423"/>
      <c r="BG53" s="423"/>
      <c r="BH53" s="423"/>
      <c r="BI53" s="433"/>
      <c r="BJ53" s="423"/>
      <c r="BK53" s="423"/>
      <c r="BL53" s="423"/>
      <c r="BM53" s="423"/>
      <c r="BN53" s="423"/>
      <c r="BO53" s="423"/>
      <c r="BP53" s="423"/>
      <c r="BQ53" s="423"/>
      <c r="BR53" s="423"/>
      <c r="BS53" s="433"/>
      <c r="BT53" s="423"/>
      <c r="BU53" s="423"/>
      <c r="BV53" s="423"/>
      <c r="CD53" s="1889"/>
      <c r="CE53" s="1789"/>
      <c r="CF53" s="1789"/>
      <c r="CG53" s="1890"/>
      <c r="CH53" s="1634"/>
      <c r="CI53" s="1635"/>
      <c r="CJ53" s="1635"/>
      <c r="CK53" s="1892"/>
      <c r="CL53" s="374"/>
      <c r="CM53" s="375"/>
      <c r="CN53" s="375"/>
      <c r="CO53" s="376"/>
      <c r="CP53" s="1879"/>
      <c r="CQ53" s="1618"/>
      <c r="CR53" s="1618"/>
      <c r="CS53" s="1621"/>
      <c r="CT53" s="1879"/>
      <c r="CU53" s="1618"/>
      <c r="CV53" s="1618"/>
      <c r="CW53" s="1621"/>
      <c r="CY53" s="612" t="s">
        <v>54</v>
      </c>
      <c r="CZ53" s="616" t="s">
        <v>54</v>
      </c>
      <c r="DA53" s="612"/>
    </row>
    <row r="54" spans="1:105" ht="13.5" customHeight="1">
      <c r="A54" s="425" t="s">
        <v>58</v>
      </c>
      <c r="B54" s="426"/>
      <c r="C54" s="426"/>
      <c r="D54" s="426"/>
      <c r="E54" s="426"/>
      <c r="F54" s="426"/>
      <c r="G54" s="426"/>
      <c r="H54" s="426"/>
      <c r="I54" s="426"/>
      <c r="J54" s="426"/>
      <c r="K54" s="427"/>
      <c r="L54" s="426"/>
      <c r="M54" s="426"/>
      <c r="N54" s="426"/>
      <c r="O54" s="426"/>
      <c r="P54" s="426"/>
      <c r="Q54" s="426"/>
      <c r="R54" s="426"/>
      <c r="S54" s="426"/>
      <c r="T54" s="426"/>
      <c r="U54" s="427"/>
      <c r="V54" s="426"/>
      <c r="W54" s="426"/>
      <c r="X54" s="426"/>
      <c r="Y54" s="426"/>
      <c r="Z54" s="426"/>
      <c r="AA54" s="426"/>
      <c r="AB54" s="426"/>
      <c r="AC54" s="426"/>
      <c r="AD54" s="426"/>
      <c r="AE54" s="427"/>
      <c r="AF54" s="426"/>
      <c r="AG54" s="426"/>
      <c r="AH54" s="426"/>
      <c r="AI54" s="426"/>
      <c r="AJ54" s="426"/>
      <c r="AK54" s="426"/>
      <c r="AL54" s="426"/>
      <c r="AM54" s="426"/>
      <c r="AN54" s="426"/>
      <c r="AO54" s="427"/>
      <c r="AP54" s="426"/>
      <c r="AQ54" s="426"/>
      <c r="AR54" s="426"/>
      <c r="AS54" s="426"/>
      <c r="AT54" s="426"/>
      <c r="AU54" s="426"/>
      <c r="AV54" s="426"/>
      <c r="AW54" s="426"/>
      <c r="AX54" s="426"/>
      <c r="AY54" s="427"/>
      <c r="AZ54" s="426"/>
      <c r="BA54" s="426"/>
      <c r="BB54" s="426"/>
      <c r="BC54" s="426"/>
      <c r="BD54" s="426"/>
      <c r="BE54" s="426"/>
      <c r="BF54" s="426"/>
      <c r="BG54" s="426"/>
      <c r="BH54" s="426"/>
      <c r="BI54" s="427"/>
      <c r="BJ54" s="426"/>
      <c r="BK54" s="426"/>
      <c r="BL54" s="426"/>
      <c r="BM54" s="426"/>
      <c r="BN54" s="426"/>
      <c r="BO54" s="426"/>
      <c r="BP54" s="426"/>
      <c r="BQ54" s="426"/>
      <c r="BR54" s="426"/>
      <c r="BS54" s="427"/>
      <c r="BT54" s="426"/>
      <c r="BU54" s="426"/>
      <c r="BV54" s="426"/>
      <c r="BW54" s="426"/>
      <c r="BX54" s="426"/>
      <c r="BY54" s="426"/>
      <c r="BZ54" s="426"/>
      <c r="CA54" s="426"/>
      <c r="CB54" s="426"/>
      <c r="CC54" s="426"/>
      <c r="CD54" s="1893">
        <v>0</v>
      </c>
      <c r="CE54" s="1894"/>
      <c r="CF54" s="1880">
        <v>0</v>
      </c>
      <c r="CG54" s="1881"/>
      <c r="CH54" s="1647">
        <f>35.77-CT54</f>
        <v>35.770000000000003</v>
      </c>
      <c r="CI54" s="1648"/>
      <c r="CJ54" s="1649">
        <f>CH54/$DA$37</f>
        <v>1</v>
      </c>
      <c r="CK54" s="1874"/>
      <c r="CL54" s="1875">
        <v>0</v>
      </c>
      <c r="CM54" s="1639"/>
      <c r="CN54" s="1876">
        <v>0</v>
      </c>
      <c r="CO54" s="1877"/>
      <c r="CP54" s="1870">
        <v>0</v>
      </c>
      <c r="CQ54" s="1871"/>
      <c r="CR54" s="1872">
        <f>CP54/$DA$37</f>
        <v>0</v>
      </c>
      <c r="CS54" s="1873"/>
      <c r="CT54" s="1869">
        <v>0</v>
      </c>
      <c r="CU54" s="1643"/>
      <c r="CV54" s="1636">
        <v>0</v>
      </c>
      <c r="CW54" s="1637"/>
      <c r="CY54" s="612">
        <f>CD54+CP54+CT54+CH54+CL54</f>
        <v>35.770000000000003</v>
      </c>
      <c r="CZ54" s="616">
        <f>CF54+CR54+CV54+CJ54+CN54</f>
        <v>1</v>
      </c>
      <c r="DA54" s="615"/>
    </row>
    <row r="55" spans="1:105" ht="10.5" customHeight="1">
      <c r="A55" s="418"/>
      <c r="K55" s="417"/>
      <c r="U55" s="417"/>
      <c r="AE55" s="417"/>
      <c r="AO55" s="417"/>
      <c r="AY55" s="417"/>
      <c r="BI55" s="417"/>
      <c r="BS55" s="417"/>
      <c r="CD55" s="1889" t="s">
        <v>54</v>
      </c>
      <c r="CE55" s="1789"/>
      <c r="CF55" s="1789"/>
      <c r="CG55" s="1890"/>
      <c r="CH55" s="1651" t="s">
        <v>54</v>
      </c>
      <c r="CI55" s="1652"/>
      <c r="CJ55" s="1652"/>
      <c r="CK55" s="1891"/>
      <c r="CL55" s="382" t="s">
        <v>54</v>
      </c>
      <c r="CM55" s="383"/>
      <c r="CN55" s="383"/>
      <c r="CO55" s="384"/>
      <c r="CP55" s="1878" t="s">
        <v>54</v>
      </c>
      <c r="CQ55" s="1654"/>
      <c r="CR55" s="1654"/>
      <c r="CS55" s="1686"/>
      <c r="CT55" s="1878" t="s">
        <v>54</v>
      </c>
      <c r="CU55" s="1654"/>
      <c r="CV55" s="1654"/>
      <c r="CW55" s="1686"/>
      <c r="CY55" s="612" t="s">
        <v>54</v>
      </c>
      <c r="CZ55" s="616" t="s">
        <v>54</v>
      </c>
      <c r="DA55" s="615"/>
    </row>
    <row r="56" spans="1:105" ht="3.75" customHeight="1">
      <c r="A56" s="418"/>
      <c r="B56" s="423"/>
      <c r="C56" s="423"/>
      <c r="D56" s="423"/>
      <c r="E56" s="423"/>
      <c r="F56" s="423"/>
      <c r="G56" s="423"/>
      <c r="H56" s="423"/>
      <c r="I56" s="423"/>
      <c r="J56" s="423"/>
      <c r="K56" s="433"/>
      <c r="L56" s="423"/>
      <c r="M56" s="423"/>
      <c r="N56" s="423"/>
      <c r="O56" s="423"/>
      <c r="P56" s="423"/>
      <c r="Q56" s="423"/>
      <c r="R56" s="423"/>
      <c r="S56" s="423"/>
      <c r="T56" s="423"/>
      <c r="U56" s="433"/>
      <c r="V56" s="423"/>
      <c r="W56" s="423"/>
      <c r="X56" s="423"/>
      <c r="Y56" s="423"/>
      <c r="Z56" s="423"/>
      <c r="AA56" s="423"/>
      <c r="AB56" s="423"/>
      <c r="AC56" s="423"/>
      <c r="AD56" s="423"/>
      <c r="AE56" s="433"/>
      <c r="AF56" s="423"/>
      <c r="AG56" s="423"/>
      <c r="AH56" s="423"/>
      <c r="AI56" s="423"/>
      <c r="AJ56" s="423"/>
      <c r="AK56" s="423"/>
      <c r="AL56" s="423"/>
      <c r="AM56" s="423"/>
      <c r="AN56" s="423"/>
      <c r="AO56" s="433"/>
      <c r="AP56" s="423"/>
      <c r="AQ56" s="423"/>
      <c r="AR56" s="423"/>
      <c r="AS56" s="423"/>
      <c r="AT56" s="423"/>
      <c r="AU56" s="423"/>
      <c r="AV56" s="423"/>
      <c r="AW56" s="423"/>
      <c r="AX56" s="423"/>
      <c r="AY56" s="433"/>
      <c r="AZ56" s="423"/>
      <c r="BA56" s="423"/>
      <c r="BB56" s="423"/>
      <c r="BC56" s="423"/>
      <c r="BD56" s="423"/>
      <c r="BE56" s="423"/>
      <c r="BF56" s="423"/>
      <c r="BG56" s="423"/>
      <c r="BH56" s="423"/>
      <c r="BI56" s="433"/>
      <c r="BJ56" s="423"/>
      <c r="BK56" s="423"/>
      <c r="BL56" s="423"/>
      <c r="BM56" s="423"/>
      <c r="BN56" s="423"/>
      <c r="BO56" s="423"/>
      <c r="BP56" s="423"/>
      <c r="BQ56" s="423"/>
      <c r="BR56" s="423"/>
      <c r="BS56" s="433"/>
      <c r="BT56" s="423"/>
      <c r="BU56" s="423"/>
      <c r="BV56" s="423"/>
      <c r="CD56" s="1889"/>
      <c r="CE56" s="1789"/>
      <c r="CF56" s="1789"/>
      <c r="CG56" s="1890"/>
      <c r="CH56" s="1634"/>
      <c r="CI56" s="1635"/>
      <c r="CJ56" s="1635"/>
      <c r="CK56" s="1892"/>
      <c r="CL56" s="374"/>
      <c r="CM56" s="375"/>
      <c r="CN56" s="375"/>
      <c r="CO56" s="376"/>
      <c r="CP56" s="1879"/>
      <c r="CQ56" s="1618"/>
      <c r="CR56" s="1618"/>
      <c r="CS56" s="1621"/>
      <c r="CT56" s="1879"/>
      <c r="CU56" s="1618"/>
      <c r="CV56" s="1618"/>
      <c r="CW56" s="1621"/>
      <c r="CY56" s="615"/>
      <c r="CZ56" s="615"/>
      <c r="DA56" s="615"/>
    </row>
    <row r="57" spans="1:105" ht="13.5" customHeight="1">
      <c r="A57" s="425" t="s">
        <v>59</v>
      </c>
      <c r="B57" s="426"/>
      <c r="C57" s="426"/>
      <c r="D57" s="426"/>
      <c r="E57" s="426"/>
      <c r="F57" s="426"/>
      <c r="G57" s="426"/>
      <c r="H57" s="426"/>
      <c r="I57" s="426"/>
      <c r="J57" s="426"/>
      <c r="K57" s="427"/>
      <c r="L57" s="426"/>
      <c r="M57" s="426"/>
      <c r="N57" s="426"/>
      <c r="O57" s="426"/>
      <c r="P57" s="426"/>
      <c r="Q57" s="426"/>
      <c r="R57" s="426"/>
      <c r="S57" s="426"/>
      <c r="T57" s="426"/>
      <c r="U57" s="427"/>
      <c r="V57" s="426"/>
      <c r="W57" s="426"/>
      <c r="X57" s="426"/>
      <c r="Y57" s="426"/>
      <c r="Z57" s="426"/>
      <c r="AA57" s="426"/>
      <c r="AB57" s="426"/>
      <c r="AC57" s="426"/>
      <c r="AD57" s="426"/>
      <c r="AE57" s="427"/>
      <c r="AF57" s="426"/>
      <c r="AG57" s="426"/>
      <c r="AH57" s="426"/>
      <c r="AI57" s="426"/>
      <c r="AJ57" s="426"/>
      <c r="AK57" s="426"/>
      <c r="AL57" s="426"/>
      <c r="AM57" s="426"/>
      <c r="AN57" s="426"/>
      <c r="AO57" s="427"/>
      <c r="AP57" s="426"/>
      <c r="AQ57" s="426"/>
      <c r="AR57" s="426"/>
      <c r="AS57" s="426"/>
      <c r="AT57" s="426"/>
      <c r="AU57" s="426"/>
      <c r="AV57" s="426"/>
      <c r="AW57" s="426"/>
      <c r="AX57" s="426"/>
      <c r="AY57" s="427"/>
      <c r="AZ57" s="426"/>
      <c r="BA57" s="426"/>
      <c r="BB57" s="426"/>
      <c r="BC57" s="426"/>
      <c r="BD57" s="426"/>
      <c r="BE57" s="426"/>
      <c r="BF57" s="426"/>
      <c r="BG57" s="426"/>
      <c r="BH57" s="426"/>
      <c r="BI57" s="427"/>
      <c r="BJ57" s="426"/>
      <c r="BK57" s="426"/>
      <c r="BL57" s="426"/>
      <c r="BM57" s="426"/>
      <c r="BN57" s="426"/>
      <c r="BO57" s="426"/>
      <c r="BP57" s="426"/>
      <c r="BQ57" s="426"/>
      <c r="BR57" s="426"/>
      <c r="BS57" s="427"/>
      <c r="BT57" s="426"/>
      <c r="BU57" s="426"/>
      <c r="BV57" s="426"/>
      <c r="BW57" s="426"/>
      <c r="BX57" s="426"/>
      <c r="BY57" s="426"/>
      <c r="BZ57" s="426"/>
      <c r="CA57" s="426"/>
      <c r="CB57" s="426"/>
      <c r="CC57" s="426"/>
      <c r="CD57" s="1893">
        <v>0</v>
      </c>
      <c r="CE57" s="1894"/>
      <c r="CF57" s="1880">
        <v>0</v>
      </c>
      <c r="CG57" s="1881"/>
      <c r="CH57" s="1647">
        <v>35.770000000000003</v>
      </c>
      <c r="CI57" s="1648"/>
      <c r="CJ57" s="1649">
        <v>1</v>
      </c>
      <c r="CK57" s="1874"/>
      <c r="CL57" s="1875">
        <v>0</v>
      </c>
      <c r="CM57" s="1639"/>
      <c r="CN57" s="1876">
        <f>CL57/$DA$37</f>
        <v>0</v>
      </c>
      <c r="CO57" s="1877"/>
      <c r="CP57" s="1870">
        <v>0</v>
      </c>
      <c r="CQ57" s="1871"/>
      <c r="CR57" s="1872">
        <f>CP57/$DA$37</f>
        <v>0</v>
      </c>
      <c r="CS57" s="1873"/>
      <c r="CT57" s="1869">
        <v>0</v>
      </c>
      <c r="CU57" s="1643"/>
      <c r="CV57" s="1636">
        <v>0</v>
      </c>
      <c r="CW57" s="1637"/>
      <c r="CY57" s="612">
        <f>CD57+CP57+CT57+CH57+CL57</f>
        <v>35.770000000000003</v>
      </c>
      <c r="CZ57" s="616">
        <f>CF57+CR57+CV57+CJ57+CN57</f>
        <v>1</v>
      </c>
      <c r="DA57" s="349"/>
    </row>
    <row r="58" spans="1:105" ht="10.5" customHeight="1" thickBot="1">
      <c r="A58" s="435"/>
      <c r="K58" s="417"/>
      <c r="U58" s="417"/>
      <c r="AE58" s="417"/>
      <c r="AO58" s="417"/>
      <c r="AY58" s="417"/>
      <c r="BI58" s="417"/>
      <c r="BS58" s="417"/>
      <c r="CD58" s="1889" t="s">
        <v>54</v>
      </c>
      <c r="CE58" s="1789"/>
      <c r="CF58" s="1789"/>
      <c r="CG58" s="1890"/>
      <c r="CH58" s="1651" t="s">
        <v>54</v>
      </c>
      <c r="CI58" s="1652"/>
      <c r="CJ58" s="1652"/>
      <c r="CK58" s="1891"/>
      <c r="CL58" s="382" t="s">
        <v>54</v>
      </c>
      <c r="CM58" s="383"/>
      <c r="CN58" s="383"/>
      <c r="CO58" s="384"/>
      <c r="CP58" s="1878" t="s">
        <v>54</v>
      </c>
      <c r="CQ58" s="1654"/>
      <c r="CR58" s="1654"/>
      <c r="CS58" s="1686"/>
      <c r="CT58" s="1878" t="s">
        <v>54</v>
      </c>
      <c r="CU58" s="1654"/>
      <c r="CV58" s="1654"/>
      <c r="CW58" s="1686"/>
      <c r="CY58" s="387"/>
      <c r="CZ58" s="349"/>
      <c r="DA58" s="349"/>
    </row>
    <row r="59" spans="1:105" ht="3.75" customHeight="1">
      <c r="A59" s="418"/>
      <c r="B59" s="423"/>
      <c r="C59" s="423"/>
      <c r="D59" s="423"/>
      <c r="E59" s="423"/>
      <c r="F59" s="423"/>
      <c r="G59" s="423"/>
      <c r="H59" s="423"/>
      <c r="I59" s="423"/>
      <c r="J59" s="423"/>
      <c r="K59" s="433"/>
      <c r="L59" s="423"/>
      <c r="M59" s="423"/>
      <c r="N59" s="423"/>
      <c r="O59" s="423"/>
      <c r="P59" s="423"/>
      <c r="Q59" s="423"/>
      <c r="R59" s="423"/>
      <c r="S59" s="423"/>
      <c r="T59" s="423"/>
      <c r="U59" s="433"/>
      <c r="V59" s="423"/>
      <c r="W59" s="423"/>
      <c r="X59" s="423"/>
      <c r="Y59" s="423"/>
      <c r="Z59" s="423"/>
      <c r="AA59" s="423"/>
      <c r="AB59" s="423"/>
      <c r="AC59" s="423"/>
      <c r="AD59" s="423"/>
      <c r="AE59" s="433"/>
      <c r="AF59" s="423"/>
      <c r="AG59" s="423"/>
      <c r="AH59" s="423"/>
      <c r="AI59" s="423"/>
      <c r="AJ59" s="423"/>
      <c r="AK59" s="423"/>
      <c r="AL59" s="423"/>
      <c r="AM59" s="423"/>
      <c r="AN59" s="423"/>
      <c r="AO59" s="433"/>
      <c r="AP59" s="423"/>
      <c r="AQ59" s="423"/>
      <c r="AR59" s="423"/>
      <c r="AS59" s="423"/>
      <c r="AT59" s="423"/>
      <c r="AU59" s="423"/>
      <c r="AV59" s="423"/>
      <c r="AW59" s="423"/>
      <c r="AX59" s="423"/>
      <c r="AY59" s="433"/>
      <c r="AZ59" s="423"/>
      <c r="BA59" s="423"/>
      <c r="BB59" s="423"/>
      <c r="BC59" s="423"/>
      <c r="BD59" s="423"/>
      <c r="BE59" s="423"/>
      <c r="BF59" s="423"/>
      <c r="BG59" s="423"/>
      <c r="BH59" s="423"/>
      <c r="BI59" s="433"/>
      <c r="BJ59" s="423"/>
      <c r="BK59" s="423"/>
      <c r="BL59" s="423"/>
      <c r="BM59" s="423"/>
      <c r="BN59" s="423"/>
      <c r="BO59" s="423"/>
      <c r="BP59" s="423"/>
      <c r="BQ59" s="423"/>
      <c r="BR59" s="423"/>
      <c r="BS59" s="433"/>
      <c r="BT59" s="423"/>
      <c r="BU59" s="423"/>
      <c r="BV59" s="423"/>
      <c r="CD59" s="1889"/>
      <c r="CE59" s="1789"/>
      <c r="CF59" s="1789"/>
      <c r="CG59" s="1890"/>
      <c r="CH59" s="1634"/>
      <c r="CI59" s="1635"/>
      <c r="CJ59" s="1635"/>
      <c r="CK59" s="1892"/>
      <c r="CL59" s="374"/>
      <c r="CM59" s="375"/>
      <c r="CN59" s="375"/>
      <c r="CO59" s="376"/>
      <c r="CP59" s="1879"/>
      <c r="CQ59" s="1618"/>
      <c r="CR59" s="1618"/>
      <c r="CS59" s="1621"/>
      <c r="CT59" s="1879"/>
      <c r="CU59" s="1618"/>
      <c r="CV59" s="1618"/>
      <c r="CW59" s="1621"/>
      <c r="CY59" s="387"/>
      <c r="CZ59" s="349"/>
      <c r="DA59" s="349"/>
    </row>
    <row r="60" spans="1:105" ht="13.5" customHeight="1" thickBot="1">
      <c r="A60" s="435" t="s">
        <v>575</v>
      </c>
      <c r="B60" s="411"/>
      <c r="C60" s="411"/>
      <c r="D60" s="411"/>
      <c r="E60" s="411"/>
      <c r="F60" s="411"/>
      <c r="G60" s="411"/>
      <c r="H60" s="411"/>
      <c r="I60" s="411"/>
      <c r="J60" s="411"/>
      <c r="K60" s="436"/>
      <c r="L60" s="411"/>
      <c r="M60" s="411"/>
      <c r="N60" s="411"/>
      <c r="O60" s="411"/>
      <c r="P60" s="411"/>
      <c r="Q60" s="411"/>
      <c r="R60" s="411"/>
      <c r="S60" s="411"/>
      <c r="T60" s="411"/>
      <c r="U60" s="436"/>
      <c r="V60" s="411"/>
      <c r="W60" s="411"/>
      <c r="X60" s="411"/>
      <c r="Y60" s="411"/>
      <c r="Z60" s="411"/>
      <c r="AA60" s="411"/>
      <c r="AB60" s="411"/>
      <c r="AC60" s="411"/>
      <c r="AD60" s="411"/>
      <c r="AE60" s="436"/>
      <c r="AF60" s="411"/>
      <c r="AG60" s="411"/>
      <c r="AH60" s="411"/>
      <c r="AI60" s="411"/>
      <c r="AJ60" s="411"/>
      <c r="AK60" s="411"/>
      <c r="AL60" s="411"/>
      <c r="AM60" s="411"/>
      <c r="AN60" s="411"/>
      <c r="AO60" s="436"/>
      <c r="AP60" s="411"/>
      <c r="AQ60" s="411"/>
      <c r="AR60" s="411"/>
      <c r="AS60" s="411"/>
      <c r="AT60" s="411"/>
      <c r="AU60" s="411"/>
      <c r="AV60" s="411"/>
      <c r="AW60" s="411"/>
      <c r="AX60" s="411"/>
      <c r="AY60" s="436"/>
      <c r="AZ60" s="411"/>
      <c r="BA60" s="411"/>
      <c r="BB60" s="411"/>
      <c r="BC60" s="411"/>
      <c r="BD60" s="411"/>
      <c r="BE60" s="411"/>
      <c r="BF60" s="411"/>
      <c r="BG60" s="411"/>
      <c r="BH60" s="411"/>
      <c r="BI60" s="436"/>
      <c r="BJ60" s="411"/>
      <c r="BK60" s="411"/>
      <c r="BL60" s="411"/>
      <c r="BM60" s="411"/>
      <c r="BN60" s="411"/>
      <c r="BO60" s="411"/>
      <c r="BP60" s="411"/>
      <c r="BQ60" s="411"/>
      <c r="BR60" s="411"/>
      <c r="BS60" s="436"/>
      <c r="BT60" s="411"/>
      <c r="BU60" s="411"/>
      <c r="BV60" s="411"/>
      <c r="BW60" s="411"/>
      <c r="BX60" s="411"/>
      <c r="BY60" s="411"/>
      <c r="BZ60" s="411"/>
      <c r="CA60" s="411"/>
      <c r="CB60" s="411"/>
      <c r="CC60" s="411"/>
      <c r="CD60" s="1895">
        <v>0</v>
      </c>
      <c r="CE60" s="1896"/>
      <c r="CF60" s="1897">
        <v>0</v>
      </c>
      <c r="CG60" s="1898"/>
      <c r="CH60" s="1899">
        <v>35.770000000000003</v>
      </c>
      <c r="CI60" s="1900"/>
      <c r="CJ60" s="1700">
        <v>1</v>
      </c>
      <c r="CK60" s="1901"/>
      <c r="CL60" s="1875">
        <v>0</v>
      </c>
      <c r="CM60" s="1639"/>
      <c r="CN60" s="1876">
        <v>0</v>
      </c>
      <c r="CO60" s="1877"/>
      <c r="CP60" s="1882">
        <v>0</v>
      </c>
      <c r="CQ60" s="1883"/>
      <c r="CR60" s="1884">
        <f>CP60/$DA$37</f>
        <v>0</v>
      </c>
      <c r="CS60" s="1885"/>
      <c r="CT60" s="1886">
        <v>0</v>
      </c>
      <c r="CU60" s="1707"/>
      <c r="CV60" s="1887">
        <v>0</v>
      </c>
      <c r="CW60" s="1888"/>
      <c r="CY60" s="612">
        <f>CD60+CP60+CT60+CH60+CL60</f>
        <v>35.770000000000003</v>
      </c>
      <c r="CZ60" s="616">
        <f>CF60+CR60+CV60+CJ60+CN60</f>
        <v>1</v>
      </c>
      <c r="DA60" s="349"/>
    </row>
    <row r="61" spans="1:105" s="349" customFormat="1">
      <c r="A61" s="350"/>
    </row>
    <row r="62" spans="1:105" s="546" customFormat="1" ht="12.75">
      <c r="A62" s="618" t="s">
        <v>315</v>
      </c>
    </row>
    <row r="63" spans="1:105" s="546" customFormat="1">
      <c r="A63" s="1047" t="s">
        <v>1140</v>
      </c>
      <c r="N63" s="349"/>
      <c r="O63" s="349"/>
      <c r="P63" s="349"/>
      <c r="Q63" s="349"/>
      <c r="R63" s="349"/>
      <c r="S63" s="349"/>
      <c r="T63" s="349"/>
      <c r="U63" s="349"/>
      <c r="BU63" s="980"/>
      <c r="CD63" s="619" t="s">
        <v>440</v>
      </c>
      <c r="CE63" s="619"/>
      <c r="CF63" s="619"/>
      <c r="CG63" s="619"/>
      <c r="CH63" s="619"/>
      <c r="CI63" s="619"/>
      <c r="CJ63" s="619"/>
      <c r="CK63" s="619"/>
      <c r="CL63" s="553"/>
      <c r="CM63" s="553"/>
      <c r="CN63" s="553"/>
      <c r="CO63" s="553"/>
      <c r="CP63" s="553"/>
      <c r="CQ63" s="553"/>
      <c r="CR63" s="553"/>
      <c r="CS63" s="553"/>
      <c r="CT63" s="553"/>
      <c r="CU63" s="553"/>
      <c r="CV63" s="553"/>
      <c r="CW63" s="553"/>
    </row>
    <row r="64" spans="1:105" s="546" customFormat="1" ht="12.75"/>
    <row r="65" spans="82:101">
      <c r="CD65" s="441"/>
      <c r="CE65" s="441"/>
      <c r="CF65" s="441"/>
      <c r="CG65" s="441"/>
      <c r="CH65" s="441"/>
      <c r="CI65" s="441"/>
      <c r="CJ65" s="441"/>
      <c r="CK65" s="441"/>
      <c r="CL65" s="441"/>
      <c r="CM65" s="441"/>
      <c r="CN65" s="441"/>
      <c r="CO65" s="441"/>
      <c r="CP65" s="441"/>
      <c r="CQ65" s="441"/>
      <c r="CR65" s="441"/>
      <c r="CS65" s="441"/>
      <c r="CT65" s="441"/>
      <c r="CU65" s="441"/>
      <c r="CV65" s="441"/>
      <c r="CW65" s="441"/>
    </row>
    <row r="66" spans="82:101">
      <c r="CD66" s="441"/>
      <c r="CE66" s="441"/>
      <c r="CF66" s="441"/>
      <c r="CG66" s="441"/>
      <c r="CH66" s="441"/>
      <c r="CI66" s="441"/>
      <c r="CJ66" s="441"/>
      <c r="CK66" s="441"/>
      <c r="CL66" s="441"/>
      <c r="CM66" s="441"/>
      <c r="CN66" s="441"/>
      <c r="CO66" s="441"/>
      <c r="CP66" s="441"/>
      <c r="CQ66" s="441"/>
      <c r="CR66" s="441"/>
      <c r="CS66" s="441"/>
      <c r="CT66" s="441"/>
      <c r="CU66" s="441"/>
      <c r="CV66" s="441"/>
      <c r="CW66" s="441"/>
    </row>
    <row r="67" spans="82:101">
      <c r="CD67" s="441"/>
      <c r="CE67" s="441"/>
      <c r="CF67" s="441"/>
      <c r="CG67" s="441"/>
      <c r="CH67" s="441"/>
      <c r="CI67" s="441"/>
      <c r="CJ67" s="441"/>
      <c r="CK67" s="441"/>
      <c r="CL67" s="441"/>
      <c r="CM67" s="441"/>
      <c r="CN67" s="441"/>
      <c r="CO67" s="441"/>
      <c r="CP67" s="441"/>
      <c r="CQ67" s="441"/>
      <c r="CR67" s="441"/>
      <c r="CS67" s="441"/>
      <c r="CT67" s="441"/>
      <c r="CU67" s="441"/>
      <c r="CV67" s="441"/>
      <c r="CW67" s="441"/>
    </row>
    <row r="68" spans="82:101">
      <c r="CD68" s="441"/>
      <c r="CE68" s="441"/>
      <c r="CF68" s="441"/>
      <c r="CG68" s="441"/>
      <c r="CH68" s="441"/>
      <c r="CI68" s="441"/>
      <c r="CJ68" s="441"/>
      <c r="CK68" s="441"/>
      <c r="CL68" s="441"/>
      <c r="CM68" s="441"/>
      <c r="CN68" s="441"/>
      <c r="CO68" s="441"/>
      <c r="CP68" s="441"/>
      <c r="CQ68" s="441"/>
      <c r="CR68" s="441"/>
      <c r="CS68" s="441"/>
      <c r="CT68" s="441"/>
      <c r="CU68" s="441"/>
      <c r="CV68" s="441"/>
      <c r="CW68" s="441"/>
    </row>
  </sheetData>
  <mergeCells count="155">
    <mergeCell ref="G38:H38"/>
    <mergeCell ref="I38:J38"/>
    <mergeCell ref="BT35:CC35"/>
    <mergeCell ref="A1:CW1"/>
    <mergeCell ref="B34:CC34"/>
    <mergeCell ref="CD34:CW35"/>
    <mergeCell ref="B35:K35"/>
    <mergeCell ref="L35:U35"/>
    <mergeCell ref="V35:AE35"/>
    <mergeCell ref="A2:DL2"/>
    <mergeCell ref="CU7:CW7"/>
    <mergeCell ref="A3:CW3"/>
    <mergeCell ref="A4:CW4"/>
    <mergeCell ref="A5:CW5"/>
    <mergeCell ref="A6:CW6"/>
    <mergeCell ref="CI7:CL7"/>
    <mergeCell ref="C9:G9"/>
    <mergeCell ref="C10:G10"/>
    <mergeCell ref="C11:G11"/>
    <mergeCell ref="C12:G12"/>
    <mergeCell ref="AF35:AO35"/>
    <mergeCell ref="AP35:AY35"/>
    <mergeCell ref="AZ35:BI35"/>
    <mergeCell ref="B36:K36"/>
    <mergeCell ref="CV42:CW42"/>
    <mergeCell ref="CN37:CO38"/>
    <mergeCell ref="CP37:CQ38"/>
    <mergeCell ref="CR37:CS38"/>
    <mergeCell ref="CT37:CU38"/>
    <mergeCell ref="V36:AE36"/>
    <mergeCell ref="AF36:AO36"/>
    <mergeCell ref="AP36:AY36"/>
    <mergeCell ref="AZ36:BI36"/>
    <mergeCell ref="CV37:CW38"/>
    <mergeCell ref="CL37:CM38"/>
    <mergeCell ref="BT36:CC36"/>
    <mergeCell ref="CD36:CG36"/>
    <mergeCell ref="CH36:CK36"/>
    <mergeCell ref="CL36:CO36"/>
    <mergeCell ref="CP43:CS44"/>
    <mergeCell ref="CT43:CW44"/>
    <mergeCell ref="CD42:CE42"/>
    <mergeCell ref="CF42:CG42"/>
    <mergeCell ref="CH42:CI42"/>
    <mergeCell ref="CJ42:CK42"/>
    <mergeCell ref="CL42:CM42"/>
    <mergeCell ref="CN42:CO42"/>
    <mergeCell ref="CP39:CQ39"/>
    <mergeCell ref="CR39:CS39"/>
    <mergeCell ref="CL39:CM39"/>
    <mergeCell ref="CN39:CO39"/>
    <mergeCell ref="CP42:CQ42"/>
    <mergeCell ref="CR42:CS42"/>
    <mergeCell ref="CT39:CU39"/>
    <mergeCell ref="CV39:CW39"/>
    <mergeCell ref="CD40:CG41"/>
    <mergeCell ref="CH40:CK41"/>
    <mergeCell ref="CP40:CS41"/>
    <mergeCell ref="CT40:CW41"/>
    <mergeCell ref="CD39:CE39"/>
    <mergeCell ref="CF39:CG39"/>
    <mergeCell ref="CH39:CI39"/>
    <mergeCell ref="CT42:CU42"/>
    <mergeCell ref="CL45:CM45"/>
    <mergeCell ref="CN45:CO45"/>
    <mergeCell ref="CP48:CQ48"/>
    <mergeCell ref="CR48:CS48"/>
    <mergeCell ref="CT45:CU45"/>
    <mergeCell ref="CV45:CW45"/>
    <mergeCell ref="CD46:CG47"/>
    <mergeCell ref="CH46:CK47"/>
    <mergeCell ref="CP46:CS47"/>
    <mergeCell ref="CT46:CW47"/>
    <mergeCell ref="CD45:CE45"/>
    <mergeCell ref="CF45:CG45"/>
    <mergeCell ref="CH45:CI45"/>
    <mergeCell ref="CJ45:CK45"/>
    <mergeCell ref="CT48:CU48"/>
    <mergeCell ref="CV48:CW48"/>
    <mergeCell ref="CD49:CG50"/>
    <mergeCell ref="CH49:CK50"/>
    <mergeCell ref="CP49:CS50"/>
    <mergeCell ref="CT49:CW50"/>
    <mergeCell ref="CD48:CE48"/>
    <mergeCell ref="CF48:CG48"/>
    <mergeCell ref="CH48:CI48"/>
    <mergeCell ref="CJ48:CK48"/>
    <mergeCell ref="CL48:CM48"/>
    <mergeCell ref="CN48:CO48"/>
    <mergeCell ref="CD54:CE54"/>
    <mergeCell ref="CF54:CG54"/>
    <mergeCell ref="CH54:CI54"/>
    <mergeCell ref="CJ54:CK54"/>
    <mergeCell ref="CL54:CM54"/>
    <mergeCell ref="CN54:CO54"/>
    <mergeCell ref="CP51:CQ51"/>
    <mergeCell ref="CR51:CS51"/>
    <mergeCell ref="CL51:CM51"/>
    <mergeCell ref="CN51:CO51"/>
    <mergeCell ref="CP54:CQ54"/>
    <mergeCell ref="CR54:CS54"/>
    <mergeCell ref="CD52:CG53"/>
    <mergeCell ref="CH52:CK53"/>
    <mergeCell ref="CP52:CS53"/>
    <mergeCell ref="CD51:CE51"/>
    <mergeCell ref="CF51:CG51"/>
    <mergeCell ref="CH51:CI51"/>
    <mergeCell ref="CJ51:CK51"/>
    <mergeCell ref="CP55:CS56"/>
    <mergeCell ref="CT55:CW56"/>
    <mergeCell ref="CT51:CU51"/>
    <mergeCell ref="CV51:CW51"/>
    <mergeCell ref="CT52:CW53"/>
    <mergeCell ref="CT54:CU54"/>
    <mergeCell ref="CV54:CW54"/>
    <mergeCell ref="CP45:CQ45"/>
    <mergeCell ref="CR45:CS45"/>
    <mergeCell ref="CL60:CM60"/>
    <mergeCell ref="CN60:CO60"/>
    <mergeCell ref="CP57:CQ57"/>
    <mergeCell ref="CR57:CS57"/>
    <mergeCell ref="CT57:CU57"/>
    <mergeCell ref="CV57:CW57"/>
    <mergeCell ref="CP60:CQ60"/>
    <mergeCell ref="CR60:CS60"/>
    <mergeCell ref="CT60:CU60"/>
    <mergeCell ref="CV60:CW60"/>
    <mergeCell ref="CP58:CS59"/>
    <mergeCell ref="CT58:CW59"/>
    <mergeCell ref="CL57:CM57"/>
    <mergeCell ref="CN57:CO57"/>
    <mergeCell ref="L36:U36"/>
    <mergeCell ref="BJ36:BS36"/>
    <mergeCell ref="CP36:CS36"/>
    <mergeCell ref="CT36:CW36"/>
    <mergeCell ref="BJ35:BS35"/>
    <mergeCell ref="CD60:CE60"/>
    <mergeCell ref="CF60:CG60"/>
    <mergeCell ref="CH60:CI60"/>
    <mergeCell ref="CJ60:CK60"/>
    <mergeCell ref="CD37:CE38"/>
    <mergeCell ref="CF37:CG38"/>
    <mergeCell ref="CH37:CI38"/>
    <mergeCell ref="CJ37:CK38"/>
    <mergeCell ref="CD58:CG59"/>
    <mergeCell ref="CH58:CK59"/>
    <mergeCell ref="CD57:CE57"/>
    <mergeCell ref="CF57:CG57"/>
    <mergeCell ref="CH57:CI57"/>
    <mergeCell ref="CJ57:CK57"/>
    <mergeCell ref="CJ39:CK39"/>
    <mergeCell ref="CD55:CG56"/>
    <mergeCell ref="CH55:CK56"/>
    <mergeCell ref="CD43:CG44"/>
    <mergeCell ref="CH43:CK44"/>
  </mergeCells>
  <hyperlinks>
    <hyperlink ref="CD63" location="'TABLA DE CONTENIDO'!A1" display="VOLVER A TABLA DE CONTENIDO"/>
  </hyperlinks>
  <printOptions horizontalCentered="1"/>
  <pageMargins left="0.39370078740157483" right="0.39370078740157483" top="0.39370078740157483" bottom="0.39370078740157483" header="0.27559055118110237" footer="0.43307086614173229"/>
  <pageSetup scale="70" orientation="portrait" copies="2" r:id="rId1"/>
  <headerFooter alignWithMargins="0"/>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B95"/>
  <sheetViews>
    <sheetView showGridLines="0" view="pageBreakPreview" zoomScaleNormal="75" zoomScaleSheetLayoutView="100" workbookViewId="0">
      <selection activeCell="CZ26" sqref="CZ26"/>
    </sheetView>
  </sheetViews>
  <sheetFormatPr baseColWidth="10" defaultColWidth="12.5703125" defaultRowHeight="15"/>
  <cols>
    <col min="1" max="1" width="28.140625" style="407" customWidth="1"/>
    <col min="2" max="2" width="0.5703125" style="407" customWidth="1"/>
    <col min="3" max="81" width="0.7109375" style="407" customWidth="1"/>
    <col min="82" max="101" width="2.140625" style="407" customWidth="1"/>
    <col min="102" max="102" width="0.140625" style="407" hidden="1" customWidth="1"/>
    <col min="103" max="16384" width="12.5703125" style="407"/>
  </cols>
  <sheetData>
    <row r="1" spans="1:101">
      <c r="A1" s="1919"/>
      <c r="B1" s="1919"/>
      <c r="C1" s="1919"/>
      <c r="D1" s="1919"/>
      <c r="E1" s="1919"/>
      <c r="F1" s="1919"/>
      <c r="G1" s="1919"/>
      <c r="H1" s="1919"/>
      <c r="I1" s="1919"/>
      <c r="J1" s="1919"/>
      <c r="K1" s="1919"/>
      <c r="L1" s="1919"/>
      <c r="M1" s="1919"/>
      <c r="N1" s="1919"/>
      <c r="O1" s="1919"/>
      <c r="P1" s="1919"/>
      <c r="Q1" s="1919"/>
      <c r="R1" s="1919"/>
      <c r="S1" s="1919"/>
      <c r="T1" s="1919"/>
      <c r="U1" s="1919"/>
      <c r="V1" s="1919"/>
      <c r="W1" s="1919"/>
      <c r="X1" s="1919"/>
      <c r="Y1" s="1919"/>
      <c r="Z1" s="1919"/>
      <c r="AA1" s="1919"/>
      <c r="AB1" s="1919"/>
      <c r="AC1" s="1919"/>
      <c r="AD1" s="1919"/>
      <c r="AE1" s="1919"/>
      <c r="AF1" s="1919"/>
      <c r="AG1" s="1919"/>
      <c r="AH1" s="1919"/>
      <c r="AI1" s="1919"/>
      <c r="AJ1" s="1919"/>
      <c r="AK1" s="1919"/>
      <c r="AL1" s="1919"/>
      <c r="AM1" s="1919"/>
      <c r="AN1" s="1919"/>
      <c r="AO1" s="1919"/>
      <c r="AP1" s="1919"/>
      <c r="AQ1" s="1919"/>
      <c r="AR1" s="1919"/>
      <c r="AS1" s="1919"/>
      <c r="AT1" s="1919"/>
      <c r="AU1" s="1919"/>
      <c r="AV1" s="1919"/>
      <c r="AW1" s="1919"/>
      <c r="AX1" s="1919"/>
      <c r="AY1" s="1919"/>
      <c r="AZ1" s="1919"/>
      <c r="BA1" s="1919"/>
      <c r="BB1" s="1919"/>
      <c r="BC1" s="1919"/>
      <c r="BD1" s="1919"/>
      <c r="BE1" s="1919"/>
      <c r="BF1" s="1919"/>
      <c r="BG1" s="1919"/>
      <c r="BH1" s="1919"/>
      <c r="BI1" s="1919"/>
      <c r="BJ1" s="1919"/>
      <c r="BK1" s="1919"/>
      <c r="BL1" s="1919"/>
      <c r="BM1" s="1919"/>
      <c r="BN1" s="1919"/>
      <c r="BO1" s="1919"/>
      <c r="BP1" s="1919"/>
      <c r="BQ1" s="1919"/>
      <c r="BR1" s="1919"/>
      <c r="BS1" s="1919"/>
      <c r="BT1" s="1919"/>
      <c r="BU1" s="1919"/>
      <c r="BV1" s="1919"/>
      <c r="BW1" s="1919"/>
      <c r="BX1" s="1919"/>
      <c r="BY1" s="1919"/>
      <c r="BZ1" s="1919"/>
      <c r="CA1" s="1919"/>
      <c r="CB1" s="1919"/>
      <c r="CC1" s="1919"/>
      <c r="CD1" s="1919"/>
      <c r="CE1" s="1919"/>
      <c r="CF1" s="1919"/>
      <c r="CG1" s="1919"/>
      <c r="CH1" s="1919"/>
      <c r="CI1" s="1919"/>
      <c r="CJ1" s="1919"/>
      <c r="CK1" s="1919"/>
      <c r="CL1" s="1919"/>
      <c r="CM1" s="1919"/>
      <c r="CN1" s="1919"/>
      <c r="CO1" s="1919"/>
      <c r="CP1" s="1919"/>
      <c r="CQ1" s="1919"/>
      <c r="CR1" s="1919"/>
      <c r="CS1" s="1919"/>
      <c r="CT1" s="1919"/>
      <c r="CU1" s="1919"/>
      <c r="CV1" s="1919"/>
      <c r="CW1" s="1919"/>
    </row>
    <row r="2" spans="1:101" ht="23.25">
      <c r="A2" s="1907" t="s">
        <v>0</v>
      </c>
      <c r="B2" s="1907"/>
      <c r="C2" s="1907"/>
      <c r="D2" s="1907"/>
      <c r="E2" s="1907"/>
      <c r="F2" s="1907"/>
      <c r="G2" s="1907"/>
      <c r="H2" s="1907"/>
      <c r="I2" s="1907"/>
      <c r="J2" s="1907"/>
      <c r="K2" s="1907"/>
      <c r="L2" s="1907"/>
      <c r="M2" s="1907"/>
      <c r="N2" s="1907"/>
      <c r="O2" s="1907"/>
      <c r="P2" s="1907"/>
      <c r="Q2" s="1907"/>
      <c r="R2" s="1907"/>
      <c r="S2" s="1907"/>
      <c r="T2" s="1907"/>
      <c r="U2" s="1907"/>
      <c r="V2" s="1907"/>
      <c r="W2" s="1907"/>
      <c r="X2" s="1907"/>
      <c r="Y2" s="1907"/>
      <c r="Z2" s="1907"/>
      <c r="AA2" s="1907"/>
      <c r="AB2" s="1907"/>
      <c r="AC2" s="1907"/>
      <c r="AD2" s="1907"/>
      <c r="AE2" s="1907"/>
      <c r="AF2" s="1907"/>
      <c r="AG2" s="1907"/>
      <c r="AH2" s="1907"/>
      <c r="AI2" s="1907"/>
      <c r="AJ2" s="1907"/>
      <c r="AK2" s="1907"/>
      <c r="AL2" s="1907"/>
      <c r="AM2" s="1907"/>
      <c r="AN2" s="1907"/>
      <c r="AO2" s="1907"/>
      <c r="AP2" s="1907"/>
      <c r="AQ2" s="1907"/>
      <c r="AR2" s="1907"/>
      <c r="AS2" s="1907"/>
      <c r="AT2" s="1907"/>
      <c r="AU2" s="1907"/>
      <c r="AV2" s="1907"/>
      <c r="AW2" s="1907"/>
      <c r="AX2" s="1907"/>
      <c r="AY2" s="1907"/>
      <c r="AZ2" s="1907"/>
      <c r="BA2" s="1907"/>
      <c r="BB2" s="1907"/>
      <c r="BC2" s="1907"/>
      <c r="BD2" s="1907"/>
      <c r="BE2" s="1907"/>
      <c r="BF2" s="1907"/>
      <c r="BG2" s="1907"/>
      <c r="BH2" s="1907"/>
      <c r="BI2" s="1907"/>
      <c r="BJ2" s="1907"/>
      <c r="BK2" s="1907"/>
      <c r="BL2" s="1907"/>
      <c r="BM2" s="1907"/>
      <c r="BN2" s="1907"/>
      <c r="BO2" s="1907"/>
      <c r="BP2" s="1907"/>
      <c r="BQ2" s="1907"/>
      <c r="BR2" s="1907"/>
      <c r="BS2" s="1907"/>
      <c r="BT2" s="1907"/>
      <c r="BU2" s="1907"/>
      <c r="BV2" s="1907"/>
      <c r="BW2" s="1907"/>
      <c r="BX2" s="1907"/>
      <c r="BY2" s="1907"/>
      <c r="BZ2" s="1907"/>
      <c r="CA2" s="1907"/>
      <c r="CB2" s="1907"/>
      <c r="CC2" s="1907"/>
      <c r="CD2" s="1907"/>
      <c r="CE2" s="1907"/>
      <c r="CF2" s="1907"/>
      <c r="CG2" s="1907"/>
      <c r="CH2" s="1907"/>
      <c r="CI2" s="1907"/>
      <c r="CJ2" s="1907"/>
      <c r="CK2" s="1907"/>
      <c r="CL2" s="1907"/>
      <c r="CM2" s="1907"/>
      <c r="CN2" s="1907"/>
      <c r="CO2" s="1907"/>
      <c r="CP2" s="1907"/>
      <c r="CQ2" s="1907"/>
      <c r="CR2" s="1907"/>
      <c r="CS2" s="1907"/>
      <c r="CT2" s="1907"/>
      <c r="CU2" s="1907"/>
      <c r="CV2" s="1907"/>
      <c r="CW2" s="1907"/>
    </row>
    <row r="3" spans="1:101" ht="22.5" customHeight="1">
      <c r="A3" s="1912" t="s">
        <v>531</v>
      </c>
      <c r="B3" s="1912"/>
      <c r="C3" s="1912"/>
      <c r="D3" s="1912"/>
      <c r="E3" s="1912"/>
      <c r="F3" s="1912"/>
      <c r="G3" s="1912"/>
      <c r="H3" s="1912"/>
      <c r="I3" s="1912"/>
      <c r="J3" s="1912"/>
      <c r="K3" s="1912"/>
      <c r="L3" s="1912"/>
      <c r="M3" s="1912"/>
      <c r="N3" s="1912"/>
      <c r="O3" s="1912"/>
      <c r="P3" s="1912"/>
      <c r="Q3" s="1912"/>
      <c r="R3" s="1912"/>
      <c r="S3" s="1912"/>
      <c r="T3" s="1912"/>
      <c r="U3" s="1912"/>
      <c r="V3" s="1912"/>
      <c r="W3" s="1912"/>
      <c r="X3" s="1912"/>
      <c r="Y3" s="1912"/>
      <c r="Z3" s="1912"/>
      <c r="AA3" s="1912"/>
      <c r="AB3" s="1912"/>
      <c r="AC3" s="1912"/>
      <c r="AD3" s="1912"/>
      <c r="AE3" s="1912"/>
      <c r="AF3" s="1912"/>
      <c r="AG3" s="1912"/>
      <c r="AH3" s="1912"/>
      <c r="AI3" s="1912"/>
      <c r="AJ3" s="1912"/>
      <c r="AK3" s="1912"/>
      <c r="AL3" s="1912"/>
      <c r="AM3" s="1912"/>
      <c r="AN3" s="1912"/>
      <c r="AO3" s="1912"/>
      <c r="AP3" s="1912"/>
      <c r="AQ3" s="1912"/>
      <c r="AR3" s="1912"/>
      <c r="AS3" s="1912"/>
      <c r="AT3" s="1912"/>
      <c r="AU3" s="1912"/>
      <c r="AV3" s="1912"/>
      <c r="AW3" s="1912"/>
      <c r="AX3" s="1912"/>
      <c r="AY3" s="1912"/>
      <c r="AZ3" s="1912"/>
      <c r="BA3" s="1912"/>
      <c r="BB3" s="1912"/>
      <c r="BC3" s="1912"/>
      <c r="BD3" s="1912"/>
      <c r="BE3" s="1912"/>
      <c r="BF3" s="1912"/>
      <c r="BG3" s="1912"/>
      <c r="BH3" s="1912"/>
      <c r="BI3" s="1912"/>
      <c r="BJ3" s="1912"/>
      <c r="BK3" s="1912"/>
      <c r="BL3" s="1912"/>
      <c r="BM3" s="1912"/>
      <c r="BN3" s="1912"/>
      <c r="BO3" s="1912"/>
      <c r="BP3" s="1912"/>
      <c r="BQ3" s="1912"/>
      <c r="BR3" s="1912"/>
      <c r="BS3" s="1912"/>
      <c r="BT3" s="1912"/>
      <c r="BU3" s="1912"/>
      <c r="BV3" s="1912"/>
      <c r="BW3" s="1912"/>
      <c r="BX3" s="1912"/>
      <c r="BY3" s="1912"/>
      <c r="BZ3" s="1912"/>
      <c r="CA3" s="1912"/>
      <c r="CB3" s="1912"/>
      <c r="CC3" s="1912"/>
      <c r="CD3" s="1912"/>
      <c r="CE3" s="1912"/>
      <c r="CF3" s="1912"/>
      <c r="CG3" s="1912"/>
      <c r="CH3" s="1912"/>
      <c r="CI3" s="1912"/>
      <c r="CJ3" s="1912"/>
      <c r="CK3" s="1912"/>
      <c r="CL3" s="1912"/>
      <c r="CM3" s="1912"/>
      <c r="CN3" s="1912"/>
      <c r="CO3" s="1912"/>
      <c r="CP3" s="1912"/>
      <c r="CQ3" s="1912"/>
      <c r="CR3" s="1912"/>
      <c r="CS3" s="1912"/>
      <c r="CT3" s="1912"/>
      <c r="CU3" s="1912"/>
      <c r="CV3" s="1912"/>
      <c r="CW3" s="1912"/>
    </row>
    <row r="4" spans="1:101" ht="31.5" customHeight="1">
      <c r="A4" s="1913" t="s">
        <v>372</v>
      </c>
      <c r="B4" s="1913"/>
      <c r="C4" s="1913"/>
      <c r="D4" s="1913"/>
      <c r="E4" s="1913"/>
      <c r="F4" s="1913"/>
      <c r="G4" s="1913"/>
      <c r="H4" s="1913"/>
      <c r="I4" s="1913"/>
      <c r="J4" s="1913"/>
      <c r="K4" s="1913"/>
      <c r="L4" s="1913"/>
      <c r="M4" s="1913"/>
      <c r="N4" s="1913"/>
      <c r="O4" s="1913"/>
      <c r="P4" s="1913"/>
      <c r="Q4" s="1913"/>
      <c r="R4" s="1913"/>
      <c r="S4" s="1913"/>
      <c r="T4" s="1913"/>
      <c r="U4" s="1913"/>
      <c r="V4" s="1913"/>
      <c r="W4" s="1913"/>
      <c r="X4" s="1913"/>
      <c r="Y4" s="1913"/>
      <c r="Z4" s="1913"/>
      <c r="AA4" s="1913"/>
      <c r="AB4" s="1913"/>
      <c r="AC4" s="1913"/>
      <c r="AD4" s="1913"/>
      <c r="AE4" s="1913"/>
      <c r="AF4" s="1913"/>
      <c r="AG4" s="1913"/>
      <c r="AH4" s="1913"/>
      <c r="AI4" s="1913"/>
      <c r="AJ4" s="1913"/>
      <c r="AK4" s="1913"/>
      <c r="AL4" s="1913"/>
      <c r="AM4" s="1913"/>
      <c r="AN4" s="1913"/>
      <c r="AO4" s="1913"/>
      <c r="AP4" s="1913"/>
      <c r="AQ4" s="1913"/>
      <c r="AR4" s="1913"/>
      <c r="AS4" s="1913"/>
      <c r="AT4" s="1913"/>
      <c r="AU4" s="1913"/>
      <c r="AV4" s="1913"/>
      <c r="AW4" s="1913"/>
      <c r="AX4" s="1913"/>
      <c r="AY4" s="1913"/>
      <c r="AZ4" s="1913"/>
      <c r="BA4" s="1913"/>
      <c r="BB4" s="1913"/>
      <c r="BC4" s="1913"/>
      <c r="BD4" s="1913"/>
      <c r="BE4" s="1913"/>
      <c r="BF4" s="1913"/>
      <c r="BG4" s="1913"/>
      <c r="BH4" s="1913"/>
      <c r="BI4" s="1913"/>
      <c r="BJ4" s="1913"/>
      <c r="BK4" s="1913"/>
      <c r="BL4" s="1913"/>
      <c r="BM4" s="1913"/>
      <c r="BN4" s="1913"/>
      <c r="BO4" s="1913"/>
      <c r="BP4" s="1913"/>
      <c r="BQ4" s="1913"/>
      <c r="BR4" s="1913"/>
      <c r="BS4" s="1913"/>
      <c r="BT4" s="1913"/>
      <c r="BU4" s="1913"/>
      <c r="BV4" s="1913"/>
      <c r="BW4" s="1913"/>
      <c r="BX4" s="1913"/>
      <c r="BY4" s="1913"/>
      <c r="BZ4" s="1913"/>
      <c r="CA4" s="1913"/>
      <c r="CB4" s="1913"/>
      <c r="CC4" s="1913"/>
      <c r="CD4" s="1913"/>
      <c r="CE4" s="1913"/>
      <c r="CF4" s="1913"/>
      <c r="CG4" s="1913"/>
      <c r="CH4" s="1913"/>
      <c r="CI4" s="1913"/>
      <c r="CJ4" s="1913"/>
      <c r="CK4" s="1913"/>
      <c r="CL4" s="1913"/>
      <c r="CM4" s="1913"/>
      <c r="CN4" s="1913"/>
      <c r="CO4" s="1913"/>
      <c r="CP4" s="1913"/>
      <c r="CQ4" s="1913"/>
      <c r="CR4" s="1913"/>
      <c r="CS4" s="1913"/>
      <c r="CT4" s="1913"/>
      <c r="CU4" s="1913"/>
      <c r="CV4" s="1913"/>
      <c r="CW4" s="1913"/>
    </row>
    <row r="5" spans="1:101" ht="27" customHeight="1">
      <c r="A5" s="1913" t="s">
        <v>374</v>
      </c>
      <c r="B5" s="1913"/>
      <c r="C5" s="1913"/>
      <c r="D5" s="1913"/>
      <c r="E5" s="1913"/>
      <c r="F5" s="1913"/>
      <c r="G5" s="1913"/>
      <c r="H5" s="1913"/>
      <c r="I5" s="1913"/>
      <c r="J5" s="1913"/>
      <c r="K5" s="1913"/>
      <c r="L5" s="1913"/>
      <c r="M5" s="1913"/>
      <c r="N5" s="1913"/>
      <c r="O5" s="1913"/>
      <c r="P5" s="1913"/>
      <c r="Q5" s="1913"/>
      <c r="R5" s="1913"/>
      <c r="S5" s="1913"/>
      <c r="T5" s="1913"/>
      <c r="U5" s="1913"/>
      <c r="V5" s="1913"/>
      <c r="W5" s="1913"/>
      <c r="X5" s="1913"/>
      <c r="Y5" s="1913"/>
      <c r="Z5" s="1913"/>
      <c r="AA5" s="1913"/>
      <c r="AB5" s="1913"/>
      <c r="AC5" s="1913"/>
      <c r="AD5" s="1913"/>
      <c r="AE5" s="1913"/>
      <c r="AF5" s="1913"/>
      <c r="AG5" s="1913"/>
      <c r="AH5" s="1913"/>
      <c r="AI5" s="1913"/>
      <c r="AJ5" s="1913"/>
      <c r="AK5" s="1913"/>
      <c r="AL5" s="1913"/>
      <c r="AM5" s="1913"/>
      <c r="AN5" s="1913"/>
      <c r="AO5" s="1913"/>
      <c r="AP5" s="1913"/>
      <c r="AQ5" s="1913"/>
      <c r="AR5" s="1913"/>
      <c r="AS5" s="1913"/>
      <c r="AT5" s="1913"/>
      <c r="AU5" s="1913"/>
      <c r="AV5" s="1913"/>
      <c r="AW5" s="1913"/>
      <c r="AX5" s="1913"/>
      <c r="AY5" s="1913"/>
      <c r="AZ5" s="1913"/>
      <c r="BA5" s="1913"/>
      <c r="BB5" s="1913"/>
      <c r="BC5" s="1913"/>
      <c r="BD5" s="1913"/>
      <c r="BE5" s="1913"/>
      <c r="BF5" s="1913"/>
      <c r="BG5" s="1913"/>
      <c r="BH5" s="1913"/>
      <c r="BI5" s="1913"/>
      <c r="BJ5" s="1913"/>
      <c r="BK5" s="1913"/>
      <c r="BL5" s="1913"/>
      <c r="BM5" s="1913"/>
      <c r="BN5" s="1913"/>
      <c r="BO5" s="1913"/>
      <c r="BP5" s="1913"/>
      <c r="BQ5" s="1913"/>
      <c r="BR5" s="1913"/>
      <c r="BS5" s="1913"/>
      <c r="BT5" s="1913"/>
      <c r="BU5" s="1913"/>
      <c r="BV5" s="1913"/>
      <c r="BW5" s="1913"/>
      <c r="BX5" s="1913"/>
      <c r="BY5" s="1913"/>
      <c r="BZ5" s="1913"/>
      <c r="CA5" s="1913"/>
      <c r="CB5" s="1913"/>
      <c r="CC5" s="1913"/>
      <c r="CD5" s="1913"/>
      <c r="CE5" s="1913"/>
      <c r="CF5" s="1913"/>
      <c r="CG5" s="1913"/>
      <c r="CH5" s="1913"/>
      <c r="CI5" s="1913"/>
      <c r="CJ5" s="1913"/>
      <c r="CK5" s="1913"/>
      <c r="CL5" s="1913"/>
      <c r="CM5" s="1913"/>
      <c r="CN5" s="1913"/>
      <c r="CO5" s="1913"/>
      <c r="CP5" s="1913"/>
      <c r="CQ5" s="1913"/>
      <c r="CR5" s="1913"/>
      <c r="CS5" s="1913"/>
      <c r="CT5" s="1913"/>
      <c r="CU5" s="1913"/>
      <c r="CV5" s="1913"/>
      <c r="CW5" s="1913"/>
    </row>
    <row r="6" spans="1:101" s="403" customFormat="1" ht="30.75" customHeight="1">
      <c r="A6" s="620" t="s">
        <v>90</v>
      </c>
      <c r="B6" s="620" t="s">
        <v>650</v>
      </c>
      <c r="C6" s="620"/>
      <c r="D6" s="620"/>
      <c r="E6" s="620"/>
      <c r="F6" s="620"/>
      <c r="G6" s="620"/>
      <c r="H6" s="620"/>
      <c r="I6" s="620"/>
      <c r="J6" s="620"/>
      <c r="K6" s="620"/>
      <c r="L6" s="620"/>
      <c r="M6" s="620"/>
      <c r="N6" s="620"/>
      <c r="O6" s="620"/>
      <c r="P6" s="620"/>
      <c r="Q6" s="620"/>
      <c r="R6" s="620"/>
      <c r="S6" s="620"/>
      <c r="T6" s="620"/>
      <c r="U6" s="620"/>
      <c r="V6" s="620"/>
      <c r="W6" s="620"/>
      <c r="X6" s="620"/>
      <c r="Y6" s="620"/>
      <c r="Z6" s="620"/>
      <c r="AA6" s="620"/>
      <c r="AB6" s="620"/>
      <c r="AC6" s="620"/>
      <c r="AD6" s="620"/>
      <c r="AE6" s="620"/>
      <c r="AF6" s="620"/>
      <c r="AG6" s="620"/>
      <c r="AH6" s="620"/>
      <c r="AI6" s="620"/>
      <c r="AJ6" s="620"/>
      <c r="AK6" s="620"/>
      <c r="AL6" s="620"/>
      <c r="AM6" s="620"/>
      <c r="AN6" s="620"/>
      <c r="AO6" s="620"/>
      <c r="AP6" s="620"/>
      <c r="AQ6" s="620"/>
      <c r="AR6" s="620"/>
      <c r="AS6" s="620"/>
      <c r="AT6" s="620"/>
      <c r="BO6" s="620"/>
      <c r="BT6" s="1906" t="s">
        <v>651</v>
      </c>
      <c r="BU6" s="1906"/>
      <c r="BV6" s="1906"/>
      <c r="BW6" s="1906"/>
      <c r="BX6" s="1906"/>
      <c r="BY6" s="1906"/>
      <c r="BZ6" s="1906"/>
      <c r="CA6" s="1906"/>
      <c r="CB6" s="1906"/>
      <c r="CC6" s="1906"/>
      <c r="CD6" s="1906"/>
      <c r="CE6" s="1906"/>
      <c r="CF6" s="1906"/>
      <c r="CG6" s="1906"/>
      <c r="CH6" s="1906"/>
      <c r="CI6" s="1906"/>
      <c r="CJ6" s="1906"/>
      <c r="CK6" s="1906"/>
      <c r="CL6" s="1906"/>
      <c r="CM6" s="1906"/>
      <c r="CN6" s="1906"/>
      <c r="CO6" s="1906"/>
      <c r="CP6" s="1906"/>
      <c r="CQ6" s="1906"/>
      <c r="CR6" s="1906"/>
      <c r="CS6" s="1906"/>
      <c r="CT6" s="1906"/>
      <c r="CU6" s="1906"/>
      <c r="CV6" s="1906"/>
      <c r="CW6" s="1906"/>
    </row>
    <row r="7" spans="1:101" s="403" customFormat="1" ht="9" customHeight="1">
      <c r="A7" s="620"/>
      <c r="B7" s="620"/>
      <c r="CD7" s="620"/>
      <c r="CR7" s="621"/>
      <c r="CS7" s="621"/>
      <c r="CT7" s="621"/>
      <c r="CU7" s="621"/>
      <c r="CV7" s="621"/>
    </row>
    <row r="8" spans="1:101" s="403" customFormat="1" ht="12.75">
      <c r="A8" s="622" t="s">
        <v>661</v>
      </c>
      <c r="B8" s="403" t="s">
        <v>652</v>
      </c>
      <c r="C8" s="1852">
        <v>1</v>
      </c>
      <c r="D8" s="1853"/>
      <c r="E8" s="1853"/>
      <c r="F8" s="1853"/>
      <c r="G8" s="1853"/>
      <c r="H8" s="604"/>
      <c r="I8" s="605" t="s">
        <v>662</v>
      </c>
      <c r="J8" s="604"/>
      <c r="K8" s="604"/>
      <c r="L8" s="604"/>
      <c r="M8" s="604"/>
      <c r="N8" s="604"/>
      <c r="O8" s="604"/>
      <c r="P8" s="604"/>
      <c r="Q8" s="604"/>
      <c r="R8" s="604"/>
      <c r="S8" s="604"/>
      <c r="T8" s="604"/>
      <c r="U8" s="604"/>
      <c r="V8" s="604"/>
      <c r="W8" s="604"/>
      <c r="X8" s="604"/>
      <c r="Y8" s="604"/>
      <c r="Z8" s="604"/>
      <c r="AA8" s="604"/>
      <c r="AB8" s="604"/>
      <c r="AC8" s="604"/>
      <c r="AD8" s="604"/>
      <c r="AE8" s="604"/>
      <c r="AF8" s="604"/>
      <c r="AG8" s="604"/>
      <c r="AH8" s="604"/>
      <c r="AI8" s="604"/>
      <c r="AJ8" s="604"/>
      <c r="AK8" s="604"/>
      <c r="AL8" s="604"/>
      <c r="AM8" s="604"/>
      <c r="AN8" s="606"/>
      <c r="BU8" s="403" t="s">
        <v>653</v>
      </c>
      <c r="CR8" s="623"/>
      <c r="CS8" s="621"/>
      <c r="CT8" s="621"/>
      <c r="CU8" s="621"/>
      <c r="CV8" s="621"/>
    </row>
    <row r="9" spans="1:101" s="403" customFormat="1" ht="12.75">
      <c r="A9" s="622"/>
      <c r="CR9" s="623"/>
      <c r="CS9" s="621"/>
      <c r="CT9" s="621"/>
      <c r="CU9" s="621"/>
      <c r="CV9" s="621"/>
    </row>
    <row r="10" spans="1:101" s="403" customFormat="1" ht="12.75">
      <c r="A10" s="622"/>
    </row>
    <row r="11" spans="1:101" s="403" customFormat="1">
      <c r="A11" s="393" t="s">
        <v>1075</v>
      </c>
      <c r="B11" s="392" t="str">
        <f>'CUMPLIMIENTO % '!C7</f>
        <v>LUIS GABRIEL IBARRA ANGEL</v>
      </c>
      <c r="C11" s="393"/>
      <c r="D11" s="392"/>
      <c r="E11" s="392"/>
      <c r="F11" s="392"/>
      <c r="G11" s="392"/>
      <c r="H11" s="392"/>
      <c r="I11" s="392"/>
      <c r="J11" s="392"/>
      <c r="K11" s="392"/>
      <c r="L11" s="392"/>
      <c r="M11" s="392"/>
      <c r="N11" s="392"/>
      <c r="O11" s="392"/>
      <c r="P11" s="392"/>
      <c r="Q11" s="392"/>
      <c r="R11" s="392"/>
      <c r="S11" s="392"/>
      <c r="T11" s="392"/>
      <c r="U11" s="392"/>
      <c r="V11" s="392"/>
      <c r="W11" s="392"/>
      <c r="X11" s="392"/>
      <c r="Y11" s="392"/>
      <c r="Z11" s="392"/>
      <c r="AA11" s="392"/>
      <c r="AB11" s="392"/>
      <c r="AC11" s="392"/>
      <c r="AD11" s="392"/>
      <c r="AE11" s="392"/>
      <c r="AF11" s="392"/>
      <c r="AG11" s="392"/>
      <c r="AH11" s="392"/>
      <c r="AI11" s="392"/>
      <c r="AJ11" s="392"/>
      <c r="AK11" s="392"/>
      <c r="AL11" s="392"/>
      <c r="AM11" s="392"/>
      <c r="AN11" s="392"/>
      <c r="AO11" s="392"/>
      <c r="AP11" s="392"/>
      <c r="AQ11" s="392"/>
      <c r="AR11" s="392"/>
      <c r="AS11" s="392"/>
      <c r="AT11" s="392"/>
      <c r="AU11" s="392"/>
      <c r="AV11" s="392"/>
      <c r="AW11" s="392"/>
      <c r="AX11" s="392"/>
      <c r="AY11" s="392"/>
      <c r="AZ11" s="392"/>
      <c r="BA11" s="392"/>
      <c r="BB11" s="610" t="e">
        <f>'[5]PNE - TEC'!BB11:CW11</f>
        <v>#REF!</v>
      </c>
      <c r="BC11" s="610"/>
      <c r="BD11" s="610"/>
      <c r="BE11" s="610"/>
      <c r="BF11" s="610"/>
      <c r="BG11" s="610"/>
      <c r="BH11" s="610"/>
      <c r="BI11" s="610" t="s">
        <v>419</v>
      </c>
      <c r="BJ11" s="610"/>
      <c r="BK11" s="610"/>
      <c r="BM11" s="610"/>
      <c r="BN11" s="610"/>
      <c r="BO11" s="610"/>
      <c r="BP11" s="610"/>
      <c r="BQ11" s="610"/>
      <c r="BR11" s="610"/>
      <c r="BS11" s="610"/>
      <c r="BT11" s="610"/>
      <c r="BV11" s="610"/>
      <c r="BW11" s="610"/>
      <c r="BX11" s="610"/>
      <c r="BY11" s="610"/>
      <c r="BZ11" s="610"/>
      <c r="CA11" s="610"/>
      <c r="CB11" s="610"/>
      <c r="CC11" s="610"/>
      <c r="CD11" s="610"/>
      <c r="CE11" s="610"/>
      <c r="CF11" s="610"/>
      <c r="CG11" s="1921" t="str">
        <f>PORTADA!C31</f>
        <v>OCTUBRE - DICIEMBRE DEL 2020</v>
      </c>
      <c r="CH11" s="1921"/>
      <c r="CI11" s="1921"/>
      <c r="CJ11" s="1921"/>
      <c r="CK11" s="1921"/>
      <c r="CL11" s="1921"/>
      <c r="CM11" s="1921"/>
      <c r="CN11" s="1921"/>
      <c r="CO11" s="1921"/>
      <c r="CP11" s="1921"/>
      <c r="CQ11" s="1921"/>
      <c r="CR11" s="1921"/>
      <c r="CS11" s="1921"/>
      <c r="CT11" s="1921"/>
      <c r="CU11" s="1921"/>
      <c r="CV11" s="1921"/>
      <c r="CW11" s="1921"/>
    </row>
    <row r="12" spans="1:101" s="403" customFormat="1" ht="15.75" thickBot="1">
      <c r="A12" s="392"/>
      <c r="B12" s="392"/>
      <c r="C12" s="393"/>
      <c r="D12" s="392"/>
      <c r="E12" s="392"/>
      <c r="F12" s="392"/>
      <c r="G12" s="392"/>
      <c r="H12" s="392"/>
      <c r="I12" s="392"/>
      <c r="J12" s="392"/>
      <c r="K12" s="392"/>
      <c r="L12" s="392"/>
      <c r="M12" s="392"/>
      <c r="N12" s="392"/>
      <c r="O12" s="392"/>
      <c r="P12" s="392"/>
      <c r="Q12" s="392"/>
      <c r="R12" s="392"/>
      <c r="S12" s="392"/>
      <c r="T12" s="392"/>
      <c r="U12" s="392"/>
      <c r="V12" s="392"/>
      <c r="W12" s="392"/>
      <c r="X12" s="392"/>
      <c r="Y12" s="392"/>
      <c r="Z12" s="392"/>
      <c r="AA12" s="392"/>
      <c r="AB12" s="392"/>
      <c r="AC12" s="392"/>
      <c r="AD12" s="392"/>
      <c r="AE12" s="392"/>
      <c r="AF12" s="392"/>
      <c r="AG12" s="392"/>
      <c r="AH12" s="392"/>
      <c r="AI12" s="392"/>
      <c r="AJ12" s="392"/>
      <c r="AK12" s="392"/>
      <c r="AL12" s="392"/>
      <c r="AM12" s="392"/>
      <c r="AN12" s="392"/>
      <c r="AO12" s="392"/>
      <c r="AP12" s="392"/>
      <c r="AQ12" s="392"/>
      <c r="AR12" s="392"/>
      <c r="AS12" s="392"/>
      <c r="AT12" s="392"/>
      <c r="AU12" s="392"/>
      <c r="AV12" s="392"/>
      <c r="AW12" s="392"/>
      <c r="AX12" s="392"/>
      <c r="AY12" s="392"/>
      <c r="AZ12" s="392"/>
      <c r="BA12" s="392"/>
      <c r="BB12" s="351"/>
      <c r="BC12" s="351"/>
      <c r="BD12" s="351"/>
      <c r="BE12" s="351"/>
      <c r="BF12" s="351"/>
      <c r="BG12" s="351"/>
      <c r="BH12" s="351"/>
      <c r="BI12" s="351"/>
      <c r="BJ12" s="351"/>
      <c r="BK12" s="351"/>
      <c r="BL12" s="351"/>
      <c r="BM12" s="351"/>
      <c r="BN12" s="351"/>
      <c r="BO12" s="351"/>
      <c r="BP12" s="351"/>
      <c r="BQ12" s="351"/>
      <c r="BR12" s="351"/>
      <c r="BS12" s="351"/>
      <c r="BT12" s="351"/>
      <c r="BU12" s="351"/>
      <c r="BV12" s="351"/>
      <c r="BW12" s="351"/>
      <c r="BX12" s="351"/>
      <c r="BY12" s="351"/>
      <c r="BZ12" s="351"/>
      <c r="CA12" s="351"/>
      <c r="CB12" s="351"/>
      <c r="CC12" s="351"/>
      <c r="CD12" s="351"/>
      <c r="CE12" s="351"/>
      <c r="CF12" s="351"/>
      <c r="CG12" s="1922"/>
      <c r="CH12" s="1922"/>
      <c r="CI12" s="1922"/>
      <c r="CJ12" s="1922"/>
      <c r="CK12" s="1922"/>
      <c r="CL12" s="1922"/>
      <c r="CM12" s="1922"/>
      <c r="CN12" s="1922"/>
      <c r="CO12" s="1922"/>
      <c r="CP12" s="1922"/>
      <c r="CQ12" s="1922"/>
      <c r="CR12" s="1922"/>
      <c r="CS12" s="1922"/>
      <c r="CT12" s="1922"/>
      <c r="CU12" s="1922"/>
      <c r="CV12" s="1922"/>
      <c r="CW12" s="1922"/>
    </row>
    <row r="13" spans="1:101" ht="21.95" customHeight="1">
      <c r="A13" s="404"/>
      <c r="B13" s="405"/>
      <c r="C13" s="405"/>
      <c r="D13" s="405"/>
      <c r="E13" s="405"/>
      <c r="F13" s="405"/>
      <c r="G13" s="405"/>
      <c r="H13" s="405"/>
      <c r="I13" s="405"/>
      <c r="J13" s="405"/>
      <c r="K13" s="405"/>
      <c r="L13" s="405"/>
      <c r="M13" s="405"/>
      <c r="N13" s="405"/>
      <c r="O13" s="405"/>
      <c r="P13" s="405"/>
      <c r="Q13" s="405"/>
      <c r="R13" s="405"/>
      <c r="S13" s="405"/>
      <c r="T13" s="405"/>
      <c r="U13" s="405"/>
      <c r="V13" s="405"/>
      <c r="W13" s="405"/>
      <c r="X13" s="405"/>
      <c r="Y13" s="405"/>
      <c r="Z13" s="405"/>
      <c r="AA13" s="405"/>
      <c r="AB13" s="405"/>
      <c r="AC13" s="405"/>
      <c r="AD13" s="405"/>
      <c r="AE13" s="405"/>
      <c r="AF13" s="405"/>
      <c r="AG13" s="405"/>
      <c r="AH13" s="405"/>
      <c r="AI13" s="405"/>
      <c r="AJ13" s="405"/>
      <c r="AK13" s="405"/>
      <c r="AL13" s="405"/>
      <c r="AM13" s="405"/>
      <c r="AN13" s="405"/>
      <c r="AO13" s="405"/>
      <c r="AP13" s="405"/>
      <c r="AQ13" s="405"/>
      <c r="AR13" s="405"/>
      <c r="AS13" s="405"/>
      <c r="AT13" s="405"/>
      <c r="AU13" s="405"/>
      <c r="AV13" s="405"/>
      <c r="AW13" s="405"/>
      <c r="AX13" s="405"/>
      <c r="AY13" s="405"/>
      <c r="AZ13" s="405"/>
      <c r="BA13" s="405"/>
      <c r="BB13" s="405"/>
      <c r="BC13" s="405"/>
      <c r="BD13" s="405"/>
      <c r="BE13" s="405"/>
      <c r="BF13" s="405"/>
      <c r="BG13" s="405"/>
      <c r="BH13" s="405"/>
      <c r="BI13" s="405"/>
      <c r="BJ13" s="405"/>
      <c r="BK13" s="405"/>
      <c r="BL13" s="405"/>
      <c r="BM13" s="405"/>
      <c r="BN13" s="405"/>
      <c r="BO13" s="405"/>
      <c r="BP13" s="405"/>
      <c r="BQ13" s="405"/>
      <c r="BR13" s="405"/>
      <c r="BS13" s="405"/>
      <c r="BT13" s="405"/>
      <c r="BU13" s="405"/>
      <c r="BV13" s="405"/>
      <c r="BW13" s="405"/>
      <c r="BX13" s="405"/>
      <c r="BY13" s="405"/>
      <c r="BZ13" s="405"/>
      <c r="CA13" s="405"/>
      <c r="CB13" s="405"/>
      <c r="CC13" s="405"/>
      <c r="CD13" s="405"/>
      <c r="CE13" s="405"/>
      <c r="CF13" s="405"/>
      <c r="CG13" s="405"/>
      <c r="CH13" s="405"/>
      <c r="CI13" s="405"/>
      <c r="CJ13" s="405"/>
      <c r="CK13" s="405"/>
      <c r="CL13" s="405"/>
      <c r="CM13" s="405"/>
      <c r="CN13" s="405"/>
      <c r="CO13" s="405"/>
      <c r="CP13" s="405"/>
      <c r="CQ13" s="405"/>
      <c r="CR13" s="405"/>
      <c r="CS13" s="405"/>
      <c r="CT13" s="405"/>
      <c r="CU13" s="405"/>
      <c r="CV13" s="405"/>
      <c r="CW13" s="406"/>
    </row>
    <row r="14" spans="1:101" ht="21.95" customHeight="1">
      <c r="A14" s="408"/>
      <c r="CW14" s="409"/>
    </row>
    <row r="15" spans="1:101" ht="21.95" customHeight="1">
      <c r="A15" s="408"/>
      <c r="CW15" s="409"/>
    </row>
    <row r="16" spans="1:101" ht="21.95" customHeight="1">
      <c r="A16" s="408"/>
      <c r="CW16" s="409"/>
    </row>
    <row r="17" spans="1:101" ht="21.95" customHeight="1">
      <c r="A17" s="408"/>
      <c r="CW17" s="409"/>
    </row>
    <row r="18" spans="1:101" ht="21.95" customHeight="1">
      <c r="A18" s="408"/>
      <c r="CW18" s="409"/>
    </row>
    <row r="19" spans="1:101" ht="21.95" customHeight="1">
      <c r="A19" s="408"/>
      <c r="CW19" s="409"/>
    </row>
    <row r="20" spans="1:101" ht="21.95" customHeight="1">
      <c r="A20" s="408"/>
      <c r="CW20" s="409"/>
    </row>
    <row r="21" spans="1:101" ht="21.95" customHeight="1">
      <c r="A21" s="408"/>
      <c r="CW21" s="409"/>
    </row>
    <row r="22" spans="1:101" ht="21.95" customHeight="1">
      <c r="A22" s="408"/>
      <c r="CW22" s="409"/>
    </row>
    <row r="23" spans="1:101" ht="21.95" customHeight="1">
      <c r="A23" s="408"/>
      <c r="CW23" s="409"/>
    </row>
    <row r="24" spans="1:101" ht="21.95" customHeight="1">
      <c r="A24" s="408"/>
      <c r="CW24" s="409"/>
    </row>
    <row r="25" spans="1:101" ht="21.95" customHeight="1">
      <c r="A25" s="408"/>
      <c r="CW25" s="409"/>
    </row>
    <row r="26" spans="1:101" ht="21.95" customHeight="1">
      <c r="A26" s="408"/>
      <c r="CW26" s="409"/>
    </row>
    <row r="27" spans="1:101" ht="21.95" customHeight="1">
      <c r="A27" s="408"/>
      <c r="CW27" s="409"/>
    </row>
    <row r="28" spans="1:101" ht="21.95" customHeight="1">
      <c r="A28" s="408"/>
      <c r="CW28" s="409"/>
    </row>
    <row r="29" spans="1:101" ht="21.95" customHeight="1">
      <c r="A29" s="408"/>
      <c r="CW29" s="409"/>
    </row>
    <row r="30" spans="1:101" ht="21.95" customHeight="1" thickBot="1">
      <c r="A30" s="410"/>
      <c r="B30" s="411"/>
      <c r="C30" s="411"/>
      <c r="D30" s="411"/>
      <c r="E30" s="411"/>
      <c r="F30" s="411"/>
      <c r="G30" s="411"/>
      <c r="H30" s="411"/>
      <c r="I30" s="411"/>
      <c r="J30" s="411"/>
      <c r="K30" s="411"/>
      <c r="L30" s="411"/>
      <c r="M30" s="411"/>
      <c r="N30" s="411"/>
      <c r="O30" s="411"/>
      <c r="P30" s="411"/>
      <c r="Q30" s="411"/>
      <c r="R30" s="411"/>
      <c r="S30" s="411"/>
      <c r="T30" s="411"/>
      <c r="U30" s="411"/>
      <c r="V30" s="411"/>
      <c r="W30" s="411"/>
      <c r="X30" s="411"/>
      <c r="Y30" s="411"/>
      <c r="Z30" s="411"/>
      <c r="AA30" s="411"/>
      <c r="AB30" s="411"/>
      <c r="AC30" s="411"/>
      <c r="AD30" s="411"/>
      <c r="AE30" s="411"/>
      <c r="AF30" s="411"/>
      <c r="AG30" s="411"/>
      <c r="AH30" s="411"/>
      <c r="AI30" s="411"/>
      <c r="AJ30" s="411"/>
      <c r="AK30" s="411"/>
      <c r="AL30" s="411"/>
      <c r="AM30" s="411"/>
      <c r="AN30" s="411"/>
      <c r="AO30" s="411"/>
      <c r="AP30" s="411"/>
      <c r="AQ30" s="411"/>
      <c r="AR30" s="411"/>
      <c r="AS30" s="411"/>
      <c r="AT30" s="411"/>
      <c r="AU30" s="411"/>
      <c r="AV30" s="411"/>
      <c r="AW30" s="411"/>
      <c r="AX30" s="411"/>
      <c r="AY30" s="411"/>
      <c r="AZ30" s="411"/>
      <c r="BA30" s="411"/>
      <c r="BB30" s="411"/>
      <c r="BC30" s="411"/>
      <c r="BD30" s="411"/>
      <c r="BE30" s="411"/>
      <c r="BF30" s="411"/>
      <c r="BG30" s="411"/>
      <c r="BH30" s="411"/>
      <c r="BI30" s="411"/>
      <c r="BJ30" s="411"/>
      <c r="BK30" s="411"/>
      <c r="BL30" s="411"/>
      <c r="BM30" s="411"/>
      <c r="BN30" s="411"/>
      <c r="BO30" s="411"/>
      <c r="BP30" s="411"/>
      <c r="BQ30" s="411"/>
      <c r="BR30" s="411"/>
      <c r="BS30" s="411"/>
      <c r="BT30" s="411"/>
      <c r="BU30" s="411"/>
      <c r="BV30" s="411"/>
      <c r="BW30" s="411"/>
      <c r="BX30" s="411"/>
      <c r="BY30" s="411"/>
      <c r="BZ30" s="411"/>
      <c r="CA30" s="411"/>
      <c r="CB30" s="411"/>
      <c r="CC30" s="411"/>
      <c r="CD30" s="411"/>
      <c r="CE30" s="411"/>
      <c r="CF30" s="411"/>
      <c r="CG30" s="411"/>
      <c r="CH30" s="411"/>
      <c r="CI30" s="411"/>
      <c r="CJ30" s="411"/>
      <c r="CK30" s="411"/>
      <c r="CL30" s="411"/>
      <c r="CM30" s="411"/>
      <c r="CN30" s="411"/>
      <c r="CO30" s="411"/>
      <c r="CP30" s="411"/>
      <c r="CQ30" s="411"/>
      <c r="CR30" s="411"/>
      <c r="CS30" s="411"/>
      <c r="CT30" s="411"/>
      <c r="CU30" s="411"/>
      <c r="CV30" s="411"/>
      <c r="CW30" s="412"/>
    </row>
    <row r="31" spans="1:101" ht="16.5" customHeight="1" thickBot="1">
      <c r="A31" s="413" t="s">
        <v>7</v>
      </c>
      <c r="B31" s="1733" t="s">
        <v>52</v>
      </c>
      <c r="C31" s="1734"/>
      <c r="D31" s="1734"/>
      <c r="E31" s="1734"/>
      <c r="F31" s="1734"/>
      <c r="G31" s="1734"/>
      <c r="H31" s="1734"/>
      <c r="I31" s="1734"/>
      <c r="J31" s="1734"/>
      <c r="K31" s="1734"/>
      <c r="L31" s="1734"/>
      <c r="M31" s="1734"/>
      <c r="N31" s="1734"/>
      <c r="O31" s="1734"/>
      <c r="P31" s="1734"/>
      <c r="Q31" s="1734"/>
      <c r="R31" s="1734"/>
      <c r="S31" s="1734"/>
      <c r="T31" s="1734"/>
      <c r="U31" s="1734"/>
      <c r="V31" s="1734"/>
      <c r="W31" s="1734"/>
      <c r="X31" s="1734"/>
      <c r="Y31" s="1734"/>
      <c r="Z31" s="1734"/>
      <c r="AA31" s="1734"/>
      <c r="AB31" s="1734"/>
      <c r="AC31" s="1734"/>
      <c r="AD31" s="1734"/>
      <c r="AE31" s="1734"/>
      <c r="AF31" s="1734"/>
      <c r="AG31" s="1734"/>
      <c r="AH31" s="1734"/>
      <c r="AI31" s="1734"/>
      <c r="AJ31" s="1734"/>
      <c r="AK31" s="1734"/>
      <c r="AL31" s="1734"/>
      <c r="AM31" s="1734"/>
      <c r="AN31" s="1734"/>
      <c r="AO31" s="1734"/>
      <c r="AP31" s="1734"/>
      <c r="AQ31" s="1734"/>
      <c r="AR31" s="1734"/>
      <c r="AS31" s="1734"/>
      <c r="AT31" s="1734"/>
      <c r="AU31" s="1734"/>
      <c r="AV31" s="1734"/>
      <c r="AW31" s="1734"/>
      <c r="AX31" s="1734"/>
      <c r="AY31" s="1734"/>
      <c r="AZ31" s="1734"/>
      <c r="BA31" s="1734"/>
      <c r="BB31" s="1734"/>
      <c r="BC31" s="1734"/>
      <c r="BD31" s="1734"/>
      <c r="BE31" s="1734"/>
      <c r="BF31" s="1734"/>
      <c r="BG31" s="1734"/>
      <c r="BH31" s="1734"/>
      <c r="BI31" s="1734"/>
      <c r="BJ31" s="1734"/>
      <c r="BK31" s="1734"/>
      <c r="BL31" s="1734"/>
      <c r="BM31" s="1734"/>
      <c r="BN31" s="1734"/>
      <c r="BO31" s="1734"/>
      <c r="BP31" s="1734"/>
      <c r="BQ31" s="1734"/>
      <c r="BR31" s="1734"/>
      <c r="BS31" s="1734"/>
      <c r="BT31" s="1734"/>
      <c r="BU31" s="1734"/>
      <c r="BV31" s="1734"/>
      <c r="BW31" s="1734"/>
      <c r="BX31" s="1734"/>
      <c r="BY31" s="1734"/>
      <c r="BZ31" s="1734"/>
      <c r="CA31" s="1734"/>
      <c r="CB31" s="1734"/>
      <c r="CC31" s="1734"/>
      <c r="CD31" s="1950" t="s">
        <v>568</v>
      </c>
      <c r="CE31" s="1951"/>
      <c r="CF31" s="1951"/>
      <c r="CG31" s="1951"/>
      <c r="CH31" s="1951"/>
      <c r="CI31" s="1951"/>
      <c r="CJ31" s="1951"/>
      <c r="CK31" s="1951"/>
      <c r="CL31" s="1951"/>
      <c r="CM31" s="1951"/>
      <c r="CN31" s="1951"/>
      <c r="CO31" s="1951"/>
      <c r="CP31" s="1951"/>
      <c r="CQ31" s="1951"/>
      <c r="CR31" s="1951"/>
      <c r="CS31" s="1951"/>
      <c r="CT31" s="1951"/>
      <c r="CU31" s="1951"/>
      <c r="CV31" s="1951"/>
      <c r="CW31" s="1952"/>
    </row>
    <row r="32" spans="1:101" ht="16.5" thickBot="1">
      <c r="A32" s="414" t="s">
        <v>24</v>
      </c>
      <c r="B32" s="1742"/>
      <c r="C32" s="1743"/>
      <c r="D32" s="1743"/>
      <c r="E32" s="1743"/>
      <c r="F32" s="1743"/>
      <c r="G32" s="1743"/>
      <c r="H32" s="1743"/>
      <c r="I32" s="1743"/>
      <c r="J32" s="1743"/>
      <c r="K32" s="1743"/>
      <c r="L32" s="1744"/>
      <c r="M32" s="1744"/>
      <c r="N32" s="1744"/>
      <c r="O32" s="1744"/>
      <c r="P32" s="1744"/>
      <c r="Q32" s="1744"/>
      <c r="R32" s="1744"/>
      <c r="S32" s="1744"/>
      <c r="T32" s="1744"/>
      <c r="U32" s="1744"/>
      <c r="V32" s="1736" t="s">
        <v>54</v>
      </c>
      <c r="W32" s="1736"/>
      <c r="X32" s="1736"/>
      <c r="Y32" s="1736"/>
      <c r="Z32" s="1736"/>
      <c r="AA32" s="1736"/>
      <c r="AB32" s="1736"/>
      <c r="AC32" s="1736"/>
      <c r="AD32" s="1736"/>
      <c r="AE32" s="1736"/>
      <c r="AF32" s="1736" t="s">
        <v>54</v>
      </c>
      <c r="AG32" s="1736"/>
      <c r="AH32" s="1736"/>
      <c r="AI32" s="1736"/>
      <c r="AJ32" s="1736"/>
      <c r="AK32" s="1736"/>
      <c r="AL32" s="1736"/>
      <c r="AM32" s="1736"/>
      <c r="AN32" s="1736"/>
      <c r="AO32" s="1736"/>
      <c r="AP32" s="1736"/>
      <c r="AQ32" s="1736"/>
      <c r="AR32" s="1736"/>
      <c r="AS32" s="1736"/>
      <c r="AT32" s="1736"/>
      <c r="AU32" s="1736"/>
      <c r="AV32" s="1736"/>
      <c r="AW32" s="1736"/>
      <c r="AX32" s="1736"/>
      <c r="AY32" s="1736"/>
      <c r="AZ32" s="1736"/>
      <c r="BA32" s="1736"/>
      <c r="BB32" s="1736"/>
      <c r="BC32" s="1736"/>
      <c r="BD32" s="1736"/>
      <c r="BE32" s="1736"/>
      <c r="BF32" s="1736"/>
      <c r="BG32" s="1736"/>
      <c r="BH32" s="1736"/>
      <c r="BI32" s="1736"/>
      <c r="BJ32" s="1736" t="s">
        <v>54</v>
      </c>
      <c r="BK32" s="1736"/>
      <c r="BL32" s="1736"/>
      <c r="BM32" s="1736"/>
      <c r="BN32" s="1736"/>
      <c r="BO32" s="1736"/>
      <c r="BP32" s="1736"/>
      <c r="BQ32" s="1736"/>
      <c r="BR32" s="1736"/>
      <c r="BS32" s="1736"/>
      <c r="BT32" s="1736"/>
      <c r="BU32" s="1736"/>
      <c r="BV32" s="1736"/>
      <c r="BW32" s="1736"/>
      <c r="BX32" s="1736"/>
      <c r="BY32" s="1736"/>
      <c r="BZ32" s="1736"/>
      <c r="CA32" s="1736"/>
      <c r="CB32" s="1736"/>
      <c r="CC32" s="1737"/>
      <c r="CD32" s="1953"/>
      <c r="CE32" s="1954"/>
      <c r="CF32" s="1954"/>
      <c r="CG32" s="1954"/>
      <c r="CH32" s="1954"/>
      <c r="CI32" s="1954"/>
      <c r="CJ32" s="1954"/>
      <c r="CK32" s="1954"/>
      <c r="CL32" s="1954"/>
      <c r="CM32" s="1954"/>
      <c r="CN32" s="1954"/>
      <c r="CO32" s="1954"/>
      <c r="CP32" s="1954"/>
      <c r="CQ32" s="1954"/>
      <c r="CR32" s="1954"/>
      <c r="CS32" s="1954"/>
      <c r="CT32" s="1954"/>
      <c r="CU32" s="1954"/>
      <c r="CV32" s="1954"/>
      <c r="CW32" s="1955"/>
    </row>
    <row r="33" spans="1:105" ht="16.5" customHeight="1" thickBot="1">
      <c r="A33" s="415" t="s">
        <v>132</v>
      </c>
      <c r="B33" s="1949">
        <v>24</v>
      </c>
      <c r="C33" s="1946"/>
      <c r="D33" s="1946"/>
      <c r="E33" s="1946"/>
      <c r="F33" s="1946"/>
      <c r="G33" s="1946"/>
      <c r="H33" s="1946"/>
      <c r="I33" s="1946"/>
      <c r="J33" s="1946"/>
      <c r="K33" s="1947"/>
      <c r="L33" s="1914"/>
      <c r="M33" s="1915"/>
      <c r="N33" s="1915"/>
      <c r="O33" s="1915"/>
      <c r="P33" s="1915"/>
      <c r="Q33" s="1915"/>
      <c r="R33" s="1915"/>
      <c r="S33" s="1915"/>
      <c r="T33" s="1915"/>
      <c r="U33" s="1916"/>
      <c r="V33" s="1945">
        <v>25</v>
      </c>
      <c r="W33" s="1946"/>
      <c r="X33" s="1946"/>
      <c r="Y33" s="1946"/>
      <c r="Z33" s="1946"/>
      <c r="AA33" s="1946"/>
      <c r="AB33" s="1946"/>
      <c r="AC33" s="1946"/>
      <c r="AD33" s="1946"/>
      <c r="AE33" s="1947"/>
      <c r="AF33" s="1914"/>
      <c r="AG33" s="1915"/>
      <c r="AH33" s="1915"/>
      <c r="AI33" s="1915"/>
      <c r="AJ33" s="1915"/>
      <c r="AK33" s="1915"/>
      <c r="AL33" s="1915"/>
      <c r="AM33" s="1915"/>
      <c r="AN33" s="1915"/>
      <c r="AO33" s="1916"/>
      <c r="AP33" s="1945">
        <v>26</v>
      </c>
      <c r="AQ33" s="1946"/>
      <c r="AR33" s="1946"/>
      <c r="AS33" s="1946"/>
      <c r="AT33" s="1946"/>
      <c r="AU33" s="1946"/>
      <c r="AV33" s="1946"/>
      <c r="AW33" s="1946"/>
      <c r="AX33" s="1946"/>
      <c r="AY33" s="1947"/>
      <c r="AZ33" s="1914"/>
      <c r="BA33" s="1915"/>
      <c r="BB33" s="1915"/>
      <c r="BC33" s="1915"/>
      <c r="BD33" s="1915"/>
      <c r="BE33" s="1915"/>
      <c r="BF33" s="1915"/>
      <c r="BG33" s="1915"/>
      <c r="BH33" s="1915"/>
      <c r="BI33" s="1916"/>
      <c r="BJ33" s="1945">
        <v>27</v>
      </c>
      <c r="BK33" s="1946"/>
      <c r="BL33" s="1946"/>
      <c r="BM33" s="1946"/>
      <c r="BN33" s="1946"/>
      <c r="BO33" s="1946"/>
      <c r="BP33" s="1946"/>
      <c r="BQ33" s="1946"/>
      <c r="BR33" s="1946"/>
      <c r="BS33" s="1947"/>
      <c r="BT33" s="1948"/>
      <c r="BU33" s="1948"/>
      <c r="BV33" s="1948"/>
      <c r="BW33" s="1948"/>
      <c r="BX33" s="1948"/>
      <c r="BY33" s="1948"/>
      <c r="BZ33" s="1948"/>
      <c r="CA33" s="1948"/>
      <c r="CB33" s="1948"/>
      <c r="CC33" s="1914"/>
      <c r="CD33" s="1864" t="s">
        <v>368</v>
      </c>
      <c r="CE33" s="1865"/>
      <c r="CF33" s="1865"/>
      <c r="CG33" s="1865"/>
      <c r="CH33" s="1865" t="s">
        <v>96</v>
      </c>
      <c r="CI33" s="1865"/>
      <c r="CJ33" s="1865"/>
      <c r="CK33" s="1865"/>
      <c r="CL33" s="1865" t="s">
        <v>97</v>
      </c>
      <c r="CM33" s="1865"/>
      <c r="CN33" s="1865"/>
      <c r="CO33" s="1865"/>
      <c r="CP33" s="1865" t="s">
        <v>98</v>
      </c>
      <c r="CQ33" s="1865"/>
      <c r="CR33" s="1865"/>
      <c r="CS33" s="1865"/>
      <c r="CT33" s="1865" t="s">
        <v>369</v>
      </c>
      <c r="CU33" s="1865"/>
      <c r="CV33" s="1865"/>
      <c r="CW33" s="1905"/>
      <c r="CY33" s="611" t="s">
        <v>572</v>
      </c>
      <c r="CZ33" s="611" t="s">
        <v>14</v>
      </c>
      <c r="DA33" s="611" t="s">
        <v>573</v>
      </c>
    </row>
    <row r="34" spans="1:105" ht="10.5" customHeight="1">
      <c r="A34" s="1645" t="s">
        <v>55</v>
      </c>
      <c r="K34" s="417"/>
      <c r="U34" s="417"/>
      <c r="AE34" s="417"/>
      <c r="AO34" s="417"/>
      <c r="AY34" s="417"/>
      <c r="BI34" s="417"/>
      <c r="BK34" s="429"/>
      <c r="BS34" s="417"/>
      <c r="CD34" s="1860" t="s">
        <v>617</v>
      </c>
      <c r="CE34" s="1861"/>
      <c r="CF34" s="1861" t="s">
        <v>39</v>
      </c>
      <c r="CG34" s="1861"/>
      <c r="CH34" s="1861" t="s">
        <v>617</v>
      </c>
      <c r="CI34" s="1861"/>
      <c r="CJ34" s="1861" t="s">
        <v>39</v>
      </c>
      <c r="CK34" s="1861"/>
      <c r="CL34" s="1861" t="s">
        <v>617</v>
      </c>
      <c r="CM34" s="1861"/>
      <c r="CN34" s="1861" t="s">
        <v>39</v>
      </c>
      <c r="CO34" s="1861"/>
      <c r="CP34" s="1861" t="s">
        <v>617</v>
      </c>
      <c r="CQ34" s="1861"/>
      <c r="CR34" s="1861" t="s">
        <v>39</v>
      </c>
      <c r="CS34" s="1861"/>
      <c r="CT34" s="1861" t="s">
        <v>617</v>
      </c>
      <c r="CU34" s="1861"/>
      <c r="CV34" s="1861" t="s">
        <v>39</v>
      </c>
      <c r="CW34" s="1866"/>
      <c r="CY34" s="612"/>
      <c r="CZ34" s="613" t="s">
        <v>54</v>
      </c>
      <c r="DA34" s="613">
        <v>4.0599999999999996</v>
      </c>
    </row>
    <row r="35" spans="1:105" ht="3.75" customHeight="1">
      <c r="A35" s="1645"/>
      <c r="C35" s="419"/>
      <c r="D35" s="937"/>
      <c r="E35" s="937"/>
      <c r="F35" s="937"/>
      <c r="G35" s="937"/>
      <c r="H35" s="937"/>
      <c r="I35" s="937"/>
      <c r="J35" s="937"/>
      <c r="K35" s="938"/>
      <c r="L35" s="937"/>
      <c r="M35" s="937"/>
      <c r="N35" s="937"/>
      <c r="O35" s="937"/>
      <c r="P35" s="937"/>
      <c r="Q35" s="937"/>
      <c r="R35" s="937"/>
      <c r="S35" s="937"/>
      <c r="T35" s="937"/>
      <c r="U35" s="938"/>
      <c r="V35" s="423"/>
      <c r="W35" s="423"/>
      <c r="X35" s="423"/>
      <c r="Y35" s="423"/>
      <c r="Z35" s="423"/>
      <c r="AA35" s="423"/>
      <c r="AB35" s="423"/>
      <c r="AC35" s="423"/>
      <c r="AD35" s="423"/>
      <c r="AE35" s="423"/>
      <c r="AF35" s="423"/>
      <c r="AG35" s="423"/>
      <c r="AH35" s="423"/>
      <c r="AI35" s="423"/>
      <c r="AJ35" s="423"/>
      <c r="AK35" s="423"/>
      <c r="AL35" s="423"/>
      <c r="AM35" s="423"/>
      <c r="AN35" s="423"/>
      <c r="AO35" s="423"/>
      <c r="AP35" s="423"/>
      <c r="AQ35" s="423"/>
      <c r="AR35" s="423"/>
      <c r="AS35" s="423"/>
      <c r="AT35" s="423"/>
      <c r="AU35" s="423"/>
      <c r="AV35" s="423"/>
      <c r="AW35" s="423"/>
      <c r="AX35" s="423"/>
      <c r="AY35" s="423"/>
      <c r="AZ35" s="423"/>
      <c r="BA35" s="423"/>
      <c r="BB35" s="423"/>
      <c r="BC35" s="423"/>
      <c r="BD35" s="423"/>
      <c r="BE35" s="423"/>
      <c r="BF35" s="423"/>
      <c r="BG35" s="423"/>
      <c r="BH35" s="423"/>
      <c r="BI35" s="423"/>
      <c r="BJ35" s="423"/>
      <c r="BK35" s="423"/>
      <c r="BL35" s="423"/>
      <c r="BM35" s="423"/>
      <c r="BN35" s="423"/>
      <c r="BO35" s="423"/>
      <c r="BP35" s="423"/>
      <c r="BQ35" s="423"/>
      <c r="BR35" s="423"/>
      <c r="BS35" s="423"/>
      <c r="BT35" s="423"/>
      <c r="BU35" s="423"/>
      <c r="BV35" s="423"/>
      <c r="BW35" s="423"/>
      <c r="BX35" s="891"/>
      <c r="BY35" s="891"/>
      <c r="BZ35" s="891"/>
      <c r="CA35" s="891"/>
      <c r="CB35" s="891"/>
      <c r="CC35" s="891"/>
      <c r="CD35" s="1862"/>
      <c r="CE35" s="1863"/>
      <c r="CF35" s="1863"/>
      <c r="CG35" s="1863"/>
      <c r="CH35" s="1863"/>
      <c r="CI35" s="1863"/>
      <c r="CJ35" s="1863"/>
      <c r="CK35" s="1863"/>
      <c r="CL35" s="1863"/>
      <c r="CM35" s="1863"/>
      <c r="CN35" s="1863"/>
      <c r="CO35" s="1863"/>
      <c r="CP35" s="1863"/>
      <c r="CQ35" s="1863"/>
      <c r="CR35" s="1863"/>
      <c r="CS35" s="1863"/>
      <c r="CT35" s="1863"/>
      <c r="CU35" s="1863"/>
      <c r="CV35" s="1863"/>
      <c r="CW35" s="1867"/>
      <c r="CY35" s="615"/>
      <c r="CZ35" s="615"/>
      <c r="DA35" s="615"/>
    </row>
    <row r="36" spans="1:105" ht="13.5" customHeight="1">
      <c r="A36" s="1646"/>
      <c r="B36" s="426"/>
      <c r="C36" s="426"/>
      <c r="D36" s="426"/>
      <c r="E36" s="426"/>
      <c r="F36" s="426"/>
      <c r="G36" s="426"/>
      <c r="H36" s="426"/>
      <c r="I36" s="426"/>
      <c r="J36" s="426"/>
      <c r="K36" s="427"/>
      <c r="L36" s="426"/>
      <c r="M36" s="426"/>
      <c r="N36" s="426"/>
      <c r="O36" s="426"/>
      <c r="P36" s="426"/>
      <c r="Q36" s="426"/>
      <c r="R36" s="426"/>
      <c r="S36" s="426"/>
      <c r="T36" s="426"/>
      <c r="U36" s="427"/>
      <c r="V36" s="426"/>
      <c r="W36" s="426"/>
      <c r="X36" s="426"/>
      <c r="Y36" s="426"/>
      <c r="Z36" s="426"/>
      <c r="AA36" s="426"/>
      <c r="AB36" s="426"/>
      <c r="AC36" s="426"/>
      <c r="AD36" s="426"/>
      <c r="AE36" s="427"/>
      <c r="AF36" s="426"/>
      <c r="AG36" s="426"/>
      <c r="AH36" s="426"/>
      <c r="AI36" s="426"/>
      <c r="AJ36" s="426"/>
      <c r="AK36" s="426"/>
      <c r="AL36" s="426"/>
      <c r="AM36" s="426"/>
      <c r="AN36" s="426"/>
      <c r="AO36" s="427"/>
      <c r="AP36" s="426"/>
      <c r="AQ36" s="426"/>
      <c r="AR36" s="426"/>
      <c r="AS36" s="426"/>
      <c r="AT36" s="426"/>
      <c r="AU36" s="426"/>
      <c r="AV36" s="426"/>
      <c r="AW36" s="426"/>
      <c r="AX36" s="426"/>
      <c r="AY36" s="427"/>
      <c r="AZ36" s="426"/>
      <c r="BA36" s="426"/>
      <c r="BB36" s="426"/>
      <c r="BC36" s="426"/>
      <c r="BD36" s="426"/>
      <c r="BE36" s="426"/>
      <c r="BF36" s="426"/>
      <c r="BG36" s="426"/>
      <c r="BH36" s="426"/>
      <c r="BI36" s="427"/>
      <c r="BJ36" s="426"/>
      <c r="BK36" s="432"/>
      <c r="BL36" s="426"/>
      <c r="BM36" s="426"/>
      <c r="BN36" s="426"/>
      <c r="BO36" s="426"/>
      <c r="BP36" s="426"/>
      <c r="BQ36" s="426"/>
      <c r="BR36" s="426"/>
      <c r="BS36" s="427"/>
      <c r="BT36" s="426"/>
      <c r="BU36" s="426"/>
      <c r="BV36" s="428" t="s">
        <v>541</v>
      </c>
      <c r="BW36" s="426"/>
      <c r="BX36" s="426"/>
      <c r="BY36" s="426"/>
      <c r="BZ36" s="426"/>
      <c r="CA36" s="426"/>
      <c r="CB36" s="426"/>
      <c r="CC36" s="426"/>
      <c r="CD36" s="1932">
        <v>0</v>
      </c>
      <c r="CE36" s="1933"/>
      <c r="CF36" s="1934">
        <f>+CD36/$CY$36</f>
        <v>0</v>
      </c>
      <c r="CG36" s="1935"/>
      <c r="CH36" s="1809">
        <v>3.06</v>
      </c>
      <c r="CI36" s="1809"/>
      <c r="CJ36" s="1794">
        <f>+CH36/$CY$36</f>
        <v>0.75369458128078815</v>
      </c>
      <c r="CK36" s="1793"/>
      <c r="CL36" s="1638">
        <v>1</v>
      </c>
      <c r="CM36" s="1639"/>
      <c r="CN36" s="1936">
        <f>+CL36/$CY$36</f>
        <v>0.2463054187192118</v>
      </c>
      <c r="CO36" s="1936"/>
      <c r="CP36" s="1943">
        <v>0</v>
      </c>
      <c r="CQ36" s="1871"/>
      <c r="CR36" s="1924">
        <f>+CP36/$CY$36</f>
        <v>0</v>
      </c>
      <c r="CS36" s="1925"/>
      <c r="CT36" s="1944">
        <f>+'[4]Estado Resumen'!$L$22</f>
        <v>0</v>
      </c>
      <c r="CU36" s="1643"/>
      <c r="CV36" s="1799">
        <f>+CT36/$CY$36</f>
        <v>0</v>
      </c>
      <c r="CW36" s="1800"/>
      <c r="CY36" s="612">
        <f>+CD36+CH36+CL36+CP36+CT36</f>
        <v>4.0600000000000005</v>
      </c>
      <c r="CZ36" s="616">
        <f>CF36+CR36+CV36+CJ36+CN36</f>
        <v>1</v>
      </c>
      <c r="DA36" s="612"/>
    </row>
    <row r="37" spans="1:105" ht="10.5" customHeight="1">
      <c r="A37" s="1644" t="s">
        <v>88</v>
      </c>
      <c r="F37" s="429"/>
      <c r="K37" s="417"/>
      <c r="U37" s="417"/>
      <c r="AE37" s="417"/>
      <c r="AH37" s="429"/>
      <c r="AO37" s="417"/>
      <c r="AY37" s="417"/>
      <c r="BI37" s="417"/>
      <c r="BK37" s="429"/>
      <c r="BS37" s="417"/>
      <c r="CD37" s="1889"/>
      <c r="CE37" s="1789"/>
      <c r="CF37" s="1789"/>
      <c r="CG37" s="1789"/>
      <c r="CH37" s="1926"/>
      <c r="CI37" s="1926"/>
      <c r="CJ37" s="1926"/>
      <c r="CK37" s="1926"/>
      <c r="CL37" s="1926"/>
      <c r="CM37" s="1926"/>
      <c r="CN37" s="1926"/>
      <c r="CO37" s="1926"/>
      <c r="CP37" s="1928"/>
      <c r="CQ37" s="1928"/>
      <c r="CR37" s="1928"/>
      <c r="CS37" s="1928"/>
      <c r="CT37" s="1928"/>
      <c r="CU37" s="1928"/>
      <c r="CV37" s="1928"/>
      <c r="CW37" s="1930"/>
      <c r="CY37" s="349"/>
      <c r="CZ37" s="349"/>
      <c r="DA37" s="615"/>
    </row>
    <row r="38" spans="1:105" ht="3.75" customHeight="1">
      <c r="A38" s="1645"/>
      <c r="F38" s="430"/>
      <c r="K38" s="417"/>
      <c r="U38" s="417"/>
      <c r="AE38" s="417"/>
      <c r="AO38" s="417"/>
      <c r="AY38" s="417"/>
      <c r="BI38" s="417"/>
      <c r="BS38" s="417"/>
      <c r="CD38" s="1889"/>
      <c r="CE38" s="1789"/>
      <c r="CF38" s="1789"/>
      <c r="CG38" s="1789"/>
      <c r="CH38" s="1927"/>
      <c r="CI38" s="1927"/>
      <c r="CJ38" s="1927"/>
      <c r="CK38" s="1927"/>
      <c r="CL38" s="1927"/>
      <c r="CM38" s="1927"/>
      <c r="CN38" s="1927"/>
      <c r="CO38" s="1927"/>
      <c r="CP38" s="1929"/>
      <c r="CQ38" s="1929"/>
      <c r="CR38" s="1929"/>
      <c r="CS38" s="1929"/>
      <c r="CT38" s="1929"/>
      <c r="CU38" s="1929"/>
      <c r="CV38" s="1929"/>
      <c r="CW38" s="1931"/>
      <c r="CY38" s="612"/>
      <c r="CZ38" s="616"/>
      <c r="DA38" s="615"/>
    </row>
    <row r="39" spans="1:105" ht="13.5" customHeight="1">
      <c r="A39" s="1646"/>
      <c r="B39" s="426"/>
      <c r="C39" s="426"/>
      <c r="D39" s="426"/>
      <c r="E39" s="426"/>
      <c r="F39" s="432"/>
      <c r="G39" s="426"/>
      <c r="H39" s="426"/>
      <c r="I39" s="426"/>
      <c r="J39" s="426"/>
      <c r="K39" s="427"/>
      <c r="L39" s="426"/>
      <c r="M39" s="426"/>
      <c r="N39" s="426"/>
      <c r="O39" s="426"/>
      <c r="P39" s="426"/>
      <c r="Q39" s="426"/>
      <c r="R39" s="426"/>
      <c r="S39" s="426"/>
      <c r="T39" s="426"/>
      <c r="U39" s="427"/>
      <c r="V39" s="426"/>
      <c r="W39" s="426"/>
      <c r="X39" s="426"/>
      <c r="Y39" s="426"/>
      <c r="Z39" s="426"/>
      <c r="AA39" s="426"/>
      <c r="AB39" s="426"/>
      <c r="AC39" s="426"/>
      <c r="AD39" s="426"/>
      <c r="AE39" s="427"/>
      <c r="AF39" s="426"/>
      <c r="AG39" s="426"/>
      <c r="AH39" s="432"/>
      <c r="AI39" s="426"/>
      <c r="AJ39" s="426"/>
      <c r="AK39" s="426"/>
      <c r="AL39" s="426"/>
      <c r="AM39" s="426"/>
      <c r="AN39" s="426"/>
      <c r="AO39" s="427"/>
      <c r="AP39" s="426"/>
      <c r="AQ39" s="426"/>
      <c r="AR39" s="426"/>
      <c r="AS39" s="426"/>
      <c r="AT39" s="426"/>
      <c r="AU39" s="426"/>
      <c r="AV39" s="426"/>
      <c r="AW39" s="426"/>
      <c r="AX39" s="426"/>
      <c r="AY39" s="427"/>
      <c r="AZ39" s="426"/>
      <c r="BA39" s="426"/>
      <c r="BB39" s="426"/>
      <c r="BC39" s="426"/>
      <c r="BD39" s="426"/>
      <c r="BE39" s="426"/>
      <c r="BF39" s="426"/>
      <c r="BG39" s="426"/>
      <c r="BH39" s="426"/>
      <c r="BI39" s="427"/>
      <c r="BJ39" s="426"/>
      <c r="BK39" s="432"/>
      <c r="BL39" s="426"/>
      <c r="BM39" s="426"/>
      <c r="BN39" s="426"/>
      <c r="BO39" s="426"/>
      <c r="BP39" s="426"/>
      <c r="BQ39" s="426"/>
      <c r="BR39" s="426"/>
      <c r="BS39" s="427"/>
      <c r="BT39" s="426"/>
      <c r="BU39" s="426"/>
      <c r="BV39" s="426"/>
      <c r="BW39" s="426"/>
      <c r="BX39" s="426"/>
      <c r="BY39" s="426"/>
      <c r="BZ39" s="426"/>
      <c r="CA39" s="426"/>
      <c r="CB39" s="426"/>
      <c r="CC39" s="426"/>
      <c r="CD39" s="1932"/>
      <c r="CE39" s="1933"/>
      <c r="CF39" s="1934"/>
      <c r="CG39" s="1935"/>
      <c r="CH39" s="1809"/>
      <c r="CI39" s="1809"/>
      <c r="CJ39" s="1794"/>
      <c r="CK39" s="1793"/>
      <c r="CL39" s="1795"/>
      <c r="CM39" s="1795"/>
      <c r="CN39" s="1936"/>
      <c r="CO39" s="1936"/>
      <c r="CP39" s="1923"/>
      <c r="CQ39" s="1923"/>
      <c r="CR39" s="1924"/>
      <c r="CS39" s="1925"/>
      <c r="CT39" s="1798"/>
      <c r="CU39" s="1798"/>
      <c r="CV39" s="1799"/>
      <c r="CW39" s="1800"/>
      <c r="CY39" s="624"/>
      <c r="CZ39" s="616"/>
      <c r="DA39" s="615"/>
    </row>
    <row r="40" spans="1:105" ht="10.5" customHeight="1">
      <c r="A40" s="1644" t="s">
        <v>665</v>
      </c>
      <c r="E40" s="423"/>
      <c r="F40" s="429" t="s">
        <v>578</v>
      </c>
      <c r="K40" s="417"/>
      <c r="U40" s="417"/>
      <c r="AE40" s="417"/>
      <c r="AG40" s="423"/>
      <c r="AH40" s="429" t="s">
        <v>579</v>
      </c>
      <c r="AO40" s="417"/>
      <c r="AY40" s="417"/>
      <c r="BI40" s="417"/>
      <c r="BJ40" s="423"/>
      <c r="BK40" s="429" t="s">
        <v>580</v>
      </c>
      <c r="BS40" s="417"/>
      <c r="CD40" s="1889" t="s">
        <v>54</v>
      </c>
      <c r="CE40" s="1789"/>
      <c r="CF40" s="1789"/>
      <c r="CG40" s="1789"/>
      <c r="CH40" s="1926" t="s">
        <v>54</v>
      </c>
      <c r="CI40" s="1926"/>
      <c r="CJ40" s="1926"/>
      <c r="CK40" s="1926"/>
      <c r="CL40" s="1926" t="s">
        <v>54</v>
      </c>
      <c r="CM40" s="1926"/>
      <c r="CN40" s="1926"/>
      <c r="CO40" s="1926"/>
      <c r="CP40" s="1928" t="s">
        <v>54</v>
      </c>
      <c r="CQ40" s="1928"/>
      <c r="CR40" s="1928"/>
      <c r="CS40" s="1928"/>
      <c r="CT40" s="1928" t="s">
        <v>54</v>
      </c>
      <c r="CU40" s="1928"/>
      <c r="CV40" s="1928"/>
      <c r="CW40" s="1930"/>
      <c r="CY40" s="349"/>
      <c r="CZ40" s="349"/>
      <c r="DA40" s="615"/>
    </row>
    <row r="41" spans="1:105" ht="3.75" customHeight="1">
      <c r="A41" s="1645"/>
      <c r="E41" s="423"/>
      <c r="F41" s="430"/>
      <c r="K41" s="417"/>
      <c r="U41" s="417"/>
      <c r="AE41" s="417"/>
      <c r="AG41" s="423"/>
      <c r="AO41" s="417"/>
      <c r="AY41" s="417"/>
      <c r="BI41" s="417"/>
      <c r="BJ41" s="423"/>
      <c r="BS41" s="417"/>
      <c r="CD41" s="1889"/>
      <c r="CE41" s="1789"/>
      <c r="CF41" s="1789"/>
      <c r="CG41" s="1789"/>
      <c r="CH41" s="1927"/>
      <c r="CI41" s="1927"/>
      <c r="CJ41" s="1927"/>
      <c r="CK41" s="1927"/>
      <c r="CL41" s="1927"/>
      <c r="CM41" s="1927"/>
      <c r="CN41" s="1927"/>
      <c r="CO41" s="1927"/>
      <c r="CP41" s="1929"/>
      <c r="CQ41" s="1929"/>
      <c r="CR41" s="1929"/>
      <c r="CS41" s="1929"/>
      <c r="CT41" s="1929"/>
      <c r="CU41" s="1929"/>
      <c r="CV41" s="1929"/>
      <c r="CW41" s="1931"/>
      <c r="CY41" s="612" t="s">
        <v>54</v>
      </c>
      <c r="CZ41" s="616" t="s">
        <v>54</v>
      </c>
      <c r="DA41" s="615"/>
    </row>
    <row r="42" spans="1:105" ht="13.5" customHeight="1">
      <c r="A42" s="1646"/>
      <c r="B42" s="426"/>
      <c r="C42" s="426"/>
      <c r="D42" s="426"/>
      <c r="E42" s="431"/>
      <c r="F42" s="432" t="s">
        <v>581</v>
      </c>
      <c r="G42" s="426"/>
      <c r="H42" s="426"/>
      <c r="I42" s="426"/>
      <c r="J42" s="426"/>
      <c r="K42" s="427"/>
      <c r="L42" s="426"/>
      <c r="M42" s="426"/>
      <c r="N42" s="426"/>
      <c r="O42" s="426"/>
      <c r="P42" s="426"/>
      <c r="Q42" s="426"/>
      <c r="R42" s="426"/>
      <c r="S42" s="426"/>
      <c r="T42" s="426"/>
      <c r="U42" s="427"/>
      <c r="V42" s="426"/>
      <c r="W42" s="426"/>
      <c r="X42" s="426"/>
      <c r="Y42" s="426"/>
      <c r="Z42" s="426"/>
      <c r="AA42" s="426"/>
      <c r="AB42" s="426"/>
      <c r="AC42" s="426"/>
      <c r="AD42" s="426"/>
      <c r="AE42" s="427"/>
      <c r="AF42" s="426"/>
      <c r="AG42" s="431"/>
      <c r="AH42" s="432" t="s">
        <v>582</v>
      </c>
      <c r="AI42" s="426"/>
      <c r="AJ42" s="426"/>
      <c r="AK42" s="426"/>
      <c r="AL42" s="426"/>
      <c r="AM42" s="426"/>
      <c r="AN42" s="426"/>
      <c r="AO42" s="427"/>
      <c r="AP42" s="426"/>
      <c r="AQ42" s="426"/>
      <c r="AR42" s="426"/>
      <c r="AS42" s="426"/>
      <c r="AT42" s="426"/>
      <c r="AU42" s="426"/>
      <c r="AV42" s="426"/>
      <c r="AW42" s="426"/>
      <c r="AX42" s="426"/>
      <c r="AY42" s="427"/>
      <c r="AZ42" s="426"/>
      <c r="BA42" s="426"/>
      <c r="BB42" s="426"/>
      <c r="BC42" s="426"/>
      <c r="BD42" s="426"/>
      <c r="BE42" s="426"/>
      <c r="BF42" s="426"/>
      <c r="BG42" s="426"/>
      <c r="BH42" s="426"/>
      <c r="BI42" s="427"/>
      <c r="BJ42" s="431"/>
      <c r="BK42" s="432" t="s">
        <v>583</v>
      </c>
      <c r="BL42" s="426"/>
      <c r="BM42" s="426"/>
      <c r="BN42" s="426"/>
      <c r="BO42" s="426"/>
      <c r="BP42" s="426"/>
      <c r="BQ42" s="426"/>
      <c r="BR42" s="426"/>
      <c r="BS42" s="427"/>
      <c r="BT42" s="426"/>
      <c r="BU42" s="426"/>
      <c r="BV42" s="426"/>
      <c r="BW42" s="426"/>
      <c r="BX42" s="426"/>
      <c r="BY42" s="426"/>
      <c r="BZ42" s="426"/>
      <c r="CA42" s="426"/>
      <c r="CB42" s="426"/>
      <c r="CC42" s="426"/>
      <c r="CD42" s="1932">
        <v>0</v>
      </c>
      <c r="CE42" s="1933"/>
      <c r="CF42" s="1934">
        <f>+CD42/$CY$36</f>
        <v>0</v>
      </c>
      <c r="CG42" s="1935"/>
      <c r="CH42" s="1809">
        <v>3</v>
      </c>
      <c r="CI42" s="1809"/>
      <c r="CJ42" s="1794">
        <v>1</v>
      </c>
      <c r="CK42" s="1793"/>
      <c r="CL42" s="1795">
        <v>0</v>
      </c>
      <c r="CM42" s="1795"/>
      <c r="CN42" s="1936">
        <f>+CL42/$CY$36</f>
        <v>0</v>
      </c>
      <c r="CO42" s="1936"/>
      <c r="CP42" s="1923">
        <v>0</v>
      </c>
      <c r="CQ42" s="1923"/>
      <c r="CR42" s="1924">
        <f>CP42/DA34</f>
        <v>0</v>
      </c>
      <c r="CS42" s="1925"/>
      <c r="CT42" s="1798">
        <v>0</v>
      </c>
      <c r="CU42" s="1798"/>
      <c r="CV42" s="1799">
        <v>0</v>
      </c>
      <c r="CW42" s="1800"/>
      <c r="CY42" s="624">
        <f>+CD42+CH42+CL42+CP42+CT42</f>
        <v>3</v>
      </c>
      <c r="CZ42" s="616">
        <f>CF42+CR42+CV42+CJ42+CN42</f>
        <v>1</v>
      </c>
      <c r="DA42" s="615"/>
    </row>
    <row r="43" spans="1:105" ht="10.5" customHeight="1">
      <c r="A43" s="1644" t="s">
        <v>56</v>
      </c>
      <c r="K43" s="417"/>
      <c r="U43" s="417"/>
      <c r="AE43" s="417"/>
      <c r="AO43" s="417"/>
      <c r="AY43" s="417"/>
      <c r="BI43" s="417"/>
      <c r="BS43" s="417"/>
      <c r="CD43" s="1889" t="s">
        <v>54</v>
      </c>
      <c r="CE43" s="1789"/>
      <c r="CF43" s="1789"/>
      <c r="CG43" s="1789"/>
      <c r="CH43" s="1926" t="s">
        <v>54</v>
      </c>
      <c r="CI43" s="1926"/>
      <c r="CJ43" s="1926"/>
      <c r="CK43" s="1926"/>
      <c r="CL43" s="1926" t="s">
        <v>54</v>
      </c>
      <c r="CM43" s="1926"/>
      <c r="CN43" s="1926"/>
      <c r="CO43" s="1926"/>
      <c r="CP43" s="1928" t="s">
        <v>54</v>
      </c>
      <c r="CQ43" s="1928"/>
      <c r="CR43" s="1928"/>
      <c r="CS43" s="1928"/>
      <c r="CT43" s="1928" t="s">
        <v>54</v>
      </c>
      <c r="CU43" s="1928"/>
      <c r="CV43" s="1928"/>
      <c r="CW43" s="1930"/>
      <c r="CY43" s="612" t="s">
        <v>54</v>
      </c>
      <c r="CZ43" s="616" t="s">
        <v>54</v>
      </c>
      <c r="DA43" s="615"/>
    </row>
    <row r="44" spans="1:105" ht="3.75" customHeight="1">
      <c r="A44" s="1645"/>
      <c r="C44" s="423"/>
      <c r="D44" s="423"/>
      <c r="E44" s="423"/>
      <c r="F44" s="423"/>
      <c r="G44" s="423"/>
      <c r="H44" s="423"/>
      <c r="I44" s="423"/>
      <c r="J44" s="423"/>
      <c r="K44" s="433"/>
      <c r="L44" s="423"/>
      <c r="M44" s="423"/>
      <c r="N44" s="423"/>
      <c r="O44" s="423"/>
      <c r="P44" s="423"/>
      <c r="Q44" s="423"/>
      <c r="R44" s="423"/>
      <c r="S44" s="423"/>
      <c r="T44" s="423"/>
      <c r="U44" s="433"/>
      <c r="V44" s="423"/>
      <c r="W44" s="423"/>
      <c r="X44" s="423"/>
      <c r="Y44" s="423"/>
      <c r="Z44" s="423"/>
      <c r="AA44" s="423"/>
      <c r="AB44" s="423"/>
      <c r="AC44" s="423"/>
      <c r="AD44" s="423"/>
      <c r="AE44" s="433"/>
      <c r="AF44" s="423"/>
      <c r="AG44" s="423"/>
      <c r="AH44" s="423"/>
      <c r="AI44" s="423"/>
      <c r="AJ44" s="423"/>
      <c r="AK44" s="423"/>
      <c r="AL44" s="423"/>
      <c r="AM44" s="423"/>
      <c r="AN44" s="423"/>
      <c r="AO44" s="433"/>
      <c r="AP44" s="423"/>
      <c r="AQ44" s="423"/>
      <c r="AR44" s="423"/>
      <c r="AS44" s="423"/>
      <c r="AT44" s="423"/>
      <c r="AU44" s="423"/>
      <c r="AV44" s="423"/>
      <c r="AW44" s="423"/>
      <c r="AX44" s="423"/>
      <c r="AY44" s="433"/>
      <c r="AZ44" s="423"/>
      <c r="BA44" s="423"/>
      <c r="BB44" s="423"/>
      <c r="BC44" s="423"/>
      <c r="BD44" s="423"/>
      <c r="BE44" s="423"/>
      <c r="BF44" s="423"/>
      <c r="BG44" s="423"/>
      <c r="BH44" s="423"/>
      <c r="BI44" s="433"/>
      <c r="BJ44" s="423"/>
      <c r="BK44" s="423"/>
      <c r="BL44" s="423"/>
      <c r="BS44" s="417"/>
      <c r="CD44" s="1889"/>
      <c r="CE44" s="1789"/>
      <c r="CF44" s="1789"/>
      <c r="CG44" s="1789"/>
      <c r="CH44" s="1927"/>
      <c r="CI44" s="1927"/>
      <c r="CJ44" s="1927"/>
      <c r="CK44" s="1927"/>
      <c r="CL44" s="1927"/>
      <c r="CM44" s="1927"/>
      <c r="CN44" s="1927"/>
      <c r="CO44" s="1927"/>
      <c r="CP44" s="1929"/>
      <c r="CQ44" s="1929"/>
      <c r="CR44" s="1929"/>
      <c r="CS44" s="1929"/>
      <c r="CT44" s="1929"/>
      <c r="CU44" s="1929"/>
      <c r="CV44" s="1929"/>
      <c r="CW44" s="1931"/>
      <c r="CY44" s="612"/>
      <c r="CZ44" s="616"/>
      <c r="DA44" s="615"/>
    </row>
    <row r="45" spans="1:105" ht="13.5" customHeight="1">
      <c r="A45" s="1646"/>
      <c r="B45" s="426"/>
      <c r="C45" s="426"/>
      <c r="D45" s="426"/>
      <c r="E45" s="426"/>
      <c r="F45" s="426"/>
      <c r="G45" s="426"/>
      <c r="H45" s="426"/>
      <c r="I45" s="426"/>
      <c r="J45" s="426"/>
      <c r="K45" s="427"/>
      <c r="L45" s="426"/>
      <c r="M45" s="426"/>
      <c r="N45" s="426"/>
      <c r="O45" s="426"/>
      <c r="P45" s="426"/>
      <c r="Q45" s="426"/>
      <c r="R45" s="426"/>
      <c r="S45" s="426"/>
      <c r="T45" s="426"/>
      <c r="U45" s="427"/>
      <c r="V45" s="426"/>
      <c r="W45" s="426"/>
      <c r="X45" s="426"/>
      <c r="Y45" s="426"/>
      <c r="Z45" s="426"/>
      <c r="AA45" s="426"/>
      <c r="AB45" s="426"/>
      <c r="AC45" s="426"/>
      <c r="AD45" s="426"/>
      <c r="AE45" s="427"/>
      <c r="AF45" s="426"/>
      <c r="AG45" s="426"/>
      <c r="AH45" s="426"/>
      <c r="AI45" s="426"/>
      <c r="AJ45" s="426"/>
      <c r="AK45" s="426"/>
      <c r="AL45" s="426"/>
      <c r="AM45" s="426"/>
      <c r="AN45" s="426"/>
      <c r="AO45" s="427"/>
      <c r="AP45" s="426"/>
      <c r="AQ45" s="426"/>
      <c r="AR45" s="426"/>
      <c r="AS45" s="426"/>
      <c r="AT45" s="426"/>
      <c r="AU45" s="426"/>
      <c r="AV45" s="426"/>
      <c r="AW45" s="426"/>
      <c r="AX45" s="426"/>
      <c r="AY45" s="427"/>
      <c r="AZ45" s="426"/>
      <c r="BA45" s="426"/>
      <c r="BB45" s="426"/>
      <c r="BC45" s="426"/>
      <c r="BD45" s="426"/>
      <c r="BE45" s="426"/>
      <c r="BF45" s="426"/>
      <c r="BG45" s="426"/>
      <c r="BH45" s="426"/>
      <c r="BI45" s="427"/>
      <c r="BJ45" s="426"/>
      <c r="BK45" s="426"/>
      <c r="BL45" s="426"/>
      <c r="BM45" s="428" t="s">
        <v>654</v>
      </c>
      <c r="BN45" s="426"/>
      <c r="BO45" s="426"/>
      <c r="BP45" s="426"/>
      <c r="BQ45" s="426"/>
      <c r="BR45" s="426"/>
      <c r="BS45" s="427"/>
      <c r="BT45" s="426"/>
      <c r="BU45" s="426"/>
      <c r="BV45" s="426"/>
      <c r="BW45" s="426"/>
      <c r="BX45" s="426"/>
      <c r="BY45" s="426"/>
      <c r="BZ45" s="426"/>
      <c r="CA45" s="426"/>
      <c r="CB45" s="426"/>
      <c r="CC45" s="426"/>
      <c r="CD45" s="1932">
        <v>0</v>
      </c>
      <c r="CE45" s="1933"/>
      <c r="CF45" s="1934">
        <f>+CD45/$CY$36</f>
        <v>0</v>
      </c>
      <c r="CG45" s="1935"/>
      <c r="CH45" s="1809">
        <v>3.1240000000000001</v>
      </c>
      <c r="CI45" s="1809"/>
      <c r="CJ45" s="1794">
        <v>1</v>
      </c>
      <c r="CK45" s="1793"/>
      <c r="CL45" s="1795">
        <v>0</v>
      </c>
      <c r="CM45" s="1795"/>
      <c r="CN45" s="1936">
        <f>+CL45/$CY$36</f>
        <v>0</v>
      </c>
      <c r="CO45" s="1936"/>
      <c r="CP45" s="1923">
        <v>0</v>
      </c>
      <c r="CQ45" s="1923"/>
      <c r="CR45" s="1924">
        <f>CP45/DA34</f>
        <v>0</v>
      </c>
      <c r="CS45" s="1925"/>
      <c r="CT45" s="1798">
        <v>0</v>
      </c>
      <c r="CU45" s="1798"/>
      <c r="CV45" s="1799">
        <v>0</v>
      </c>
      <c r="CW45" s="1800"/>
      <c r="CY45" s="612">
        <f>+CD45+CH45+CL45+CP45+CT45</f>
        <v>3.1240000000000001</v>
      </c>
      <c r="CZ45" s="616">
        <f>CF45+CR45+CV45+CJ45+CN45</f>
        <v>1</v>
      </c>
      <c r="DA45" s="615"/>
    </row>
    <row r="46" spans="1:105" ht="10.5" customHeight="1">
      <c r="A46" s="1644" t="s">
        <v>574</v>
      </c>
      <c r="K46" s="417"/>
      <c r="U46" s="417"/>
      <c r="AE46" s="417"/>
      <c r="AO46" s="417"/>
      <c r="AY46" s="417"/>
      <c r="BI46" s="417"/>
      <c r="BS46" s="417"/>
      <c r="CD46" s="1889" t="s">
        <v>54</v>
      </c>
      <c r="CE46" s="1789"/>
      <c r="CF46" s="1789"/>
      <c r="CG46" s="1789"/>
      <c r="CH46" s="1926" t="s">
        <v>54</v>
      </c>
      <c r="CI46" s="1926"/>
      <c r="CJ46" s="1926"/>
      <c r="CK46" s="1926"/>
      <c r="CL46" s="1926" t="s">
        <v>54</v>
      </c>
      <c r="CM46" s="1926"/>
      <c r="CN46" s="1926"/>
      <c r="CO46" s="1926"/>
      <c r="CP46" s="1928" t="s">
        <v>54</v>
      </c>
      <c r="CQ46" s="1928"/>
      <c r="CR46" s="1928"/>
      <c r="CS46" s="1928"/>
      <c r="CT46" s="1928" t="s">
        <v>54</v>
      </c>
      <c r="CU46" s="1928"/>
      <c r="CV46" s="1928"/>
      <c r="CW46" s="1930"/>
      <c r="CY46" s="612"/>
      <c r="CZ46" s="616"/>
      <c r="DA46" s="615"/>
    </row>
    <row r="47" spans="1:105" ht="3.75" customHeight="1">
      <c r="A47" s="1645"/>
      <c r="C47" s="419"/>
      <c r="D47" s="419"/>
      <c r="E47" s="419"/>
      <c r="F47" s="419"/>
      <c r="G47" s="419"/>
      <c r="H47" s="419"/>
      <c r="I47" s="419"/>
      <c r="J47" s="419"/>
      <c r="K47" s="420"/>
      <c r="L47" s="419"/>
      <c r="M47" s="419"/>
      <c r="N47" s="419"/>
      <c r="O47" s="419"/>
      <c r="P47" s="419"/>
      <c r="Q47" s="419"/>
      <c r="R47" s="419"/>
      <c r="S47" s="419"/>
      <c r="T47" s="419"/>
      <c r="U47" s="420"/>
      <c r="V47" s="419"/>
      <c r="W47" s="419"/>
      <c r="X47" s="419"/>
      <c r="Y47" s="419"/>
      <c r="Z47" s="419"/>
      <c r="AA47" s="419"/>
      <c r="AB47" s="419"/>
      <c r="AC47" s="419"/>
      <c r="AD47" s="419"/>
      <c r="AE47" s="420"/>
      <c r="AF47" s="419"/>
      <c r="AG47" s="419"/>
      <c r="AH47" s="419"/>
      <c r="AI47" s="419"/>
      <c r="AJ47" s="419"/>
      <c r="AK47" s="419"/>
      <c r="AL47" s="419"/>
      <c r="AM47" s="419"/>
      <c r="AN47" s="419"/>
      <c r="AO47" s="420"/>
      <c r="AP47" s="419"/>
      <c r="AQ47" s="419"/>
      <c r="AR47" s="419"/>
      <c r="AS47" s="419"/>
      <c r="AT47" s="419"/>
      <c r="AU47" s="419"/>
      <c r="AV47" s="419"/>
      <c r="AW47" s="419"/>
      <c r="AX47" s="419"/>
      <c r="AY47" s="420"/>
      <c r="AZ47" s="419"/>
      <c r="BA47" s="419"/>
      <c r="BB47" s="419"/>
      <c r="BC47" s="419"/>
      <c r="BD47" s="419"/>
      <c r="BE47" s="419"/>
      <c r="BF47" s="419"/>
      <c r="BG47" s="419"/>
      <c r="BH47" s="419"/>
      <c r="BI47" s="420"/>
      <c r="BJ47" s="931"/>
      <c r="BK47" s="931"/>
      <c r="BL47" s="931"/>
      <c r="BM47" s="931"/>
      <c r="BN47" s="931"/>
      <c r="BO47" s="931"/>
      <c r="BP47" s="931"/>
      <c r="BQ47" s="931"/>
      <c r="BR47" s="931"/>
      <c r="BS47" s="933"/>
      <c r="BT47" s="931"/>
      <c r="BU47" s="931"/>
      <c r="BV47" s="931"/>
      <c r="BW47" s="931"/>
      <c r="BX47" s="931"/>
      <c r="BY47" s="931"/>
      <c r="BZ47" s="419"/>
      <c r="CA47" s="419"/>
      <c r="CB47" s="419"/>
      <c r="CC47" s="419"/>
      <c r="CD47" s="1889"/>
      <c r="CE47" s="1789"/>
      <c r="CF47" s="1789"/>
      <c r="CG47" s="1789"/>
      <c r="CH47" s="1927"/>
      <c r="CI47" s="1927"/>
      <c r="CJ47" s="1927"/>
      <c r="CK47" s="1927"/>
      <c r="CL47" s="1927"/>
      <c r="CM47" s="1927"/>
      <c r="CN47" s="1927"/>
      <c r="CO47" s="1927"/>
      <c r="CP47" s="1929"/>
      <c r="CQ47" s="1929"/>
      <c r="CR47" s="1929"/>
      <c r="CS47" s="1929"/>
      <c r="CT47" s="1929"/>
      <c r="CU47" s="1929"/>
      <c r="CV47" s="1929"/>
      <c r="CW47" s="1931"/>
      <c r="CY47" s="612" t="s">
        <v>54</v>
      </c>
      <c r="CZ47" s="616" t="s">
        <v>54</v>
      </c>
      <c r="DA47" s="612"/>
    </row>
    <row r="48" spans="1:105" ht="13.5" customHeight="1">
      <c r="A48" s="1646"/>
      <c r="B48" s="426"/>
      <c r="C48" s="426"/>
      <c r="D48" s="426"/>
      <c r="E48" s="426"/>
      <c r="F48" s="426"/>
      <c r="G48" s="426"/>
      <c r="H48" s="426"/>
      <c r="I48" s="426"/>
      <c r="J48" s="426"/>
      <c r="K48" s="427"/>
      <c r="L48" s="426"/>
      <c r="M48" s="426"/>
      <c r="N48" s="426"/>
      <c r="O48" s="426"/>
      <c r="P48" s="426"/>
      <c r="Q48" s="426"/>
      <c r="R48" s="426"/>
      <c r="S48" s="426"/>
      <c r="T48" s="426"/>
      <c r="U48" s="427"/>
      <c r="V48" s="426"/>
      <c r="W48" s="426"/>
      <c r="X48" s="426"/>
      <c r="Y48" s="426"/>
      <c r="Z48" s="426"/>
      <c r="AA48" s="426"/>
      <c r="AB48" s="426"/>
      <c r="AC48" s="426"/>
      <c r="AD48" s="426"/>
      <c r="AE48" s="427"/>
      <c r="AF48" s="426"/>
      <c r="AG48" s="426"/>
      <c r="AH48" s="426"/>
      <c r="AI48" s="426"/>
      <c r="AJ48" s="426"/>
      <c r="AK48" s="426"/>
      <c r="AL48" s="426"/>
      <c r="AM48" s="426"/>
      <c r="AN48" s="426"/>
      <c r="AO48" s="427"/>
      <c r="AP48" s="426"/>
      <c r="AQ48" s="426"/>
      <c r="AR48" s="426"/>
      <c r="AS48" s="426"/>
      <c r="AT48" s="426"/>
      <c r="AU48" s="426"/>
      <c r="AV48" s="426"/>
      <c r="AW48" s="426"/>
      <c r="AX48" s="426"/>
      <c r="AY48" s="427"/>
      <c r="AZ48" s="426"/>
      <c r="BA48" s="426"/>
      <c r="BB48" s="426"/>
      <c r="BC48" s="426"/>
      <c r="BD48" s="426"/>
      <c r="BE48" s="426"/>
      <c r="BF48" s="426"/>
      <c r="BG48" s="426"/>
      <c r="BH48" s="426"/>
      <c r="BI48" s="427"/>
      <c r="BJ48" s="426"/>
      <c r="BK48" s="426"/>
      <c r="BL48" s="426"/>
      <c r="BM48" s="428"/>
      <c r="BN48" s="426"/>
      <c r="BO48" s="426"/>
      <c r="BP48" s="426"/>
      <c r="BQ48" s="426"/>
      <c r="BR48" s="426"/>
      <c r="BS48" s="427"/>
      <c r="BT48" s="426"/>
      <c r="BU48" s="426"/>
      <c r="BV48" s="426"/>
      <c r="BW48" s="426"/>
      <c r="BX48" s="426"/>
      <c r="BY48" s="428" t="s">
        <v>1052</v>
      </c>
      <c r="BZ48" s="426"/>
      <c r="CA48" s="426"/>
      <c r="CB48" s="426"/>
      <c r="CC48" s="426"/>
      <c r="CD48" s="1932">
        <v>0.9</v>
      </c>
      <c r="CE48" s="1933"/>
      <c r="CF48" s="1934">
        <f>+CD48/$CY$36</f>
        <v>0.22167487684729062</v>
      </c>
      <c r="CG48" s="1935"/>
      <c r="CH48" s="1809">
        <v>0</v>
      </c>
      <c r="CI48" s="1809"/>
      <c r="CJ48" s="1794">
        <f>CH48/DA34</f>
        <v>0</v>
      </c>
      <c r="CK48" s="1793"/>
      <c r="CL48" s="1795">
        <v>3.16</v>
      </c>
      <c r="CM48" s="1795"/>
      <c r="CN48" s="1936">
        <f>+CL48/$CY$36</f>
        <v>0.7783251231527093</v>
      </c>
      <c r="CO48" s="1936"/>
      <c r="CP48" s="1923">
        <v>0</v>
      </c>
      <c r="CQ48" s="1923"/>
      <c r="CR48" s="1924">
        <f>CP48/DA34</f>
        <v>0</v>
      </c>
      <c r="CS48" s="1925"/>
      <c r="CT48" s="1798">
        <v>0</v>
      </c>
      <c r="CU48" s="1798"/>
      <c r="CV48" s="1799">
        <v>0</v>
      </c>
      <c r="CW48" s="1800"/>
      <c r="CY48" s="612">
        <f>+CD48+CH48+CL48+CP48+CT48</f>
        <v>4.0600000000000005</v>
      </c>
      <c r="CZ48" s="616">
        <f>CF48+CR48+CV48+CJ48+CN48</f>
        <v>0.99999999999999989</v>
      </c>
      <c r="DA48" s="615"/>
    </row>
    <row r="49" spans="1:106" ht="10.5" customHeight="1">
      <c r="A49" s="1644" t="s">
        <v>57</v>
      </c>
      <c r="K49" s="417"/>
      <c r="U49" s="417"/>
      <c r="AE49" s="417"/>
      <c r="AO49" s="417"/>
      <c r="AY49" s="417"/>
      <c r="BI49" s="417"/>
      <c r="BS49" s="417"/>
      <c r="CD49" s="1889" t="s">
        <v>54</v>
      </c>
      <c r="CE49" s="1789"/>
      <c r="CF49" s="1789"/>
      <c r="CG49" s="1789"/>
      <c r="CH49" s="1926" t="s">
        <v>54</v>
      </c>
      <c r="CI49" s="1926"/>
      <c r="CJ49" s="1926"/>
      <c r="CK49" s="1926"/>
      <c r="CL49" s="1926" t="s">
        <v>54</v>
      </c>
      <c r="CM49" s="1926"/>
      <c r="CN49" s="1926"/>
      <c r="CO49" s="1926"/>
      <c r="CP49" s="1928" t="s">
        <v>54</v>
      </c>
      <c r="CQ49" s="1928"/>
      <c r="CR49" s="1928"/>
      <c r="CS49" s="1928"/>
      <c r="CT49" s="1928" t="s">
        <v>54</v>
      </c>
      <c r="CU49" s="1928"/>
      <c r="CV49" s="1928"/>
      <c r="CW49" s="1930"/>
      <c r="CY49" s="612" t="s">
        <v>54</v>
      </c>
      <c r="CZ49" s="616" t="s">
        <v>54</v>
      </c>
      <c r="DA49" s="612"/>
    </row>
    <row r="50" spans="1:106" ht="3.75" customHeight="1">
      <c r="A50" s="1645"/>
      <c r="C50" s="419"/>
      <c r="D50" s="419"/>
      <c r="E50" s="419"/>
      <c r="F50" s="419"/>
      <c r="G50" s="419"/>
      <c r="H50" s="419"/>
      <c r="I50" s="419"/>
      <c r="J50" s="419"/>
      <c r="K50" s="420"/>
      <c r="L50" s="419"/>
      <c r="M50" s="419"/>
      <c r="N50" s="419"/>
      <c r="O50" s="419"/>
      <c r="P50" s="419"/>
      <c r="Q50" s="419"/>
      <c r="R50" s="419"/>
      <c r="S50" s="419"/>
      <c r="T50" s="419"/>
      <c r="U50" s="420"/>
      <c r="V50" s="419"/>
      <c r="W50" s="419"/>
      <c r="X50" s="419"/>
      <c r="Y50" s="419"/>
      <c r="Z50" s="419"/>
      <c r="AA50" s="419"/>
      <c r="AB50" s="419"/>
      <c r="AC50" s="419"/>
      <c r="AD50" s="419"/>
      <c r="AE50" s="420"/>
      <c r="AF50" s="419"/>
      <c r="AG50" s="419"/>
      <c r="AH50" s="419"/>
      <c r="AI50" s="419"/>
      <c r="AJ50" s="419"/>
      <c r="AK50" s="419"/>
      <c r="AL50" s="419"/>
      <c r="AM50" s="419"/>
      <c r="AN50" s="419"/>
      <c r="AO50" s="420"/>
      <c r="AP50" s="931"/>
      <c r="AQ50" s="931"/>
      <c r="AR50" s="931"/>
      <c r="AS50" s="931"/>
      <c r="AT50" s="931"/>
      <c r="AU50" s="931"/>
      <c r="AV50" s="931"/>
      <c r="AW50" s="931"/>
      <c r="AX50" s="931"/>
      <c r="AY50" s="931"/>
      <c r="AZ50" s="931"/>
      <c r="BA50" s="931"/>
      <c r="BB50" s="931"/>
      <c r="BC50" s="931"/>
      <c r="BD50" s="931"/>
      <c r="BE50" s="931"/>
      <c r="BF50" s="931"/>
      <c r="BG50" s="931"/>
      <c r="BH50" s="931"/>
      <c r="BI50" s="931"/>
      <c r="BJ50" s="931"/>
      <c r="BK50" s="931"/>
      <c r="BL50" s="931"/>
      <c r="BM50" s="931"/>
      <c r="BN50" s="931"/>
      <c r="BO50" s="931"/>
      <c r="BP50" s="931"/>
      <c r="BQ50" s="931"/>
      <c r="BR50" s="931"/>
      <c r="BS50" s="931"/>
      <c r="BT50" s="931"/>
      <c r="BU50" s="931"/>
      <c r="BV50" s="931"/>
      <c r="BW50" s="931"/>
      <c r="BX50" s="931"/>
      <c r="BY50" s="931"/>
      <c r="BZ50" s="931"/>
      <c r="CA50" s="931"/>
      <c r="CB50" s="931"/>
      <c r="CC50" s="931"/>
      <c r="CD50" s="1889"/>
      <c r="CE50" s="1789"/>
      <c r="CF50" s="1789"/>
      <c r="CG50" s="1789"/>
      <c r="CH50" s="1927"/>
      <c r="CI50" s="1927"/>
      <c r="CJ50" s="1927"/>
      <c r="CK50" s="1927"/>
      <c r="CL50" s="1927"/>
      <c r="CM50" s="1927"/>
      <c r="CN50" s="1927"/>
      <c r="CO50" s="1927"/>
      <c r="CP50" s="1929"/>
      <c r="CQ50" s="1929"/>
      <c r="CR50" s="1929"/>
      <c r="CS50" s="1929"/>
      <c r="CT50" s="1929"/>
      <c r="CU50" s="1929"/>
      <c r="CV50" s="1929"/>
      <c r="CW50" s="1931"/>
      <c r="CY50" s="612"/>
      <c r="CZ50" s="616"/>
      <c r="DA50" s="615"/>
    </row>
    <row r="51" spans="1:106" ht="13.5" customHeight="1">
      <c r="A51" s="1646"/>
      <c r="B51" s="426"/>
      <c r="C51" s="426"/>
      <c r="D51" s="426"/>
      <c r="E51" s="426"/>
      <c r="F51" s="426"/>
      <c r="G51" s="426"/>
      <c r="H51" s="426"/>
      <c r="I51" s="426"/>
      <c r="J51" s="426"/>
      <c r="K51" s="427"/>
      <c r="L51" s="426"/>
      <c r="M51" s="426"/>
      <c r="N51" s="426"/>
      <c r="O51" s="426"/>
      <c r="P51" s="426"/>
      <c r="Q51" s="426"/>
      <c r="R51" s="426"/>
      <c r="S51" s="426"/>
      <c r="T51" s="426"/>
      <c r="U51" s="427"/>
      <c r="V51" s="426"/>
      <c r="W51" s="426"/>
      <c r="X51" s="426"/>
      <c r="Y51" s="426"/>
      <c r="Z51" s="426"/>
      <c r="AA51" s="426"/>
      <c r="AB51" s="426"/>
      <c r="AC51" s="426"/>
      <c r="AD51" s="426"/>
      <c r="AE51" s="427"/>
      <c r="AF51" s="426"/>
      <c r="AG51" s="426"/>
      <c r="AH51" s="426"/>
      <c r="AI51" s="426"/>
      <c r="AJ51" s="426"/>
      <c r="AK51" s="426"/>
      <c r="AL51" s="426"/>
      <c r="AM51" s="426"/>
      <c r="AN51" s="426"/>
      <c r="AO51" s="427"/>
      <c r="AP51" s="426"/>
      <c r="AQ51" s="426"/>
      <c r="AR51" s="426"/>
      <c r="AS51" s="426"/>
      <c r="AT51" s="426"/>
      <c r="AU51" s="426"/>
      <c r="AV51" s="426"/>
      <c r="AW51" s="426"/>
      <c r="AX51" s="426"/>
      <c r="AY51" s="427"/>
      <c r="AZ51" s="426"/>
      <c r="BA51" s="426"/>
      <c r="BB51" s="426"/>
      <c r="BC51" s="426"/>
      <c r="BD51" s="426"/>
      <c r="BE51" s="426"/>
      <c r="BF51" s="426"/>
      <c r="BG51" s="426"/>
      <c r="BH51" s="426"/>
      <c r="BI51" s="427"/>
      <c r="BJ51" s="426"/>
      <c r="BK51" s="426"/>
      <c r="BL51" s="426"/>
      <c r="BM51" s="428"/>
      <c r="BN51" s="426"/>
      <c r="BO51" s="426"/>
      <c r="BP51" s="426"/>
      <c r="BQ51" s="426"/>
      <c r="BR51" s="426"/>
      <c r="BS51" s="427"/>
      <c r="BT51" s="426"/>
      <c r="BU51" s="426"/>
      <c r="BV51" s="426"/>
      <c r="BW51" s="426"/>
      <c r="BX51" s="426"/>
      <c r="BY51" s="426"/>
      <c r="BZ51" s="428" t="s">
        <v>541</v>
      </c>
      <c r="CA51" s="426"/>
      <c r="CB51" s="426"/>
      <c r="CC51" s="426"/>
      <c r="CD51" s="1932">
        <v>2.0659999999999998</v>
      </c>
      <c r="CE51" s="1933"/>
      <c r="CF51" s="1934">
        <f>+CD51/$CY$36</f>
        <v>0.50886699507389155</v>
      </c>
      <c r="CG51" s="1935"/>
      <c r="CH51" s="1809">
        <v>0</v>
      </c>
      <c r="CI51" s="1809"/>
      <c r="CJ51" s="1794">
        <f>CH51/DA34</f>
        <v>0</v>
      </c>
      <c r="CK51" s="1793"/>
      <c r="CL51" s="1795">
        <v>1.994</v>
      </c>
      <c r="CM51" s="1795"/>
      <c r="CN51" s="1936">
        <f>+CL51/$CY$36</f>
        <v>0.49113300492610829</v>
      </c>
      <c r="CO51" s="1936"/>
      <c r="CP51" s="1923">
        <v>0</v>
      </c>
      <c r="CQ51" s="1923"/>
      <c r="CR51" s="1924">
        <f>CP51/DA34</f>
        <v>0</v>
      </c>
      <c r="CS51" s="1925"/>
      <c r="CT51" s="1798">
        <v>0</v>
      </c>
      <c r="CU51" s="1798"/>
      <c r="CV51" s="1799">
        <v>0</v>
      </c>
      <c r="CW51" s="1800"/>
      <c r="CY51" s="612">
        <f>+CD51+CH51+CL51+CP51+CT51</f>
        <v>4.0599999999999996</v>
      </c>
      <c r="CZ51" s="616">
        <f>CF51+CR51+CV51+CJ51+CN51</f>
        <v>0.99999999999999978</v>
      </c>
      <c r="DA51" s="615"/>
    </row>
    <row r="52" spans="1:106" ht="10.5" customHeight="1">
      <c r="A52" s="1644" t="s">
        <v>58</v>
      </c>
      <c r="K52" s="417"/>
      <c r="U52" s="417"/>
      <c r="AE52" s="417"/>
      <c r="AO52" s="417"/>
      <c r="AY52" s="417"/>
      <c r="BI52" s="417"/>
      <c r="BS52" s="417"/>
      <c r="CD52" s="1889" t="s">
        <v>54</v>
      </c>
      <c r="CE52" s="1789"/>
      <c r="CF52" s="1789"/>
      <c r="CG52" s="1789"/>
      <c r="CH52" s="1926" t="s">
        <v>54</v>
      </c>
      <c r="CI52" s="1926"/>
      <c r="CJ52" s="1926"/>
      <c r="CK52" s="1926"/>
      <c r="CL52" s="1926" t="s">
        <v>54</v>
      </c>
      <c r="CM52" s="1926"/>
      <c r="CN52" s="1926"/>
      <c r="CO52" s="1926"/>
      <c r="CP52" s="1928" t="s">
        <v>54</v>
      </c>
      <c r="CQ52" s="1928"/>
      <c r="CR52" s="1928"/>
      <c r="CS52" s="1928"/>
      <c r="CT52" s="1928" t="s">
        <v>54</v>
      </c>
      <c r="CU52" s="1928"/>
      <c r="CV52" s="1928"/>
      <c r="CW52" s="1930"/>
      <c r="CY52" s="612"/>
      <c r="CZ52" s="616"/>
      <c r="DA52" s="615"/>
      <c r="DB52" s="434"/>
    </row>
    <row r="53" spans="1:106" ht="3.75" customHeight="1">
      <c r="A53" s="1645"/>
      <c r="C53" s="423"/>
      <c r="D53" s="423"/>
      <c r="E53" s="423"/>
      <c r="F53" s="423"/>
      <c r="G53" s="423"/>
      <c r="H53" s="423"/>
      <c r="I53" s="423"/>
      <c r="J53" s="423"/>
      <c r="K53" s="433"/>
      <c r="L53" s="423"/>
      <c r="M53" s="423"/>
      <c r="N53" s="423"/>
      <c r="O53" s="423"/>
      <c r="P53" s="423"/>
      <c r="Q53" s="423"/>
      <c r="R53" s="423"/>
      <c r="S53" s="423"/>
      <c r="T53" s="423"/>
      <c r="U53" s="433"/>
      <c r="V53" s="423"/>
      <c r="W53" s="423"/>
      <c r="X53" s="423"/>
      <c r="Y53" s="423"/>
      <c r="Z53" s="423"/>
      <c r="AA53" s="423"/>
      <c r="AB53" s="423"/>
      <c r="AC53" s="423"/>
      <c r="AD53" s="423"/>
      <c r="AE53" s="433"/>
      <c r="AO53" s="417"/>
      <c r="AY53" s="417"/>
      <c r="BH53" s="423"/>
      <c r="BI53" s="433"/>
      <c r="BJ53" s="423"/>
      <c r="BK53" s="423"/>
      <c r="BL53" s="423"/>
      <c r="BS53" s="417"/>
      <c r="CD53" s="1889"/>
      <c r="CE53" s="1789"/>
      <c r="CF53" s="1789"/>
      <c r="CG53" s="1789"/>
      <c r="CH53" s="1927"/>
      <c r="CI53" s="1927"/>
      <c r="CJ53" s="1927"/>
      <c r="CK53" s="1927"/>
      <c r="CL53" s="1927"/>
      <c r="CM53" s="1927"/>
      <c r="CN53" s="1927"/>
      <c r="CO53" s="1927"/>
      <c r="CP53" s="1929"/>
      <c r="CQ53" s="1929"/>
      <c r="CR53" s="1929"/>
      <c r="CS53" s="1929"/>
      <c r="CT53" s="1929"/>
      <c r="CU53" s="1929"/>
      <c r="CV53" s="1929"/>
      <c r="CW53" s="1931"/>
      <c r="CY53" s="612" t="s">
        <v>54</v>
      </c>
      <c r="CZ53" s="616" t="s">
        <v>54</v>
      </c>
      <c r="DA53" s="612"/>
    </row>
    <row r="54" spans="1:106" ht="13.5" customHeight="1">
      <c r="A54" s="1646"/>
      <c r="B54" s="426"/>
      <c r="C54" s="426"/>
      <c r="D54" s="426"/>
      <c r="E54" s="426"/>
      <c r="F54" s="426"/>
      <c r="G54" s="426"/>
      <c r="H54" s="426"/>
      <c r="I54" s="426"/>
      <c r="J54" s="426"/>
      <c r="K54" s="427"/>
      <c r="L54" s="426" t="s">
        <v>54</v>
      </c>
      <c r="M54" s="426"/>
      <c r="N54" s="426"/>
      <c r="O54" s="426"/>
      <c r="P54" s="426"/>
      <c r="Q54" s="426"/>
      <c r="R54" s="426"/>
      <c r="S54" s="426"/>
      <c r="T54" s="426"/>
      <c r="U54" s="427"/>
      <c r="V54" s="426"/>
      <c r="W54" s="426"/>
      <c r="X54" s="426"/>
      <c r="Y54" s="426"/>
      <c r="Z54" s="426"/>
      <c r="AA54" s="426"/>
      <c r="AB54" s="426"/>
      <c r="AC54" s="426"/>
      <c r="AD54" s="426"/>
      <c r="AE54" s="427"/>
      <c r="AF54" s="426"/>
      <c r="AG54" s="426"/>
      <c r="AH54" s="426"/>
      <c r="AI54" s="426"/>
      <c r="AJ54" s="426"/>
      <c r="AK54" s="426"/>
      <c r="AL54" s="426"/>
      <c r="AM54" s="426"/>
      <c r="AN54" s="426"/>
      <c r="AO54" s="427"/>
      <c r="AP54" s="426"/>
      <c r="AQ54" s="426"/>
      <c r="AR54" s="426"/>
      <c r="AS54" s="426"/>
      <c r="AT54" s="426"/>
      <c r="AU54" s="426"/>
      <c r="AV54" s="426"/>
      <c r="AW54" s="426"/>
      <c r="AX54" s="426"/>
      <c r="AY54" s="427"/>
      <c r="AZ54" s="426"/>
      <c r="BA54" s="426"/>
      <c r="BB54" s="426"/>
      <c r="BC54" s="426"/>
      <c r="BD54" s="426"/>
      <c r="BE54" s="426"/>
      <c r="BF54" s="426"/>
      <c r="BG54" s="426"/>
      <c r="BH54" s="426"/>
      <c r="BI54" s="427"/>
      <c r="BJ54" s="426"/>
      <c r="BK54" s="426"/>
      <c r="BL54" s="426"/>
      <c r="BM54" s="428" t="s">
        <v>654</v>
      </c>
      <c r="BN54" s="426"/>
      <c r="BO54" s="426"/>
      <c r="BP54" s="426"/>
      <c r="BQ54" s="426"/>
      <c r="BR54" s="426"/>
      <c r="BS54" s="427"/>
      <c r="BT54" s="426"/>
      <c r="BU54" s="426"/>
      <c r="BV54" s="426"/>
      <c r="BW54" s="426"/>
      <c r="BX54" s="426"/>
      <c r="BY54" s="426"/>
      <c r="BZ54" s="426"/>
      <c r="CA54" s="426"/>
      <c r="CB54" s="426"/>
      <c r="CC54" s="426"/>
      <c r="CD54" s="1932">
        <v>0</v>
      </c>
      <c r="CE54" s="1933"/>
      <c r="CF54" s="1934">
        <f>+CD54/$CY$36</f>
        <v>0</v>
      </c>
      <c r="CG54" s="1935"/>
      <c r="CH54" s="1809">
        <f>+DA34</f>
        <v>4.0599999999999996</v>
      </c>
      <c r="CI54" s="1809"/>
      <c r="CJ54" s="1794">
        <f>CH54/DA34</f>
        <v>1</v>
      </c>
      <c r="CK54" s="1793"/>
      <c r="CL54" s="1795">
        <v>0</v>
      </c>
      <c r="CM54" s="1795"/>
      <c r="CN54" s="1936">
        <f>+CL54/$CY$36</f>
        <v>0</v>
      </c>
      <c r="CO54" s="1936"/>
      <c r="CP54" s="1923">
        <v>0</v>
      </c>
      <c r="CQ54" s="1923"/>
      <c r="CR54" s="1924">
        <f>CP54/DA34</f>
        <v>0</v>
      </c>
      <c r="CS54" s="1925"/>
      <c r="CT54" s="1798">
        <v>0</v>
      </c>
      <c r="CU54" s="1798"/>
      <c r="CV54" s="1799">
        <v>0</v>
      </c>
      <c r="CW54" s="1800"/>
      <c r="CY54" s="612">
        <f>+CD54+CH54+CL54+CP54+CT54</f>
        <v>4.0599999999999996</v>
      </c>
      <c r="CZ54" s="616">
        <f>CF54+CR54+CV54+CJ54+CN54</f>
        <v>1</v>
      </c>
      <c r="DA54" s="615"/>
    </row>
    <row r="55" spans="1:106" ht="10.5" customHeight="1">
      <c r="A55" s="1644" t="s">
        <v>59</v>
      </c>
      <c r="K55" s="417"/>
      <c r="U55" s="417"/>
      <c r="AE55" s="417"/>
      <c r="AO55" s="417"/>
      <c r="AY55" s="417"/>
      <c r="BI55" s="417"/>
      <c r="BS55" s="417"/>
      <c r="CD55" s="1889" t="s">
        <v>54</v>
      </c>
      <c r="CE55" s="1789"/>
      <c r="CF55" s="1789"/>
      <c r="CG55" s="1789"/>
      <c r="CH55" s="1926" t="s">
        <v>54</v>
      </c>
      <c r="CI55" s="1926"/>
      <c r="CJ55" s="1926"/>
      <c r="CK55" s="1926"/>
      <c r="CL55" s="1926" t="s">
        <v>54</v>
      </c>
      <c r="CM55" s="1926"/>
      <c r="CN55" s="1926"/>
      <c r="CO55" s="1926"/>
      <c r="CP55" s="1928" t="s">
        <v>54</v>
      </c>
      <c r="CQ55" s="1928"/>
      <c r="CR55" s="1928"/>
      <c r="CS55" s="1928"/>
      <c r="CT55" s="1928" t="s">
        <v>54</v>
      </c>
      <c r="CU55" s="1928"/>
      <c r="CV55" s="1928"/>
      <c r="CW55" s="1930"/>
      <c r="CY55" s="612" t="s">
        <v>54</v>
      </c>
      <c r="CZ55" s="616" t="s">
        <v>54</v>
      </c>
      <c r="DA55" s="615"/>
    </row>
    <row r="56" spans="1:106" ht="3.75" customHeight="1">
      <c r="A56" s="1645"/>
      <c r="C56" s="423"/>
      <c r="D56" s="423"/>
      <c r="E56" s="423"/>
      <c r="F56" s="423"/>
      <c r="G56" s="423"/>
      <c r="H56" s="423"/>
      <c r="I56" s="423"/>
      <c r="J56" s="423"/>
      <c r="K56" s="433"/>
      <c r="L56" s="423"/>
      <c r="M56" s="423"/>
      <c r="N56" s="423"/>
      <c r="O56" s="423"/>
      <c r="P56" s="423"/>
      <c r="Q56" s="423"/>
      <c r="R56" s="423"/>
      <c r="S56" s="423"/>
      <c r="T56" s="423"/>
      <c r="U56" s="433"/>
      <c r="V56" s="423"/>
      <c r="W56" s="423"/>
      <c r="X56" s="423"/>
      <c r="Y56" s="423"/>
      <c r="Z56" s="423"/>
      <c r="AA56" s="423"/>
      <c r="AB56" s="423"/>
      <c r="AC56" s="423"/>
      <c r="AD56" s="423"/>
      <c r="AE56" s="433"/>
      <c r="AO56" s="417"/>
      <c r="AY56" s="417"/>
      <c r="BH56" s="423"/>
      <c r="BI56" s="433"/>
      <c r="BJ56" s="423"/>
      <c r="BK56" s="423"/>
      <c r="BL56" s="423"/>
      <c r="BS56" s="417"/>
      <c r="CD56" s="1889"/>
      <c r="CE56" s="1789"/>
      <c r="CF56" s="1789"/>
      <c r="CG56" s="1789"/>
      <c r="CH56" s="1927"/>
      <c r="CI56" s="1927"/>
      <c r="CJ56" s="1927"/>
      <c r="CK56" s="1927"/>
      <c r="CL56" s="1927"/>
      <c r="CM56" s="1927"/>
      <c r="CN56" s="1927"/>
      <c r="CO56" s="1927"/>
      <c r="CP56" s="1929"/>
      <c r="CQ56" s="1929"/>
      <c r="CR56" s="1929"/>
      <c r="CS56" s="1929"/>
      <c r="CT56" s="1929"/>
      <c r="CU56" s="1929"/>
      <c r="CV56" s="1929"/>
      <c r="CW56" s="1931"/>
      <c r="CY56" s="615"/>
      <c r="CZ56" s="615"/>
      <c r="DA56" s="615"/>
    </row>
    <row r="57" spans="1:106" ht="13.5" customHeight="1">
      <c r="A57" s="1646"/>
      <c r="B57" s="426"/>
      <c r="C57" s="426"/>
      <c r="D57" s="426"/>
      <c r="E57" s="426"/>
      <c r="F57" s="426"/>
      <c r="G57" s="426"/>
      <c r="H57" s="426"/>
      <c r="I57" s="426"/>
      <c r="J57" s="426"/>
      <c r="K57" s="427"/>
      <c r="L57" s="426"/>
      <c r="M57" s="426"/>
      <c r="N57" s="426"/>
      <c r="O57" s="426"/>
      <c r="P57" s="426"/>
      <c r="Q57" s="426"/>
      <c r="R57" s="426"/>
      <c r="S57" s="426"/>
      <c r="T57" s="426"/>
      <c r="U57" s="427"/>
      <c r="V57" s="426"/>
      <c r="W57" s="426"/>
      <c r="X57" s="426"/>
      <c r="Y57" s="426"/>
      <c r="Z57" s="426"/>
      <c r="AA57" s="426"/>
      <c r="AB57" s="426"/>
      <c r="AC57" s="426"/>
      <c r="AD57" s="426"/>
      <c r="AE57" s="427"/>
      <c r="AF57" s="426"/>
      <c r="AG57" s="426"/>
      <c r="AH57" s="426"/>
      <c r="AI57" s="426"/>
      <c r="AJ57" s="426"/>
      <c r="AK57" s="426"/>
      <c r="AL57" s="426"/>
      <c r="AM57" s="426"/>
      <c r="AN57" s="426"/>
      <c r="AO57" s="427"/>
      <c r="AP57" s="426"/>
      <c r="AQ57" s="426"/>
      <c r="AR57" s="426"/>
      <c r="AS57" s="426"/>
      <c r="AT57" s="426"/>
      <c r="AU57" s="426"/>
      <c r="AV57" s="426"/>
      <c r="AW57" s="426"/>
      <c r="AX57" s="426"/>
      <c r="AY57" s="427"/>
      <c r="AZ57" s="426"/>
      <c r="BA57" s="426"/>
      <c r="BB57" s="426"/>
      <c r="BC57" s="426"/>
      <c r="BD57" s="426"/>
      <c r="BE57" s="426"/>
      <c r="BF57" s="426"/>
      <c r="BG57" s="426"/>
      <c r="BH57" s="426"/>
      <c r="BI57" s="427"/>
      <c r="BJ57" s="426"/>
      <c r="BK57" s="426"/>
      <c r="BL57" s="426"/>
      <c r="BM57" s="428" t="s">
        <v>654</v>
      </c>
      <c r="BN57" s="426"/>
      <c r="BO57" s="426"/>
      <c r="BP57" s="426"/>
      <c r="BQ57" s="426"/>
      <c r="BR57" s="426"/>
      <c r="BS57" s="427"/>
      <c r="BT57" s="426"/>
      <c r="BU57" s="426"/>
      <c r="BV57" s="426"/>
      <c r="BW57" s="426"/>
      <c r="BX57" s="426"/>
      <c r="BY57" s="426"/>
      <c r="BZ57" s="426"/>
      <c r="CA57" s="426"/>
      <c r="CB57" s="426"/>
      <c r="CC57" s="426"/>
      <c r="CD57" s="1932">
        <v>0</v>
      </c>
      <c r="CE57" s="1933"/>
      <c r="CF57" s="1934">
        <f>+CD57/$CY$36</f>
        <v>0</v>
      </c>
      <c r="CG57" s="1935"/>
      <c r="CH57" s="1809">
        <f>+DA34</f>
        <v>4.0599999999999996</v>
      </c>
      <c r="CI57" s="1809"/>
      <c r="CJ57" s="1794">
        <f>CH57/DA34</f>
        <v>1</v>
      </c>
      <c r="CK57" s="1793"/>
      <c r="CL57" s="1795">
        <v>0</v>
      </c>
      <c r="CM57" s="1795"/>
      <c r="CN57" s="1936">
        <f>+CL57/$CY$36</f>
        <v>0</v>
      </c>
      <c r="CO57" s="1936"/>
      <c r="CP57" s="1923">
        <v>0</v>
      </c>
      <c r="CQ57" s="1923"/>
      <c r="CR57" s="1924">
        <f>CP57/DA34</f>
        <v>0</v>
      </c>
      <c r="CS57" s="1925"/>
      <c r="CT57" s="1798">
        <v>0</v>
      </c>
      <c r="CU57" s="1798"/>
      <c r="CV57" s="1799">
        <v>0</v>
      </c>
      <c r="CW57" s="1800"/>
      <c r="CY57" s="612">
        <f>+CD57+CH57+CL57+CP57+CT57</f>
        <v>4.0599999999999996</v>
      </c>
      <c r="CZ57" s="616">
        <f>CF57+CR57+CV57+CJ57+CN57</f>
        <v>1</v>
      </c>
      <c r="DA57" s="349"/>
    </row>
    <row r="58" spans="1:106" ht="10.5" customHeight="1">
      <c r="A58" s="1644" t="s">
        <v>1053</v>
      </c>
      <c r="K58" s="417"/>
      <c r="U58" s="417"/>
      <c r="AE58" s="417"/>
      <c r="AO58" s="417"/>
      <c r="AY58" s="417"/>
      <c r="BI58" s="417"/>
      <c r="BS58" s="417"/>
      <c r="CD58" s="1889" t="s">
        <v>54</v>
      </c>
      <c r="CE58" s="1789"/>
      <c r="CF58" s="1789"/>
      <c r="CG58" s="1789"/>
      <c r="CH58" s="1926" t="s">
        <v>54</v>
      </c>
      <c r="CI58" s="1926"/>
      <c r="CJ58" s="1926"/>
      <c r="CK58" s="1926"/>
      <c r="CL58" s="1926" t="s">
        <v>54</v>
      </c>
      <c r="CM58" s="1926"/>
      <c r="CN58" s="1926"/>
      <c r="CO58" s="1926"/>
      <c r="CP58" s="1928" t="s">
        <v>54</v>
      </c>
      <c r="CQ58" s="1928"/>
      <c r="CR58" s="1928"/>
      <c r="CS58" s="1928"/>
      <c r="CT58" s="1928" t="s">
        <v>54</v>
      </c>
      <c r="CU58" s="1928"/>
      <c r="CV58" s="1928"/>
      <c r="CW58" s="1930"/>
      <c r="CY58" s="387"/>
      <c r="CZ58" s="349"/>
      <c r="DA58" s="349"/>
    </row>
    <row r="59" spans="1:106" ht="3.75" customHeight="1">
      <c r="A59" s="1645"/>
      <c r="C59" s="423"/>
      <c r="D59" s="423"/>
      <c r="E59" s="423"/>
      <c r="F59" s="423"/>
      <c r="G59" s="423"/>
      <c r="H59" s="423"/>
      <c r="I59" s="423"/>
      <c r="J59" s="423"/>
      <c r="K59" s="433"/>
      <c r="L59" s="423"/>
      <c r="M59" s="423"/>
      <c r="N59" s="423"/>
      <c r="O59" s="423"/>
      <c r="P59" s="423"/>
      <c r="Q59" s="423"/>
      <c r="R59" s="423"/>
      <c r="S59" s="423"/>
      <c r="T59" s="423"/>
      <c r="U59" s="433"/>
      <c r="V59" s="423"/>
      <c r="W59" s="423"/>
      <c r="X59" s="423"/>
      <c r="Y59" s="423"/>
      <c r="Z59" s="423"/>
      <c r="AA59" s="423"/>
      <c r="AB59" s="423"/>
      <c r="AC59" s="423"/>
      <c r="AD59" s="423"/>
      <c r="AE59" s="433"/>
      <c r="AO59" s="417"/>
      <c r="AY59" s="417"/>
      <c r="BH59" s="423"/>
      <c r="BI59" s="433"/>
      <c r="BJ59" s="423"/>
      <c r="BK59" s="423"/>
      <c r="BL59" s="423"/>
      <c r="BS59" s="417"/>
      <c r="CD59" s="1889"/>
      <c r="CE59" s="1789"/>
      <c r="CF59" s="1789"/>
      <c r="CG59" s="1789"/>
      <c r="CH59" s="1927"/>
      <c r="CI59" s="1927"/>
      <c r="CJ59" s="1927"/>
      <c r="CK59" s="1927"/>
      <c r="CL59" s="1927"/>
      <c r="CM59" s="1927"/>
      <c r="CN59" s="1927"/>
      <c r="CO59" s="1927"/>
      <c r="CP59" s="1929"/>
      <c r="CQ59" s="1929"/>
      <c r="CR59" s="1929"/>
      <c r="CS59" s="1929"/>
      <c r="CT59" s="1929"/>
      <c r="CU59" s="1929"/>
      <c r="CV59" s="1929"/>
      <c r="CW59" s="1931"/>
      <c r="CY59" s="387"/>
      <c r="CZ59" s="349"/>
      <c r="DA59" s="349"/>
    </row>
    <row r="60" spans="1:106" ht="13.5" customHeight="1" thickBot="1">
      <c r="A60" s="1662"/>
      <c r="B60" s="411"/>
      <c r="C60" s="411"/>
      <c r="D60" s="411"/>
      <c r="E60" s="411"/>
      <c r="F60" s="411"/>
      <c r="G60" s="411"/>
      <c r="H60" s="411"/>
      <c r="I60" s="411"/>
      <c r="J60" s="411"/>
      <c r="K60" s="436"/>
      <c r="L60" s="411"/>
      <c r="M60" s="411"/>
      <c r="N60" s="411"/>
      <c r="O60" s="411"/>
      <c r="P60" s="411"/>
      <c r="Q60" s="411"/>
      <c r="R60" s="411"/>
      <c r="S60" s="411"/>
      <c r="T60" s="411"/>
      <c r="U60" s="436"/>
      <c r="V60" s="411"/>
      <c r="W60" s="411"/>
      <c r="X60" s="411"/>
      <c r="Y60" s="411"/>
      <c r="Z60" s="411"/>
      <c r="AA60" s="411"/>
      <c r="AB60" s="411"/>
      <c r="AC60" s="411"/>
      <c r="AD60" s="411"/>
      <c r="AE60" s="436"/>
      <c r="AF60" s="411"/>
      <c r="AG60" s="411"/>
      <c r="AH60" s="411"/>
      <c r="AI60" s="411"/>
      <c r="AJ60" s="411"/>
      <c r="AK60" s="411"/>
      <c r="AL60" s="411"/>
      <c r="AM60" s="411"/>
      <c r="AN60" s="411"/>
      <c r="AO60" s="436"/>
      <c r="AP60" s="411"/>
      <c r="AQ60" s="411"/>
      <c r="AR60" s="411"/>
      <c r="AS60" s="411"/>
      <c r="AT60" s="411"/>
      <c r="AU60" s="411"/>
      <c r="AV60" s="411"/>
      <c r="AW60" s="411"/>
      <c r="AX60" s="411"/>
      <c r="AY60" s="436"/>
      <c r="AZ60" s="411"/>
      <c r="BA60" s="411"/>
      <c r="BB60" s="411"/>
      <c r="BC60" s="411"/>
      <c r="BD60" s="411"/>
      <c r="BE60" s="411"/>
      <c r="BF60" s="411"/>
      <c r="BG60" s="411"/>
      <c r="BH60" s="411"/>
      <c r="BI60" s="436"/>
      <c r="BJ60" s="411"/>
      <c r="BK60" s="411"/>
      <c r="BL60" s="411"/>
      <c r="BM60" s="428" t="s">
        <v>654</v>
      </c>
      <c r="BN60" s="411"/>
      <c r="BO60" s="411"/>
      <c r="BP60" s="411"/>
      <c r="BQ60" s="411"/>
      <c r="BR60" s="411"/>
      <c r="BS60" s="436"/>
      <c r="BT60" s="411"/>
      <c r="BU60" s="411"/>
      <c r="BV60" s="411"/>
      <c r="BW60" s="411"/>
      <c r="BX60" s="411"/>
      <c r="BY60" s="411"/>
      <c r="BZ60" s="411"/>
      <c r="CA60" s="411"/>
      <c r="CB60" s="411"/>
      <c r="CC60" s="411"/>
      <c r="CD60" s="1941">
        <v>0</v>
      </c>
      <c r="CE60" s="1942"/>
      <c r="CF60" s="1934">
        <f>+CD60/$CY$36</f>
        <v>0</v>
      </c>
      <c r="CG60" s="1935"/>
      <c r="CH60" s="1940">
        <f>+DA34</f>
        <v>4.0599999999999996</v>
      </c>
      <c r="CI60" s="1940"/>
      <c r="CJ60" s="1810">
        <f>CH60/DA34</f>
        <v>1</v>
      </c>
      <c r="CK60" s="1811"/>
      <c r="CL60" s="1795">
        <v>0</v>
      </c>
      <c r="CM60" s="1795"/>
      <c r="CN60" s="1936">
        <f>+CL60/$CY$36</f>
        <v>0</v>
      </c>
      <c r="CO60" s="1936"/>
      <c r="CP60" s="1937">
        <v>0</v>
      </c>
      <c r="CQ60" s="1937"/>
      <c r="CR60" s="1938">
        <f>CP60/DA34</f>
        <v>0</v>
      </c>
      <c r="CS60" s="1939"/>
      <c r="CT60" s="1815">
        <v>0</v>
      </c>
      <c r="CU60" s="1815"/>
      <c r="CV60" s="1816">
        <v>0</v>
      </c>
      <c r="CW60" s="1817"/>
      <c r="CY60" s="612">
        <f>+CD60+CH60+CL60+CP60+CT60</f>
        <v>4.0599999999999996</v>
      </c>
      <c r="CZ60" s="616">
        <f>CF60+CR60+CV60+CJ60+CN60</f>
        <v>1</v>
      </c>
      <c r="DA60" s="349"/>
    </row>
    <row r="61" spans="1:106">
      <c r="CY61" s="349"/>
      <c r="CZ61" s="349"/>
      <c r="DA61" s="349"/>
    </row>
    <row r="62" spans="1:106" s="546" customFormat="1" ht="12.75">
      <c r="A62" s="618" t="s">
        <v>315</v>
      </c>
    </row>
    <row r="63" spans="1:106" s="546" customFormat="1">
      <c r="A63" s="1047" t="s">
        <v>1140</v>
      </c>
      <c r="N63" s="349"/>
      <c r="O63" s="349"/>
      <c r="P63" s="349"/>
      <c r="Q63" s="349"/>
      <c r="R63" s="349"/>
      <c r="S63" s="349"/>
      <c r="T63" s="349"/>
      <c r="U63" s="349"/>
      <c r="CD63" s="619" t="s">
        <v>440</v>
      </c>
      <c r="CE63" s="619"/>
      <c r="CF63" s="619"/>
      <c r="CG63" s="619"/>
      <c r="CH63" s="619"/>
      <c r="CI63" s="619"/>
      <c r="CJ63" s="619"/>
      <c r="CK63" s="619"/>
      <c r="CL63" s="553"/>
      <c r="CM63" s="553"/>
      <c r="CN63" s="553"/>
      <c r="CO63" s="553"/>
      <c r="CP63" s="553"/>
      <c r="CQ63" s="553"/>
      <c r="CR63" s="553"/>
      <c r="CS63" s="553"/>
      <c r="CT63" s="553"/>
      <c r="CU63" s="553"/>
      <c r="CV63" s="553"/>
      <c r="CW63" s="553"/>
    </row>
    <row r="64" spans="1:106" s="546" customFormat="1" ht="12.75"/>
    <row r="87" spans="80:104">
      <c r="CB87" s="891"/>
      <c r="CC87" s="891"/>
      <c r="CD87" s="891"/>
      <c r="CE87" s="891"/>
      <c r="CF87" s="891"/>
      <c r="CG87" s="891"/>
      <c r="CH87" s="891"/>
      <c r="CI87" s="891"/>
      <c r="CJ87" s="891"/>
      <c r="CK87" s="891"/>
      <c r="CL87" s="891"/>
      <c r="CM87" s="891"/>
      <c r="CN87" s="891"/>
      <c r="CO87" s="891"/>
      <c r="CP87" s="891"/>
      <c r="CQ87" s="891"/>
      <c r="CR87" s="891"/>
      <c r="CS87" s="891"/>
      <c r="CT87" s="891"/>
      <c r="CU87" s="891"/>
      <c r="CV87" s="891"/>
      <c r="CW87" s="891"/>
      <c r="CX87" s="891"/>
      <c r="CY87" s="891"/>
      <c r="CZ87" s="891"/>
    </row>
    <row r="88" spans="80:104">
      <c r="CB88" s="891"/>
      <c r="CC88" s="891"/>
      <c r="CD88" s="891"/>
      <c r="CE88" s="891"/>
      <c r="CF88" s="891"/>
      <c r="CG88" s="891"/>
      <c r="CH88" s="891"/>
      <c r="CI88" s="891"/>
      <c r="CJ88" s="891"/>
      <c r="CK88" s="891"/>
      <c r="CL88" s="891"/>
      <c r="CM88" s="891"/>
      <c r="CN88" s="891"/>
      <c r="CO88" s="891"/>
      <c r="CP88" s="891"/>
      <c r="CQ88" s="891"/>
      <c r="CR88" s="891"/>
      <c r="CS88" s="891"/>
      <c r="CT88" s="891"/>
      <c r="CU88" s="891"/>
      <c r="CV88" s="891"/>
      <c r="CW88" s="891"/>
      <c r="CX88" s="891"/>
      <c r="CY88" s="891"/>
      <c r="CZ88" s="891"/>
    </row>
    <row r="89" spans="80:104">
      <c r="CB89" s="891"/>
      <c r="CC89" s="891"/>
      <c r="CD89" s="891"/>
      <c r="CE89" s="891"/>
      <c r="CF89" s="891"/>
      <c r="CG89" s="891"/>
      <c r="CH89" s="891"/>
      <c r="CI89" s="891"/>
      <c r="CJ89" s="891"/>
      <c r="CK89" s="891"/>
      <c r="CL89" s="891"/>
      <c r="CM89" s="891"/>
      <c r="CN89" s="891"/>
      <c r="CO89" s="891"/>
      <c r="CP89" s="891"/>
      <c r="CQ89" s="891"/>
      <c r="CR89" s="891"/>
      <c r="CS89" s="891"/>
      <c r="CT89" s="891"/>
      <c r="CU89" s="891"/>
      <c r="CV89" s="891"/>
      <c r="CW89" s="891"/>
      <c r="CX89" s="891"/>
      <c r="CY89" s="891"/>
      <c r="CZ89" s="891"/>
    </row>
    <row r="90" spans="80:104">
      <c r="CB90" s="891"/>
      <c r="CC90" s="891"/>
      <c r="CD90" s="891"/>
      <c r="CE90" s="891"/>
      <c r="CF90" s="891"/>
      <c r="CG90" s="891"/>
      <c r="CH90" s="891"/>
      <c r="CI90" s="891"/>
      <c r="CJ90" s="891"/>
      <c r="CK90" s="891"/>
      <c r="CL90" s="891"/>
      <c r="CM90" s="891"/>
      <c r="CN90" s="891"/>
      <c r="CO90" s="891"/>
      <c r="CP90" s="891"/>
      <c r="CQ90" s="891"/>
      <c r="CR90" s="891"/>
      <c r="CS90" s="891"/>
      <c r="CT90" s="891"/>
      <c r="CU90" s="891"/>
      <c r="CV90" s="891"/>
      <c r="CW90" s="891"/>
      <c r="CX90" s="891"/>
      <c r="CY90" s="891"/>
      <c r="CZ90" s="891"/>
    </row>
    <row r="91" spans="80:104">
      <c r="CB91" s="891"/>
      <c r="CC91" s="891"/>
      <c r="CD91" s="891"/>
      <c r="CE91" s="891"/>
      <c r="CF91" s="891"/>
      <c r="CG91" s="891"/>
      <c r="CH91" s="891"/>
      <c r="CI91" s="891"/>
      <c r="CJ91" s="891"/>
      <c r="CK91" s="891"/>
      <c r="CL91" s="891"/>
      <c r="CM91" s="891"/>
      <c r="CN91" s="891"/>
      <c r="CO91" s="891"/>
      <c r="CP91" s="891"/>
      <c r="CQ91" s="891"/>
      <c r="CR91" s="891"/>
      <c r="CS91" s="891"/>
      <c r="CT91" s="891"/>
      <c r="CU91" s="891"/>
      <c r="CV91" s="891"/>
      <c r="CW91" s="891"/>
      <c r="CX91" s="891"/>
      <c r="CY91" s="891"/>
      <c r="CZ91" s="891"/>
    </row>
    <row r="92" spans="80:104">
      <c r="CB92" s="891"/>
      <c r="CC92" s="891"/>
      <c r="CD92" s="891"/>
      <c r="CE92" s="891"/>
      <c r="CF92" s="891"/>
      <c r="CG92" s="891"/>
      <c r="CH92" s="891"/>
      <c r="CI92" s="891"/>
      <c r="CJ92" s="891"/>
      <c r="CK92" s="891"/>
      <c r="CL92" s="891"/>
      <c r="CM92" s="891"/>
      <c r="CN92" s="891"/>
      <c r="CO92" s="891"/>
      <c r="CP92" s="891"/>
      <c r="CQ92" s="891"/>
      <c r="CR92" s="891"/>
      <c r="CS92" s="891"/>
      <c r="CT92" s="891"/>
      <c r="CU92" s="891"/>
      <c r="CV92" s="891"/>
      <c r="CW92" s="891"/>
      <c r="CX92" s="891"/>
      <c r="CY92" s="891"/>
      <c r="CZ92" s="891"/>
    </row>
    <row r="93" spans="80:104">
      <c r="CB93" s="891"/>
      <c r="CC93" s="891"/>
      <c r="CD93" s="891"/>
      <c r="CE93" s="891"/>
      <c r="CF93" s="891"/>
      <c r="CG93" s="891"/>
      <c r="CH93" s="891"/>
      <c r="CI93" s="891"/>
      <c r="CJ93" s="891"/>
      <c r="CK93" s="891"/>
      <c r="CL93" s="891"/>
      <c r="CM93" s="891"/>
      <c r="CN93" s="891"/>
      <c r="CO93" s="891"/>
      <c r="CP93" s="891"/>
      <c r="CQ93" s="891"/>
      <c r="CR93" s="891"/>
      <c r="CS93" s="891"/>
      <c r="CT93" s="891"/>
      <c r="CU93" s="891"/>
      <c r="CV93" s="891"/>
      <c r="CW93" s="891"/>
      <c r="CX93" s="891"/>
      <c r="CY93" s="891"/>
      <c r="CZ93" s="891"/>
    </row>
    <row r="94" spans="80:104">
      <c r="CB94" s="891"/>
      <c r="CC94" s="891"/>
      <c r="CD94" s="891"/>
      <c r="CE94" s="891"/>
      <c r="CF94" s="891"/>
      <c r="CG94" s="891"/>
      <c r="CH94" s="891"/>
      <c r="CI94" s="891"/>
      <c r="CJ94" s="891"/>
      <c r="CK94" s="891"/>
      <c r="CL94" s="891"/>
      <c r="CM94" s="891"/>
      <c r="CN94" s="891"/>
      <c r="CO94" s="891"/>
      <c r="CP94" s="891"/>
      <c r="CQ94" s="891"/>
      <c r="CR94" s="891"/>
      <c r="CS94" s="891"/>
      <c r="CT94" s="891"/>
      <c r="CU94" s="891"/>
      <c r="CV94" s="891"/>
      <c r="CW94" s="891"/>
      <c r="CX94" s="891"/>
      <c r="CY94" s="891"/>
      <c r="CZ94" s="891"/>
    </row>
    <row r="95" spans="80:104">
      <c r="CB95" s="891"/>
      <c r="CC95" s="891"/>
      <c r="CD95" s="891"/>
      <c r="CE95" s="891"/>
      <c r="CF95" s="891"/>
      <c r="CG95" s="891"/>
      <c r="CH95" s="891"/>
      <c r="CI95" s="891"/>
      <c r="CJ95" s="891"/>
      <c r="CK95" s="891"/>
      <c r="CL95" s="891"/>
      <c r="CM95" s="891"/>
      <c r="CN95" s="891"/>
      <c r="CO95" s="891"/>
      <c r="CP95" s="891"/>
      <c r="CQ95" s="891"/>
      <c r="CR95" s="891"/>
      <c r="CS95" s="891"/>
      <c r="CT95" s="891"/>
      <c r="CU95" s="891"/>
      <c r="CV95" s="891"/>
      <c r="CW95" s="891"/>
      <c r="CX95" s="891"/>
      <c r="CY95" s="891"/>
      <c r="CZ95" s="891"/>
    </row>
  </sheetData>
  <mergeCells count="180">
    <mergeCell ref="A1:CW1"/>
    <mergeCell ref="A2:CW2"/>
    <mergeCell ref="A5:CW5"/>
    <mergeCell ref="BT6:CW6"/>
    <mergeCell ref="BJ33:BS33"/>
    <mergeCell ref="BT33:CC33"/>
    <mergeCell ref="B33:K33"/>
    <mergeCell ref="L33:U33"/>
    <mergeCell ref="V33:AE33"/>
    <mergeCell ref="AF33:AO33"/>
    <mergeCell ref="AP33:AY33"/>
    <mergeCell ref="AZ33:BI33"/>
    <mergeCell ref="B31:CC31"/>
    <mergeCell ref="CD31:CW32"/>
    <mergeCell ref="B32:K32"/>
    <mergeCell ref="L32:U32"/>
    <mergeCell ref="V32:AE32"/>
    <mergeCell ref="AF32:AO32"/>
    <mergeCell ref="AP32:AY32"/>
    <mergeCell ref="AZ32:BI32"/>
    <mergeCell ref="BJ32:BS32"/>
    <mergeCell ref="BT32:CC32"/>
    <mergeCell ref="CD33:CG33"/>
    <mergeCell ref="CH33:CK33"/>
    <mergeCell ref="CL33:CO33"/>
    <mergeCell ref="CP33:CS33"/>
    <mergeCell ref="CT33:CW33"/>
    <mergeCell ref="CJ34:CK35"/>
    <mergeCell ref="CL34:CM35"/>
    <mergeCell ref="CN34:CO35"/>
    <mergeCell ref="CP34:CQ35"/>
    <mergeCell ref="CR34:CS35"/>
    <mergeCell ref="CT34:CU35"/>
    <mergeCell ref="CV34:CW35"/>
    <mergeCell ref="CP36:CQ36"/>
    <mergeCell ref="CR36:CS36"/>
    <mergeCell ref="CT36:CU36"/>
    <mergeCell ref="CV36:CW36"/>
    <mergeCell ref="CD40:CG41"/>
    <mergeCell ref="CH40:CK41"/>
    <mergeCell ref="CP40:CS41"/>
    <mergeCell ref="CT40:CW41"/>
    <mergeCell ref="CL40:CO41"/>
    <mergeCell ref="CD37:CG38"/>
    <mergeCell ref="CD36:CE36"/>
    <mergeCell ref="CF36:CG36"/>
    <mergeCell ref="CH36:CI36"/>
    <mergeCell ref="CJ36:CK36"/>
    <mergeCell ref="CL36:CM36"/>
    <mergeCell ref="CN36:CO36"/>
    <mergeCell ref="CP42:CQ42"/>
    <mergeCell ref="CH42:CI42"/>
    <mergeCell ref="CJ42:CK42"/>
    <mergeCell ref="CL42:CM42"/>
    <mergeCell ref="CN42:CO42"/>
    <mergeCell ref="CR42:CS42"/>
    <mergeCell ref="CT42:CU42"/>
    <mergeCell ref="CV42:CW42"/>
    <mergeCell ref="CD43:CG44"/>
    <mergeCell ref="CH43:CK44"/>
    <mergeCell ref="CP43:CS44"/>
    <mergeCell ref="CT43:CW44"/>
    <mergeCell ref="CL43:CO44"/>
    <mergeCell ref="CD42:CE42"/>
    <mergeCell ref="CF42:CG42"/>
    <mergeCell ref="CP45:CQ45"/>
    <mergeCell ref="CR45:CS45"/>
    <mergeCell ref="CT45:CU45"/>
    <mergeCell ref="CV45:CW45"/>
    <mergeCell ref="CD46:CG47"/>
    <mergeCell ref="CH46:CK47"/>
    <mergeCell ref="CP46:CS47"/>
    <mergeCell ref="CT46:CW47"/>
    <mergeCell ref="CL46:CO47"/>
    <mergeCell ref="CD45:CE45"/>
    <mergeCell ref="CF45:CG45"/>
    <mergeCell ref="CH45:CI45"/>
    <mergeCell ref="CJ45:CK45"/>
    <mergeCell ref="CL45:CM45"/>
    <mergeCell ref="CN45:CO45"/>
    <mergeCell ref="CP48:CQ48"/>
    <mergeCell ref="CH48:CI48"/>
    <mergeCell ref="CJ48:CK48"/>
    <mergeCell ref="CL48:CM48"/>
    <mergeCell ref="CN48:CO48"/>
    <mergeCell ref="CR48:CS48"/>
    <mergeCell ref="CT48:CU48"/>
    <mergeCell ref="CV48:CW48"/>
    <mergeCell ref="CD49:CG50"/>
    <mergeCell ref="CH49:CK50"/>
    <mergeCell ref="CP49:CS50"/>
    <mergeCell ref="CT49:CW50"/>
    <mergeCell ref="CL49:CO50"/>
    <mergeCell ref="CD48:CE48"/>
    <mergeCell ref="CF48:CG48"/>
    <mergeCell ref="CP51:CQ51"/>
    <mergeCell ref="CR51:CS51"/>
    <mergeCell ref="CT51:CU51"/>
    <mergeCell ref="CV51:CW51"/>
    <mergeCell ref="CD52:CG53"/>
    <mergeCell ref="CH52:CK53"/>
    <mergeCell ref="CP52:CS53"/>
    <mergeCell ref="CT52:CW53"/>
    <mergeCell ref="CL52:CO53"/>
    <mergeCell ref="CD51:CE51"/>
    <mergeCell ref="CF51:CG51"/>
    <mergeCell ref="CH51:CI51"/>
    <mergeCell ref="CJ51:CK51"/>
    <mergeCell ref="CL51:CM51"/>
    <mergeCell ref="CN51:CO51"/>
    <mergeCell ref="CR54:CS54"/>
    <mergeCell ref="CT54:CU54"/>
    <mergeCell ref="CV54:CW54"/>
    <mergeCell ref="CD55:CG56"/>
    <mergeCell ref="CH55:CK56"/>
    <mergeCell ref="CP55:CS56"/>
    <mergeCell ref="CT55:CW56"/>
    <mergeCell ref="CL55:CO56"/>
    <mergeCell ref="CD54:CE54"/>
    <mergeCell ref="CF54:CG54"/>
    <mergeCell ref="CL58:CO59"/>
    <mergeCell ref="CD57:CE57"/>
    <mergeCell ref="CF57:CG57"/>
    <mergeCell ref="CH57:CI57"/>
    <mergeCell ref="CJ57:CK57"/>
    <mergeCell ref="CL57:CM57"/>
    <mergeCell ref="CN57:CO57"/>
    <mergeCell ref="CP54:CQ54"/>
    <mergeCell ref="CH54:CI54"/>
    <mergeCell ref="CJ54:CK54"/>
    <mergeCell ref="CL54:CM54"/>
    <mergeCell ref="CN54:CO54"/>
    <mergeCell ref="CP60:CQ60"/>
    <mergeCell ref="CR60:CS60"/>
    <mergeCell ref="CH60:CI60"/>
    <mergeCell ref="CJ60:CK60"/>
    <mergeCell ref="CL60:CM60"/>
    <mergeCell ref="CN60:CO60"/>
    <mergeCell ref="CT60:CU60"/>
    <mergeCell ref="CV60:CW60"/>
    <mergeCell ref="A3:CW3"/>
    <mergeCell ref="A4:CW4"/>
    <mergeCell ref="C8:G8"/>
    <mergeCell ref="CD34:CE35"/>
    <mergeCell ref="CF34:CG35"/>
    <mergeCell ref="CH34:CI35"/>
    <mergeCell ref="CD60:CE60"/>
    <mergeCell ref="CF60:CG60"/>
    <mergeCell ref="CP57:CQ57"/>
    <mergeCell ref="CR57:CS57"/>
    <mergeCell ref="CT57:CU57"/>
    <mergeCell ref="CV57:CW57"/>
    <mergeCell ref="CD58:CG59"/>
    <mergeCell ref="CH58:CK59"/>
    <mergeCell ref="CP58:CS59"/>
    <mergeCell ref="CT58:CW59"/>
    <mergeCell ref="CG11:CW12"/>
    <mergeCell ref="A58:A60"/>
    <mergeCell ref="A40:A42"/>
    <mergeCell ref="A43:A45"/>
    <mergeCell ref="A46:A48"/>
    <mergeCell ref="A49:A51"/>
    <mergeCell ref="A52:A54"/>
    <mergeCell ref="A55:A57"/>
    <mergeCell ref="CP39:CQ39"/>
    <mergeCell ref="CR39:CS39"/>
    <mergeCell ref="CT39:CU39"/>
    <mergeCell ref="CV39:CW39"/>
    <mergeCell ref="A34:A36"/>
    <mergeCell ref="A37:A39"/>
    <mergeCell ref="CH37:CK38"/>
    <mergeCell ref="CL37:CO38"/>
    <mergeCell ref="CP37:CS38"/>
    <mergeCell ref="CT37:CW38"/>
    <mergeCell ref="CD39:CE39"/>
    <mergeCell ref="CF39:CG39"/>
    <mergeCell ref="CH39:CI39"/>
    <mergeCell ref="CJ39:CK39"/>
    <mergeCell ref="CL39:CM39"/>
    <mergeCell ref="CN39:CO39"/>
  </mergeCells>
  <hyperlinks>
    <hyperlink ref="CD63" location="'TABLA DE CONTENIDO'!A1" display="VOLVER A TABLA DE CONTENIDO"/>
  </hyperlinks>
  <printOptions horizontalCentered="1"/>
  <pageMargins left="0.39370078740157483" right="0.39370078740157483" top="0.39370078740157483" bottom="0.39370078740157483" header="0.27559055118110237" footer="0.43307086614173229"/>
  <pageSetup scale="70" fitToWidth="0" orientation="portrait" copies="2" r:id="rId1"/>
  <headerFooter alignWithMargins="0"/>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J64"/>
  <sheetViews>
    <sheetView showGridLines="0" view="pageBreakPreview" zoomScaleNormal="75" zoomScaleSheetLayoutView="100" workbookViewId="0">
      <selection activeCell="DH63" sqref="DH63"/>
    </sheetView>
  </sheetViews>
  <sheetFormatPr baseColWidth="10" defaultColWidth="12.5703125" defaultRowHeight="15"/>
  <cols>
    <col min="1" max="1" width="30.7109375" style="349" customWidth="1"/>
    <col min="2" max="111" width="0.7109375" style="349" customWidth="1"/>
    <col min="112" max="130" width="2.140625" style="349" customWidth="1"/>
    <col min="131" max="131" width="4.42578125" style="349" customWidth="1"/>
    <col min="132" max="16384" width="12.5703125" style="349"/>
  </cols>
  <sheetData>
    <row r="1" spans="1:140">
      <c r="A1" s="1979"/>
      <c r="B1" s="1979"/>
      <c r="C1" s="1979"/>
      <c r="D1" s="1979"/>
      <c r="E1" s="1979"/>
      <c r="F1" s="1979"/>
      <c r="G1" s="1979"/>
      <c r="H1" s="1979"/>
      <c r="I1" s="1979"/>
      <c r="J1" s="1979"/>
      <c r="K1" s="1979"/>
      <c r="L1" s="1979"/>
      <c r="M1" s="1979"/>
      <c r="N1" s="1979"/>
      <c r="O1" s="1979"/>
      <c r="P1" s="1979"/>
      <c r="Q1" s="1979"/>
      <c r="R1" s="1979"/>
      <c r="S1" s="1979"/>
      <c r="T1" s="1979"/>
      <c r="U1" s="1979"/>
      <c r="V1" s="1979"/>
      <c r="W1" s="1979"/>
      <c r="X1" s="1979"/>
      <c r="Y1" s="1979"/>
      <c r="Z1" s="1979"/>
      <c r="AA1" s="1979"/>
      <c r="AB1" s="1979"/>
      <c r="AC1" s="1979"/>
      <c r="AD1" s="1979"/>
      <c r="AE1" s="1979"/>
      <c r="AF1" s="1979"/>
      <c r="AG1" s="1979"/>
      <c r="AH1" s="1979"/>
      <c r="AI1" s="1979"/>
      <c r="AJ1" s="1979"/>
      <c r="AK1" s="1979"/>
      <c r="AL1" s="1979"/>
      <c r="AM1" s="1979"/>
      <c r="AN1" s="1979"/>
      <c r="AO1" s="1979"/>
      <c r="AP1" s="1979"/>
      <c r="AQ1" s="1979"/>
      <c r="AR1" s="1979"/>
      <c r="AS1" s="1979"/>
      <c r="AT1" s="1979"/>
      <c r="AU1" s="1979"/>
      <c r="AV1" s="1979"/>
      <c r="AW1" s="1979"/>
      <c r="AX1" s="1979"/>
      <c r="AY1" s="1979"/>
      <c r="AZ1" s="1979"/>
      <c r="BA1" s="1979"/>
      <c r="BB1" s="1979"/>
      <c r="BC1" s="1979"/>
      <c r="BD1" s="1979"/>
      <c r="BE1" s="1979"/>
      <c r="BF1" s="1979"/>
      <c r="BG1" s="1979"/>
      <c r="BH1" s="1979"/>
      <c r="BI1" s="1979"/>
      <c r="BJ1" s="1979"/>
      <c r="BK1" s="1979"/>
      <c r="BL1" s="1979"/>
      <c r="BM1" s="1979"/>
      <c r="BN1" s="1979"/>
      <c r="BO1" s="1979"/>
      <c r="BP1" s="1979"/>
      <c r="BQ1" s="1979"/>
      <c r="BR1" s="1979"/>
      <c r="BS1" s="1979"/>
      <c r="BT1" s="1979"/>
      <c r="BU1" s="1979"/>
      <c r="BV1" s="1979"/>
      <c r="BW1" s="1979"/>
      <c r="BX1" s="1979"/>
      <c r="BY1" s="1979"/>
      <c r="BZ1" s="1979"/>
      <c r="CA1" s="1979"/>
      <c r="CB1" s="1979"/>
      <c r="CC1" s="1979"/>
      <c r="CD1" s="1979"/>
      <c r="CE1" s="1979"/>
      <c r="CF1" s="1979"/>
      <c r="CG1" s="1979"/>
      <c r="CH1" s="1979"/>
      <c r="CI1" s="1979"/>
      <c r="CJ1" s="1979"/>
      <c r="CK1" s="1979"/>
      <c r="CL1" s="1979"/>
      <c r="CM1" s="1979"/>
      <c r="CN1" s="1979"/>
      <c r="CO1" s="1979"/>
      <c r="CP1" s="1979"/>
      <c r="CQ1" s="1979"/>
      <c r="CR1" s="1979"/>
      <c r="CS1" s="1979"/>
      <c r="CT1" s="1979"/>
      <c r="CU1" s="1979"/>
      <c r="CV1" s="1979"/>
      <c r="CW1" s="1979"/>
      <c r="CX1" s="1979"/>
      <c r="CY1" s="1979"/>
      <c r="CZ1" s="1979"/>
      <c r="DA1" s="1979"/>
      <c r="DB1" s="1979"/>
      <c r="DC1" s="1979"/>
      <c r="DD1" s="1979"/>
      <c r="DE1" s="1979"/>
      <c r="DF1" s="1979"/>
      <c r="DG1" s="1979"/>
      <c r="DH1" s="1979"/>
      <c r="DI1" s="1979"/>
      <c r="DJ1" s="1979"/>
      <c r="DK1" s="1979"/>
      <c r="DL1" s="1979"/>
      <c r="DM1" s="1979"/>
      <c r="DN1" s="1979"/>
      <c r="DO1" s="1979"/>
      <c r="DP1" s="1979"/>
      <c r="DQ1" s="1979"/>
      <c r="DR1" s="1979"/>
      <c r="DS1" s="1979"/>
      <c r="DT1" s="1979"/>
      <c r="DU1" s="1979"/>
      <c r="DV1" s="1979"/>
      <c r="DW1" s="1979"/>
      <c r="DX1" s="1979"/>
      <c r="DY1" s="1979"/>
      <c r="DZ1" s="1979"/>
      <c r="EA1" s="1979"/>
    </row>
    <row r="2" spans="1:140" ht="23.25">
      <c r="A2" s="1980" t="s">
        <v>0</v>
      </c>
      <c r="B2" s="1980"/>
      <c r="C2" s="1980"/>
      <c r="D2" s="1980"/>
      <c r="E2" s="1980"/>
      <c r="F2" s="1980"/>
      <c r="G2" s="1980"/>
      <c r="H2" s="1980"/>
      <c r="I2" s="1980"/>
      <c r="J2" s="1980"/>
      <c r="K2" s="1980"/>
      <c r="L2" s="1980"/>
      <c r="M2" s="1980"/>
      <c r="N2" s="1980"/>
      <c r="O2" s="1980"/>
      <c r="P2" s="1980"/>
      <c r="Q2" s="1980"/>
      <c r="R2" s="1980"/>
      <c r="S2" s="1980"/>
      <c r="T2" s="1980"/>
      <c r="U2" s="1980"/>
      <c r="V2" s="1980"/>
      <c r="W2" s="1980"/>
      <c r="X2" s="1980"/>
      <c r="Y2" s="1980"/>
      <c r="Z2" s="1980"/>
      <c r="AA2" s="1980"/>
      <c r="AB2" s="1980"/>
      <c r="AC2" s="1980"/>
      <c r="AD2" s="1980"/>
      <c r="AE2" s="1980"/>
      <c r="AF2" s="1981"/>
      <c r="AG2" s="1981"/>
      <c r="AH2" s="1981"/>
      <c r="AI2" s="1981"/>
      <c r="AJ2" s="1981"/>
      <c r="AK2" s="1981"/>
      <c r="AL2" s="1981"/>
      <c r="AM2" s="1981"/>
      <c r="AN2" s="1981"/>
      <c r="AO2" s="1981"/>
      <c r="AP2" s="1981"/>
      <c r="AQ2" s="1981"/>
      <c r="AR2" s="1981"/>
      <c r="AS2" s="1981"/>
      <c r="AT2" s="1981"/>
      <c r="AU2" s="1981"/>
      <c r="AV2" s="1981"/>
      <c r="AW2" s="1981"/>
      <c r="AX2" s="1981"/>
      <c r="AY2" s="1981"/>
      <c r="AZ2" s="1981"/>
      <c r="BA2" s="1981"/>
      <c r="BB2" s="1981"/>
      <c r="BC2" s="1981"/>
      <c r="BD2" s="1981"/>
      <c r="BE2" s="1981"/>
      <c r="BF2" s="1981"/>
      <c r="BG2" s="1981"/>
      <c r="BH2" s="1981"/>
      <c r="BI2" s="1981"/>
      <c r="BJ2" s="1981"/>
      <c r="BK2" s="1981"/>
      <c r="BL2" s="1981"/>
      <c r="BM2" s="1981"/>
      <c r="BN2" s="1981"/>
      <c r="BO2" s="1981"/>
      <c r="BP2" s="1981"/>
      <c r="BQ2" s="1981"/>
      <c r="BR2" s="1981"/>
      <c r="BS2" s="1981"/>
      <c r="BT2" s="1981"/>
      <c r="BU2" s="1981"/>
      <c r="BV2" s="1981"/>
      <c r="BW2" s="1981"/>
      <c r="BX2" s="1981"/>
      <c r="BY2" s="1981"/>
      <c r="BZ2" s="1981"/>
      <c r="CA2" s="1981"/>
      <c r="CB2" s="1981"/>
      <c r="CC2" s="1981"/>
      <c r="CD2" s="1981"/>
      <c r="CE2" s="1981"/>
      <c r="CF2" s="1981"/>
      <c r="CG2" s="1981"/>
      <c r="CH2" s="1981"/>
      <c r="CI2" s="1981"/>
      <c r="CJ2" s="1981"/>
      <c r="CK2" s="1981"/>
      <c r="CL2" s="1981"/>
      <c r="CM2" s="1981"/>
      <c r="CN2" s="1981"/>
      <c r="CO2" s="1981"/>
      <c r="CP2" s="1981"/>
      <c r="CQ2" s="1981"/>
      <c r="CR2" s="1981"/>
      <c r="CS2" s="1981"/>
      <c r="CT2" s="1981"/>
      <c r="CU2" s="1981"/>
      <c r="CV2" s="1981"/>
      <c r="CW2" s="1981"/>
      <c r="CX2" s="1981"/>
      <c r="CY2" s="1981"/>
      <c r="CZ2" s="1981"/>
      <c r="DA2" s="1981"/>
      <c r="DB2" s="1981"/>
      <c r="DC2" s="1981"/>
      <c r="DD2" s="1981"/>
      <c r="DE2" s="1981"/>
      <c r="DF2" s="1981"/>
      <c r="DG2" s="1981"/>
      <c r="DH2" s="1981"/>
      <c r="DI2" s="1981"/>
      <c r="DJ2" s="1981"/>
      <c r="DK2" s="1981"/>
      <c r="DL2" s="1981"/>
      <c r="DM2" s="1981"/>
      <c r="DN2" s="1981"/>
      <c r="DO2" s="1981"/>
      <c r="DP2" s="1981"/>
      <c r="DQ2" s="1981"/>
      <c r="DR2" s="1981"/>
      <c r="DS2" s="1981"/>
      <c r="DT2" s="1981"/>
      <c r="DU2" s="1981"/>
      <c r="DV2" s="1981"/>
      <c r="DW2" s="1981"/>
      <c r="DX2" s="1981"/>
      <c r="DY2" s="1981"/>
      <c r="DZ2" s="1981"/>
      <c r="EA2" s="1981"/>
    </row>
    <row r="3" spans="1:140" ht="18">
      <c r="A3" s="1912" t="s">
        <v>531</v>
      </c>
      <c r="B3" s="1912"/>
      <c r="C3" s="1912"/>
      <c r="D3" s="1912"/>
      <c r="E3" s="1912"/>
      <c r="F3" s="1912"/>
      <c r="G3" s="1912"/>
      <c r="H3" s="1912"/>
      <c r="I3" s="1912"/>
      <c r="J3" s="1912"/>
      <c r="K3" s="1912"/>
      <c r="L3" s="1912"/>
      <c r="M3" s="1912"/>
      <c r="N3" s="1912"/>
      <c r="O3" s="1912"/>
      <c r="P3" s="1912"/>
      <c r="Q3" s="1912"/>
      <c r="R3" s="1912"/>
      <c r="S3" s="1912"/>
      <c r="T3" s="1912"/>
      <c r="U3" s="1912"/>
      <c r="V3" s="1912"/>
      <c r="W3" s="1912"/>
      <c r="X3" s="1912"/>
      <c r="Y3" s="1912"/>
      <c r="Z3" s="1912"/>
      <c r="AA3" s="1912"/>
      <c r="AB3" s="1912"/>
      <c r="AC3" s="1912"/>
      <c r="AD3" s="1912"/>
      <c r="AE3" s="1912"/>
      <c r="AF3" s="1912"/>
      <c r="AG3" s="1912"/>
      <c r="AH3" s="1912"/>
      <c r="AI3" s="1912"/>
      <c r="AJ3" s="1912"/>
      <c r="AK3" s="1912"/>
      <c r="AL3" s="1912"/>
      <c r="AM3" s="1912"/>
      <c r="AN3" s="1912"/>
      <c r="AO3" s="1912"/>
      <c r="AP3" s="1912"/>
      <c r="AQ3" s="1912"/>
      <c r="AR3" s="1912"/>
      <c r="AS3" s="1912"/>
      <c r="AT3" s="1912"/>
      <c r="AU3" s="1912"/>
      <c r="AV3" s="1912"/>
      <c r="AW3" s="1912"/>
      <c r="AX3" s="1912"/>
      <c r="AY3" s="1912"/>
      <c r="AZ3" s="1912"/>
      <c r="BA3" s="1912"/>
      <c r="BB3" s="1912"/>
      <c r="BC3" s="1912"/>
      <c r="BD3" s="1912"/>
      <c r="BE3" s="1912"/>
      <c r="BF3" s="1912"/>
      <c r="BG3" s="1912"/>
      <c r="BH3" s="1912"/>
      <c r="BI3" s="1912"/>
      <c r="BJ3" s="1912"/>
      <c r="BK3" s="1912"/>
      <c r="BL3" s="1912"/>
      <c r="BM3" s="1912"/>
      <c r="BN3" s="1912"/>
      <c r="BO3" s="1912"/>
      <c r="BP3" s="1912"/>
      <c r="BQ3" s="1912"/>
      <c r="BR3" s="1912"/>
      <c r="BS3" s="1912"/>
      <c r="BT3" s="1912"/>
      <c r="BU3" s="1912"/>
      <c r="BV3" s="1912"/>
      <c r="BW3" s="1912"/>
      <c r="BX3" s="1912"/>
      <c r="BY3" s="1912"/>
      <c r="BZ3" s="1912"/>
      <c r="CA3" s="1912"/>
      <c r="CB3" s="1912"/>
      <c r="CC3" s="1912"/>
      <c r="CD3" s="1912"/>
      <c r="CE3" s="1912"/>
      <c r="CF3" s="1912"/>
      <c r="CG3" s="1912"/>
      <c r="CH3" s="1912"/>
      <c r="CI3" s="1912"/>
      <c r="CJ3" s="1912"/>
      <c r="CK3" s="1912"/>
      <c r="CL3" s="1912"/>
      <c r="CM3" s="1912"/>
      <c r="CN3" s="1912"/>
      <c r="CO3" s="1912"/>
      <c r="CP3" s="1912"/>
      <c r="CQ3" s="1912"/>
      <c r="CR3" s="1912"/>
      <c r="CS3" s="1912"/>
      <c r="CT3" s="1912"/>
      <c r="CU3" s="1912"/>
      <c r="CV3" s="1912"/>
      <c r="CW3" s="1912"/>
      <c r="CX3" s="1912"/>
      <c r="CY3" s="1912"/>
      <c r="CZ3" s="1912"/>
      <c r="DA3" s="1912"/>
      <c r="DB3" s="1912"/>
      <c r="DC3" s="1912"/>
      <c r="DD3" s="1912"/>
      <c r="DE3" s="1912"/>
      <c r="DF3" s="1912"/>
      <c r="DG3" s="1912"/>
      <c r="DH3" s="1912"/>
      <c r="DI3" s="1912"/>
      <c r="DJ3" s="1912"/>
      <c r="DK3" s="1912"/>
      <c r="DL3" s="1912"/>
      <c r="DM3" s="1912"/>
      <c r="DN3" s="1912"/>
      <c r="DO3" s="1912"/>
      <c r="DP3" s="1912"/>
      <c r="DQ3" s="1912"/>
      <c r="DR3" s="1912"/>
      <c r="DS3" s="1912"/>
      <c r="DT3" s="1912"/>
      <c r="DU3" s="1912"/>
      <c r="DV3" s="1912"/>
      <c r="DW3" s="1912"/>
      <c r="DX3" s="1912"/>
      <c r="DY3" s="1912"/>
      <c r="DZ3" s="1912"/>
      <c r="EA3" s="1912"/>
    </row>
    <row r="4" spans="1:140" ht="21.75" customHeight="1">
      <c r="A4" s="1913" t="s">
        <v>372</v>
      </c>
      <c r="B4" s="1913"/>
      <c r="C4" s="1913"/>
      <c r="D4" s="1913"/>
      <c r="E4" s="1913"/>
      <c r="F4" s="1913"/>
      <c r="G4" s="1913"/>
      <c r="H4" s="1913"/>
      <c r="I4" s="1913"/>
      <c r="J4" s="1913"/>
      <c r="K4" s="1913"/>
      <c r="L4" s="1913"/>
      <c r="M4" s="1913"/>
      <c r="N4" s="1913"/>
      <c r="O4" s="1913"/>
      <c r="P4" s="1913"/>
      <c r="Q4" s="1913"/>
      <c r="R4" s="1913"/>
      <c r="S4" s="1913"/>
      <c r="T4" s="1913"/>
      <c r="U4" s="1913"/>
      <c r="V4" s="1913"/>
      <c r="W4" s="1913"/>
      <c r="X4" s="1913"/>
      <c r="Y4" s="1913"/>
      <c r="Z4" s="1913"/>
      <c r="AA4" s="1913"/>
      <c r="AB4" s="1913"/>
      <c r="AC4" s="1913"/>
      <c r="AD4" s="1913"/>
      <c r="AE4" s="1913"/>
      <c r="AF4" s="1913"/>
      <c r="AG4" s="1913"/>
      <c r="AH4" s="1913"/>
      <c r="AI4" s="1913"/>
      <c r="AJ4" s="1913"/>
      <c r="AK4" s="1913"/>
      <c r="AL4" s="1913"/>
      <c r="AM4" s="1913"/>
      <c r="AN4" s="1913"/>
      <c r="AO4" s="1913"/>
      <c r="AP4" s="1913"/>
      <c r="AQ4" s="1913"/>
      <c r="AR4" s="1913"/>
      <c r="AS4" s="1913"/>
      <c r="AT4" s="1913"/>
      <c r="AU4" s="1913"/>
      <c r="AV4" s="1913"/>
      <c r="AW4" s="1913"/>
      <c r="AX4" s="1913"/>
      <c r="AY4" s="1913"/>
      <c r="AZ4" s="1913"/>
      <c r="BA4" s="1913"/>
      <c r="BB4" s="1913"/>
      <c r="BC4" s="1913"/>
      <c r="BD4" s="1913"/>
      <c r="BE4" s="1913"/>
      <c r="BF4" s="1913"/>
      <c r="BG4" s="1913"/>
      <c r="BH4" s="1913"/>
      <c r="BI4" s="1913"/>
      <c r="BJ4" s="1913"/>
      <c r="BK4" s="1913"/>
      <c r="BL4" s="1913"/>
      <c r="BM4" s="1913"/>
      <c r="BN4" s="1913"/>
      <c r="BO4" s="1913"/>
      <c r="BP4" s="1913"/>
      <c r="BQ4" s="1913"/>
      <c r="BR4" s="1913"/>
      <c r="BS4" s="1913"/>
      <c r="BT4" s="1913"/>
      <c r="BU4" s="1913"/>
      <c r="BV4" s="1913"/>
      <c r="BW4" s="1913"/>
      <c r="BX4" s="1913"/>
      <c r="BY4" s="1913"/>
      <c r="BZ4" s="1913"/>
      <c r="CA4" s="1913"/>
      <c r="CB4" s="1913"/>
      <c r="CC4" s="1913"/>
      <c r="CD4" s="1913"/>
      <c r="CE4" s="1913"/>
      <c r="CF4" s="1913"/>
      <c r="CG4" s="1913"/>
      <c r="CH4" s="1913"/>
      <c r="CI4" s="1913"/>
      <c r="CJ4" s="1913"/>
      <c r="CK4" s="1913"/>
      <c r="CL4" s="1913"/>
      <c r="CM4" s="1913"/>
      <c r="CN4" s="1913"/>
      <c r="CO4" s="1913"/>
      <c r="CP4" s="1913"/>
      <c r="CQ4" s="1913"/>
      <c r="CR4" s="1913"/>
      <c r="CS4" s="1913"/>
      <c r="CT4" s="1913"/>
      <c r="CU4" s="1913"/>
      <c r="CV4" s="1913"/>
      <c r="CW4" s="1913"/>
      <c r="CX4" s="1913"/>
      <c r="CY4" s="1913"/>
      <c r="CZ4" s="1913"/>
      <c r="DA4" s="1913"/>
      <c r="DB4" s="1913"/>
      <c r="DC4" s="1913"/>
      <c r="DD4" s="1913"/>
      <c r="DE4" s="1913"/>
      <c r="DF4" s="1913"/>
      <c r="DG4" s="1913"/>
      <c r="DH4" s="1913"/>
      <c r="DI4" s="1913"/>
      <c r="DJ4" s="1913"/>
      <c r="DK4" s="1913"/>
      <c r="DL4" s="1913"/>
      <c r="DM4" s="1913"/>
      <c r="DN4" s="1913"/>
      <c r="DO4" s="1913"/>
      <c r="DP4" s="1913"/>
      <c r="DQ4" s="1913"/>
      <c r="DR4" s="1913"/>
      <c r="DS4" s="1913"/>
      <c r="DT4" s="1913"/>
      <c r="DU4" s="1913"/>
      <c r="DV4" s="1913"/>
      <c r="DW4" s="1913"/>
      <c r="DX4" s="1913"/>
      <c r="DY4" s="1913"/>
      <c r="DZ4" s="1913"/>
      <c r="EA4" s="1913"/>
    </row>
    <row r="5" spans="1:140" ht="19.5" customHeight="1">
      <c r="A5" s="1913" t="s">
        <v>374</v>
      </c>
      <c r="B5" s="1913"/>
      <c r="C5" s="1913"/>
      <c r="D5" s="1913"/>
      <c r="E5" s="1913"/>
      <c r="F5" s="1913"/>
      <c r="G5" s="1913"/>
      <c r="H5" s="1913"/>
      <c r="I5" s="1913"/>
      <c r="J5" s="1913"/>
      <c r="K5" s="1913"/>
      <c r="L5" s="1913"/>
      <c r="M5" s="1913"/>
      <c r="N5" s="1913"/>
      <c r="O5" s="1913"/>
      <c r="P5" s="1913"/>
      <c r="Q5" s="1913"/>
      <c r="R5" s="1913"/>
      <c r="S5" s="1913"/>
      <c r="T5" s="1913"/>
      <c r="U5" s="1913"/>
      <c r="V5" s="1913"/>
      <c r="W5" s="1913"/>
      <c r="X5" s="1913"/>
      <c r="Y5" s="1913"/>
      <c r="Z5" s="1913"/>
      <c r="AA5" s="1913"/>
      <c r="AB5" s="1913"/>
      <c r="AC5" s="1913"/>
      <c r="AD5" s="1913"/>
      <c r="AE5" s="1913"/>
      <c r="AF5" s="1913"/>
      <c r="AG5" s="1913"/>
      <c r="AH5" s="1913"/>
      <c r="AI5" s="1913"/>
      <c r="AJ5" s="1913"/>
      <c r="AK5" s="1913"/>
      <c r="AL5" s="1913"/>
      <c r="AM5" s="1913"/>
      <c r="AN5" s="1913"/>
      <c r="AO5" s="1913"/>
      <c r="AP5" s="1913"/>
      <c r="AQ5" s="1913"/>
      <c r="AR5" s="1913"/>
      <c r="AS5" s="1913"/>
      <c r="AT5" s="1913"/>
      <c r="AU5" s="1913"/>
      <c r="AV5" s="1913"/>
      <c r="AW5" s="1913"/>
      <c r="AX5" s="1913"/>
      <c r="AY5" s="1913"/>
      <c r="AZ5" s="1913"/>
      <c r="BA5" s="1913"/>
      <c r="BB5" s="1913"/>
      <c r="BC5" s="1913"/>
      <c r="BD5" s="1913"/>
      <c r="BE5" s="1913"/>
      <c r="BF5" s="1913"/>
      <c r="BG5" s="1913"/>
      <c r="BH5" s="1913"/>
      <c r="BI5" s="1913"/>
      <c r="BJ5" s="1913"/>
      <c r="BK5" s="1913"/>
      <c r="BL5" s="1913"/>
      <c r="BM5" s="1913"/>
      <c r="BN5" s="1913"/>
      <c r="BO5" s="1913"/>
      <c r="BP5" s="1913"/>
      <c r="BQ5" s="1913"/>
      <c r="BR5" s="1913"/>
      <c r="BS5" s="1913"/>
      <c r="BT5" s="1913"/>
      <c r="BU5" s="1913"/>
      <c r="BV5" s="1913"/>
      <c r="BW5" s="1913"/>
      <c r="BX5" s="1913"/>
      <c r="BY5" s="1913"/>
      <c r="BZ5" s="1913"/>
      <c r="CA5" s="1913"/>
      <c r="CB5" s="1913"/>
      <c r="CC5" s="1913"/>
      <c r="CD5" s="1913"/>
      <c r="CE5" s="1913"/>
      <c r="CF5" s="1913"/>
      <c r="CG5" s="1913"/>
      <c r="CH5" s="1913"/>
      <c r="CI5" s="1913"/>
      <c r="CJ5" s="1913"/>
      <c r="CK5" s="1913"/>
      <c r="CL5" s="1913"/>
      <c r="CM5" s="1913"/>
      <c r="CN5" s="1913"/>
      <c r="CO5" s="1913"/>
      <c r="CP5" s="1913"/>
      <c r="CQ5" s="1913"/>
      <c r="CR5" s="1913"/>
      <c r="CS5" s="1913"/>
      <c r="CT5" s="1913"/>
      <c r="CU5" s="1913"/>
      <c r="CV5" s="1913"/>
      <c r="CW5" s="1913"/>
      <c r="CX5" s="1913"/>
      <c r="CY5" s="1913"/>
      <c r="CZ5" s="1913"/>
      <c r="DA5" s="1913"/>
      <c r="DB5" s="1913"/>
      <c r="DC5" s="1913"/>
      <c r="DD5" s="1913"/>
      <c r="DE5" s="1913"/>
      <c r="DF5" s="1913"/>
      <c r="DG5" s="1913"/>
      <c r="DH5" s="1913"/>
      <c r="DI5" s="1913"/>
      <c r="DJ5" s="1913"/>
      <c r="DK5" s="1913"/>
      <c r="DL5" s="1913"/>
      <c r="DM5" s="1913"/>
      <c r="DN5" s="1913"/>
      <c r="DO5" s="1913"/>
      <c r="DP5" s="1913"/>
      <c r="DQ5" s="1913"/>
      <c r="DR5" s="1913"/>
      <c r="DS5" s="1913"/>
      <c r="DT5" s="1913"/>
      <c r="DU5" s="1913"/>
      <c r="DV5" s="1913"/>
      <c r="DW5" s="1913"/>
      <c r="DX5" s="1913"/>
      <c r="DY5" s="1913"/>
      <c r="DZ5" s="1913"/>
      <c r="EA5" s="1913"/>
      <c r="EB5" s="599"/>
      <c r="EC5" s="599"/>
      <c r="ED5" s="599"/>
      <c r="EE5" s="599"/>
      <c r="EF5" s="599"/>
      <c r="EG5" s="599"/>
      <c r="EH5" s="599"/>
      <c r="EI5" s="599"/>
      <c r="EJ5" s="599"/>
    </row>
    <row r="6" spans="1:140" s="394" customFormat="1" ht="33" customHeight="1">
      <c r="A6" s="600" t="s">
        <v>90</v>
      </c>
      <c r="B6" s="600"/>
      <c r="C6" s="600"/>
      <c r="D6" s="600"/>
      <c r="E6" s="600"/>
      <c r="F6" s="600"/>
      <c r="G6" s="600"/>
      <c r="H6" s="600"/>
      <c r="I6" s="600"/>
      <c r="J6" s="600"/>
      <c r="K6" s="600"/>
      <c r="L6" s="600"/>
      <c r="M6" s="600"/>
      <c r="N6" s="600"/>
      <c r="O6" s="600"/>
      <c r="P6" s="600"/>
      <c r="Q6" s="600"/>
      <c r="R6" s="600"/>
      <c r="S6" s="600"/>
      <c r="T6" s="600"/>
      <c r="U6" s="600"/>
      <c r="V6" s="600"/>
      <c r="W6" s="600"/>
      <c r="X6" s="600"/>
      <c r="Y6" s="600"/>
      <c r="Z6" s="600"/>
      <c r="AA6" s="600"/>
      <c r="AB6" s="600"/>
      <c r="AC6" s="600"/>
      <c r="AD6" s="600"/>
      <c r="AE6" s="600"/>
      <c r="AF6" s="600" t="s">
        <v>645</v>
      </c>
      <c r="AG6" s="600"/>
      <c r="AH6" s="600"/>
      <c r="AI6" s="600"/>
      <c r="AJ6" s="600"/>
      <c r="AK6" s="600"/>
      <c r="AL6" s="600"/>
      <c r="AM6" s="600"/>
      <c r="AN6" s="600"/>
      <c r="AO6" s="600"/>
      <c r="AP6" s="600"/>
      <c r="AQ6" s="600"/>
      <c r="AR6" s="600"/>
      <c r="AS6" s="600"/>
      <c r="AT6" s="600"/>
      <c r="AU6" s="600"/>
      <c r="AV6" s="600"/>
      <c r="AW6" s="600"/>
      <c r="AX6" s="600"/>
      <c r="AY6" s="600"/>
      <c r="AZ6" s="600"/>
      <c r="BA6" s="600"/>
      <c r="BB6" s="600"/>
      <c r="BC6" s="600"/>
      <c r="BD6" s="600"/>
      <c r="BE6" s="600"/>
      <c r="BF6" s="600"/>
      <c r="BG6" s="600"/>
      <c r="BH6" s="600"/>
      <c r="BI6" s="600"/>
      <c r="BJ6" s="600"/>
      <c r="BK6" s="600"/>
      <c r="BL6" s="600"/>
      <c r="BM6" s="600"/>
      <c r="BN6" s="600"/>
      <c r="BO6" s="600"/>
      <c r="BP6" s="600"/>
      <c r="BQ6" s="600"/>
      <c r="BR6" s="600"/>
      <c r="BS6" s="600"/>
      <c r="BT6" s="600"/>
      <c r="BU6" s="600"/>
      <c r="BV6" s="600"/>
      <c r="BW6" s="600"/>
      <c r="BX6" s="600"/>
      <c r="BY6" s="600"/>
      <c r="BZ6" s="600"/>
      <c r="CA6" s="600"/>
      <c r="CB6" s="600"/>
      <c r="CC6" s="600"/>
      <c r="CD6" s="600"/>
      <c r="CE6" s="600"/>
      <c r="CF6" s="600"/>
      <c r="CG6" s="600"/>
      <c r="CH6" s="600"/>
      <c r="CI6" s="600"/>
      <c r="CJ6" s="600"/>
      <c r="CK6" s="600"/>
      <c r="CL6" s="600"/>
      <c r="CM6" s="600"/>
      <c r="CN6" s="600"/>
      <c r="CO6" s="600"/>
      <c r="CP6" s="600"/>
      <c r="CQ6" s="600"/>
      <c r="CR6" s="600"/>
      <c r="CS6" s="600"/>
      <c r="CT6" s="600"/>
      <c r="CU6" s="600"/>
      <c r="CV6" s="600"/>
      <c r="CW6" s="600"/>
      <c r="CX6" s="600"/>
      <c r="CY6" s="600"/>
      <c r="CZ6" s="1982" t="s">
        <v>646</v>
      </c>
      <c r="DA6" s="1982"/>
      <c r="DB6" s="1982"/>
      <c r="DC6" s="1982"/>
      <c r="DD6" s="1982"/>
      <c r="DE6" s="1982"/>
      <c r="DF6" s="1982"/>
      <c r="DG6" s="1982"/>
      <c r="DH6" s="1982"/>
      <c r="DI6" s="1982"/>
      <c r="DJ6" s="1982"/>
      <c r="DK6" s="1982"/>
      <c r="DL6" s="1982"/>
      <c r="DM6" s="1982"/>
      <c r="DN6" s="1982"/>
      <c r="DO6" s="1982"/>
      <c r="DP6" s="1982"/>
      <c r="DQ6" s="1982"/>
      <c r="DR6" s="1982"/>
      <c r="DS6" s="1982"/>
      <c r="DT6" s="1982"/>
      <c r="DU6" s="1982"/>
      <c r="DV6" s="1982"/>
      <c r="DW6" s="1982"/>
      <c r="DX6" s="1982"/>
      <c r="DY6" s="600"/>
      <c r="DZ6" s="600"/>
      <c r="EA6" s="600"/>
      <c r="EC6" s="600"/>
    </row>
    <row r="7" spans="1:140" s="394" customFormat="1" ht="12" customHeight="1">
      <c r="A7" s="600"/>
      <c r="B7" s="600"/>
      <c r="C7" s="600"/>
      <c r="D7" s="600"/>
      <c r="E7" s="600"/>
      <c r="F7" s="600"/>
      <c r="G7" s="600"/>
      <c r="H7" s="600"/>
      <c r="I7" s="600"/>
      <c r="J7" s="600"/>
      <c r="K7" s="600"/>
      <c r="L7" s="600"/>
      <c r="M7" s="600"/>
      <c r="N7" s="600"/>
      <c r="O7" s="600"/>
      <c r="P7" s="600"/>
      <c r="Q7" s="600"/>
      <c r="R7" s="600"/>
      <c r="S7" s="600"/>
      <c r="T7" s="600"/>
      <c r="U7" s="600"/>
      <c r="V7" s="600"/>
      <c r="W7" s="600"/>
      <c r="X7" s="600"/>
      <c r="Y7" s="600"/>
      <c r="Z7" s="600"/>
      <c r="AA7" s="600"/>
      <c r="AB7" s="600"/>
      <c r="AC7" s="600"/>
      <c r="AD7" s="600"/>
      <c r="AE7" s="600"/>
      <c r="AF7" s="600"/>
      <c r="AG7" s="600"/>
      <c r="AH7" s="600"/>
      <c r="AI7" s="600"/>
      <c r="AJ7" s="600"/>
      <c r="AK7" s="600"/>
      <c r="AL7" s="600"/>
      <c r="AM7" s="600"/>
      <c r="AN7" s="600"/>
      <c r="AO7" s="600"/>
      <c r="AP7" s="600"/>
      <c r="AQ7" s="600"/>
      <c r="AR7" s="600"/>
      <c r="AS7" s="600"/>
      <c r="AT7" s="600"/>
      <c r="AU7" s="600"/>
      <c r="AV7" s="600"/>
      <c r="AW7" s="600"/>
      <c r="AX7" s="600"/>
      <c r="AY7" s="600"/>
      <c r="AZ7" s="600"/>
      <c r="BA7" s="600"/>
      <c r="BB7" s="600"/>
      <c r="BC7" s="600"/>
      <c r="BD7" s="600"/>
      <c r="BE7" s="600"/>
      <c r="BF7" s="600"/>
      <c r="BG7" s="600"/>
      <c r="BH7" s="600"/>
      <c r="BI7" s="600"/>
      <c r="BJ7" s="600"/>
      <c r="BK7" s="600"/>
      <c r="BL7" s="600"/>
      <c r="BM7" s="600"/>
      <c r="BN7" s="600"/>
      <c r="BO7" s="600"/>
      <c r="BP7" s="600"/>
      <c r="BQ7" s="600"/>
      <c r="BR7" s="600"/>
      <c r="BS7" s="600"/>
      <c r="BT7" s="600"/>
      <c r="BU7" s="600"/>
      <c r="BV7" s="600"/>
      <c r="BW7" s="600"/>
      <c r="BX7" s="600"/>
      <c r="BY7" s="600"/>
      <c r="BZ7" s="600"/>
      <c r="CA7" s="600"/>
      <c r="CB7" s="600"/>
      <c r="CC7" s="600"/>
      <c r="CD7" s="600"/>
      <c r="CE7" s="600"/>
      <c r="CF7" s="600"/>
      <c r="CG7" s="600"/>
      <c r="CH7" s="600"/>
      <c r="CI7" s="600"/>
      <c r="CJ7" s="600"/>
      <c r="CK7" s="600"/>
      <c r="CL7" s="600"/>
      <c r="CM7" s="600"/>
      <c r="CN7" s="600"/>
      <c r="CO7" s="600"/>
      <c r="CP7" s="600"/>
      <c r="CQ7" s="600"/>
      <c r="CR7" s="600"/>
      <c r="CS7" s="600"/>
      <c r="CT7" s="600"/>
      <c r="CU7" s="600"/>
      <c r="CV7" s="600"/>
      <c r="CW7" s="600"/>
      <c r="CX7" s="600"/>
      <c r="CY7" s="600"/>
      <c r="CZ7" s="601"/>
      <c r="DA7" s="601"/>
      <c r="DB7" s="601"/>
      <c r="DC7" s="601"/>
      <c r="DD7" s="601"/>
      <c r="DE7" s="601"/>
      <c r="DF7" s="601"/>
      <c r="DG7" s="601"/>
      <c r="DH7" s="601"/>
      <c r="DI7" s="601"/>
      <c r="DJ7" s="601"/>
      <c r="DK7" s="601"/>
      <c r="DL7" s="601"/>
      <c r="DM7" s="601"/>
      <c r="DN7" s="601"/>
      <c r="DO7" s="601"/>
      <c r="DP7" s="601"/>
      <c r="DQ7" s="601"/>
      <c r="DR7" s="601"/>
      <c r="DS7" s="601"/>
      <c r="DT7" s="601"/>
      <c r="DU7" s="601"/>
      <c r="DV7" s="601"/>
      <c r="DW7" s="601"/>
      <c r="DX7" s="601"/>
      <c r="DY7" s="600"/>
      <c r="DZ7" s="600"/>
      <c r="EA7" s="600"/>
      <c r="EC7" s="600"/>
    </row>
    <row r="8" spans="1:140" s="603" customFormat="1" ht="21" customHeight="1">
      <c r="A8" s="602" t="s">
        <v>647</v>
      </c>
      <c r="B8" s="602"/>
      <c r="C8" s="602"/>
      <c r="D8" s="602"/>
      <c r="E8" s="602"/>
      <c r="F8" s="602"/>
      <c r="G8" s="602"/>
      <c r="H8" s="602"/>
      <c r="I8" s="602"/>
      <c r="J8" s="602"/>
      <c r="K8" s="602"/>
      <c r="L8" s="602"/>
      <c r="M8" s="602"/>
      <c r="N8" s="602"/>
      <c r="O8" s="602"/>
      <c r="P8" s="602"/>
      <c r="Q8" s="602"/>
      <c r="R8" s="602"/>
      <c r="S8" s="602"/>
      <c r="T8" s="602"/>
      <c r="U8" s="602"/>
      <c r="V8" s="602"/>
      <c r="W8" s="602"/>
      <c r="X8" s="602"/>
      <c r="Y8" s="602"/>
      <c r="Z8" s="602"/>
      <c r="AA8" s="602"/>
      <c r="AB8" s="602"/>
      <c r="AC8" s="602"/>
      <c r="AD8" s="602"/>
      <c r="AE8" s="602"/>
      <c r="AG8" s="1852">
        <v>1</v>
      </c>
      <c r="AH8" s="1853"/>
      <c r="AI8" s="1853"/>
      <c r="AJ8" s="1853"/>
      <c r="AK8" s="1853"/>
      <c r="AL8" s="604"/>
      <c r="AM8" s="605" t="s">
        <v>648</v>
      </c>
      <c r="AN8" s="604"/>
      <c r="AO8" s="604"/>
      <c r="AP8" s="604"/>
      <c r="AQ8" s="604"/>
      <c r="AR8" s="604"/>
      <c r="AS8" s="604"/>
      <c r="AT8" s="604"/>
      <c r="AU8" s="604"/>
      <c r="AV8" s="604"/>
      <c r="AW8" s="604"/>
      <c r="AX8" s="604"/>
      <c r="AY8" s="604"/>
      <c r="AZ8" s="604"/>
      <c r="BA8" s="604"/>
      <c r="BB8" s="604"/>
      <c r="BC8" s="604"/>
      <c r="BD8" s="604"/>
      <c r="BE8" s="604"/>
      <c r="BF8" s="604"/>
      <c r="BG8" s="604"/>
      <c r="BH8" s="604"/>
      <c r="BI8" s="604"/>
      <c r="BJ8" s="604"/>
      <c r="BK8" s="604"/>
      <c r="BL8" s="604"/>
      <c r="BM8" s="604"/>
      <c r="BN8" s="604"/>
      <c r="BO8" s="604"/>
      <c r="BP8" s="604"/>
      <c r="BQ8" s="604"/>
      <c r="BR8" s="606"/>
      <c r="BS8" s="607"/>
      <c r="BT8" s="607"/>
      <c r="BU8" s="607"/>
      <c r="BV8" s="607"/>
      <c r="BW8" s="607"/>
      <c r="BX8" s="607"/>
      <c r="BY8" s="607"/>
      <c r="BZ8" s="607"/>
      <c r="CA8" s="607"/>
      <c r="CB8" s="607"/>
      <c r="CC8" s="607"/>
      <c r="CD8" s="607"/>
      <c r="CE8" s="607"/>
      <c r="CF8" s="607"/>
      <c r="CG8" s="607"/>
      <c r="CH8" s="607"/>
      <c r="CI8" s="607"/>
      <c r="CJ8" s="607"/>
      <c r="CK8" s="607"/>
      <c r="CL8" s="607"/>
      <c r="CM8" s="607"/>
      <c r="CN8" s="607"/>
      <c r="CO8" s="607"/>
      <c r="CP8" s="607"/>
      <c r="CQ8" s="607"/>
      <c r="CR8" s="607"/>
      <c r="CS8" s="607"/>
      <c r="CT8" s="607"/>
      <c r="CU8" s="607"/>
      <c r="CV8" s="607"/>
      <c r="CW8" s="607"/>
      <c r="CX8" s="607"/>
      <c r="CY8" s="607"/>
      <c r="DA8" s="1978" t="s">
        <v>881</v>
      </c>
      <c r="DB8" s="1978"/>
      <c r="DC8" s="1978"/>
      <c r="DD8" s="1978"/>
      <c r="DE8" s="1978"/>
      <c r="DF8" s="1978"/>
      <c r="DG8" s="1978"/>
      <c r="DH8" s="1978"/>
      <c r="DI8" s="1978"/>
      <c r="DJ8" s="1978"/>
      <c r="DK8" s="1978"/>
      <c r="DL8" s="1978"/>
      <c r="DM8" s="1978"/>
      <c r="DN8" s="1978"/>
      <c r="DO8" s="1978"/>
      <c r="DP8" s="1978"/>
      <c r="DQ8" s="1978"/>
      <c r="DR8" s="1978"/>
      <c r="DS8" s="1978"/>
      <c r="DT8" s="1978"/>
      <c r="DU8" s="1978"/>
      <c r="DV8" s="1978"/>
      <c r="DW8" s="1978"/>
      <c r="DX8" s="1978"/>
      <c r="DY8" s="1978"/>
      <c r="DZ8" s="607"/>
      <c r="EA8" s="607"/>
    </row>
    <row r="9" spans="1:140" s="394" customFormat="1" ht="13.5" customHeight="1">
      <c r="A9" s="608"/>
      <c r="B9" s="608"/>
      <c r="C9" s="608"/>
      <c r="D9" s="608"/>
      <c r="E9" s="608"/>
      <c r="F9" s="608"/>
      <c r="G9" s="608"/>
      <c r="H9" s="608"/>
      <c r="I9" s="608"/>
      <c r="J9" s="608"/>
      <c r="K9" s="608"/>
      <c r="L9" s="608"/>
      <c r="M9" s="608"/>
      <c r="N9" s="608"/>
      <c r="O9" s="608"/>
      <c r="P9" s="608"/>
      <c r="Q9" s="608"/>
      <c r="R9" s="608"/>
      <c r="S9" s="608"/>
      <c r="T9" s="608"/>
      <c r="U9" s="608"/>
      <c r="V9" s="608"/>
      <c r="W9" s="608"/>
      <c r="X9" s="608"/>
      <c r="Y9" s="608"/>
      <c r="Z9" s="608"/>
      <c r="AA9" s="608"/>
      <c r="AB9" s="608"/>
      <c r="AC9" s="608"/>
      <c r="AD9" s="608"/>
      <c r="AE9" s="608"/>
      <c r="AG9" s="609"/>
      <c r="AH9" s="609"/>
      <c r="AI9" s="609"/>
      <c r="AJ9" s="609"/>
      <c r="AK9" s="609"/>
      <c r="AL9" s="609"/>
      <c r="AM9" s="609"/>
      <c r="AN9" s="609"/>
      <c r="AO9" s="609"/>
      <c r="AP9" s="609"/>
      <c r="AQ9" s="609"/>
      <c r="AR9" s="609"/>
      <c r="AS9" s="609"/>
      <c r="AT9" s="609"/>
      <c r="AU9" s="609"/>
      <c r="AV9" s="609"/>
      <c r="AW9" s="609"/>
      <c r="AX9" s="609"/>
      <c r="AY9" s="609"/>
      <c r="AZ9" s="609"/>
      <c r="BA9" s="609"/>
      <c r="BB9" s="609"/>
      <c r="BC9" s="609"/>
      <c r="BD9" s="609"/>
      <c r="BE9" s="609"/>
      <c r="BF9" s="609"/>
      <c r="BG9" s="609"/>
      <c r="BH9" s="609"/>
      <c r="BI9" s="609"/>
      <c r="BJ9" s="609"/>
      <c r="BK9" s="609"/>
      <c r="BL9" s="609"/>
      <c r="BM9" s="609"/>
      <c r="BN9" s="609"/>
      <c r="BO9" s="609"/>
      <c r="BP9" s="609"/>
      <c r="BQ9" s="609"/>
      <c r="BR9" s="609"/>
      <c r="BS9" s="609"/>
      <c r="BT9" s="609"/>
      <c r="BU9" s="609"/>
      <c r="BV9" s="609"/>
      <c r="BW9" s="609"/>
      <c r="BX9" s="609"/>
      <c r="BY9" s="609"/>
      <c r="BZ9" s="609"/>
      <c r="CA9" s="609"/>
      <c r="CB9" s="609"/>
      <c r="CC9" s="609"/>
      <c r="CD9" s="609"/>
      <c r="CE9" s="609"/>
      <c r="CF9" s="609"/>
      <c r="CG9" s="609"/>
      <c r="CH9" s="609"/>
      <c r="CI9" s="609"/>
      <c r="CJ9" s="609"/>
      <c r="CK9" s="609"/>
      <c r="CL9" s="609"/>
      <c r="CM9" s="609"/>
      <c r="CN9" s="609"/>
      <c r="CO9" s="609"/>
      <c r="CP9" s="609"/>
      <c r="CQ9" s="609"/>
      <c r="CR9" s="609"/>
      <c r="CS9" s="609"/>
      <c r="CT9" s="609"/>
      <c r="CU9" s="609"/>
      <c r="CV9" s="609"/>
      <c r="CW9" s="609"/>
      <c r="CX9" s="609"/>
      <c r="CY9" s="609"/>
      <c r="DB9" s="609"/>
      <c r="DC9" s="609"/>
      <c r="DD9" s="609"/>
      <c r="DM9" s="609"/>
      <c r="DN9" s="609"/>
      <c r="DO9" s="609"/>
      <c r="DP9" s="609"/>
      <c r="DQ9" s="609"/>
      <c r="DR9" s="609"/>
      <c r="DS9" s="609"/>
      <c r="DT9" s="609"/>
      <c r="DU9" s="609"/>
      <c r="DV9" s="609"/>
      <c r="DW9" s="609"/>
      <c r="DX9" s="609"/>
      <c r="DY9" s="609"/>
      <c r="DZ9" s="609"/>
      <c r="EA9" s="609"/>
    </row>
    <row r="10" spans="1:140" s="394" customFormat="1" ht="13.5" customHeight="1">
      <c r="A10" s="608"/>
      <c r="B10" s="608"/>
      <c r="C10" s="608"/>
      <c r="D10" s="608"/>
      <c r="E10" s="608"/>
      <c r="F10" s="608"/>
      <c r="G10" s="608"/>
      <c r="H10" s="608"/>
      <c r="I10" s="608"/>
      <c r="J10" s="608"/>
      <c r="K10" s="608"/>
      <c r="L10" s="608"/>
      <c r="M10" s="608"/>
      <c r="N10" s="608"/>
      <c r="O10" s="608"/>
      <c r="P10" s="608"/>
      <c r="Q10" s="608"/>
      <c r="R10" s="608"/>
      <c r="S10" s="608"/>
      <c r="T10" s="608"/>
      <c r="U10" s="608"/>
      <c r="V10" s="608"/>
      <c r="W10" s="608"/>
      <c r="X10" s="608"/>
      <c r="Y10" s="608"/>
      <c r="Z10" s="608"/>
      <c r="AA10" s="608"/>
      <c r="AB10" s="608"/>
      <c r="AC10" s="608"/>
      <c r="AD10" s="608"/>
      <c r="AE10" s="608"/>
      <c r="AG10" s="609"/>
      <c r="AH10" s="609"/>
      <c r="AI10" s="609"/>
      <c r="AJ10" s="609"/>
      <c r="AK10" s="609"/>
      <c r="AL10" s="609"/>
      <c r="AM10" s="609"/>
      <c r="AN10" s="609"/>
      <c r="AO10" s="609"/>
      <c r="AP10" s="609"/>
      <c r="AQ10" s="609"/>
      <c r="AR10" s="609"/>
      <c r="AS10" s="609"/>
      <c r="AT10" s="609"/>
      <c r="AU10" s="609"/>
      <c r="AV10" s="609"/>
      <c r="AW10" s="609"/>
      <c r="AX10" s="609"/>
      <c r="AY10" s="609"/>
      <c r="AZ10" s="609"/>
      <c r="BA10" s="609"/>
      <c r="BB10" s="609"/>
      <c r="BC10" s="609"/>
      <c r="BD10" s="609"/>
      <c r="BE10" s="609"/>
      <c r="BF10" s="609"/>
      <c r="BG10" s="609"/>
      <c r="BH10" s="609"/>
      <c r="BI10" s="609"/>
      <c r="BJ10" s="609"/>
      <c r="BK10" s="609"/>
      <c r="BL10" s="609"/>
      <c r="BM10" s="609"/>
      <c r="BN10" s="609"/>
      <c r="BO10" s="609"/>
      <c r="BP10" s="609"/>
      <c r="BQ10" s="609"/>
      <c r="BR10" s="609"/>
      <c r="BS10" s="609"/>
      <c r="BT10" s="609"/>
      <c r="BU10" s="609"/>
      <c r="BV10" s="609"/>
      <c r="BW10" s="609"/>
      <c r="BX10" s="609"/>
      <c r="BY10" s="609"/>
      <c r="BZ10" s="609"/>
      <c r="CA10" s="609"/>
      <c r="CB10" s="609"/>
      <c r="CC10" s="609"/>
      <c r="CD10" s="609"/>
      <c r="CE10" s="609"/>
      <c r="CF10" s="609"/>
      <c r="CG10" s="609"/>
      <c r="CH10" s="609"/>
      <c r="CI10" s="609"/>
      <c r="CJ10" s="609"/>
      <c r="CK10" s="609"/>
      <c r="CL10" s="609"/>
      <c r="CM10" s="609"/>
      <c r="CN10" s="609"/>
      <c r="CO10" s="609"/>
      <c r="CP10" s="609"/>
      <c r="CQ10" s="609"/>
      <c r="CR10" s="609"/>
      <c r="CS10" s="609"/>
      <c r="CT10" s="609"/>
      <c r="CU10" s="609"/>
      <c r="CV10" s="609"/>
      <c r="CW10" s="609"/>
      <c r="CX10" s="609"/>
      <c r="CY10" s="609"/>
      <c r="DB10" s="609"/>
      <c r="DC10" s="609"/>
      <c r="DD10" s="609"/>
      <c r="DM10" s="609"/>
      <c r="DN10" s="609"/>
      <c r="DO10" s="609"/>
      <c r="DP10" s="609"/>
      <c r="DQ10" s="609"/>
      <c r="DR10" s="609"/>
      <c r="DS10" s="609"/>
      <c r="DT10" s="609"/>
      <c r="DU10" s="609"/>
      <c r="DV10" s="609"/>
      <c r="DW10" s="609"/>
      <c r="DX10" s="609"/>
      <c r="DY10" s="609"/>
      <c r="DZ10" s="609"/>
      <c r="EA10" s="609"/>
    </row>
    <row r="11" spans="1:140" s="394" customFormat="1" ht="13.5" customHeight="1">
      <c r="A11" s="960" t="s">
        <v>1075</v>
      </c>
      <c r="B11" s="551" t="str">
        <f>'CUMPLIMIENTO % '!C7</f>
        <v>LUIS GABRIEL IBARRA ANGEL</v>
      </c>
      <c r="C11" s="551"/>
      <c r="D11" s="551"/>
      <c r="E11" s="551"/>
      <c r="F11" s="551"/>
      <c r="G11" s="551"/>
      <c r="H11" s="551"/>
      <c r="I11" s="551"/>
      <c r="J11" s="551"/>
      <c r="K11" s="551"/>
      <c r="L11" s="551"/>
      <c r="M11" s="551"/>
      <c r="N11" s="551"/>
      <c r="O11" s="551"/>
      <c r="P11" s="551"/>
      <c r="Q11" s="551"/>
      <c r="R11" s="551"/>
      <c r="S11" s="551"/>
      <c r="T11" s="551"/>
      <c r="U11" s="551"/>
      <c r="V11" s="551"/>
      <c r="W11" s="551"/>
      <c r="X11" s="551"/>
      <c r="Y11" s="551"/>
      <c r="Z11" s="551"/>
      <c r="AA11" s="551"/>
      <c r="AB11" s="551"/>
      <c r="AC11" s="551"/>
      <c r="AD11" s="551"/>
      <c r="AE11" s="551"/>
      <c r="AF11" s="348"/>
      <c r="AG11" s="393"/>
      <c r="AH11" s="392"/>
      <c r="AI11" s="392"/>
      <c r="AJ11" s="392"/>
      <c r="AK11" s="392"/>
      <c r="AL11" s="392"/>
      <c r="AM11" s="392"/>
      <c r="AN11" s="392"/>
      <c r="AO11" s="392"/>
      <c r="AP11" s="392"/>
      <c r="AQ11" s="392"/>
      <c r="AR11" s="392"/>
      <c r="AS11" s="392"/>
      <c r="AT11" s="392"/>
      <c r="AU11" s="392"/>
      <c r="AV11" s="392"/>
      <c r="AW11" s="392"/>
      <c r="AX11" s="392"/>
      <c r="AY11" s="392"/>
      <c r="AZ11" s="392"/>
      <c r="BA11" s="392"/>
      <c r="BB11" s="392"/>
      <c r="BC11" s="392"/>
      <c r="BD11" s="392"/>
      <c r="BE11" s="392"/>
      <c r="BF11" s="392"/>
      <c r="BG11" s="392"/>
      <c r="BH11" s="392"/>
      <c r="BI11" s="392"/>
      <c r="BJ11" s="392"/>
      <c r="BK11" s="392"/>
      <c r="BL11" s="392"/>
      <c r="BM11" s="392"/>
      <c r="BN11" s="392"/>
      <c r="BO11" s="392"/>
      <c r="BP11" s="392"/>
      <c r="BQ11" s="392"/>
      <c r="BR11" s="392"/>
      <c r="BS11" s="392"/>
      <c r="BT11" s="392"/>
      <c r="BU11" s="392"/>
      <c r="BV11" s="392"/>
      <c r="BW11" s="392"/>
      <c r="BX11" s="392"/>
      <c r="BY11" s="392"/>
      <c r="BZ11" s="392"/>
      <c r="CA11" s="392"/>
      <c r="CB11" s="392"/>
      <c r="CC11" s="392"/>
      <c r="CD11" s="610" t="s">
        <v>419</v>
      </c>
      <c r="CE11" s="392"/>
      <c r="CF11" s="610"/>
      <c r="CG11" s="610"/>
      <c r="CH11" s="610"/>
      <c r="CI11" s="610"/>
      <c r="CK11" s="610"/>
      <c r="CL11" s="610"/>
      <c r="CM11" s="610"/>
      <c r="CO11" s="610"/>
      <c r="CP11" s="610"/>
      <c r="CQ11" s="610"/>
      <c r="CR11" s="610"/>
      <c r="CS11" s="610"/>
      <c r="CT11" s="610"/>
      <c r="CU11" s="610"/>
      <c r="CV11" s="610"/>
      <c r="CW11" s="610"/>
      <c r="CX11" s="610"/>
      <c r="CY11" s="610"/>
      <c r="DA11" s="610"/>
      <c r="DB11" s="610"/>
      <c r="DC11" s="610"/>
      <c r="DE11" s="610"/>
      <c r="DF11" s="610"/>
      <c r="DG11" s="610"/>
      <c r="DH11" s="1956" t="str">
        <f>PORTADA!C31</f>
        <v>OCTUBRE - DICIEMBRE DEL 2020</v>
      </c>
      <c r="DI11" s="1956"/>
      <c r="DJ11" s="1956"/>
      <c r="DK11" s="1956"/>
      <c r="DL11" s="1956"/>
      <c r="DM11" s="1956"/>
      <c r="DN11" s="1956"/>
      <c r="DO11" s="1956"/>
      <c r="DP11" s="1956"/>
      <c r="DQ11" s="1956"/>
      <c r="DR11" s="1956"/>
      <c r="DS11" s="1956"/>
      <c r="DT11" s="1956"/>
      <c r="DU11" s="1956"/>
      <c r="DV11" s="1956"/>
      <c r="DW11" s="1956"/>
      <c r="DX11" s="1956"/>
      <c r="DY11" s="1956"/>
      <c r="DZ11" s="1956"/>
      <c r="EA11" s="1956"/>
    </row>
    <row r="12" spans="1:140" s="394" customFormat="1" ht="13.5" customHeight="1" thickBot="1">
      <c r="A12" s="392"/>
      <c r="B12" s="392"/>
      <c r="C12" s="392"/>
      <c r="D12" s="392"/>
      <c r="E12" s="392"/>
      <c r="F12" s="392"/>
      <c r="G12" s="392"/>
      <c r="H12" s="392"/>
      <c r="I12" s="392"/>
      <c r="J12" s="392"/>
      <c r="K12" s="392"/>
      <c r="L12" s="392"/>
      <c r="M12" s="392"/>
      <c r="N12" s="392"/>
      <c r="O12" s="392"/>
      <c r="P12" s="392"/>
      <c r="Q12" s="392"/>
      <c r="R12" s="392"/>
      <c r="S12" s="392"/>
      <c r="T12" s="392"/>
      <c r="U12" s="392"/>
      <c r="V12" s="392"/>
      <c r="W12" s="392"/>
      <c r="X12" s="392"/>
      <c r="Y12" s="392"/>
      <c r="Z12" s="392"/>
      <c r="AA12" s="392"/>
      <c r="AB12" s="392"/>
      <c r="AC12" s="392"/>
      <c r="AD12" s="392"/>
      <c r="AE12" s="392"/>
      <c r="AF12" s="392"/>
      <c r="AG12" s="393"/>
      <c r="AH12" s="392"/>
      <c r="AI12" s="392"/>
      <c r="AJ12" s="392"/>
      <c r="AK12" s="392"/>
      <c r="AL12" s="392"/>
      <c r="AM12" s="392"/>
      <c r="AN12" s="392"/>
      <c r="AO12" s="392"/>
      <c r="AP12" s="392"/>
      <c r="AQ12" s="392"/>
      <c r="AR12" s="392"/>
      <c r="AS12" s="392"/>
      <c r="AT12" s="392"/>
      <c r="AU12" s="392"/>
      <c r="AV12" s="392"/>
      <c r="AW12" s="392"/>
      <c r="AX12" s="392"/>
      <c r="AY12" s="392"/>
      <c r="AZ12" s="392"/>
      <c r="BA12" s="392"/>
      <c r="BB12" s="392"/>
      <c r="BC12" s="392"/>
      <c r="BD12" s="392"/>
      <c r="BE12" s="392"/>
      <c r="BF12" s="392"/>
      <c r="BG12" s="392"/>
      <c r="BH12" s="392"/>
      <c r="BI12" s="392"/>
      <c r="BJ12" s="392"/>
      <c r="BK12" s="392"/>
      <c r="BL12" s="392"/>
      <c r="BM12" s="392"/>
      <c r="BN12" s="392"/>
      <c r="BO12" s="392"/>
      <c r="BP12" s="392"/>
      <c r="BQ12" s="392"/>
      <c r="BR12" s="392"/>
      <c r="BS12" s="392"/>
      <c r="BT12" s="392"/>
      <c r="BU12" s="392"/>
      <c r="BV12" s="392"/>
      <c r="BW12" s="392"/>
      <c r="BX12" s="392"/>
      <c r="BY12" s="392"/>
      <c r="BZ12" s="392"/>
      <c r="CA12" s="392"/>
      <c r="CB12" s="392"/>
      <c r="CC12" s="392"/>
      <c r="CD12" s="392"/>
      <c r="CE12" s="392"/>
      <c r="CF12" s="351"/>
      <c r="CG12" s="351"/>
      <c r="CH12" s="351"/>
      <c r="CI12" s="351"/>
      <c r="CJ12" s="351"/>
      <c r="CK12" s="351"/>
      <c r="CL12" s="351"/>
      <c r="CM12" s="351"/>
      <c r="CN12" s="351"/>
      <c r="CO12" s="351"/>
      <c r="CP12" s="351"/>
      <c r="CQ12" s="351"/>
      <c r="CR12" s="351"/>
      <c r="CS12" s="351"/>
      <c r="CT12" s="351"/>
      <c r="CU12" s="351"/>
      <c r="CV12" s="351"/>
      <c r="CW12" s="351"/>
      <c r="CX12" s="351"/>
      <c r="CY12" s="351"/>
      <c r="CZ12" s="351"/>
      <c r="DA12" s="351"/>
      <c r="DB12" s="351"/>
      <c r="DC12" s="351"/>
      <c r="DD12" s="351"/>
      <c r="DE12" s="351"/>
      <c r="DF12" s="351"/>
      <c r="DG12" s="351"/>
      <c r="DH12" s="1957"/>
      <c r="DI12" s="1957"/>
      <c r="DJ12" s="1957"/>
      <c r="DK12" s="1957"/>
      <c r="DL12" s="1957"/>
      <c r="DM12" s="1957"/>
      <c r="DN12" s="1957"/>
      <c r="DO12" s="1957"/>
      <c r="DP12" s="1957"/>
      <c r="DQ12" s="1957"/>
      <c r="DR12" s="1957"/>
      <c r="DS12" s="1957"/>
      <c r="DT12" s="1957"/>
      <c r="DU12" s="1957"/>
      <c r="DV12" s="1957"/>
      <c r="DW12" s="1957"/>
      <c r="DX12" s="1957"/>
      <c r="DY12" s="1957"/>
      <c r="DZ12" s="1957"/>
      <c r="EA12" s="1957"/>
    </row>
    <row r="13" spans="1:140" ht="21.95" customHeight="1">
      <c r="A13" s="395"/>
      <c r="B13" s="354"/>
      <c r="C13" s="354"/>
      <c r="D13" s="354"/>
      <c r="E13" s="354"/>
      <c r="F13" s="354"/>
      <c r="G13" s="354"/>
      <c r="H13" s="354"/>
      <c r="I13" s="354"/>
      <c r="J13" s="354"/>
      <c r="K13" s="354"/>
      <c r="L13" s="354"/>
      <c r="M13" s="354"/>
      <c r="N13" s="354"/>
      <c r="O13" s="354"/>
      <c r="P13" s="354"/>
      <c r="Q13" s="354"/>
      <c r="R13" s="354"/>
      <c r="S13" s="354"/>
      <c r="T13" s="354"/>
      <c r="U13" s="354"/>
      <c r="V13" s="354"/>
      <c r="W13" s="354"/>
      <c r="X13" s="354"/>
      <c r="Y13" s="354"/>
      <c r="Z13" s="354"/>
      <c r="AA13" s="354"/>
      <c r="AB13" s="354"/>
      <c r="AC13" s="354"/>
      <c r="AD13" s="354"/>
      <c r="AE13" s="354"/>
      <c r="AF13" s="354"/>
      <c r="AG13" s="354"/>
      <c r="AH13" s="354"/>
      <c r="AI13" s="354"/>
      <c r="AJ13" s="354"/>
      <c r="AK13" s="354"/>
      <c r="AL13" s="354"/>
      <c r="AM13" s="354"/>
      <c r="AN13" s="354"/>
      <c r="AO13" s="354"/>
      <c r="AP13" s="354"/>
      <c r="AQ13" s="354"/>
      <c r="AR13" s="354"/>
      <c r="AS13" s="354"/>
      <c r="AT13" s="354"/>
      <c r="AU13" s="354"/>
      <c r="AV13" s="354"/>
      <c r="AW13" s="354"/>
      <c r="AX13" s="354"/>
      <c r="AY13" s="354"/>
      <c r="AZ13" s="354"/>
      <c r="BA13" s="354"/>
      <c r="BB13" s="354"/>
      <c r="BC13" s="354"/>
      <c r="BD13" s="354"/>
      <c r="BE13" s="354"/>
      <c r="BF13" s="354"/>
      <c r="BG13" s="354"/>
      <c r="BH13" s="354"/>
      <c r="BI13" s="354"/>
      <c r="BJ13" s="354"/>
      <c r="BK13" s="354"/>
      <c r="BL13" s="354"/>
      <c r="BM13" s="354"/>
      <c r="BN13" s="354"/>
      <c r="BO13" s="354"/>
      <c r="BP13" s="354"/>
      <c r="BQ13" s="354"/>
      <c r="BR13" s="354"/>
      <c r="BS13" s="354"/>
      <c r="BT13" s="354"/>
      <c r="BU13" s="354"/>
      <c r="BV13" s="354"/>
      <c r="BW13" s="354"/>
      <c r="BX13" s="354"/>
      <c r="BY13" s="354"/>
      <c r="BZ13" s="354"/>
      <c r="CA13" s="354"/>
      <c r="CB13" s="354"/>
      <c r="CC13" s="354"/>
      <c r="CD13" s="354"/>
      <c r="CE13" s="354"/>
      <c r="CF13" s="354"/>
      <c r="CG13" s="354"/>
      <c r="CH13" s="354"/>
      <c r="CI13" s="354"/>
      <c r="CJ13" s="354"/>
      <c r="CK13" s="354"/>
      <c r="CL13" s="354"/>
      <c r="CM13" s="354"/>
      <c r="CN13" s="354"/>
      <c r="CO13" s="354"/>
      <c r="CP13" s="354"/>
      <c r="CQ13" s="354"/>
      <c r="CR13" s="354"/>
      <c r="CS13" s="354"/>
      <c r="CT13" s="354"/>
      <c r="CU13" s="354"/>
      <c r="CV13" s="354"/>
      <c r="CW13" s="354"/>
      <c r="CX13" s="354"/>
      <c r="CY13" s="354"/>
      <c r="CZ13" s="354"/>
      <c r="DA13" s="354"/>
      <c r="DB13" s="354"/>
      <c r="DC13" s="354"/>
      <c r="DD13" s="354"/>
      <c r="DE13" s="354"/>
      <c r="DF13" s="354"/>
      <c r="DG13" s="354"/>
      <c r="DH13" s="354"/>
      <c r="DI13" s="354"/>
      <c r="DJ13" s="354"/>
      <c r="DK13" s="354"/>
      <c r="DL13" s="354"/>
      <c r="DM13" s="354"/>
      <c r="DN13" s="354"/>
      <c r="DO13" s="354"/>
      <c r="DP13" s="354"/>
      <c r="DQ13" s="354"/>
      <c r="DR13" s="354"/>
      <c r="DS13" s="354"/>
      <c r="DT13" s="354"/>
      <c r="DU13" s="354"/>
      <c r="DV13" s="354"/>
      <c r="DW13" s="354"/>
      <c r="DX13" s="354"/>
      <c r="DY13" s="354"/>
      <c r="DZ13" s="354"/>
      <c r="EA13" s="396"/>
    </row>
    <row r="14" spans="1:140" ht="21.95" customHeight="1">
      <c r="A14" s="356"/>
      <c r="EA14" s="357"/>
    </row>
    <row r="15" spans="1:140" ht="21.95" customHeight="1">
      <c r="A15" s="356"/>
      <c r="EA15" s="357"/>
    </row>
    <row r="16" spans="1:140" ht="21.95" customHeight="1">
      <c r="A16" s="356"/>
      <c r="EA16" s="357"/>
    </row>
    <row r="17" spans="1:133" ht="21.95" customHeight="1">
      <c r="A17" s="356"/>
      <c r="EA17" s="357"/>
    </row>
    <row r="18" spans="1:133" ht="21.95" customHeight="1">
      <c r="A18" s="356"/>
      <c r="EA18" s="357"/>
    </row>
    <row r="19" spans="1:133" ht="21.95" customHeight="1">
      <c r="A19" s="356"/>
      <c r="EA19" s="357"/>
    </row>
    <row r="20" spans="1:133" ht="21.95" customHeight="1">
      <c r="A20" s="356"/>
      <c r="EA20" s="357"/>
    </row>
    <row r="21" spans="1:133" ht="21.95" customHeight="1">
      <c r="A21" s="356"/>
      <c r="EA21" s="357"/>
    </row>
    <row r="22" spans="1:133" ht="21.95" customHeight="1">
      <c r="A22" s="356"/>
      <c r="EA22" s="357"/>
      <c r="EC22" s="349" t="s">
        <v>54</v>
      </c>
    </row>
    <row r="23" spans="1:133" ht="21.95" customHeight="1">
      <c r="A23" s="356"/>
      <c r="EA23" s="357"/>
    </row>
    <row r="24" spans="1:133" ht="21.95" customHeight="1">
      <c r="A24" s="356"/>
      <c r="EA24" s="357"/>
    </row>
    <row r="25" spans="1:133" ht="21.95" customHeight="1">
      <c r="A25" s="356"/>
      <c r="EA25" s="357"/>
    </row>
    <row r="26" spans="1:133" ht="21.95" customHeight="1">
      <c r="A26" s="356"/>
      <c r="EA26" s="357"/>
    </row>
    <row r="27" spans="1:133" ht="21.95" customHeight="1">
      <c r="A27" s="356"/>
      <c r="EA27" s="357"/>
    </row>
    <row r="28" spans="1:133" ht="21.95" customHeight="1">
      <c r="A28" s="356"/>
      <c r="EA28" s="357"/>
    </row>
    <row r="29" spans="1:133" ht="21.95" customHeight="1">
      <c r="A29" s="356"/>
      <c r="EA29" s="357"/>
    </row>
    <row r="30" spans="1:133" ht="21.95" customHeight="1" thickBot="1">
      <c r="A30" s="358"/>
      <c r="B30" s="359"/>
      <c r="C30" s="359"/>
      <c r="D30" s="359"/>
      <c r="E30" s="359"/>
      <c r="F30" s="359"/>
      <c r="G30" s="359"/>
      <c r="H30" s="359"/>
      <c r="I30" s="359"/>
      <c r="J30" s="359"/>
      <c r="K30" s="359"/>
      <c r="L30" s="359"/>
      <c r="M30" s="359"/>
      <c r="N30" s="359"/>
      <c r="O30" s="359"/>
      <c r="P30" s="359"/>
      <c r="Q30" s="359"/>
      <c r="R30" s="359"/>
      <c r="S30" s="359"/>
      <c r="T30" s="359"/>
      <c r="U30" s="359"/>
      <c r="V30" s="359"/>
      <c r="W30" s="359"/>
      <c r="X30" s="359"/>
      <c r="Y30" s="359"/>
      <c r="Z30" s="359"/>
      <c r="AA30" s="359"/>
      <c r="AB30" s="359"/>
      <c r="AC30" s="359"/>
      <c r="AD30" s="359"/>
      <c r="AE30" s="359"/>
      <c r="AF30" s="359"/>
      <c r="AG30" s="359"/>
      <c r="AH30" s="359"/>
      <c r="AI30" s="359"/>
      <c r="AJ30" s="359"/>
      <c r="AK30" s="359"/>
      <c r="AL30" s="359"/>
      <c r="AM30" s="359"/>
      <c r="AN30" s="359"/>
      <c r="AO30" s="359"/>
      <c r="AP30" s="359"/>
      <c r="AQ30" s="359"/>
      <c r="AR30" s="359"/>
      <c r="AS30" s="359"/>
      <c r="AT30" s="359"/>
      <c r="AU30" s="359"/>
      <c r="AV30" s="359"/>
      <c r="AW30" s="359"/>
      <c r="AX30" s="359"/>
      <c r="AY30" s="359"/>
      <c r="AZ30" s="359"/>
      <c r="BA30" s="359"/>
      <c r="BB30" s="359"/>
      <c r="BC30" s="359"/>
      <c r="BD30" s="359"/>
      <c r="BE30" s="359"/>
      <c r="BF30" s="359"/>
      <c r="BG30" s="359"/>
      <c r="BH30" s="359"/>
      <c r="BI30" s="359"/>
      <c r="BJ30" s="359"/>
      <c r="BK30" s="359"/>
      <c r="BL30" s="359"/>
      <c r="BM30" s="359"/>
      <c r="BN30" s="359"/>
      <c r="BO30" s="359"/>
      <c r="BP30" s="359"/>
      <c r="BQ30" s="359"/>
      <c r="BR30" s="359"/>
      <c r="BS30" s="359"/>
      <c r="BT30" s="359"/>
      <c r="BU30" s="359"/>
      <c r="BV30" s="359"/>
      <c r="BW30" s="359"/>
      <c r="BX30" s="359"/>
      <c r="BY30" s="359"/>
      <c r="BZ30" s="359"/>
      <c r="CA30" s="359"/>
      <c r="CB30" s="359"/>
      <c r="CC30" s="359"/>
      <c r="CD30" s="359"/>
      <c r="CE30" s="359"/>
      <c r="CF30" s="359"/>
      <c r="CG30" s="359"/>
      <c r="CH30" s="359"/>
      <c r="CI30" s="359"/>
      <c r="CJ30" s="359"/>
      <c r="CK30" s="359"/>
      <c r="CL30" s="359"/>
      <c r="CM30" s="359"/>
      <c r="CN30" s="359"/>
      <c r="CO30" s="359"/>
      <c r="CP30" s="359"/>
      <c r="CQ30" s="359"/>
      <c r="CR30" s="359"/>
      <c r="CS30" s="359"/>
      <c r="CT30" s="359"/>
      <c r="CU30" s="359"/>
      <c r="CV30" s="359"/>
      <c r="CW30" s="359"/>
      <c r="CX30" s="359"/>
      <c r="CY30" s="359"/>
      <c r="CZ30" s="359"/>
      <c r="DA30" s="359"/>
      <c r="DB30" s="359"/>
      <c r="DC30" s="359"/>
      <c r="DD30" s="359"/>
      <c r="DE30" s="359"/>
      <c r="DF30" s="359"/>
      <c r="DG30" s="359"/>
      <c r="DH30" s="359"/>
      <c r="DI30" s="359"/>
      <c r="DJ30" s="359"/>
      <c r="DK30" s="359"/>
      <c r="DL30" s="359"/>
      <c r="DM30" s="359"/>
      <c r="DN30" s="359"/>
      <c r="DO30" s="359"/>
      <c r="DP30" s="359"/>
      <c r="DQ30" s="359"/>
      <c r="DR30" s="359"/>
      <c r="DS30" s="359"/>
      <c r="DT30" s="359"/>
      <c r="DU30" s="359"/>
      <c r="DV30" s="359"/>
      <c r="DW30" s="359"/>
      <c r="DX30" s="359"/>
      <c r="DY30" s="359"/>
      <c r="DZ30" s="359"/>
      <c r="EA30" s="360"/>
    </row>
    <row r="31" spans="1:133" ht="16.5" customHeight="1" thickBot="1">
      <c r="A31" s="361" t="s">
        <v>7</v>
      </c>
      <c r="B31" s="882"/>
      <c r="C31" s="882"/>
      <c r="D31" s="882"/>
      <c r="E31" s="882"/>
      <c r="F31" s="882"/>
      <c r="G31" s="882"/>
      <c r="H31" s="882"/>
      <c r="I31" s="882"/>
      <c r="J31" s="882"/>
      <c r="K31" s="882"/>
      <c r="L31" s="882"/>
      <c r="M31" s="882"/>
      <c r="N31" s="882"/>
      <c r="O31" s="882"/>
      <c r="P31" s="882"/>
      <c r="Q31" s="882"/>
      <c r="R31" s="882"/>
      <c r="S31" s="882"/>
      <c r="T31" s="882"/>
      <c r="U31" s="882"/>
      <c r="V31" s="882"/>
      <c r="W31" s="882"/>
      <c r="X31" s="882"/>
      <c r="Y31" s="882"/>
      <c r="Z31" s="882"/>
      <c r="AA31" s="882"/>
      <c r="AB31" s="882"/>
      <c r="AC31" s="882"/>
      <c r="AD31" s="882"/>
      <c r="AE31" s="882"/>
      <c r="AF31" s="1748" t="s">
        <v>52</v>
      </c>
      <c r="AG31" s="1749"/>
      <c r="AH31" s="1749"/>
      <c r="AI31" s="1749"/>
      <c r="AJ31" s="1749"/>
      <c r="AK31" s="1749"/>
      <c r="AL31" s="1749"/>
      <c r="AM31" s="1749"/>
      <c r="AN31" s="1749"/>
      <c r="AO31" s="1749"/>
      <c r="AP31" s="1749"/>
      <c r="AQ31" s="1749"/>
      <c r="AR31" s="1749"/>
      <c r="AS31" s="1749"/>
      <c r="AT31" s="1749"/>
      <c r="AU31" s="1749"/>
      <c r="AV31" s="1749"/>
      <c r="AW31" s="1749"/>
      <c r="AX31" s="1749"/>
      <c r="AY31" s="1749"/>
      <c r="AZ31" s="1749"/>
      <c r="BA31" s="1749"/>
      <c r="BB31" s="1749"/>
      <c r="BC31" s="1749"/>
      <c r="BD31" s="1749"/>
      <c r="BE31" s="1749"/>
      <c r="BF31" s="1749"/>
      <c r="BG31" s="1749"/>
      <c r="BH31" s="1749"/>
      <c r="BI31" s="1749"/>
      <c r="BJ31" s="1749"/>
      <c r="BK31" s="1749"/>
      <c r="BL31" s="1749"/>
      <c r="BM31" s="1749"/>
      <c r="BN31" s="1749"/>
      <c r="BO31" s="1749"/>
      <c r="BP31" s="1749"/>
      <c r="BQ31" s="1749"/>
      <c r="BR31" s="1749"/>
      <c r="BS31" s="1749"/>
      <c r="BT31" s="1749"/>
      <c r="BU31" s="1749"/>
      <c r="BV31" s="1749"/>
      <c r="BW31" s="1749"/>
      <c r="BX31" s="1749"/>
      <c r="BY31" s="1749"/>
      <c r="BZ31" s="1749"/>
      <c r="CA31" s="1749"/>
      <c r="CB31" s="1749"/>
      <c r="CC31" s="1749"/>
      <c r="CD31" s="1749"/>
      <c r="CE31" s="1749"/>
      <c r="CF31" s="1749"/>
      <c r="CG31" s="1749"/>
      <c r="CH31" s="1749"/>
      <c r="CI31" s="1749"/>
      <c r="CJ31" s="1749"/>
      <c r="CK31" s="1749"/>
      <c r="CL31" s="1749"/>
      <c r="CM31" s="1749"/>
      <c r="CN31" s="1749"/>
      <c r="CO31" s="1749"/>
      <c r="CP31" s="1749"/>
      <c r="CQ31" s="1749"/>
      <c r="CR31" s="1749"/>
      <c r="CS31" s="1749"/>
      <c r="CT31" s="1749"/>
      <c r="CU31" s="1749"/>
      <c r="CV31" s="1749"/>
      <c r="CW31" s="1749"/>
      <c r="CX31" s="1749"/>
      <c r="CY31" s="1749"/>
      <c r="CZ31" s="1749"/>
      <c r="DA31" s="1749"/>
      <c r="DB31" s="1749"/>
      <c r="DC31" s="1749"/>
      <c r="DD31" s="1749"/>
      <c r="DE31" s="1749"/>
      <c r="DF31" s="1749"/>
      <c r="DG31" s="1750"/>
      <c r="DH31" s="1663" t="s">
        <v>568</v>
      </c>
      <c r="DI31" s="1664"/>
      <c r="DJ31" s="1664"/>
      <c r="DK31" s="1664"/>
      <c r="DL31" s="1664"/>
      <c r="DM31" s="1664"/>
      <c r="DN31" s="1664"/>
      <c r="DO31" s="1664"/>
      <c r="DP31" s="1664"/>
      <c r="DQ31" s="1664"/>
      <c r="DR31" s="1664"/>
      <c r="DS31" s="1664"/>
      <c r="DT31" s="1664"/>
      <c r="DU31" s="1664"/>
      <c r="DV31" s="1664"/>
      <c r="DW31" s="1664"/>
      <c r="DX31" s="1664"/>
      <c r="DY31" s="1664"/>
      <c r="DZ31" s="1664"/>
      <c r="EA31" s="1665"/>
    </row>
    <row r="32" spans="1:133" ht="16.5" thickBot="1">
      <c r="A32" s="397" t="s">
        <v>24</v>
      </c>
      <c r="B32" s="1751"/>
      <c r="C32" s="1752"/>
      <c r="D32" s="1752"/>
      <c r="E32" s="1752"/>
      <c r="F32" s="1752"/>
      <c r="G32" s="1752"/>
      <c r="H32" s="1752"/>
      <c r="I32" s="1752"/>
      <c r="J32" s="1752"/>
      <c r="K32" s="1753"/>
      <c r="L32" s="1751"/>
      <c r="M32" s="1752"/>
      <c r="N32" s="1752"/>
      <c r="O32" s="1752"/>
      <c r="P32" s="1752"/>
      <c r="Q32" s="1752"/>
      <c r="R32" s="1752"/>
      <c r="S32" s="1752"/>
      <c r="T32" s="1752"/>
      <c r="U32" s="1753"/>
      <c r="V32" s="1751"/>
      <c r="W32" s="1752"/>
      <c r="X32" s="1752"/>
      <c r="Y32" s="1752"/>
      <c r="Z32" s="1752"/>
      <c r="AA32" s="1752"/>
      <c r="AB32" s="1752"/>
      <c r="AC32" s="1752"/>
      <c r="AD32" s="1752"/>
      <c r="AE32" s="1753"/>
      <c r="AF32" s="1751"/>
      <c r="AG32" s="1752"/>
      <c r="AH32" s="1752"/>
      <c r="AI32" s="1752"/>
      <c r="AJ32" s="1752"/>
      <c r="AK32" s="1752"/>
      <c r="AL32" s="1752"/>
      <c r="AM32" s="1752"/>
      <c r="AN32" s="1752"/>
      <c r="AO32" s="1753"/>
      <c r="AP32" s="1745"/>
      <c r="AQ32" s="1746"/>
      <c r="AR32" s="1746"/>
      <c r="AS32" s="1746"/>
      <c r="AT32" s="1746"/>
      <c r="AU32" s="1746"/>
      <c r="AV32" s="1746"/>
      <c r="AW32" s="1746"/>
      <c r="AX32" s="1746"/>
      <c r="AY32" s="1747"/>
      <c r="AZ32" s="1745"/>
      <c r="BA32" s="1746"/>
      <c r="BB32" s="1746"/>
      <c r="BC32" s="1746"/>
      <c r="BD32" s="1746"/>
      <c r="BE32" s="1746"/>
      <c r="BF32" s="1746"/>
      <c r="BG32" s="1746"/>
      <c r="BH32" s="1746"/>
      <c r="BI32" s="1747"/>
      <c r="BJ32" s="1745"/>
      <c r="BK32" s="1746"/>
      <c r="BL32" s="1746"/>
      <c r="BM32" s="1746"/>
      <c r="BN32" s="1746"/>
      <c r="BO32" s="1746"/>
      <c r="BP32" s="1746"/>
      <c r="BQ32" s="1746"/>
      <c r="BR32" s="1746"/>
      <c r="BS32" s="1747"/>
      <c r="BT32" s="1745"/>
      <c r="BU32" s="1746"/>
      <c r="BV32" s="1746"/>
      <c r="BW32" s="1746"/>
      <c r="BX32" s="1746"/>
      <c r="BY32" s="1746"/>
      <c r="BZ32" s="1746"/>
      <c r="CA32" s="1746"/>
      <c r="CB32" s="1746"/>
      <c r="CC32" s="1747"/>
      <c r="CD32" s="1745"/>
      <c r="CE32" s="1746"/>
      <c r="CF32" s="1746"/>
      <c r="CG32" s="1746"/>
      <c r="CH32" s="1746"/>
      <c r="CI32" s="1746"/>
      <c r="CJ32" s="1746"/>
      <c r="CK32" s="1746"/>
      <c r="CL32" s="1746"/>
      <c r="CM32" s="1747"/>
      <c r="CN32" s="1745"/>
      <c r="CO32" s="1746"/>
      <c r="CP32" s="1746"/>
      <c r="CQ32" s="1746"/>
      <c r="CR32" s="1746"/>
      <c r="CS32" s="1746"/>
      <c r="CT32" s="1746"/>
      <c r="CU32" s="1746"/>
      <c r="CV32" s="1746"/>
      <c r="CW32" s="1747"/>
      <c r="CX32" s="1768"/>
      <c r="CY32" s="1769"/>
      <c r="CZ32" s="1769"/>
      <c r="DA32" s="1769"/>
      <c r="DB32" s="1769"/>
      <c r="DC32" s="1769"/>
      <c r="DD32" s="1769"/>
      <c r="DE32" s="1769"/>
      <c r="DF32" s="1769"/>
      <c r="DG32" s="398"/>
      <c r="DH32" s="1854"/>
      <c r="DI32" s="1855"/>
      <c r="DJ32" s="1855"/>
      <c r="DK32" s="1855"/>
      <c r="DL32" s="1855"/>
      <c r="DM32" s="1855"/>
      <c r="DN32" s="1855"/>
      <c r="DO32" s="1855"/>
      <c r="DP32" s="1855"/>
      <c r="DQ32" s="1855"/>
      <c r="DR32" s="1855"/>
      <c r="DS32" s="1855"/>
      <c r="DT32" s="1855"/>
      <c r="DU32" s="1855"/>
      <c r="DV32" s="1855"/>
      <c r="DW32" s="1855"/>
      <c r="DX32" s="1855"/>
      <c r="DY32" s="1855"/>
      <c r="DZ32" s="1855"/>
      <c r="EA32" s="1856"/>
    </row>
    <row r="33" spans="1:134" ht="14.25" customHeight="1" thickBot="1">
      <c r="A33" s="399" t="s">
        <v>132</v>
      </c>
      <c r="B33" s="1965" t="s">
        <v>880</v>
      </c>
      <c r="C33" s="1966"/>
      <c r="D33" s="1966"/>
      <c r="E33" s="1966"/>
      <c r="F33" s="1966"/>
      <c r="G33" s="1966"/>
      <c r="H33" s="1966"/>
      <c r="I33" s="1966"/>
      <c r="J33" s="1966"/>
      <c r="K33" s="1967"/>
      <c r="L33" s="1965">
        <v>41</v>
      </c>
      <c r="M33" s="1966"/>
      <c r="N33" s="1966"/>
      <c r="O33" s="1966"/>
      <c r="P33" s="1966"/>
      <c r="Q33" s="1966"/>
      <c r="R33" s="1966"/>
      <c r="S33" s="1966"/>
      <c r="T33" s="1966"/>
      <c r="U33" s="1967"/>
      <c r="V33" s="1965"/>
      <c r="W33" s="1966"/>
      <c r="X33" s="1966"/>
      <c r="Y33" s="1966"/>
      <c r="Z33" s="1966"/>
      <c r="AA33" s="1966"/>
      <c r="AB33" s="1966"/>
      <c r="AC33" s="1966"/>
      <c r="AD33" s="1966"/>
      <c r="AE33" s="1967"/>
      <c r="AF33" s="1965">
        <v>42</v>
      </c>
      <c r="AG33" s="1966"/>
      <c r="AH33" s="1966"/>
      <c r="AI33" s="1966"/>
      <c r="AJ33" s="1966"/>
      <c r="AK33" s="1966"/>
      <c r="AL33" s="1966"/>
      <c r="AM33" s="1966"/>
      <c r="AN33" s="1966"/>
      <c r="AO33" s="1967"/>
      <c r="AP33" s="1968"/>
      <c r="AQ33" s="1969"/>
      <c r="AR33" s="1969"/>
      <c r="AS33" s="1969"/>
      <c r="AT33" s="1969"/>
      <c r="AU33" s="1969"/>
      <c r="AV33" s="1969"/>
      <c r="AW33" s="1969"/>
      <c r="AX33" s="1969"/>
      <c r="AY33" s="1970"/>
      <c r="AZ33" s="1971">
        <v>43</v>
      </c>
      <c r="BA33" s="1966"/>
      <c r="BB33" s="1966"/>
      <c r="BC33" s="1966"/>
      <c r="BD33" s="1966"/>
      <c r="BE33" s="1966"/>
      <c r="BF33" s="1966"/>
      <c r="BG33" s="1966"/>
      <c r="BH33" s="1966"/>
      <c r="BI33" s="1967"/>
      <c r="BJ33" s="1968"/>
      <c r="BK33" s="1969"/>
      <c r="BL33" s="1969"/>
      <c r="BM33" s="1969"/>
      <c r="BN33" s="1969"/>
      <c r="BO33" s="1969"/>
      <c r="BP33" s="1969"/>
      <c r="BQ33" s="1969"/>
      <c r="BR33" s="1969"/>
      <c r="BS33" s="1970"/>
      <c r="BT33" s="1971">
        <v>44</v>
      </c>
      <c r="BU33" s="1966"/>
      <c r="BV33" s="1966"/>
      <c r="BW33" s="1966"/>
      <c r="BX33" s="1966"/>
      <c r="BY33" s="1966"/>
      <c r="BZ33" s="1966"/>
      <c r="CA33" s="1966"/>
      <c r="CB33" s="1966"/>
      <c r="CC33" s="1967"/>
      <c r="CD33" s="1972"/>
      <c r="CE33" s="1973"/>
      <c r="CF33" s="1973"/>
      <c r="CG33" s="1973"/>
      <c r="CH33" s="1973"/>
      <c r="CI33" s="1973"/>
      <c r="CJ33" s="1973"/>
      <c r="CK33" s="1973"/>
      <c r="CL33" s="1973"/>
      <c r="CM33" s="1974"/>
      <c r="CN33" s="1983" t="s">
        <v>576</v>
      </c>
      <c r="CO33" s="1984"/>
      <c r="CP33" s="1984"/>
      <c r="CQ33" s="1984"/>
      <c r="CR33" s="1984"/>
      <c r="CS33" s="1984"/>
      <c r="CT33" s="1984"/>
      <c r="CU33" s="1984"/>
      <c r="CV33" s="1984"/>
      <c r="CW33" s="1985"/>
      <c r="CX33" s="1975"/>
      <c r="CY33" s="1976"/>
      <c r="CZ33" s="1976"/>
      <c r="DA33" s="1976"/>
      <c r="DB33" s="1976"/>
      <c r="DC33" s="1976"/>
      <c r="DD33" s="1976"/>
      <c r="DE33" s="1976"/>
      <c r="DF33" s="1976"/>
      <c r="DG33" s="1977"/>
      <c r="DH33" s="1960" t="s">
        <v>368</v>
      </c>
      <c r="DI33" s="1961"/>
      <c r="DJ33" s="1961"/>
      <c r="DK33" s="1962"/>
      <c r="DL33" s="1960" t="s">
        <v>96</v>
      </c>
      <c r="DM33" s="1961"/>
      <c r="DN33" s="1961"/>
      <c r="DO33" s="1962"/>
      <c r="DP33" s="1960" t="s">
        <v>97</v>
      </c>
      <c r="DQ33" s="1961"/>
      <c r="DR33" s="1961"/>
      <c r="DS33" s="1986"/>
      <c r="DT33" s="1987" t="s">
        <v>98</v>
      </c>
      <c r="DU33" s="1961"/>
      <c r="DV33" s="1961"/>
      <c r="DW33" s="1962"/>
      <c r="DX33" s="1960" t="s">
        <v>369</v>
      </c>
      <c r="DY33" s="1961"/>
      <c r="DZ33" s="1961"/>
      <c r="EA33" s="1962"/>
      <c r="EB33" s="611" t="s">
        <v>572</v>
      </c>
      <c r="EC33" s="611" t="s">
        <v>14</v>
      </c>
      <c r="ED33" s="611" t="s">
        <v>573</v>
      </c>
    </row>
    <row r="34" spans="1:134" ht="10.5" customHeight="1">
      <c r="A34" s="1645" t="s">
        <v>55</v>
      </c>
      <c r="B34" s="400"/>
      <c r="C34" s="1963" t="s">
        <v>880</v>
      </c>
      <c r="D34" s="1963"/>
      <c r="E34" s="1963"/>
      <c r="F34" s="1963"/>
      <c r="G34" s="1963"/>
      <c r="H34" s="1963"/>
      <c r="I34" s="1963"/>
      <c r="J34" s="1963"/>
      <c r="K34" s="1964"/>
      <c r="L34" s="400"/>
      <c r="M34" s="1963"/>
      <c r="N34" s="1963"/>
      <c r="O34" s="1963"/>
      <c r="P34" s="1963"/>
      <c r="Q34" s="1963"/>
      <c r="R34" s="1963"/>
      <c r="S34" s="1963"/>
      <c r="T34" s="1963"/>
      <c r="U34" s="1964"/>
      <c r="V34" s="400"/>
      <c r="W34" s="1963"/>
      <c r="X34" s="1963"/>
      <c r="Y34" s="1963"/>
      <c r="Z34" s="1963"/>
      <c r="AA34" s="1963"/>
      <c r="AB34" s="1963"/>
      <c r="AC34" s="1963"/>
      <c r="AD34" s="1963"/>
      <c r="AE34" s="1964"/>
      <c r="AF34" s="400"/>
      <c r="AG34" s="1963"/>
      <c r="AH34" s="1963"/>
      <c r="AI34" s="1963"/>
      <c r="AJ34" s="1963"/>
      <c r="AK34" s="1963"/>
      <c r="AL34" s="1963"/>
      <c r="AM34" s="1963"/>
      <c r="AN34" s="1963"/>
      <c r="AO34" s="1964"/>
      <c r="AY34" s="366"/>
      <c r="BI34" s="366"/>
      <c r="BS34" s="366"/>
      <c r="CC34" s="366"/>
      <c r="CM34" s="366"/>
      <c r="CW34" s="366"/>
      <c r="DH34" s="1860" t="s">
        <v>617</v>
      </c>
      <c r="DI34" s="1861"/>
      <c r="DJ34" s="1861" t="s">
        <v>39</v>
      </c>
      <c r="DK34" s="1861"/>
      <c r="DL34" s="1861" t="s">
        <v>617</v>
      </c>
      <c r="DM34" s="1861"/>
      <c r="DN34" s="1861" t="s">
        <v>39</v>
      </c>
      <c r="DO34" s="1861"/>
      <c r="DP34" s="1861" t="s">
        <v>617</v>
      </c>
      <c r="DQ34" s="1861"/>
      <c r="DR34" s="1861" t="s">
        <v>39</v>
      </c>
      <c r="DS34" s="1861"/>
      <c r="DT34" s="1861" t="s">
        <v>617</v>
      </c>
      <c r="DU34" s="1861"/>
      <c r="DV34" s="1861" t="s">
        <v>39</v>
      </c>
      <c r="DW34" s="1861"/>
      <c r="DX34" s="1861" t="s">
        <v>617</v>
      </c>
      <c r="DY34" s="1861"/>
      <c r="DZ34" s="1861" t="s">
        <v>39</v>
      </c>
      <c r="EA34" s="1866"/>
      <c r="EB34" s="612"/>
      <c r="EC34" s="613" t="s">
        <v>54</v>
      </c>
      <c r="ED34" s="614">
        <f>3.48+2.3</f>
        <v>5.7799999999999994</v>
      </c>
    </row>
    <row r="35" spans="1:134" ht="4.5" customHeight="1">
      <c r="A35" s="1645"/>
      <c r="B35" s="371"/>
      <c r="C35" s="371"/>
      <c r="D35" s="371"/>
      <c r="E35" s="371"/>
      <c r="F35" s="371"/>
      <c r="G35" s="371"/>
      <c r="H35" s="371"/>
      <c r="I35" s="371"/>
      <c r="J35" s="371"/>
      <c r="K35" s="371"/>
      <c r="L35" s="371"/>
      <c r="M35" s="371"/>
      <c r="N35" s="371"/>
      <c r="O35" s="371"/>
      <c r="P35" s="371"/>
      <c r="Q35" s="371"/>
      <c r="R35" s="371"/>
      <c r="S35" s="371"/>
      <c r="T35" s="371"/>
      <c r="U35" s="371"/>
      <c r="V35" s="371"/>
      <c r="W35" s="371"/>
      <c r="X35" s="371"/>
      <c r="Y35" s="371"/>
      <c r="Z35" s="371"/>
      <c r="AA35" s="371"/>
      <c r="AB35" s="371"/>
      <c r="AC35" s="371"/>
      <c r="AD35" s="371"/>
      <c r="AE35" s="371"/>
      <c r="AF35" s="371"/>
      <c r="AG35" s="371"/>
      <c r="AH35" s="371"/>
      <c r="AI35" s="371"/>
      <c r="AJ35" s="371"/>
      <c r="AK35" s="371"/>
      <c r="AL35" s="371"/>
      <c r="AM35" s="371"/>
      <c r="AN35" s="371"/>
      <c r="AO35" s="371"/>
      <c r="AP35" s="371"/>
      <c r="AQ35" s="371"/>
      <c r="AR35" s="371"/>
      <c r="AS35" s="371"/>
      <c r="AT35" s="371"/>
      <c r="AU35" s="371"/>
      <c r="AV35" s="371"/>
      <c r="AW35" s="371"/>
      <c r="AX35" s="371"/>
      <c r="AY35" s="371"/>
      <c r="AZ35" s="371"/>
      <c r="BA35" s="371"/>
      <c r="BB35" s="371"/>
      <c r="BC35" s="371"/>
      <c r="BD35" s="371"/>
      <c r="BE35" s="371"/>
      <c r="BF35" s="371"/>
      <c r="BG35" s="371"/>
      <c r="BH35" s="371"/>
      <c r="BI35" s="371"/>
      <c r="BJ35" s="371"/>
      <c r="BK35" s="371"/>
      <c r="BL35" s="371"/>
      <c r="BM35" s="371"/>
      <c r="BN35" s="371"/>
      <c r="BO35" s="371"/>
      <c r="BP35" s="371"/>
      <c r="BQ35" s="371"/>
      <c r="BR35" s="371"/>
      <c r="BS35" s="371"/>
      <c r="BT35" s="371"/>
      <c r="BU35" s="371"/>
      <c r="BV35" s="371"/>
      <c r="BW35" s="371"/>
      <c r="BX35" s="371"/>
      <c r="BY35" s="371"/>
      <c r="BZ35" s="371"/>
      <c r="CA35" s="371"/>
      <c r="CB35" s="371"/>
      <c r="CC35" s="371"/>
      <c r="CD35" s="371"/>
      <c r="CE35" s="371"/>
      <c r="CF35" s="371"/>
      <c r="CG35" s="371"/>
      <c r="CH35" s="371"/>
      <c r="CI35" s="371"/>
      <c r="CJ35" s="371"/>
      <c r="CK35" s="371"/>
      <c r="CL35" s="371"/>
      <c r="CM35" s="371"/>
      <c r="CW35" s="366"/>
      <c r="DH35" s="1862"/>
      <c r="DI35" s="1863"/>
      <c r="DJ35" s="1863"/>
      <c r="DK35" s="1863"/>
      <c r="DL35" s="1863"/>
      <c r="DM35" s="1863"/>
      <c r="DN35" s="1863"/>
      <c r="DO35" s="1863"/>
      <c r="DP35" s="1863"/>
      <c r="DQ35" s="1863"/>
      <c r="DR35" s="1863"/>
      <c r="DS35" s="1863"/>
      <c r="DT35" s="1863"/>
      <c r="DU35" s="1863"/>
      <c r="DV35" s="1863"/>
      <c r="DW35" s="1863"/>
      <c r="DX35" s="1863"/>
      <c r="DY35" s="1863"/>
      <c r="DZ35" s="1863"/>
      <c r="EA35" s="1867"/>
      <c r="EB35" s="615"/>
      <c r="EC35" s="615"/>
      <c r="ED35" s="615"/>
    </row>
    <row r="36" spans="1:134" ht="13.5" customHeight="1">
      <c r="A36" s="1646"/>
      <c r="B36" s="378"/>
      <c r="C36" s="379"/>
      <c r="D36" s="379"/>
      <c r="E36" s="379"/>
      <c r="F36" s="379"/>
      <c r="G36" s="379"/>
      <c r="H36" s="379"/>
      <c r="I36" s="379"/>
      <c r="J36" s="379"/>
      <c r="K36" s="380"/>
      <c r="L36" s="378"/>
      <c r="M36" s="379"/>
      <c r="N36" s="379"/>
      <c r="O36" s="379"/>
      <c r="P36" s="379"/>
      <c r="Q36" s="379"/>
      <c r="R36" s="379"/>
      <c r="S36" s="379"/>
      <c r="T36" s="379"/>
      <c r="U36" s="380"/>
      <c r="V36" s="378"/>
      <c r="W36" s="379"/>
      <c r="X36" s="379"/>
      <c r="Y36" s="379"/>
      <c r="Z36" s="379"/>
      <c r="AA36" s="379"/>
      <c r="AB36" s="379"/>
      <c r="AC36" s="379"/>
      <c r="AD36" s="379"/>
      <c r="AE36" s="380"/>
      <c r="AF36" s="378"/>
      <c r="AG36" s="379"/>
      <c r="AH36" s="379"/>
      <c r="AI36" s="379"/>
      <c r="AJ36" s="379"/>
      <c r="AK36" s="379"/>
      <c r="AL36" s="379"/>
      <c r="AM36" s="379"/>
      <c r="AN36" s="379"/>
      <c r="AO36" s="380"/>
      <c r="AP36" s="379"/>
      <c r="AQ36" s="379"/>
      <c r="AR36" s="379"/>
      <c r="AS36" s="379"/>
      <c r="AT36" s="379"/>
      <c r="AU36" s="379"/>
      <c r="AV36" s="379"/>
      <c r="AW36" s="379"/>
      <c r="AX36" s="379"/>
      <c r="AY36" s="380"/>
      <c r="AZ36" s="379"/>
      <c r="BA36" s="379"/>
      <c r="BB36" s="379"/>
      <c r="BC36" s="379"/>
      <c r="BD36" s="379"/>
      <c r="BE36" s="379"/>
      <c r="BF36" s="379"/>
      <c r="BG36" s="379"/>
      <c r="BH36" s="379"/>
      <c r="BI36" s="380"/>
      <c r="BJ36" s="379"/>
      <c r="BK36" s="379"/>
      <c r="BL36" s="379"/>
      <c r="BM36" s="379"/>
      <c r="BN36" s="379"/>
      <c r="BO36" s="379"/>
      <c r="BP36" s="379"/>
      <c r="BQ36" s="379"/>
      <c r="BR36" s="379"/>
      <c r="BS36" s="380"/>
      <c r="BT36" s="379"/>
      <c r="BU36" s="379"/>
      <c r="BV36" s="379"/>
      <c r="BW36" s="379"/>
      <c r="BX36" s="379"/>
      <c r="BY36" s="379"/>
      <c r="BZ36" s="379"/>
      <c r="CA36" s="379"/>
      <c r="CB36" s="379"/>
      <c r="CC36" s="380"/>
      <c r="CD36" s="379"/>
      <c r="CE36" s="379"/>
      <c r="CF36" s="379"/>
      <c r="CG36" s="379"/>
      <c r="CH36" s="379"/>
      <c r="CI36" s="379"/>
      <c r="CJ36" s="379"/>
      <c r="CK36" s="379"/>
      <c r="CL36" s="379"/>
      <c r="CM36" s="380"/>
      <c r="CN36" s="379"/>
      <c r="CO36" s="379"/>
      <c r="CP36" s="379"/>
      <c r="CQ36" s="379"/>
      <c r="CR36" s="379"/>
      <c r="CS36" s="379"/>
      <c r="CT36" s="379"/>
      <c r="CU36" s="379"/>
      <c r="CV36" s="379"/>
      <c r="CW36" s="380"/>
      <c r="CX36" s="379"/>
      <c r="CY36" s="379"/>
      <c r="CZ36" s="379"/>
      <c r="DA36" s="379"/>
      <c r="DB36" s="379"/>
      <c r="DC36" s="379"/>
      <c r="DD36" s="379"/>
      <c r="DE36" s="379"/>
      <c r="DF36" s="379"/>
      <c r="DG36" s="379"/>
      <c r="DH36" s="1932">
        <f>'[8]Estado Resumen'!$D$29</f>
        <v>0</v>
      </c>
      <c r="DI36" s="1933"/>
      <c r="DJ36" s="1934">
        <f>+DH36/$EB$36</f>
        <v>0</v>
      </c>
      <c r="DK36" s="1935"/>
      <c r="DL36" s="1809">
        <v>5.78</v>
      </c>
      <c r="DM36" s="1809"/>
      <c r="DN36" s="1794">
        <f>+DL36/$EB$36</f>
        <v>1</v>
      </c>
      <c r="DO36" s="1793"/>
      <c r="DP36" s="1795">
        <v>0</v>
      </c>
      <c r="DQ36" s="1795"/>
      <c r="DR36" s="1936">
        <f>+DP36/$EB$36</f>
        <v>0</v>
      </c>
      <c r="DS36" s="1936"/>
      <c r="DT36" s="1923">
        <f>+'[3]Estado Resumen'!$J$28</f>
        <v>0</v>
      </c>
      <c r="DU36" s="1923"/>
      <c r="DV36" s="1924">
        <f>+DT36/$EB$36</f>
        <v>0</v>
      </c>
      <c r="DW36" s="1925"/>
      <c r="DX36" s="1798">
        <f>+'[3]Estado Resumen'!$L$28</f>
        <v>0</v>
      </c>
      <c r="DY36" s="1798"/>
      <c r="DZ36" s="1799">
        <f>+DX36/$EB$36</f>
        <v>0</v>
      </c>
      <c r="EA36" s="1800"/>
      <c r="EB36" s="612">
        <f>DL36+DP36+DX36+DT36+DH36</f>
        <v>5.78</v>
      </c>
      <c r="EC36" s="616">
        <f>DN36+DR36+DZ36+DV36+DJ36</f>
        <v>1</v>
      </c>
      <c r="ED36" s="617"/>
    </row>
    <row r="37" spans="1:134" ht="10.5" customHeight="1">
      <c r="A37" s="1644" t="s">
        <v>88</v>
      </c>
      <c r="B37" s="365"/>
      <c r="K37" s="366"/>
      <c r="L37" s="365"/>
      <c r="U37" s="366"/>
      <c r="V37" s="365"/>
      <c r="AE37" s="366"/>
      <c r="AF37" s="365"/>
      <c r="AO37" s="366"/>
      <c r="AY37" s="366"/>
      <c r="BI37" s="366"/>
      <c r="BS37" s="366"/>
      <c r="CC37" s="366"/>
      <c r="CM37" s="366"/>
      <c r="CW37" s="366"/>
      <c r="DH37" s="1889"/>
      <c r="DI37" s="1789"/>
      <c r="DJ37" s="1789"/>
      <c r="DK37" s="1789"/>
      <c r="DL37" s="1926"/>
      <c r="DM37" s="1926"/>
      <c r="DN37" s="1926"/>
      <c r="DO37" s="1926"/>
      <c r="DP37" s="1926"/>
      <c r="DQ37" s="1926"/>
      <c r="DR37" s="1926"/>
      <c r="DS37" s="1926"/>
      <c r="DT37" s="1928"/>
      <c r="DU37" s="1928"/>
      <c r="DV37" s="1928"/>
      <c r="DW37" s="1928"/>
      <c r="DX37" s="1928"/>
      <c r="DY37" s="1928"/>
      <c r="DZ37" s="1928"/>
      <c r="EA37" s="1930"/>
      <c r="ED37" s="615"/>
    </row>
    <row r="38" spans="1:134" ht="4.5" customHeight="1">
      <c r="A38" s="1645"/>
      <c r="B38" s="365"/>
      <c r="K38" s="366"/>
      <c r="L38" s="365"/>
      <c r="U38" s="366"/>
      <c r="V38" s="365"/>
      <c r="AE38" s="366"/>
      <c r="AF38" s="365"/>
      <c r="AO38" s="366"/>
      <c r="AY38" s="366"/>
      <c r="BI38" s="366"/>
      <c r="BS38" s="366"/>
      <c r="CC38" s="366"/>
      <c r="CM38" s="366"/>
      <c r="CW38" s="366"/>
      <c r="DH38" s="1889"/>
      <c r="DI38" s="1789"/>
      <c r="DJ38" s="1789"/>
      <c r="DK38" s="1789"/>
      <c r="DL38" s="1927"/>
      <c r="DM38" s="1927"/>
      <c r="DN38" s="1927"/>
      <c r="DO38" s="1927"/>
      <c r="DP38" s="1927"/>
      <c r="DQ38" s="1927"/>
      <c r="DR38" s="1927"/>
      <c r="DS38" s="1927"/>
      <c r="DT38" s="1929"/>
      <c r="DU38" s="1929"/>
      <c r="DV38" s="1929"/>
      <c r="DW38" s="1929"/>
      <c r="DX38" s="1929"/>
      <c r="DY38" s="1929"/>
      <c r="DZ38" s="1929"/>
      <c r="EA38" s="1931"/>
      <c r="EB38" s="612"/>
      <c r="EC38" s="616"/>
      <c r="ED38" s="615"/>
    </row>
    <row r="39" spans="1:134" ht="13.5" customHeight="1">
      <c r="A39" s="1646"/>
      <c r="B39" s="378"/>
      <c r="C39" s="379"/>
      <c r="D39" s="379"/>
      <c r="E39" s="379"/>
      <c r="F39" s="379"/>
      <c r="G39" s="379"/>
      <c r="H39" s="379"/>
      <c r="I39" s="379"/>
      <c r="J39" s="379"/>
      <c r="K39" s="380"/>
      <c r="L39" s="378"/>
      <c r="M39" s="379"/>
      <c r="N39" s="379"/>
      <c r="O39" s="379"/>
      <c r="P39" s="379"/>
      <c r="Q39" s="379"/>
      <c r="R39" s="379"/>
      <c r="S39" s="379"/>
      <c r="T39" s="379"/>
      <c r="U39" s="380"/>
      <c r="V39" s="378"/>
      <c r="W39" s="379"/>
      <c r="X39" s="379"/>
      <c r="Y39" s="379"/>
      <c r="Z39" s="379"/>
      <c r="AA39" s="379"/>
      <c r="AB39" s="379"/>
      <c r="AC39" s="379"/>
      <c r="AD39" s="379"/>
      <c r="AE39" s="380"/>
      <c r="AF39" s="378"/>
      <c r="AG39" s="379"/>
      <c r="AH39" s="379"/>
      <c r="AI39" s="379"/>
      <c r="AJ39" s="379"/>
      <c r="AK39" s="379"/>
      <c r="AL39" s="379"/>
      <c r="AM39" s="379"/>
      <c r="AN39" s="379"/>
      <c r="AO39" s="380"/>
      <c r="AP39" s="379"/>
      <c r="AQ39" s="379"/>
      <c r="AR39" s="379"/>
      <c r="AS39" s="379"/>
      <c r="AT39" s="379"/>
      <c r="AU39" s="379"/>
      <c r="AV39" s="379"/>
      <c r="AW39" s="379"/>
      <c r="AX39" s="379"/>
      <c r="AY39" s="380"/>
      <c r="AZ39" s="379"/>
      <c r="BA39" s="379"/>
      <c r="BB39" s="379"/>
      <c r="BC39" s="379"/>
      <c r="BD39" s="379"/>
      <c r="BE39" s="379"/>
      <c r="BF39" s="379"/>
      <c r="BG39" s="379"/>
      <c r="BH39" s="379"/>
      <c r="BI39" s="380"/>
      <c r="BJ39" s="379"/>
      <c r="BK39" s="379"/>
      <c r="BL39" s="379"/>
      <c r="BM39" s="379"/>
      <c r="BN39" s="379"/>
      <c r="BO39" s="379"/>
      <c r="BP39" s="379"/>
      <c r="BQ39" s="379"/>
      <c r="BR39" s="379"/>
      <c r="BS39" s="380"/>
      <c r="BT39" s="379"/>
      <c r="BU39" s="379"/>
      <c r="BV39" s="379"/>
      <c r="BW39" s="379"/>
      <c r="BX39" s="379"/>
      <c r="BY39" s="379"/>
      <c r="BZ39" s="379"/>
      <c r="CA39" s="379"/>
      <c r="CB39" s="379"/>
      <c r="CC39" s="380"/>
      <c r="CD39" s="379"/>
      <c r="CE39" s="379"/>
      <c r="CF39" s="379"/>
      <c r="CG39" s="379"/>
      <c r="CH39" s="379"/>
      <c r="CI39" s="379"/>
      <c r="CJ39" s="379"/>
      <c r="CK39" s="379"/>
      <c r="CL39" s="379"/>
      <c r="CM39" s="380"/>
      <c r="CN39" s="379"/>
      <c r="CO39" s="379"/>
      <c r="CP39" s="379"/>
      <c r="CQ39" s="379"/>
      <c r="CR39" s="379"/>
      <c r="CS39" s="379"/>
      <c r="CT39" s="379"/>
      <c r="CU39" s="379"/>
      <c r="CV39" s="379"/>
      <c r="CW39" s="380"/>
      <c r="CX39" s="379"/>
      <c r="CY39" s="379"/>
      <c r="CZ39" s="379"/>
      <c r="DA39" s="379"/>
      <c r="DB39" s="379"/>
      <c r="DC39" s="379"/>
      <c r="DD39" s="379"/>
      <c r="DE39" s="379"/>
      <c r="DF39" s="379"/>
      <c r="DG39" s="379"/>
      <c r="DH39" s="1932"/>
      <c r="DI39" s="1933"/>
      <c r="DJ39" s="1934"/>
      <c r="DK39" s="1935"/>
      <c r="DL39" s="1809"/>
      <c r="DM39" s="1809"/>
      <c r="DN39" s="1794"/>
      <c r="DO39" s="1793"/>
      <c r="DP39" s="1795"/>
      <c r="DQ39" s="1795"/>
      <c r="DR39" s="1936"/>
      <c r="DS39" s="1936"/>
      <c r="DT39" s="1923"/>
      <c r="DU39" s="1923"/>
      <c r="DV39" s="1924"/>
      <c r="DW39" s="1925"/>
      <c r="DX39" s="1798"/>
      <c r="DY39" s="1798"/>
      <c r="DZ39" s="1799"/>
      <c r="EA39" s="1800"/>
      <c r="EB39" s="612"/>
      <c r="EC39" s="616"/>
      <c r="ED39" s="615"/>
    </row>
    <row r="40" spans="1:134" ht="10.5" customHeight="1">
      <c r="A40" s="1644" t="s">
        <v>649</v>
      </c>
      <c r="B40" s="365"/>
      <c r="K40" s="366"/>
      <c r="L40" s="365"/>
      <c r="U40" s="366"/>
      <c r="V40" s="365"/>
      <c r="AE40" s="366"/>
      <c r="AF40" s="365"/>
      <c r="AO40" s="366"/>
      <c r="AY40" s="366"/>
      <c r="BI40" s="366"/>
      <c r="BS40" s="372"/>
      <c r="CC40" s="366"/>
      <c r="CM40" s="366"/>
      <c r="CW40" s="366"/>
      <c r="DH40" s="1889" t="s">
        <v>54</v>
      </c>
      <c r="DI40" s="1789"/>
      <c r="DJ40" s="1789"/>
      <c r="DK40" s="1789"/>
      <c r="DL40" s="1926" t="s">
        <v>54</v>
      </c>
      <c r="DM40" s="1926"/>
      <c r="DN40" s="1926"/>
      <c r="DO40" s="1926"/>
      <c r="DP40" s="1926" t="s">
        <v>54</v>
      </c>
      <c r="DQ40" s="1926"/>
      <c r="DR40" s="1926"/>
      <c r="DS40" s="1926"/>
      <c r="DT40" s="1928" t="s">
        <v>54</v>
      </c>
      <c r="DU40" s="1928"/>
      <c r="DV40" s="1928"/>
      <c r="DW40" s="1928"/>
      <c r="DX40" s="1928" t="s">
        <v>54</v>
      </c>
      <c r="DY40" s="1928"/>
      <c r="DZ40" s="1928"/>
      <c r="EA40" s="1930"/>
      <c r="ED40" s="615"/>
    </row>
    <row r="41" spans="1:134" ht="4.5" customHeight="1">
      <c r="A41" s="1645"/>
      <c r="B41" s="365"/>
      <c r="K41" s="366"/>
      <c r="L41" s="365"/>
      <c r="U41" s="366"/>
      <c r="V41" s="365"/>
      <c r="AE41" s="366"/>
      <c r="AF41" s="365"/>
      <c r="AO41" s="366"/>
      <c r="AY41" s="366"/>
      <c r="BI41" s="366"/>
      <c r="BS41" s="372"/>
      <c r="CC41" s="366"/>
      <c r="CM41" s="366"/>
      <c r="CW41" s="366"/>
      <c r="DH41" s="1889"/>
      <c r="DI41" s="1789"/>
      <c r="DJ41" s="1789"/>
      <c r="DK41" s="1789"/>
      <c r="DL41" s="1927"/>
      <c r="DM41" s="1927"/>
      <c r="DN41" s="1927"/>
      <c r="DO41" s="1927"/>
      <c r="DP41" s="1927"/>
      <c r="DQ41" s="1927"/>
      <c r="DR41" s="1927"/>
      <c r="DS41" s="1927"/>
      <c r="DT41" s="1929"/>
      <c r="DU41" s="1929"/>
      <c r="DV41" s="1929"/>
      <c r="DW41" s="1929"/>
      <c r="DX41" s="1929"/>
      <c r="DY41" s="1929"/>
      <c r="DZ41" s="1929"/>
      <c r="EA41" s="1931"/>
      <c r="EB41" s="612" t="s">
        <v>54</v>
      </c>
      <c r="EC41" s="616" t="s">
        <v>54</v>
      </c>
      <c r="ED41" s="615"/>
    </row>
    <row r="42" spans="1:134" ht="13.5" customHeight="1">
      <c r="A42" s="1646"/>
      <c r="B42" s="378"/>
      <c r="C42" s="379"/>
      <c r="D42" s="379"/>
      <c r="E42" s="379"/>
      <c r="F42" s="379"/>
      <c r="G42" s="379"/>
      <c r="H42" s="379"/>
      <c r="I42" s="379"/>
      <c r="J42" s="379"/>
      <c r="K42" s="380"/>
      <c r="L42" s="378"/>
      <c r="M42" s="379"/>
      <c r="N42" s="379"/>
      <c r="O42" s="379"/>
      <c r="P42" s="379"/>
      <c r="Q42" s="379"/>
      <c r="R42" s="379"/>
      <c r="S42" s="379"/>
      <c r="T42" s="379"/>
      <c r="U42" s="380"/>
      <c r="V42" s="378"/>
      <c r="W42" s="379"/>
      <c r="X42" s="379"/>
      <c r="Y42" s="379"/>
      <c r="Z42" s="379"/>
      <c r="AA42" s="379"/>
      <c r="AB42" s="379"/>
      <c r="AC42" s="379"/>
      <c r="AD42" s="379"/>
      <c r="AE42" s="380"/>
      <c r="AF42" s="378"/>
      <c r="AG42" s="379"/>
      <c r="AH42" s="379"/>
      <c r="AI42" s="379"/>
      <c r="AJ42" s="379"/>
      <c r="AK42" s="379"/>
      <c r="AL42" s="379"/>
      <c r="AM42" s="379"/>
      <c r="AN42" s="379"/>
      <c r="AO42" s="380"/>
      <c r="AP42" s="379"/>
      <c r="AQ42" s="379"/>
      <c r="AR42" s="379"/>
      <c r="AS42" s="379"/>
      <c r="AT42" s="379"/>
      <c r="AU42" s="379"/>
      <c r="AV42" s="379"/>
      <c r="AW42" s="379"/>
      <c r="AX42" s="379"/>
      <c r="AY42" s="380"/>
      <c r="AZ42" s="379"/>
      <c r="BA42" s="379"/>
      <c r="BB42" s="379"/>
      <c r="BC42" s="379"/>
      <c r="BD42" s="379"/>
      <c r="BE42" s="379"/>
      <c r="BF42" s="379"/>
      <c r="BG42" s="379"/>
      <c r="BH42" s="379"/>
      <c r="BI42" s="380"/>
      <c r="BJ42" s="379"/>
      <c r="BK42" s="379"/>
      <c r="BL42" s="379"/>
      <c r="BM42" s="379"/>
      <c r="BN42" s="379"/>
      <c r="BO42" s="379"/>
      <c r="BP42" s="379"/>
      <c r="BQ42" s="379"/>
      <c r="BR42" s="379"/>
      <c r="BS42" s="372"/>
      <c r="BT42" s="379"/>
      <c r="BU42" s="379"/>
      <c r="BV42" s="379"/>
      <c r="BW42" s="379"/>
      <c r="BX42" s="379"/>
      <c r="BY42" s="379"/>
      <c r="BZ42" s="379"/>
      <c r="CA42" s="379"/>
      <c r="CB42" s="379"/>
      <c r="CC42" s="380"/>
      <c r="CD42" s="379"/>
      <c r="CE42" s="379"/>
      <c r="CF42" s="379"/>
      <c r="CG42" s="379"/>
      <c r="CH42" s="379"/>
      <c r="CI42" s="379"/>
      <c r="CJ42" s="379"/>
      <c r="CK42" s="379"/>
      <c r="CL42" s="379"/>
      <c r="CM42" s="380"/>
      <c r="CN42" s="379"/>
      <c r="CO42" s="379"/>
      <c r="CP42" s="379"/>
      <c r="CQ42" s="379"/>
      <c r="CR42" s="379"/>
      <c r="CS42" s="379"/>
      <c r="CT42" s="379"/>
      <c r="CU42" s="379"/>
      <c r="CV42" s="379"/>
      <c r="CW42" s="380"/>
      <c r="CX42" s="379"/>
      <c r="CY42" s="379"/>
      <c r="CZ42" s="379"/>
      <c r="DA42" s="379"/>
      <c r="DB42" s="379"/>
      <c r="DC42" s="379"/>
      <c r="DD42" s="379"/>
      <c r="DE42" s="379"/>
      <c r="DF42" s="379"/>
      <c r="DG42" s="379"/>
      <c r="DH42" s="1932">
        <v>0</v>
      </c>
      <c r="DI42" s="1933"/>
      <c r="DJ42" s="1934">
        <v>0</v>
      </c>
      <c r="DK42" s="1935"/>
      <c r="DL42" s="1809">
        <v>1</v>
      </c>
      <c r="DM42" s="1809"/>
      <c r="DN42" s="1794">
        <v>1</v>
      </c>
      <c r="DO42" s="1793"/>
      <c r="DP42" s="1795">
        <v>0</v>
      </c>
      <c r="DQ42" s="1795"/>
      <c r="DR42" s="1936">
        <f>+DP42/$EB$36</f>
        <v>0</v>
      </c>
      <c r="DS42" s="1936"/>
      <c r="DT42" s="1923">
        <v>0</v>
      </c>
      <c r="DU42" s="1923"/>
      <c r="DV42" s="1924">
        <f>DT42/$ED$34</f>
        <v>0</v>
      </c>
      <c r="DW42" s="1925"/>
      <c r="DX42" s="1798">
        <v>0</v>
      </c>
      <c r="DY42" s="1798"/>
      <c r="DZ42" s="1799">
        <v>0</v>
      </c>
      <c r="EA42" s="1800"/>
      <c r="EB42" s="624">
        <f>DL42+DP42+DX42+DT42+DH42</f>
        <v>1</v>
      </c>
      <c r="EC42" s="616">
        <f>DN42+DR42+DZ42+DV42+DJ42</f>
        <v>1</v>
      </c>
      <c r="ED42" s="615"/>
    </row>
    <row r="43" spans="1:134" ht="10.5" customHeight="1">
      <c r="A43" s="1644" t="s">
        <v>56</v>
      </c>
      <c r="B43" s="365"/>
      <c r="K43" s="366"/>
      <c r="L43" s="365"/>
      <c r="U43" s="366"/>
      <c r="V43" s="365"/>
      <c r="AE43" s="366"/>
      <c r="AF43" s="365"/>
      <c r="AO43" s="366"/>
      <c r="AY43" s="366"/>
      <c r="BI43" s="366"/>
      <c r="BS43" s="366"/>
      <c r="CC43" s="366"/>
      <c r="CM43" s="366"/>
      <c r="CW43" s="366"/>
      <c r="DH43" s="1889" t="s">
        <v>54</v>
      </c>
      <c r="DI43" s="1789"/>
      <c r="DJ43" s="1789"/>
      <c r="DK43" s="1789"/>
      <c r="DL43" s="1926" t="s">
        <v>54</v>
      </c>
      <c r="DM43" s="1926"/>
      <c r="DN43" s="1926"/>
      <c r="DO43" s="1926"/>
      <c r="DP43" s="1926" t="s">
        <v>54</v>
      </c>
      <c r="DQ43" s="1926"/>
      <c r="DR43" s="1926"/>
      <c r="DS43" s="1926"/>
      <c r="DT43" s="1928" t="s">
        <v>54</v>
      </c>
      <c r="DU43" s="1928"/>
      <c r="DV43" s="1928"/>
      <c r="DW43" s="1928"/>
      <c r="DX43" s="1928" t="s">
        <v>54</v>
      </c>
      <c r="DY43" s="1928"/>
      <c r="DZ43" s="1928"/>
      <c r="EA43" s="1930"/>
      <c r="EB43" s="612" t="s">
        <v>54</v>
      </c>
      <c r="EC43" s="616" t="s">
        <v>54</v>
      </c>
      <c r="ED43" s="615"/>
    </row>
    <row r="44" spans="1:134" ht="4.5" customHeight="1">
      <c r="A44" s="1645"/>
      <c r="B44" s="365"/>
      <c r="K44" s="366"/>
      <c r="L44" s="365"/>
      <c r="U44" s="366"/>
      <c r="V44" s="365"/>
      <c r="AE44" s="366"/>
      <c r="AF44" s="365"/>
      <c r="AO44" s="366"/>
      <c r="AY44" s="366"/>
      <c r="BI44" s="366"/>
      <c r="BS44" s="366"/>
      <c r="CC44" s="366"/>
      <c r="CM44" s="366"/>
      <c r="CW44" s="366"/>
      <c r="DH44" s="1889"/>
      <c r="DI44" s="1789"/>
      <c r="DJ44" s="1789"/>
      <c r="DK44" s="1789"/>
      <c r="DL44" s="1927"/>
      <c r="DM44" s="1927"/>
      <c r="DN44" s="1927"/>
      <c r="DO44" s="1927"/>
      <c r="DP44" s="1927"/>
      <c r="DQ44" s="1927"/>
      <c r="DR44" s="1927"/>
      <c r="DS44" s="1927"/>
      <c r="DT44" s="1929"/>
      <c r="DU44" s="1929"/>
      <c r="DV44" s="1929"/>
      <c r="DW44" s="1929"/>
      <c r="DX44" s="1929"/>
      <c r="DY44" s="1929"/>
      <c r="DZ44" s="1929"/>
      <c r="EA44" s="1931"/>
      <c r="EB44" s="612"/>
      <c r="EC44" s="616"/>
      <c r="ED44" s="615"/>
    </row>
    <row r="45" spans="1:134" ht="13.5" customHeight="1">
      <c r="A45" s="1646"/>
      <c r="B45" s="378"/>
      <c r="C45" s="379"/>
      <c r="D45" s="379"/>
      <c r="E45" s="379"/>
      <c r="F45" s="379"/>
      <c r="G45" s="379"/>
      <c r="H45" s="379"/>
      <c r="I45" s="379"/>
      <c r="J45" s="379"/>
      <c r="K45" s="380"/>
      <c r="L45" s="378"/>
      <c r="M45" s="379"/>
      <c r="N45" s="379"/>
      <c r="O45" s="379"/>
      <c r="P45" s="379"/>
      <c r="Q45" s="379"/>
      <c r="R45" s="379"/>
      <c r="S45" s="379"/>
      <c r="T45" s="379"/>
      <c r="U45" s="380"/>
      <c r="V45" s="378"/>
      <c r="W45" s="379"/>
      <c r="X45" s="379"/>
      <c r="Y45" s="379"/>
      <c r="Z45" s="379"/>
      <c r="AA45" s="379"/>
      <c r="AB45" s="379"/>
      <c r="AC45" s="379"/>
      <c r="AD45" s="379"/>
      <c r="AE45" s="380"/>
      <c r="AF45" s="378"/>
      <c r="AG45" s="379"/>
      <c r="AH45" s="379"/>
      <c r="AI45" s="379"/>
      <c r="AJ45" s="379"/>
      <c r="AK45" s="379"/>
      <c r="AL45" s="379"/>
      <c r="AM45" s="379"/>
      <c r="AN45" s="379"/>
      <c r="AO45" s="380"/>
      <c r="AP45" s="379"/>
      <c r="AQ45" s="379"/>
      <c r="AR45" s="379"/>
      <c r="AS45" s="379"/>
      <c r="AT45" s="379"/>
      <c r="AU45" s="379"/>
      <c r="AV45" s="379"/>
      <c r="AW45" s="379"/>
      <c r="AX45" s="379"/>
      <c r="AY45" s="380"/>
      <c r="AZ45" s="379"/>
      <c r="BA45" s="379"/>
      <c r="BB45" s="379"/>
      <c r="BC45" s="379"/>
      <c r="BD45" s="379"/>
      <c r="BE45" s="379"/>
      <c r="BF45" s="379"/>
      <c r="BG45" s="379"/>
      <c r="BH45" s="379"/>
      <c r="BI45" s="380"/>
      <c r="BJ45" s="379"/>
      <c r="BK45" s="379"/>
      <c r="BL45" s="379"/>
      <c r="BM45" s="379"/>
      <c r="BN45" s="379"/>
      <c r="BO45" s="379"/>
      <c r="BP45" s="379"/>
      <c r="BQ45" s="379"/>
      <c r="BR45" s="379"/>
      <c r="BS45" s="380"/>
      <c r="BT45" s="379"/>
      <c r="BU45" s="379"/>
      <c r="BV45" s="379"/>
      <c r="BW45" s="379"/>
      <c r="BX45" s="379"/>
      <c r="BY45" s="379"/>
      <c r="BZ45" s="379"/>
      <c r="CA45" s="379"/>
      <c r="CB45" s="379"/>
      <c r="CC45" s="380"/>
      <c r="CD45" s="379"/>
      <c r="CE45" s="379"/>
      <c r="CF45" s="379"/>
      <c r="CG45" s="379"/>
      <c r="CH45" s="379"/>
      <c r="CI45" s="379"/>
      <c r="CJ45" s="379"/>
      <c r="CK45" s="379"/>
      <c r="CL45" s="379"/>
      <c r="CM45" s="380"/>
      <c r="CN45" s="379"/>
      <c r="CO45" s="379"/>
      <c r="CP45" s="379"/>
      <c r="CQ45" s="379"/>
      <c r="CR45" s="379"/>
      <c r="CS45" s="379"/>
      <c r="CT45" s="379"/>
      <c r="CU45" s="379"/>
      <c r="CV45" s="379"/>
      <c r="CW45" s="380"/>
      <c r="CX45" s="379"/>
      <c r="CY45" s="379"/>
      <c r="CZ45" s="379"/>
      <c r="DA45" s="379"/>
      <c r="DB45" s="379"/>
      <c r="DC45" s="379"/>
      <c r="DD45" s="379"/>
      <c r="DE45" s="379"/>
      <c r="DF45" s="379"/>
      <c r="DG45" s="379"/>
      <c r="DH45" s="1932">
        <v>0</v>
      </c>
      <c r="DI45" s="1933"/>
      <c r="DJ45" s="1934">
        <v>0</v>
      </c>
      <c r="DK45" s="1935"/>
      <c r="DL45" s="1809">
        <v>0</v>
      </c>
      <c r="DM45" s="1809"/>
      <c r="DN45" s="1794">
        <f>DL45/ED34</f>
        <v>0</v>
      </c>
      <c r="DO45" s="1793"/>
      <c r="DP45" s="1795">
        <v>0</v>
      </c>
      <c r="DQ45" s="1795"/>
      <c r="DR45" s="1936">
        <f>+DP45/$EB$36</f>
        <v>0</v>
      </c>
      <c r="DS45" s="1936"/>
      <c r="DT45" s="1923">
        <v>0</v>
      </c>
      <c r="DU45" s="1923"/>
      <c r="DV45" s="1924">
        <f>DT45/$ED$34</f>
        <v>0</v>
      </c>
      <c r="DW45" s="1925"/>
      <c r="DX45" s="1798">
        <v>0</v>
      </c>
      <c r="DY45" s="1798"/>
      <c r="DZ45" s="1799">
        <v>0</v>
      </c>
      <c r="EA45" s="1800"/>
      <c r="EB45" s="624">
        <f>DL45+DP45+DX45+DT45+DH45</f>
        <v>0</v>
      </c>
      <c r="EC45" s="616">
        <f>DN45+DR45+DZ45+DV45+DJ45</f>
        <v>0</v>
      </c>
      <c r="ED45" s="615"/>
    </row>
    <row r="46" spans="1:134" ht="10.5" customHeight="1">
      <c r="A46" s="1644" t="s">
        <v>574</v>
      </c>
      <c r="B46" s="365"/>
      <c r="K46" s="366"/>
      <c r="L46" s="365"/>
      <c r="U46" s="366"/>
      <c r="V46" s="365"/>
      <c r="AE46" s="366"/>
      <c r="AF46" s="365"/>
      <c r="AO46" s="366"/>
      <c r="AY46" s="366"/>
      <c r="BI46" s="366"/>
      <c r="BS46" s="366"/>
      <c r="CC46" s="366"/>
      <c r="CM46" s="366"/>
      <c r="CW46" s="366"/>
      <c r="DH46" s="1889" t="s">
        <v>54</v>
      </c>
      <c r="DI46" s="1789"/>
      <c r="DJ46" s="1789"/>
      <c r="DK46" s="1789"/>
      <c r="DL46" s="1926" t="s">
        <v>54</v>
      </c>
      <c r="DM46" s="1926"/>
      <c r="DN46" s="1926"/>
      <c r="DO46" s="1926"/>
      <c r="DP46" s="1926" t="s">
        <v>54</v>
      </c>
      <c r="DQ46" s="1926"/>
      <c r="DR46" s="1926"/>
      <c r="DS46" s="1926"/>
      <c r="DT46" s="1928" t="s">
        <v>54</v>
      </c>
      <c r="DU46" s="1928"/>
      <c r="DV46" s="1928"/>
      <c r="DW46" s="1928"/>
      <c r="DX46" s="1928" t="s">
        <v>54</v>
      </c>
      <c r="DY46" s="1928"/>
      <c r="DZ46" s="1928"/>
      <c r="EA46" s="1930"/>
      <c r="EB46" s="612"/>
      <c r="EC46" s="616"/>
      <c r="ED46" s="615"/>
    </row>
    <row r="47" spans="1:134" ht="4.5" customHeight="1">
      <c r="A47" s="1645"/>
      <c r="B47" s="886"/>
      <c r="C47" s="373"/>
      <c r="D47" s="373"/>
      <c r="E47" s="373"/>
      <c r="F47" s="373"/>
      <c r="G47" s="373"/>
      <c r="H47" s="373"/>
      <c r="I47" s="373"/>
      <c r="J47" s="373"/>
      <c r="K47" s="401"/>
      <c r="L47" s="886"/>
      <c r="M47" s="373"/>
      <c r="N47" s="373"/>
      <c r="O47" s="373"/>
      <c r="P47" s="373"/>
      <c r="Q47" s="373"/>
      <c r="R47" s="373"/>
      <c r="S47" s="373"/>
      <c r="T47" s="373"/>
      <c r="U47" s="401"/>
      <c r="V47" s="886"/>
      <c r="W47" s="373"/>
      <c r="X47" s="373"/>
      <c r="Y47" s="373"/>
      <c r="Z47" s="373"/>
      <c r="AA47" s="373"/>
      <c r="AB47" s="373"/>
      <c r="AC47" s="373"/>
      <c r="AD47" s="373"/>
      <c r="AE47" s="401"/>
      <c r="AF47" s="886"/>
      <c r="AG47" s="373"/>
      <c r="AH47" s="373"/>
      <c r="AI47" s="373"/>
      <c r="AJ47" s="373"/>
      <c r="AK47" s="373"/>
      <c r="AL47" s="373"/>
      <c r="AM47" s="373"/>
      <c r="AN47" s="373"/>
      <c r="AO47" s="401"/>
      <c r="AP47" s="373"/>
      <c r="AQ47" s="373"/>
      <c r="AR47" s="373"/>
      <c r="AS47" s="373"/>
      <c r="AT47" s="371"/>
      <c r="AU47" s="371"/>
      <c r="AV47" s="371"/>
      <c r="AW47" s="371"/>
      <c r="AX47" s="371"/>
      <c r="AY47" s="372"/>
      <c r="AZ47" s="371"/>
      <c r="BA47" s="371"/>
      <c r="BB47" s="371"/>
      <c r="BC47" s="371"/>
      <c r="BD47" s="371"/>
      <c r="BE47" s="371"/>
      <c r="BF47" s="371"/>
      <c r="BG47" s="371"/>
      <c r="BH47" s="371"/>
      <c r="BI47" s="372"/>
      <c r="BJ47" s="371"/>
      <c r="BK47" s="371"/>
      <c r="BL47" s="371"/>
      <c r="BM47" s="371"/>
      <c r="BN47" s="371"/>
      <c r="BO47" s="371"/>
      <c r="BP47" s="371"/>
      <c r="BQ47" s="371"/>
      <c r="BR47" s="371"/>
      <c r="BS47" s="372"/>
      <c r="BT47" s="371"/>
      <c r="BU47" s="371"/>
      <c r="BV47" s="371"/>
      <c r="BW47" s="371"/>
      <c r="BX47" s="371"/>
      <c r="BY47" s="371"/>
      <c r="BZ47" s="371"/>
      <c r="CA47" s="371"/>
      <c r="CB47" s="371"/>
      <c r="CC47" s="372"/>
      <c r="CD47" s="371"/>
      <c r="CE47" s="371"/>
      <c r="CF47" s="371"/>
      <c r="CG47" s="371"/>
      <c r="CH47" s="371"/>
      <c r="CI47" s="371"/>
      <c r="CJ47" s="371"/>
      <c r="CK47" s="371"/>
      <c r="CL47" s="371"/>
      <c r="CM47" s="372"/>
      <c r="CW47" s="366"/>
      <c r="DH47" s="1889"/>
      <c r="DI47" s="1789"/>
      <c r="DJ47" s="1789"/>
      <c r="DK47" s="1789"/>
      <c r="DL47" s="1927"/>
      <c r="DM47" s="1927"/>
      <c r="DN47" s="1927"/>
      <c r="DO47" s="1927"/>
      <c r="DP47" s="1927"/>
      <c r="DQ47" s="1927"/>
      <c r="DR47" s="1927"/>
      <c r="DS47" s="1927"/>
      <c r="DT47" s="1929"/>
      <c r="DU47" s="1929"/>
      <c r="DV47" s="1929"/>
      <c r="DW47" s="1929"/>
      <c r="DX47" s="1929"/>
      <c r="DY47" s="1929"/>
      <c r="DZ47" s="1929"/>
      <c r="EA47" s="1931"/>
      <c r="EB47" s="612" t="s">
        <v>54</v>
      </c>
      <c r="EC47" s="616" t="s">
        <v>54</v>
      </c>
      <c r="ED47" s="612"/>
    </row>
    <row r="48" spans="1:134" ht="13.5" customHeight="1">
      <c r="A48" s="1646"/>
      <c r="B48" s="378"/>
      <c r="C48" s="379"/>
      <c r="D48" s="379"/>
      <c r="E48" s="379"/>
      <c r="F48" s="379"/>
      <c r="G48" s="379"/>
      <c r="H48" s="379"/>
      <c r="I48" s="379"/>
      <c r="J48" s="379"/>
      <c r="K48" s="380"/>
      <c r="L48" s="378"/>
      <c r="M48" s="379"/>
      <c r="N48" s="379"/>
      <c r="O48" s="379"/>
      <c r="P48" s="379"/>
      <c r="Q48" s="379"/>
      <c r="R48" s="379"/>
      <c r="S48" s="379"/>
      <c r="T48" s="379"/>
      <c r="U48" s="380"/>
      <c r="V48" s="378"/>
      <c r="W48" s="379"/>
      <c r="X48" s="379"/>
      <c r="Y48" s="379"/>
      <c r="Z48" s="379"/>
      <c r="AA48" s="379"/>
      <c r="AB48" s="379"/>
      <c r="AC48" s="379"/>
      <c r="AD48" s="379"/>
      <c r="AE48" s="380"/>
      <c r="AF48" s="378"/>
      <c r="AG48" s="379"/>
      <c r="AH48" s="379"/>
      <c r="AI48" s="379"/>
      <c r="AJ48" s="379"/>
      <c r="AK48" s="379"/>
      <c r="AL48" s="379"/>
      <c r="AM48" s="379"/>
      <c r="AN48" s="379"/>
      <c r="AO48" s="380"/>
      <c r="AP48" s="379"/>
      <c r="AQ48" s="379"/>
      <c r="AR48" s="379"/>
      <c r="AS48" s="379"/>
      <c r="AT48" s="379"/>
      <c r="AU48" s="379"/>
      <c r="AV48" s="379"/>
      <c r="AW48" s="379"/>
      <c r="AX48" s="379"/>
      <c r="AY48" s="380"/>
      <c r="AZ48" s="379"/>
      <c r="BA48" s="379"/>
      <c r="BB48" s="379"/>
      <c r="BC48" s="379"/>
      <c r="BD48" s="379"/>
      <c r="BE48" s="379"/>
      <c r="BF48" s="379"/>
      <c r="BG48" s="379"/>
      <c r="BH48" s="379"/>
      <c r="BI48" s="380"/>
      <c r="BJ48" s="379"/>
      <c r="BK48" s="379"/>
      <c r="BL48" s="379"/>
      <c r="BM48" s="379"/>
      <c r="BN48" s="379"/>
      <c r="BO48" s="379"/>
      <c r="BP48" s="379"/>
      <c r="BQ48" s="379"/>
      <c r="BR48" s="379"/>
      <c r="BS48" s="380"/>
      <c r="BT48" s="379"/>
      <c r="BU48" s="379"/>
      <c r="BV48" s="379"/>
      <c r="BW48" s="379"/>
      <c r="BX48" s="379"/>
      <c r="BY48" s="379"/>
      <c r="BZ48" s="379"/>
      <c r="CA48" s="379"/>
      <c r="CB48" s="379"/>
      <c r="CC48" s="380"/>
      <c r="CD48" s="379"/>
      <c r="CE48" s="379"/>
      <c r="CF48" s="379"/>
      <c r="CG48" s="379"/>
      <c r="CH48" s="379"/>
      <c r="CI48" s="379"/>
      <c r="CJ48" s="379"/>
      <c r="CK48" s="379"/>
      <c r="CL48" s="379"/>
      <c r="CM48" s="380"/>
      <c r="CN48" s="379"/>
      <c r="CO48" s="379"/>
      <c r="CP48" s="379"/>
      <c r="CQ48" s="379"/>
      <c r="CR48" s="379"/>
      <c r="CS48" s="379"/>
      <c r="CT48" s="379"/>
      <c r="CU48" s="379"/>
      <c r="CV48" s="379"/>
      <c r="CW48" s="380"/>
      <c r="CX48" s="379"/>
      <c r="CY48" s="379"/>
      <c r="CZ48" s="379"/>
      <c r="DA48" s="379"/>
      <c r="DB48" s="379"/>
      <c r="DC48" s="379"/>
      <c r="DD48" s="379"/>
      <c r="DE48" s="379"/>
      <c r="DF48" s="379"/>
      <c r="DG48" s="379"/>
      <c r="DH48" s="1932">
        <v>0</v>
      </c>
      <c r="DI48" s="1933"/>
      <c r="DJ48" s="1934">
        <v>0</v>
      </c>
      <c r="DK48" s="1935"/>
      <c r="DL48" s="1809">
        <v>2.9929999999999999</v>
      </c>
      <c r="DM48" s="1809"/>
      <c r="DN48" s="1794">
        <f>DL48/ED34</f>
        <v>0.51782006920415224</v>
      </c>
      <c r="DO48" s="1793"/>
      <c r="DP48" s="1795">
        <v>2.7869999999999999</v>
      </c>
      <c r="DQ48" s="1795"/>
      <c r="DR48" s="1936">
        <f>+DP48/$EB$36</f>
        <v>0.4821799307958477</v>
      </c>
      <c r="DS48" s="1936"/>
      <c r="DT48" s="1923">
        <v>0</v>
      </c>
      <c r="DU48" s="1923"/>
      <c r="DV48" s="1924">
        <f>DT48/$ED$34</f>
        <v>0</v>
      </c>
      <c r="DW48" s="1925"/>
      <c r="DX48" s="1798">
        <v>0</v>
      </c>
      <c r="DY48" s="1798"/>
      <c r="DZ48" s="1799">
        <v>0</v>
      </c>
      <c r="EA48" s="1800"/>
      <c r="EB48" s="612">
        <f>DL48+DP48+DX48+DT48+DH48</f>
        <v>5.7799999999999994</v>
      </c>
      <c r="EC48" s="616">
        <f>DN48+DR48+DZ48+DV48+DJ48</f>
        <v>1</v>
      </c>
      <c r="ED48" s="615"/>
    </row>
    <row r="49" spans="1:134" ht="10.5" customHeight="1">
      <c r="A49" s="1644" t="s">
        <v>57</v>
      </c>
      <c r="B49" s="365"/>
      <c r="K49" s="366"/>
      <c r="L49" s="365"/>
      <c r="U49" s="366"/>
      <c r="V49" s="365"/>
      <c r="AE49" s="366"/>
      <c r="AF49" s="365"/>
      <c r="AO49" s="366"/>
      <c r="AY49" s="366"/>
      <c r="BI49" s="366"/>
      <c r="BS49" s="366"/>
      <c r="CC49" s="366"/>
      <c r="CM49" s="366"/>
      <c r="CW49" s="366"/>
      <c r="DH49" s="1889" t="s">
        <v>54</v>
      </c>
      <c r="DI49" s="1789"/>
      <c r="DJ49" s="1789"/>
      <c r="DK49" s="1789"/>
      <c r="DL49" s="1926" t="s">
        <v>54</v>
      </c>
      <c r="DM49" s="1926"/>
      <c r="DN49" s="1926"/>
      <c r="DO49" s="1926"/>
      <c r="DP49" s="1926" t="s">
        <v>54</v>
      </c>
      <c r="DQ49" s="1926"/>
      <c r="DR49" s="1926"/>
      <c r="DS49" s="1926"/>
      <c r="DT49" s="1928" t="s">
        <v>54</v>
      </c>
      <c r="DU49" s="1928"/>
      <c r="DV49" s="1928"/>
      <c r="DW49" s="1928"/>
      <c r="DX49" s="1928" t="s">
        <v>54</v>
      </c>
      <c r="DY49" s="1928"/>
      <c r="DZ49" s="1928"/>
      <c r="EA49" s="1930"/>
      <c r="EB49" s="612" t="s">
        <v>54</v>
      </c>
      <c r="EC49" s="616" t="s">
        <v>54</v>
      </c>
      <c r="ED49" s="612"/>
    </row>
    <row r="50" spans="1:134" ht="3.75" customHeight="1">
      <c r="A50" s="1645"/>
      <c r="B50" s="371"/>
      <c r="C50" s="371"/>
      <c r="D50" s="371"/>
      <c r="E50" s="371"/>
      <c r="F50" s="371"/>
      <c r="G50" s="371"/>
      <c r="H50" s="371"/>
      <c r="I50" s="371"/>
      <c r="J50" s="371"/>
      <c r="K50" s="372"/>
      <c r="L50" s="371"/>
      <c r="M50" s="371"/>
      <c r="N50" s="371"/>
      <c r="O50" s="371"/>
      <c r="P50" s="371"/>
      <c r="Q50" s="371"/>
      <c r="R50" s="371"/>
      <c r="S50" s="371"/>
      <c r="T50" s="371"/>
      <c r="U50" s="372"/>
      <c r="V50" s="371"/>
      <c r="W50" s="371"/>
      <c r="X50" s="371"/>
      <c r="Y50" s="371"/>
      <c r="Z50" s="371"/>
      <c r="AA50" s="371"/>
      <c r="AB50" s="371"/>
      <c r="AC50" s="371"/>
      <c r="AD50" s="371"/>
      <c r="AE50" s="372"/>
      <c r="AF50" s="371"/>
      <c r="AG50" s="371"/>
      <c r="AH50" s="371"/>
      <c r="AI50" s="371"/>
      <c r="AJ50" s="371"/>
      <c r="AK50" s="371"/>
      <c r="AL50" s="371"/>
      <c r="AM50" s="371"/>
      <c r="AN50" s="371"/>
      <c r="AO50" s="372"/>
      <c r="AP50" s="373"/>
      <c r="AQ50" s="373"/>
      <c r="AR50" s="373"/>
      <c r="AS50" s="373"/>
      <c r="AT50" s="373"/>
      <c r="AU50" s="373"/>
      <c r="AV50" s="373"/>
      <c r="AW50" s="373"/>
      <c r="AX50" s="373"/>
      <c r="AY50" s="401"/>
      <c r="AZ50" s="373"/>
      <c r="BA50" s="373"/>
      <c r="BB50" s="373"/>
      <c r="BC50" s="373"/>
      <c r="BD50" s="373"/>
      <c r="BE50" s="373"/>
      <c r="BF50" s="373"/>
      <c r="BG50" s="373"/>
      <c r="BH50" s="373"/>
      <c r="BI50" s="401"/>
      <c r="BJ50" s="373"/>
      <c r="BK50" s="373"/>
      <c r="BL50" s="373"/>
      <c r="BM50" s="373"/>
      <c r="BN50" s="373"/>
      <c r="BO50" s="373"/>
      <c r="BP50" s="373"/>
      <c r="BQ50" s="373"/>
      <c r="BR50" s="373"/>
      <c r="BS50" s="401"/>
      <c r="BT50" s="373"/>
      <c r="BU50" s="373"/>
      <c r="BV50" s="373"/>
      <c r="BW50" s="373"/>
      <c r="BX50" s="373"/>
      <c r="BY50" s="373"/>
      <c r="BZ50" s="373"/>
      <c r="CA50" s="373"/>
      <c r="CB50" s="373"/>
      <c r="CC50" s="401"/>
      <c r="CD50" s="373"/>
      <c r="CE50" s="373"/>
      <c r="CF50" s="373"/>
      <c r="CG50" s="373"/>
      <c r="CH50" s="373"/>
      <c r="CI50" s="373"/>
      <c r="CJ50" s="373"/>
      <c r="CK50" s="373"/>
      <c r="CL50" s="373"/>
      <c r="CM50" s="401"/>
      <c r="CW50" s="366"/>
      <c r="DH50" s="1889"/>
      <c r="DI50" s="1789"/>
      <c r="DJ50" s="1789"/>
      <c r="DK50" s="1789"/>
      <c r="DL50" s="1927"/>
      <c r="DM50" s="1927"/>
      <c r="DN50" s="1927"/>
      <c r="DO50" s="1927"/>
      <c r="DP50" s="1927"/>
      <c r="DQ50" s="1927"/>
      <c r="DR50" s="1927"/>
      <c r="DS50" s="1927"/>
      <c r="DT50" s="1929"/>
      <c r="DU50" s="1929"/>
      <c r="DV50" s="1929"/>
      <c r="DW50" s="1929"/>
      <c r="DX50" s="1929"/>
      <c r="DY50" s="1929"/>
      <c r="DZ50" s="1929"/>
      <c r="EA50" s="1931"/>
      <c r="EB50" s="612"/>
      <c r="EC50" s="616"/>
      <c r="ED50" s="615"/>
    </row>
    <row r="51" spans="1:134" ht="12.75" customHeight="1">
      <c r="A51" s="1646"/>
      <c r="B51" s="378"/>
      <c r="C51" s="379"/>
      <c r="D51" s="379"/>
      <c r="E51" s="379"/>
      <c r="F51" s="379"/>
      <c r="G51" s="379"/>
      <c r="H51" s="379"/>
      <c r="I51" s="379"/>
      <c r="J51" s="379"/>
      <c r="K51" s="380"/>
      <c r="L51" s="378"/>
      <c r="M51" s="379"/>
      <c r="N51" s="379"/>
      <c r="O51" s="379"/>
      <c r="P51" s="379"/>
      <c r="Q51" s="379"/>
      <c r="R51" s="379"/>
      <c r="S51" s="379"/>
      <c r="T51" s="379"/>
      <c r="U51" s="380"/>
      <c r="V51" s="378"/>
      <c r="W51" s="379"/>
      <c r="X51" s="379"/>
      <c r="Y51" s="379"/>
      <c r="Z51" s="379"/>
      <c r="AA51" s="379"/>
      <c r="AB51" s="379"/>
      <c r="AC51" s="379"/>
      <c r="AD51" s="379"/>
      <c r="AE51" s="380"/>
      <c r="AF51" s="378"/>
      <c r="AG51" s="379"/>
      <c r="AH51" s="379"/>
      <c r="AI51" s="379"/>
      <c r="AJ51" s="379"/>
      <c r="AK51" s="379"/>
      <c r="AL51" s="379"/>
      <c r="AM51" s="379"/>
      <c r="AN51" s="379"/>
      <c r="AO51" s="380"/>
      <c r="AP51" s="379"/>
      <c r="AQ51" s="379"/>
      <c r="AR51" s="379"/>
      <c r="AS51" s="379"/>
      <c r="AT51" s="379"/>
      <c r="AU51" s="379"/>
      <c r="AV51" s="379"/>
      <c r="AW51" s="379"/>
      <c r="AX51" s="379"/>
      <c r="AY51" s="380"/>
      <c r="AZ51" s="379"/>
      <c r="BA51" s="379"/>
      <c r="BB51" s="379"/>
      <c r="BC51" s="379"/>
      <c r="BD51" s="379"/>
      <c r="BE51" s="379"/>
      <c r="BF51" s="379"/>
      <c r="BG51" s="379"/>
      <c r="BH51" s="379"/>
      <c r="BI51" s="380"/>
      <c r="BJ51" s="379"/>
      <c r="BK51" s="379"/>
      <c r="BL51" s="379"/>
      <c r="BM51" s="379"/>
      <c r="BN51" s="379"/>
      <c r="BO51" s="379"/>
      <c r="BP51" s="379"/>
      <c r="BQ51" s="379"/>
      <c r="BR51" s="379"/>
      <c r="BS51" s="380"/>
      <c r="BT51" s="379"/>
      <c r="BU51" s="379"/>
      <c r="BV51" s="379"/>
      <c r="BW51" s="379"/>
      <c r="BX51" s="379"/>
      <c r="BY51" s="379"/>
      <c r="BZ51" s="379"/>
      <c r="CA51" s="379"/>
      <c r="CB51" s="379"/>
      <c r="CC51" s="380"/>
      <c r="CD51" s="379"/>
      <c r="CE51" s="379"/>
      <c r="CF51" s="379"/>
      <c r="CG51" s="379"/>
      <c r="CH51" s="379"/>
      <c r="CI51" s="379"/>
      <c r="CJ51" s="379"/>
      <c r="CK51" s="379"/>
      <c r="CL51" s="379"/>
      <c r="CM51" s="380"/>
      <c r="CN51" s="379"/>
      <c r="CO51" s="379"/>
      <c r="CP51" s="379"/>
      <c r="CQ51" s="379"/>
      <c r="CR51" s="379"/>
      <c r="CS51" s="379"/>
      <c r="CT51" s="379"/>
      <c r="CU51" s="379"/>
      <c r="CV51" s="379"/>
      <c r="CW51" s="380"/>
      <c r="CX51" s="379"/>
      <c r="CY51" s="379"/>
      <c r="CZ51" s="379"/>
      <c r="DA51" s="379"/>
      <c r="DB51" s="379"/>
      <c r="DC51" s="379"/>
      <c r="DD51" s="379"/>
      <c r="DE51" s="379"/>
      <c r="DF51" s="379"/>
      <c r="DG51" s="379">
        <f>1.156+1.157</f>
        <v>2.3129999999999997</v>
      </c>
      <c r="DH51" s="1932">
        <v>0</v>
      </c>
      <c r="DI51" s="1933"/>
      <c r="DJ51" s="1934">
        <f>DH51/EB51</f>
        <v>0</v>
      </c>
      <c r="DK51" s="1935"/>
      <c r="DL51" s="1809">
        <v>2.11</v>
      </c>
      <c r="DM51" s="1809"/>
      <c r="DN51" s="1794">
        <f>DL51/ED34</f>
        <v>0.36505190311418689</v>
      </c>
      <c r="DO51" s="1793"/>
      <c r="DP51" s="1795">
        <v>3.67</v>
      </c>
      <c r="DQ51" s="1795"/>
      <c r="DR51" s="1936">
        <f>+DP51/$EB$36</f>
        <v>0.63494809688581311</v>
      </c>
      <c r="DS51" s="1936"/>
      <c r="DT51" s="1923">
        <v>0</v>
      </c>
      <c r="DU51" s="1923"/>
      <c r="DV51" s="1924">
        <f>DT51/$ED$34</f>
        <v>0</v>
      </c>
      <c r="DW51" s="1925"/>
      <c r="DX51" s="1798">
        <v>0</v>
      </c>
      <c r="DY51" s="1798"/>
      <c r="DZ51" s="1799">
        <v>0</v>
      </c>
      <c r="EA51" s="1800"/>
      <c r="EB51" s="612">
        <f>DL51+DP51+DX51+DT51+DH51</f>
        <v>5.7799999999999994</v>
      </c>
      <c r="EC51" s="616">
        <f>DN51+DR51+DZ51+DV51+DJ51</f>
        <v>1</v>
      </c>
      <c r="ED51" s="615"/>
    </row>
    <row r="52" spans="1:134" ht="10.5" customHeight="1">
      <c r="A52" s="1644" t="s">
        <v>58</v>
      </c>
      <c r="B52" s="365"/>
      <c r="K52" s="366"/>
      <c r="L52" s="365"/>
      <c r="U52" s="366"/>
      <c r="V52" s="365"/>
      <c r="AE52" s="366"/>
      <c r="AF52" s="365"/>
      <c r="AO52" s="366"/>
      <c r="AY52" s="366"/>
      <c r="BI52" s="366"/>
      <c r="BS52" s="366"/>
      <c r="CC52" s="366"/>
      <c r="CM52" s="366"/>
      <c r="CW52" s="366"/>
      <c r="DH52" s="1889" t="s">
        <v>54</v>
      </c>
      <c r="DI52" s="1789"/>
      <c r="DJ52" s="1789"/>
      <c r="DK52" s="1789"/>
      <c r="DL52" s="1926" t="s">
        <v>54</v>
      </c>
      <c r="DM52" s="1926"/>
      <c r="DN52" s="1926"/>
      <c r="DO52" s="1926"/>
      <c r="DP52" s="1926" t="s">
        <v>54</v>
      </c>
      <c r="DQ52" s="1926"/>
      <c r="DR52" s="1926"/>
      <c r="DS52" s="1926"/>
      <c r="DT52" s="1928" t="s">
        <v>54</v>
      </c>
      <c r="DU52" s="1928"/>
      <c r="DV52" s="1928"/>
      <c r="DW52" s="1928"/>
      <c r="DX52" s="1928" t="s">
        <v>54</v>
      </c>
      <c r="DY52" s="1928"/>
      <c r="DZ52" s="1928"/>
      <c r="EA52" s="1930"/>
      <c r="EB52" s="612"/>
      <c r="EC52" s="616"/>
      <c r="ED52" s="615"/>
    </row>
    <row r="53" spans="1:134" ht="4.5" customHeight="1">
      <c r="A53" s="1645"/>
      <c r="B53" s="370"/>
      <c r="C53" s="371"/>
      <c r="D53" s="371"/>
      <c r="E53" s="371"/>
      <c r="F53" s="371"/>
      <c r="G53" s="371"/>
      <c r="H53" s="371"/>
      <c r="I53" s="371"/>
      <c r="J53" s="371"/>
      <c r="K53" s="372"/>
      <c r="L53" s="370"/>
      <c r="M53" s="371"/>
      <c r="N53" s="371"/>
      <c r="O53" s="371"/>
      <c r="P53" s="371"/>
      <c r="Q53" s="371"/>
      <c r="R53" s="371"/>
      <c r="S53" s="371"/>
      <c r="T53" s="371"/>
      <c r="U53" s="372"/>
      <c r="V53" s="370"/>
      <c r="W53" s="371"/>
      <c r="X53" s="371"/>
      <c r="Y53" s="371"/>
      <c r="Z53" s="371"/>
      <c r="AA53" s="371"/>
      <c r="AB53" s="371"/>
      <c r="AC53" s="371"/>
      <c r="AD53" s="371"/>
      <c r="AE53" s="372"/>
      <c r="AF53" s="370"/>
      <c r="AG53" s="371"/>
      <c r="AH53" s="371"/>
      <c r="AI53" s="371"/>
      <c r="AJ53" s="371"/>
      <c r="AK53" s="371"/>
      <c r="AL53" s="371"/>
      <c r="AM53" s="371"/>
      <c r="AN53" s="371"/>
      <c r="AO53" s="372"/>
      <c r="AP53" s="371"/>
      <c r="AQ53" s="371"/>
      <c r="AR53" s="371"/>
      <c r="AS53" s="371"/>
      <c r="AT53" s="371"/>
      <c r="AY53" s="366"/>
      <c r="BI53" s="366"/>
      <c r="BS53" s="366"/>
      <c r="BT53" s="371"/>
      <c r="BU53" s="371"/>
      <c r="BV53" s="371"/>
      <c r="BW53" s="371"/>
      <c r="BX53" s="371"/>
      <c r="BY53" s="371"/>
      <c r="BZ53" s="371"/>
      <c r="CA53" s="371"/>
      <c r="CB53" s="371"/>
      <c r="CC53" s="372"/>
      <c r="CD53" s="371"/>
      <c r="CE53" s="371"/>
      <c r="CF53" s="371"/>
      <c r="CG53" s="371"/>
      <c r="CH53" s="371"/>
      <c r="CI53" s="371"/>
      <c r="CJ53" s="371"/>
      <c r="CK53" s="371"/>
      <c r="CL53" s="371"/>
      <c r="CM53" s="372"/>
      <c r="CW53" s="366"/>
      <c r="DH53" s="1889"/>
      <c r="DI53" s="1789"/>
      <c r="DJ53" s="1789"/>
      <c r="DK53" s="1789"/>
      <c r="DL53" s="1927"/>
      <c r="DM53" s="1927"/>
      <c r="DN53" s="1927"/>
      <c r="DO53" s="1927"/>
      <c r="DP53" s="1927"/>
      <c r="DQ53" s="1927"/>
      <c r="DR53" s="1927"/>
      <c r="DS53" s="1927"/>
      <c r="DT53" s="1929"/>
      <c r="DU53" s="1929"/>
      <c r="DV53" s="1929"/>
      <c r="DW53" s="1929"/>
      <c r="DX53" s="1929"/>
      <c r="DY53" s="1929"/>
      <c r="DZ53" s="1929"/>
      <c r="EA53" s="1931"/>
      <c r="EB53" s="612" t="s">
        <v>54</v>
      </c>
      <c r="EC53" s="616" t="s">
        <v>54</v>
      </c>
      <c r="ED53" s="612"/>
    </row>
    <row r="54" spans="1:134" ht="12.75" customHeight="1">
      <c r="A54" s="1646"/>
      <c r="B54" s="378"/>
      <c r="C54" s="379"/>
      <c r="D54" s="379"/>
      <c r="E54" s="379"/>
      <c r="F54" s="379"/>
      <c r="G54" s="379"/>
      <c r="H54" s="379"/>
      <c r="I54" s="379"/>
      <c r="J54" s="379"/>
      <c r="K54" s="380"/>
      <c r="L54" s="378"/>
      <c r="M54" s="379"/>
      <c r="N54" s="379"/>
      <c r="O54" s="379"/>
      <c r="P54" s="379"/>
      <c r="Q54" s="379"/>
      <c r="R54" s="379"/>
      <c r="S54" s="379"/>
      <c r="T54" s="379"/>
      <c r="U54" s="380"/>
      <c r="V54" s="378"/>
      <c r="W54" s="379"/>
      <c r="X54" s="379"/>
      <c r="Y54" s="379"/>
      <c r="Z54" s="379"/>
      <c r="AA54" s="379"/>
      <c r="AB54" s="379"/>
      <c r="AC54" s="379"/>
      <c r="AD54" s="379"/>
      <c r="AE54" s="380"/>
      <c r="AF54" s="378"/>
      <c r="AG54" s="379"/>
      <c r="AH54" s="379"/>
      <c r="AI54" s="379"/>
      <c r="AJ54" s="379"/>
      <c r="AK54" s="379"/>
      <c r="AL54" s="379"/>
      <c r="AM54" s="379"/>
      <c r="AN54" s="379"/>
      <c r="AO54" s="380"/>
      <c r="AP54" s="379"/>
      <c r="AQ54" s="379"/>
      <c r="AR54" s="379"/>
      <c r="AS54" s="379"/>
      <c r="AT54" s="379"/>
      <c r="AU54" s="379"/>
      <c r="AV54" s="379"/>
      <c r="AW54" s="379"/>
      <c r="AX54" s="379"/>
      <c r="AY54" s="380"/>
      <c r="AZ54" s="379"/>
      <c r="BA54" s="379"/>
      <c r="BB54" s="379"/>
      <c r="BC54" s="379"/>
      <c r="BD54" s="379"/>
      <c r="BE54" s="379"/>
      <c r="BF54" s="379"/>
      <c r="BG54" s="379"/>
      <c r="BH54" s="379"/>
      <c r="BI54" s="380"/>
      <c r="BJ54" s="379"/>
      <c r="BK54" s="379"/>
      <c r="BL54" s="379"/>
      <c r="BM54" s="379"/>
      <c r="BN54" s="379"/>
      <c r="BO54" s="379"/>
      <c r="BP54" s="379"/>
      <c r="BQ54" s="379"/>
      <c r="BR54" s="379"/>
      <c r="BS54" s="380"/>
      <c r="BT54" s="379"/>
      <c r="BU54" s="379"/>
      <c r="BV54" s="379"/>
      <c r="BW54" s="379"/>
      <c r="BX54" s="379"/>
      <c r="BY54" s="379"/>
      <c r="BZ54" s="379"/>
      <c r="CA54" s="379"/>
      <c r="CB54" s="379"/>
      <c r="CC54" s="380"/>
      <c r="CD54" s="379"/>
      <c r="CE54" s="379"/>
      <c r="CF54" s="379"/>
      <c r="CG54" s="379"/>
      <c r="CH54" s="379"/>
      <c r="CI54" s="379"/>
      <c r="CJ54" s="379"/>
      <c r="CK54" s="379"/>
      <c r="CL54" s="379"/>
      <c r="CM54" s="380"/>
      <c r="CN54" s="379"/>
      <c r="CO54" s="379"/>
      <c r="CP54" s="379"/>
      <c r="CQ54" s="379"/>
      <c r="CR54" s="379"/>
      <c r="CS54" s="379"/>
      <c r="CT54" s="379"/>
      <c r="CU54" s="379"/>
      <c r="CV54" s="379"/>
      <c r="CW54" s="380"/>
      <c r="CX54" s="379"/>
      <c r="CY54" s="379"/>
      <c r="CZ54" s="379"/>
      <c r="DA54" s="379"/>
      <c r="DB54" s="379"/>
      <c r="DC54" s="379"/>
      <c r="DD54" s="379"/>
      <c r="DE54" s="379"/>
      <c r="DF54" s="379"/>
      <c r="DG54" s="379"/>
      <c r="DH54" s="1932">
        <v>0</v>
      </c>
      <c r="DI54" s="1933"/>
      <c r="DJ54" s="1934">
        <v>0</v>
      </c>
      <c r="DK54" s="1935"/>
      <c r="DL54" s="1809">
        <f>+$ED$34</f>
        <v>5.7799999999999994</v>
      </c>
      <c r="DM54" s="1809"/>
      <c r="DN54" s="1794">
        <f>DL54/ED34</f>
        <v>1</v>
      </c>
      <c r="DO54" s="1793"/>
      <c r="DP54" s="1795">
        <v>0</v>
      </c>
      <c r="DQ54" s="1795"/>
      <c r="DR54" s="1936">
        <f>DP54/ED34</f>
        <v>0</v>
      </c>
      <c r="DS54" s="1936"/>
      <c r="DT54" s="1923">
        <v>0</v>
      </c>
      <c r="DU54" s="1923"/>
      <c r="DV54" s="1924">
        <f>DT54/$ED$34</f>
        <v>0</v>
      </c>
      <c r="DW54" s="1925"/>
      <c r="DX54" s="1798">
        <v>0</v>
      </c>
      <c r="DY54" s="1798"/>
      <c r="DZ54" s="1799">
        <v>0</v>
      </c>
      <c r="EA54" s="1800"/>
      <c r="EB54" s="612">
        <f>DL54+DP54+DX54+DT54+DH54</f>
        <v>5.7799999999999994</v>
      </c>
      <c r="EC54" s="616">
        <f>DN54+DR54+DZ54+DV54+DJ54</f>
        <v>1</v>
      </c>
      <c r="ED54" s="615"/>
    </row>
    <row r="55" spans="1:134" ht="10.5" customHeight="1">
      <c r="A55" s="1644" t="s">
        <v>59</v>
      </c>
      <c r="B55" s="365"/>
      <c r="K55" s="366"/>
      <c r="L55" s="365"/>
      <c r="U55" s="366"/>
      <c r="V55" s="365"/>
      <c r="AE55" s="366"/>
      <c r="AF55" s="365"/>
      <c r="AO55" s="366"/>
      <c r="AY55" s="366"/>
      <c r="BI55" s="366"/>
      <c r="BS55" s="366"/>
      <c r="CC55" s="366"/>
      <c r="CM55" s="366"/>
      <c r="CW55" s="366"/>
      <c r="DH55" s="1889" t="s">
        <v>54</v>
      </c>
      <c r="DI55" s="1789"/>
      <c r="DJ55" s="1789"/>
      <c r="DK55" s="1789"/>
      <c r="DL55" s="1926"/>
      <c r="DM55" s="1926"/>
      <c r="DN55" s="1926"/>
      <c r="DO55" s="1926"/>
      <c r="DP55" s="1926" t="s">
        <v>54</v>
      </c>
      <c r="DQ55" s="1926"/>
      <c r="DR55" s="1926"/>
      <c r="DS55" s="1926"/>
      <c r="DT55" s="1928" t="s">
        <v>54</v>
      </c>
      <c r="DU55" s="1928"/>
      <c r="DV55" s="1928"/>
      <c r="DW55" s="1928"/>
      <c r="DX55" s="1928" t="s">
        <v>54</v>
      </c>
      <c r="DY55" s="1928"/>
      <c r="DZ55" s="1928"/>
      <c r="EA55" s="1930"/>
      <c r="EB55" s="612" t="s">
        <v>54</v>
      </c>
      <c r="EC55" s="616" t="s">
        <v>54</v>
      </c>
      <c r="ED55" s="615"/>
    </row>
    <row r="56" spans="1:134" ht="4.5" customHeight="1">
      <c r="A56" s="1645"/>
      <c r="B56" s="370"/>
      <c r="C56" s="371"/>
      <c r="D56" s="371"/>
      <c r="E56" s="371"/>
      <c r="F56" s="371"/>
      <c r="G56" s="371"/>
      <c r="H56" s="371"/>
      <c r="I56" s="371"/>
      <c r="J56" s="371"/>
      <c r="K56" s="372"/>
      <c r="L56" s="370"/>
      <c r="M56" s="371"/>
      <c r="N56" s="371"/>
      <c r="O56" s="371"/>
      <c r="P56" s="371"/>
      <c r="Q56" s="371"/>
      <c r="R56" s="371"/>
      <c r="S56" s="371"/>
      <c r="T56" s="371"/>
      <c r="U56" s="372"/>
      <c r="V56" s="370"/>
      <c r="W56" s="371"/>
      <c r="X56" s="371"/>
      <c r="Y56" s="371"/>
      <c r="Z56" s="371"/>
      <c r="AA56" s="371"/>
      <c r="AB56" s="371"/>
      <c r="AC56" s="371"/>
      <c r="AD56" s="371"/>
      <c r="AE56" s="372"/>
      <c r="AF56" s="370"/>
      <c r="AG56" s="371"/>
      <c r="AH56" s="371"/>
      <c r="AI56" s="371"/>
      <c r="AJ56" s="371"/>
      <c r="AK56" s="371"/>
      <c r="AL56" s="371"/>
      <c r="AM56" s="371"/>
      <c r="AN56" s="371"/>
      <c r="AO56" s="372"/>
      <c r="AP56" s="371"/>
      <c r="AQ56" s="371"/>
      <c r="AR56" s="371"/>
      <c r="AS56" s="371"/>
      <c r="AT56" s="371"/>
      <c r="AY56" s="366"/>
      <c r="BI56" s="366"/>
      <c r="BS56" s="366"/>
      <c r="BT56" s="371"/>
      <c r="BU56" s="371"/>
      <c r="BV56" s="371"/>
      <c r="BW56" s="371"/>
      <c r="BX56" s="371"/>
      <c r="BY56" s="371"/>
      <c r="BZ56" s="371"/>
      <c r="CA56" s="371"/>
      <c r="CB56" s="371"/>
      <c r="CC56" s="372"/>
      <c r="CD56" s="371"/>
      <c r="CE56" s="371"/>
      <c r="CF56" s="371"/>
      <c r="CG56" s="371"/>
      <c r="CH56" s="371"/>
      <c r="CI56" s="371"/>
      <c r="CJ56" s="371"/>
      <c r="CK56" s="371"/>
      <c r="CL56" s="371"/>
      <c r="CM56" s="372"/>
      <c r="CW56" s="366"/>
      <c r="DH56" s="1889"/>
      <c r="DI56" s="1789"/>
      <c r="DJ56" s="1789"/>
      <c r="DK56" s="1789"/>
      <c r="DL56" s="1927"/>
      <c r="DM56" s="1927"/>
      <c r="DN56" s="1927"/>
      <c r="DO56" s="1927"/>
      <c r="DP56" s="1927"/>
      <c r="DQ56" s="1927"/>
      <c r="DR56" s="1927"/>
      <c r="DS56" s="1927"/>
      <c r="DT56" s="1929"/>
      <c r="DU56" s="1929"/>
      <c r="DV56" s="1929"/>
      <c r="DW56" s="1929"/>
      <c r="DX56" s="1929"/>
      <c r="DY56" s="1929"/>
      <c r="DZ56" s="1929"/>
      <c r="EA56" s="1931"/>
      <c r="EB56" s="612"/>
      <c r="EC56" s="615"/>
      <c r="ED56" s="615"/>
    </row>
    <row r="57" spans="1:134" ht="13.5" customHeight="1">
      <c r="A57" s="1646"/>
      <c r="B57" s="378"/>
      <c r="C57" s="379"/>
      <c r="D57" s="379"/>
      <c r="E57" s="379"/>
      <c r="F57" s="379"/>
      <c r="G57" s="379"/>
      <c r="H57" s="379"/>
      <c r="I57" s="379"/>
      <c r="J57" s="379"/>
      <c r="K57" s="380"/>
      <c r="L57" s="378"/>
      <c r="M57" s="379"/>
      <c r="N57" s="379"/>
      <c r="O57" s="379"/>
      <c r="P57" s="379"/>
      <c r="Q57" s="379"/>
      <c r="R57" s="379"/>
      <c r="S57" s="379"/>
      <c r="T57" s="379"/>
      <c r="U57" s="380"/>
      <c r="V57" s="378"/>
      <c r="W57" s="379"/>
      <c r="X57" s="379"/>
      <c r="Y57" s="379"/>
      <c r="Z57" s="379"/>
      <c r="AA57" s="379"/>
      <c r="AB57" s="379"/>
      <c r="AC57" s="379"/>
      <c r="AD57" s="379"/>
      <c r="AE57" s="380"/>
      <c r="AF57" s="378"/>
      <c r="AG57" s="379"/>
      <c r="AH57" s="379"/>
      <c r="AI57" s="379"/>
      <c r="AJ57" s="379"/>
      <c r="AK57" s="379"/>
      <c r="AL57" s="379"/>
      <c r="AM57" s="379"/>
      <c r="AN57" s="379"/>
      <c r="AO57" s="380"/>
      <c r="AP57" s="379"/>
      <c r="AQ57" s="379"/>
      <c r="AR57" s="379"/>
      <c r="AS57" s="379"/>
      <c r="AT57" s="379"/>
      <c r="AU57" s="379"/>
      <c r="AV57" s="379"/>
      <c r="AW57" s="379"/>
      <c r="AX57" s="379"/>
      <c r="AY57" s="380"/>
      <c r="AZ57" s="379"/>
      <c r="BA57" s="379"/>
      <c r="BB57" s="379"/>
      <c r="BC57" s="379"/>
      <c r="BD57" s="379"/>
      <c r="BE57" s="379"/>
      <c r="BF57" s="379"/>
      <c r="BG57" s="379"/>
      <c r="BH57" s="379"/>
      <c r="BI57" s="380"/>
      <c r="BJ57" s="379"/>
      <c r="BK57" s="379"/>
      <c r="BL57" s="379"/>
      <c r="BM57" s="379"/>
      <c r="BN57" s="379"/>
      <c r="BO57" s="379"/>
      <c r="BP57" s="379"/>
      <c r="BQ57" s="379"/>
      <c r="BR57" s="379"/>
      <c r="BS57" s="380"/>
      <c r="BT57" s="379"/>
      <c r="BU57" s="379"/>
      <c r="BV57" s="379"/>
      <c r="BW57" s="379"/>
      <c r="BX57" s="379"/>
      <c r="BY57" s="379"/>
      <c r="BZ57" s="379"/>
      <c r="CA57" s="379"/>
      <c r="CB57" s="379"/>
      <c r="CC57" s="380"/>
      <c r="CD57" s="379"/>
      <c r="CE57" s="379"/>
      <c r="CF57" s="379"/>
      <c r="CG57" s="379"/>
      <c r="CH57" s="379"/>
      <c r="CI57" s="379"/>
      <c r="CJ57" s="379"/>
      <c r="CK57" s="379"/>
      <c r="CL57" s="379"/>
      <c r="CM57" s="380"/>
      <c r="CN57" s="379"/>
      <c r="CO57" s="379"/>
      <c r="CP57" s="379"/>
      <c r="CQ57" s="379"/>
      <c r="CR57" s="379"/>
      <c r="CS57" s="379"/>
      <c r="CT57" s="379"/>
      <c r="CU57" s="379"/>
      <c r="CV57" s="379"/>
      <c r="CW57" s="380"/>
      <c r="CX57" s="379"/>
      <c r="CY57" s="379"/>
      <c r="CZ57" s="379"/>
      <c r="DA57" s="379"/>
      <c r="DB57" s="379"/>
      <c r="DC57" s="379"/>
      <c r="DD57" s="379"/>
      <c r="DE57" s="379"/>
      <c r="DF57" s="379"/>
      <c r="DG57" s="379"/>
      <c r="DH57" s="1932">
        <v>0</v>
      </c>
      <c r="DI57" s="1933"/>
      <c r="DJ57" s="1934">
        <v>0</v>
      </c>
      <c r="DK57" s="1935"/>
      <c r="DL57" s="1809">
        <f>+$ED$34</f>
        <v>5.7799999999999994</v>
      </c>
      <c r="DM57" s="1809"/>
      <c r="DN57" s="1794">
        <f>DL57/ED34</f>
        <v>1</v>
      </c>
      <c r="DO57" s="1793"/>
      <c r="DP57" s="1795">
        <v>0</v>
      </c>
      <c r="DQ57" s="1795"/>
      <c r="DR57" s="1936">
        <f>DP57/ED34</f>
        <v>0</v>
      </c>
      <c r="DS57" s="1936"/>
      <c r="DT57" s="1923">
        <v>0</v>
      </c>
      <c r="DU57" s="1923"/>
      <c r="DV57" s="1924">
        <f>DT57/$ED$34</f>
        <v>0</v>
      </c>
      <c r="DW57" s="1925"/>
      <c r="DX57" s="1798">
        <v>0</v>
      </c>
      <c r="DY57" s="1798"/>
      <c r="DZ57" s="1799">
        <v>0</v>
      </c>
      <c r="EA57" s="1800"/>
      <c r="EB57" s="612">
        <f>DL57+DP57+DX57+DT57+DH57</f>
        <v>5.7799999999999994</v>
      </c>
      <c r="EC57" s="616">
        <f>DN57+DR57+DZ57+DV57+DJ57</f>
        <v>1</v>
      </c>
    </row>
    <row r="58" spans="1:134" ht="10.5" customHeight="1" thickBot="1">
      <c r="A58" s="872">
        <v>4</v>
      </c>
      <c r="B58" s="365"/>
      <c r="K58" s="366"/>
      <c r="L58" s="365"/>
      <c r="U58" s="366"/>
      <c r="V58" s="365"/>
      <c r="AE58" s="366"/>
      <c r="AF58" s="365"/>
      <c r="AO58" s="366"/>
      <c r="AY58" s="366"/>
      <c r="BI58" s="366"/>
      <c r="BS58" s="366"/>
      <c r="CC58" s="366"/>
      <c r="CM58" s="366"/>
      <c r="CW58" s="366"/>
      <c r="DH58" s="1889" t="s">
        <v>54</v>
      </c>
      <c r="DI58" s="1789"/>
      <c r="DJ58" s="1789"/>
      <c r="DK58" s="1789"/>
      <c r="DL58" s="1926" t="s">
        <v>54</v>
      </c>
      <c r="DM58" s="1926"/>
      <c r="DN58" s="1926"/>
      <c r="DO58" s="1926"/>
      <c r="DP58" s="1926" t="s">
        <v>54</v>
      </c>
      <c r="DQ58" s="1926"/>
      <c r="DR58" s="1926"/>
      <c r="DS58" s="1926"/>
      <c r="DT58" s="1928" t="s">
        <v>54</v>
      </c>
      <c r="DU58" s="1928"/>
      <c r="DV58" s="1928"/>
      <c r="DW58" s="1928"/>
      <c r="DX58" s="1928" t="s">
        <v>54</v>
      </c>
      <c r="DY58" s="1928"/>
      <c r="DZ58" s="1928"/>
      <c r="EA58" s="1930"/>
      <c r="EB58" s="387"/>
    </row>
    <row r="59" spans="1:134" ht="4.5" customHeight="1">
      <c r="A59" s="871"/>
      <c r="B59" s="370"/>
      <c r="C59" s="371"/>
      <c r="D59" s="371"/>
      <c r="E59" s="371"/>
      <c r="F59" s="371"/>
      <c r="G59" s="371"/>
      <c r="H59" s="371"/>
      <c r="I59" s="371"/>
      <c r="J59" s="371"/>
      <c r="K59" s="372"/>
      <c r="L59" s="370"/>
      <c r="M59" s="371"/>
      <c r="N59" s="371"/>
      <c r="O59" s="371"/>
      <c r="P59" s="371"/>
      <c r="Q59" s="371"/>
      <c r="R59" s="371"/>
      <c r="S59" s="371"/>
      <c r="T59" s="371"/>
      <c r="U59" s="372"/>
      <c r="V59" s="370"/>
      <c r="W59" s="371"/>
      <c r="X59" s="371"/>
      <c r="Y59" s="371"/>
      <c r="Z59" s="371"/>
      <c r="AA59" s="371"/>
      <c r="AB59" s="371"/>
      <c r="AC59" s="371"/>
      <c r="AD59" s="371"/>
      <c r="AE59" s="372"/>
      <c r="AF59" s="370"/>
      <c r="AG59" s="371"/>
      <c r="AH59" s="371"/>
      <c r="AI59" s="371"/>
      <c r="AJ59" s="371"/>
      <c r="AK59" s="371"/>
      <c r="AL59" s="371"/>
      <c r="AM59" s="371"/>
      <c r="AN59" s="371"/>
      <c r="AO59" s="372"/>
      <c r="AP59" s="371"/>
      <c r="AQ59" s="371"/>
      <c r="AR59" s="371"/>
      <c r="AS59" s="371"/>
      <c r="AT59" s="371"/>
      <c r="AY59" s="366"/>
      <c r="BI59" s="366"/>
      <c r="BS59" s="366"/>
      <c r="CC59" s="366"/>
      <c r="CM59" s="366"/>
      <c r="CW59" s="366"/>
      <c r="DH59" s="1889"/>
      <c r="DI59" s="1789"/>
      <c r="DJ59" s="1789"/>
      <c r="DK59" s="1789"/>
      <c r="DL59" s="1927"/>
      <c r="DM59" s="1927"/>
      <c r="DN59" s="1927"/>
      <c r="DO59" s="1927"/>
      <c r="DP59" s="1927"/>
      <c r="DQ59" s="1927"/>
      <c r="DR59" s="1927"/>
      <c r="DS59" s="1927"/>
      <c r="DT59" s="1929"/>
      <c r="DU59" s="1929"/>
      <c r="DV59" s="1929"/>
      <c r="DW59" s="1929"/>
      <c r="DX59" s="1929"/>
      <c r="DY59" s="1929"/>
      <c r="DZ59" s="1929"/>
      <c r="EA59" s="1931"/>
      <c r="EB59" s="387"/>
    </row>
    <row r="60" spans="1:134" ht="13.5" customHeight="1" thickBot="1">
      <c r="A60" s="872"/>
      <c r="B60" s="388"/>
      <c r="C60" s="359"/>
      <c r="D60" s="359"/>
      <c r="E60" s="359"/>
      <c r="F60" s="359"/>
      <c r="G60" s="359"/>
      <c r="H60" s="359"/>
      <c r="I60" s="359"/>
      <c r="J60" s="359"/>
      <c r="K60" s="389"/>
      <c r="L60" s="388"/>
      <c r="M60" s="359"/>
      <c r="N60" s="359"/>
      <c r="O60" s="359"/>
      <c r="P60" s="359"/>
      <c r="Q60" s="359"/>
      <c r="R60" s="359"/>
      <c r="S60" s="359"/>
      <c r="T60" s="359"/>
      <c r="U60" s="389"/>
      <c r="V60" s="388"/>
      <c r="W60" s="359"/>
      <c r="X60" s="359"/>
      <c r="Y60" s="359"/>
      <c r="Z60" s="359"/>
      <c r="AA60" s="359"/>
      <c r="AB60" s="359"/>
      <c r="AC60" s="359"/>
      <c r="AD60" s="359"/>
      <c r="AE60" s="389"/>
      <c r="AF60" s="388"/>
      <c r="AG60" s="359"/>
      <c r="AH60" s="359"/>
      <c r="AI60" s="359"/>
      <c r="AJ60" s="359"/>
      <c r="AK60" s="359"/>
      <c r="AL60" s="359"/>
      <c r="AM60" s="359"/>
      <c r="AN60" s="359"/>
      <c r="AO60" s="389"/>
      <c r="AP60" s="359"/>
      <c r="AQ60" s="359"/>
      <c r="AR60" s="359"/>
      <c r="AS60" s="359"/>
      <c r="AT60" s="359"/>
      <c r="AU60" s="359"/>
      <c r="AV60" s="359"/>
      <c r="AW60" s="359"/>
      <c r="AX60" s="359"/>
      <c r="AY60" s="389"/>
      <c r="AZ60" s="359"/>
      <c r="BA60" s="359"/>
      <c r="BB60" s="359"/>
      <c r="BC60" s="359"/>
      <c r="BD60" s="359"/>
      <c r="BE60" s="359"/>
      <c r="BF60" s="359"/>
      <c r="BG60" s="359"/>
      <c r="BH60" s="359"/>
      <c r="BI60" s="389"/>
      <c r="BJ60" s="359"/>
      <c r="BK60" s="359"/>
      <c r="BL60" s="359"/>
      <c r="BM60" s="359"/>
      <c r="BN60" s="359"/>
      <c r="BO60" s="359"/>
      <c r="BP60" s="359"/>
      <c r="BQ60" s="359"/>
      <c r="BR60" s="359"/>
      <c r="BS60" s="389"/>
      <c r="BT60" s="359"/>
      <c r="BU60" s="359"/>
      <c r="BV60" s="359"/>
      <c r="BW60" s="359"/>
      <c r="BX60" s="359"/>
      <c r="BY60" s="359"/>
      <c r="BZ60" s="359"/>
      <c r="CA60" s="359"/>
      <c r="CB60" s="359"/>
      <c r="CC60" s="389"/>
      <c r="CD60" s="359"/>
      <c r="CE60" s="359"/>
      <c r="CF60" s="359"/>
      <c r="CG60" s="359"/>
      <c r="CH60" s="359"/>
      <c r="CI60" s="359"/>
      <c r="CJ60" s="359"/>
      <c r="CK60" s="359"/>
      <c r="CL60" s="359"/>
      <c r="CM60" s="389"/>
      <c r="CN60" s="359"/>
      <c r="CO60" s="359"/>
      <c r="CP60" s="359"/>
      <c r="CQ60" s="359"/>
      <c r="CR60" s="359"/>
      <c r="CS60" s="359"/>
      <c r="CT60" s="359"/>
      <c r="CU60" s="359"/>
      <c r="CV60" s="359"/>
      <c r="CW60" s="389"/>
      <c r="CX60" s="359"/>
      <c r="CY60" s="359"/>
      <c r="CZ60" s="359"/>
      <c r="DA60" s="359"/>
      <c r="DB60" s="359"/>
      <c r="DC60" s="359"/>
      <c r="DD60" s="359"/>
      <c r="DE60" s="359"/>
      <c r="DF60" s="359"/>
      <c r="DG60" s="359"/>
      <c r="DH60" s="1941">
        <v>0</v>
      </c>
      <c r="DI60" s="1942"/>
      <c r="DJ60" s="1958">
        <v>0</v>
      </c>
      <c r="DK60" s="1959"/>
      <c r="DL60" s="1809">
        <f>+$ED$34</f>
        <v>5.7799999999999994</v>
      </c>
      <c r="DM60" s="1809"/>
      <c r="DN60" s="1810">
        <f>DL60/ED34</f>
        <v>1</v>
      </c>
      <c r="DO60" s="1811"/>
      <c r="DP60" s="1795">
        <v>0</v>
      </c>
      <c r="DQ60" s="1795"/>
      <c r="DR60" s="1936">
        <f>DP60/ED34</f>
        <v>0</v>
      </c>
      <c r="DS60" s="1936"/>
      <c r="DT60" s="1937">
        <v>0</v>
      </c>
      <c r="DU60" s="1937"/>
      <c r="DV60" s="1938">
        <f>DT60/$ED$34</f>
        <v>0</v>
      </c>
      <c r="DW60" s="1939"/>
      <c r="DX60" s="1815">
        <v>0</v>
      </c>
      <c r="DY60" s="1815"/>
      <c r="DZ60" s="1816">
        <v>0</v>
      </c>
      <c r="EA60" s="1817"/>
      <c r="EB60" s="612">
        <f>DL60+DP60+DX60+DT60+DH60</f>
        <v>5.7799999999999994</v>
      </c>
      <c r="EC60" s="616">
        <f>DN60+DR60+DZ60+DV60+DJ60</f>
        <v>1</v>
      </c>
    </row>
    <row r="61" spans="1:134">
      <c r="A61" s="350"/>
      <c r="B61" s="350"/>
      <c r="C61" s="350"/>
      <c r="D61" s="350"/>
      <c r="E61" s="350"/>
      <c r="F61" s="350"/>
      <c r="G61" s="350"/>
      <c r="H61" s="350"/>
      <c r="I61" s="350"/>
      <c r="J61" s="350"/>
      <c r="K61" s="350"/>
      <c r="L61" s="350"/>
      <c r="M61" s="350"/>
      <c r="N61" s="350"/>
      <c r="O61" s="350"/>
      <c r="P61" s="350"/>
      <c r="Q61" s="350"/>
      <c r="R61" s="350"/>
      <c r="S61" s="350"/>
      <c r="T61" s="350"/>
      <c r="U61" s="350"/>
      <c r="V61" s="350"/>
      <c r="W61" s="350"/>
      <c r="X61" s="350"/>
      <c r="Y61" s="350"/>
      <c r="Z61" s="350"/>
      <c r="AA61" s="350"/>
      <c r="AB61" s="350"/>
      <c r="AC61" s="350"/>
      <c r="AD61" s="350"/>
      <c r="AE61" s="350"/>
    </row>
    <row r="62" spans="1:134" s="546" customFormat="1" ht="12.75">
      <c r="A62" s="618" t="s">
        <v>315</v>
      </c>
      <c r="B62" s="618"/>
      <c r="C62" s="618"/>
      <c r="D62" s="618"/>
      <c r="E62" s="618"/>
      <c r="F62" s="618"/>
      <c r="G62" s="618"/>
      <c r="H62" s="618"/>
      <c r="I62" s="618"/>
      <c r="J62" s="618"/>
      <c r="K62" s="618"/>
      <c r="L62" s="618"/>
      <c r="M62" s="618"/>
      <c r="N62" s="618"/>
      <c r="O62" s="618"/>
      <c r="P62" s="618"/>
      <c r="Q62" s="618"/>
      <c r="R62" s="618"/>
      <c r="S62" s="618"/>
      <c r="T62" s="618"/>
      <c r="U62" s="618"/>
      <c r="V62" s="618"/>
      <c r="W62" s="618"/>
      <c r="X62" s="618"/>
      <c r="Y62" s="618"/>
      <c r="Z62" s="618"/>
      <c r="AA62" s="618"/>
      <c r="AB62" s="618"/>
      <c r="AC62" s="618"/>
      <c r="AD62" s="618"/>
      <c r="AE62" s="618"/>
      <c r="DL62" s="1809">
        <f>+$ED$34</f>
        <v>5.7799999999999994</v>
      </c>
      <c r="DM62" s="1809"/>
    </row>
    <row r="63" spans="1:134" s="546" customFormat="1">
      <c r="A63" s="1047" t="s">
        <v>1140</v>
      </c>
      <c r="AR63" s="349"/>
      <c r="AS63" s="349"/>
      <c r="AT63" s="349"/>
      <c r="AU63" s="349"/>
      <c r="AV63" s="349"/>
      <c r="AW63" s="349"/>
      <c r="AX63" s="349"/>
      <c r="AY63" s="349"/>
      <c r="DH63" s="619" t="s">
        <v>440</v>
      </c>
      <c r="DI63" s="619"/>
      <c r="DJ63" s="619"/>
      <c r="DK63" s="619"/>
      <c r="DL63" s="619"/>
      <c r="DM63" s="619"/>
      <c r="DN63" s="619"/>
      <c r="DO63" s="619"/>
      <c r="DP63" s="553"/>
      <c r="DQ63" s="553"/>
      <c r="DR63" s="553"/>
      <c r="DS63" s="553"/>
      <c r="DT63" s="553"/>
      <c r="DU63" s="553"/>
      <c r="DV63" s="553"/>
      <c r="DW63" s="553"/>
      <c r="DX63" s="553"/>
      <c r="DY63" s="553"/>
      <c r="DZ63" s="553"/>
      <c r="EA63" s="553"/>
    </row>
    <row r="64" spans="1:134" s="546" customFormat="1" ht="12.75"/>
  </sheetData>
  <mergeCells count="191">
    <mergeCell ref="DL62:DM62"/>
    <mergeCell ref="CX33:DG33"/>
    <mergeCell ref="AG8:AK8"/>
    <mergeCell ref="DA8:DY8"/>
    <mergeCell ref="A1:EA1"/>
    <mergeCell ref="A2:EA2"/>
    <mergeCell ref="A3:EA3"/>
    <mergeCell ref="A4:EA4"/>
    <mergeCell ref="A5:EA5"/>
    <mergeCell ref="CZ6:DX6"/>
    <mergeCell ref="V32:AE32"/>
    <mergeCell ref="V33:AE33"/>
    <mergeCell ref="W34:AE34"/>
    <mergeCell ref="B32:K32"/>
    <mergeCell ref="B33:K33"/>
    <mergeCell ref="C34:K34"/>
    <mergeCell ref="L32:U32"/>
    <mergeCell ref="L33:U33"/>
    <mergeCell ref="M34:U34"/>
    <mergeCell ref="A34:A36"/>
    <mergeCell ref="CN33:CW33"/>
    <mergeCell ref="DL33:DO33"/>
    <mergeCell ref="DP33:DS33"/>
    <mergeCell ref="DT33:DW33"/>
    <mergeCell ref="DX33:EA33"/>
    <mergeCell ref="DH36:DI36"/>
    <mergeCell ref="DJ36:DK36"/>
    <mergeCell ref="DZ36:EA36"/>
    <mergeCell ref="DV34:DW35"/>
    <mergeCell ref="DX34:DY35"/>
    <mergeCell ref="DH33:DK33"/>
    <mergeCell ref="AG34:AO34"/>
    <mergeCell ref="AF33:AO33"/>
    <mergeCell ref="AP33:AY33"/>
    <mergeCell ref="AZ33:BI33"/>
    <mergeCell ref="BJ33:BS33"/>
    <mergeCell ref="BT33:CC33"/>
    <mergeCell ref="CD33:CM33"/>
    <mergeCell ref="DX42:DY42"/>
    <mergeCell ref="DZ42:EA42"/>
    <mergeCell ref="A43:A45"/>
    <mergeCell ref="DH43:DK44"/>
    <mergeCell ref="DL43:DO44"/>
    <mergeCell ref="DT43:DW44"/>
    <mergeCell ref="DX43:EA44"/>
    <mergeCell ref="DH45:DI45"/>
    <mergeCell ref="DH42:DI42"/>
    <mergeCell ref="DJ42:DK42"/>
    <mergeCell ref="DL42:DM42"/>
    <mergeCell ref="DN42:DO42"/>
    <mergeCell ref="DP42:DQ42"/>
    <mergeCell ref="DR42:DS42"/>
    <mergeCell ref="A40:A42"/>
    <mergeCell ref="DH40:DK41"/>
    <mergeCell ref="DL40:DO41"/>
    <mergeCell ref="DT40:DW41"/>
    <mergeCell ref="DX40:EA41"/>
    <mergeCell ref="DX45:DY45"/>
    <mergeCell ref="DZ45:EA45"/>
    <mergeCell ref="DX46:EA47"/>
    <mergeCell ref="DH48:DI48"/>
    <mergeCell ref="DJ48:DK48"/>
    <mergeCell ref="DJ45:DK45"/>
    <mergeCell ref="DL45:DM45"/>
    <mergeCell ref="DN45:DO45"/>
    <mergeCell ref="DP45:DQ45"/>
    <mergeCell ref="DR45:DS45"/>
    <mergeCell ref="DT45:DU45"/>
    <mergeCell ref="DX48:DY48"/>
    <mergeCell ref="DZ48:EA48"/>
    <mergeCell ref="DL48:DM48"/>
    <mergeCell ref="DN48:DO48"/>
    <mergeCell ref="DP48:DQ48"/>
    <mergeCell ref="DR48:DS48"/>
    <mergeCell ref="DT48:DU48"/>
    <mergeCell ref="DV48:DW48"/>
    <mergeCell ref="DX51:DY51"/>
    <mergeCell ref="DZ51:EA51"/>
    <mergeCell ref="A49:A51"/>
    <mergeCell ref="DH49:DK50"/>
    <mergeCell ref="DL49:DO50"/>
    <mergeCell ref="DT49:DW50"/>
    <mergeCell ref="DX49:EA50"/>
    <mergeCell ref="DH51:DI51"/>
    <mergeCell ref="DP49:DS50"/>
    <mergeCell ref="DN51:DO51"/>
    <mergeCell ref="DP51:DQ51"/>
    <mergeCell ref="DR51:DS51"/>
    <mergeCell ref="DJ51:DK51"/>
    <mergeCell ref="DL51:DM51"/>
    <mergeCell ref="DX55:EA56"/>
    <mergeCell ref="DH57:DI57"/>
    <mergeCell ref="DJ57:DK57"/>
    <mergeCell ref="DL57:DM57"/>
    <mergeCell ref="DP55:DS56"/>
    <mergeCell ref="A52:A54"/>
    <mergeCell ref="DH52:DK53"/>
    <mergeCell ref="DL52:DO53"/>
    <mergeCell ref="DT52:DW53"/>
    <mergeCell ref="DX52:EA53"/>
    <mergeCell ref="DH54:DI54"/>
    <mergeCell ref="DX54:DY54"/>
    <mergeCell ref="DZ54:EA54"/>
    <mergeCell ref="DP52:DS53"/>
    <mergeCell ref="DL54:DM54"/>
    <mergeCell ref="DN54:DO54"/>
    <mergeCell ref="DJ54:DK54"/>
    <mergeCell ref="DH55:DK56"/>
    <mergeCell ref="DL55:DO56"/>
    <mergeCell ref="DT55:DW56"/>
    <mergeCell ref="A55:A57"/>
    <mergeCell ref="DV54:DW54"/>
    <mergeCell ref="DX60:DY60"/>
    <mergeCell ref="DZ60:EA60"/>
    <mergeCell ref="DZ57:EA57"/>
    <mergeCell ref="DR57:DS57"/>
    <mergeCell ref="DT57:DU57"/>
    <mergeCell ref="DV57:DW57"/>
    <mergeCell ref="DX57:DY57"/>
    <mergeCell ref="DH58:DK59"/>
    <mergeCell ref="DL58:DO59"/>
    <mergeCell ref="DT58:DW59"/>
    <mergeCell ref="DX58:EA59"/>
    <mergeCell ref="DH60:DI60"/>
    <mergeCell ref="DJ60:DK60"/>
    <mergeCell ref="DL60:DM60"/>
    <mergeCell ref="DN60:DO60"/>
    <mergeCell ref="DR60:DS60"/>
    <mergeCell ref="DT60:DU60"/>
    <mergeCell ref="DP60:DQ60"/>
    <mergeCell ref="DN57:DO57"/>
    <mergeCell ref="DP57:DQ57"/>
    <mergeCell ref="DV60:DW60"/>
    <mergeCell ref="DP58:DS59"/>
    <mergeCell ref="AF31:DG31"/>
    <mergeCell ref="DH34:DI35"/>
    <mergeCell ref="DJ34:DK35"/>
    <mergeCell ref="DL34:DM35"/>
    <mergeCell ref="DN34:DO35"/>
    <mergeCell ref="CD32:CM32"/>
    <mergeCell ref="BT32:CC32"/>
    <mergeCell ref="BJ32:BS32"/>
    <mergeCell ref="AZ32:BI32"/>
    <mergeCell ref="AP32:AY32"/>
    <mergeCell ref="AF32:AO32"/>
    <mergeCell ref="CN32:CW32"/>
    <mergeCell ref="CX32:DF32"/>
    <mergeCell ref="A37:A39"/>
    <mergeCell ref="DH37:DK38"/>
    <mergeCell ref="DL37:DO38"/>
    <mergeCell ref="DP37:DS38"/>
    <mergeCell ref="DT37:DW38"/>
    <mergeCell ref="DP40:DS41"/>
    <mergeCell ref="DP43:DS44"/>
    <mergeCell ref="DP46:DS47"/>
    <mergeCell ref="DP54:DQ54"/>
    <mergeCell ref="DR54:DS54"/>
    <mergeCell ref="DT54:DU54"/>
    <mergeCell ref="DT51:DU51"/>
    <mergeCell ref="DT42:DU42"/>
    <mergeCell ref="DV45:DW45"/>
    <mergeCell ref="DV42:DW42"/>
    <mergeCell ref="DV51:DW51"/>
    <mergeCell ref="A46:A48"/>
    <mergeCell ref="DH46:DK47"/>
    <mergeCell ref="DL46:DO47"/>
    <mergeCell ref="DT46:DW47"/>
    <mergeCell ref="DH11:EA12"/>
    <mergeCell ref="DZ39:EA39"/>
    <mergeCell ref="DX37:EA38"/>
    <mergeCell ref="DH39:DI39"/>
    <mergeCell ref="DJ39:DK39"/>
    <mergeCell ref="DL39:DM39"/>
    <mergeCell ref="DN39:DO39"/>
    <mergeCell ref="DP39:DQ39"/>
    <mergeCell ref="DR39:DS39"/>
    <mergeCell ref="DT39:DU39"/>
    <mergeCell ref="DV39:DW39"/>
    <mergeCell ref="DX39:DY39"/>
    <mergeCell ref="DP34:DQ35"/>
    <mergeCell ref="DR34:DS35"/>
    <mergeCell ref="DT34:DU35"/>
    <mergeCell ref="DH31:EA32"/>
    <mergeCell ref="DL36:DM36"/>
    <mergeCell ref="DN36:DO36"/>
    <mergeCell ref="DP36:DQ36"/>
    <mergeCell ref="DR36:DS36"/>
    <mergeCell ref="DZ34:EA35"/>
    <mergeCell ref="DT36:DU36"/>
    <mergeCell ref="DV36:DW36"/>
    <mergeCell ref="DX36:DY36"/>
  </mergeCells>
  <hyperlinks>
    <hyperlink ref="DH63" location="'TABLA DE CONTENIDO'!A1" display="VOLVER A TABLA DE CONTENIDO"/>
  </hyperlinks>
  <printOptions horizontalCentered="1"/>
  <pageMargins left="0.39370078740157483" right="0.39370078740157483" top="0.39370078740157483" bottom="0.39370078740157483" header="0.27559055118110237" footer="0.43307086614173229"/>
  <pageSetup scale="60" orientation="portrait" copies="2" r:id="rId1"/>
  <headerFooter alignWithMargins="0"/>
  <ignoredErrors>
    <ignoredError sqref="CN33" numberStoredAsText="1"/>
  </ignoredError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W62"/>
  <sheetViews>
    <sheetView showGridLines="0" view="pageBreakPreview" zoomScaleNormal="75" zoomScaleSheetLayoutView="100" workbookViewId="0">
      <selection activeCell="CV22" sqref="CV22"/>
    </sheetView>
  </sheetViews>
  <sheetFormatPr baseColWidth="10" defaultColWidth="12.5703125" defaultRowHeight="15"/>
  <cols>
    <col min="1" max="1" width="32.7109375" style="349" customWidth="1"/>
    <col min="2" max="78" width="0.7109375" style="349" customWidth="1"/>
    <col min="79" max="83" width="2.140625" style="349" customWidth="1"/>
    <col min="84" max="84" width="2.42578125" style="349" customWidth="1"/>
    <col min="85" max="85" width="2.140625" style="349" customWidth="1"/>
    <col min="86" max="86" width="2.5703125" style="349" customWidth="1"/>
    <col min="87" max="89" width="2.140625" style="349" customWidth="1"/>
    <col min="90" max="90" width="2.7109375" style="349" customWidth="1"/>
    <col min="91" max="97" width="2.140625" style="349" customWidth="1"/>
    <col min="98" max="98" width="3" style="349" customWidth="1"/>
    <col min="99" max="16384" width="12.5703125" style="349"/>
  </cols>
  <sheetData>
    <row r="1" spans="1:101" s="407" customFormat="1" ht="23.25">
      <c r="A1" s="1907" t="s">
        <v>0</v>
      </c>
      <c r="B1" s="1907"/>
      <c r="C1" s="1907"/>
      <c r="D1" s="1907"/>
      <c r="E1" s="1907"/>
      <c r="F1" s="1907"/>
      <c r="G1" s="1907"/>
      <c r="H1" s="1907"/>
      <c r="I1" s="1907"/>
      <c r="J1" s="1907"/>
      <c r="K1" s="1907"/>
      <c r="L1" s="1907"/>
      <c r="M1" s="1907"/>
      <c r="N1" s="1907"/>
      <c r="O1" s="1907"/>
      <c r="P1" s="1907"/>
      <c r="Q1" s="1907"/>
      <c r="R1" s="1907"/>
      <c r="S1" s="1907"/>
      <c r="T1" s="1907"/>
      <c r="U1" s="1907"/>
      <c r="V1" s="1907"/>
      <c r="W1" s="1907"/>
      <c r="X1" s="1907"/>
      <c r="Y1" s="1907"/>
      <c r="Z1" s="1907"/>
      <c r="AA1" s="1907"/>
      <c r="AB1" s="1907"/>
      <c r="AC1" s="1907"/>
      <c r="AD1" s="1907"/>
      <c r="AE1" s="1907"/>
      <c r="AF1" s="1907"/>
      <c r="AG1" s="1907"/>
      <c r="AH1" s="1907"/>
      <c r="AI1" s="1907"/>
      <c r="AJ1" s="1907"/>
      <c r="AK1" s="1907"/>
      <c r="AL1" s="1907"/>
      <c r="AM1" s="1907"/>
      <c r="AN1" s="1907"/>
      <c r="AO1" s="1907"/>
      <c r="AP1" s="1907"/>
      <c r="AQ1" s="1907"/>
      <c r="AR1" s="1907"/>
      <c r="AS1" s="1907"/>
      <c r="AT1" s="1907"/>
      <c r="AU1" s="1907"/>
      <c r="AV1" s="1907"/>
      <c r="AW1" s="1907"/>
      <c r="AX1" s="1907"/>
      <c r="AY1" s="1907"/>
      <c r="AZ1" s="1907"/>
      <c r="BA1" s="1907"/>
      <c r="BB1" s="1907"/>
      <c r="BC1" s="1907"/>
      <c r="BD1" s="1907"/>
      <c r="BE1" s="1907"/>
      <c r="BF1" s="1907"/>
      <c r="BG1" s="1907"/>
      <c r="BH1" s="1907"/>
      <c r="BI1" s="1907"/>
      <c r="BJ1" s="1907"/>
      <c r="BK1" s="1907"/>
      <c r="BL1" s="1907"/>
      <c r="BM1" s="1907"/>
      <c r="BN1" s="1907"/>
      <c r="BO1" s="1907"/>
      <c r="BP1" s="1907"/>
      <c r="BQ1" s="1907"/>
      <c r="BR1" s="1907"/>
      <c r="BS1" s="1907"/>
      <c r="BT1" s="1907"/>
      <c r="BU1" s="1907"/>
      <c r="BV1" s="1907"/>
      <c r="BW1" s="1907"/>
      <c r="BX1" s="1907"/>
      <c r="BY1" s="1907"/>
      <c r="BZ1" s="1907"/>
      <c r="CA1" s="1907"/>
      <c r="CB1" s="1907"/>
      <c r="CC1" s="1907"/>
      <c r="CD1" s="1907"/>
      <c r="CE1" s="1907"/>
      <c r="CF1" s="1907"/>
      <c r="CG1" s="1907"/>
      <c r="CH1" s="1907"/>
      <c r="CI1" s="1907"/>
      <c r="CJ1" s="1907"/>
      <c r="CK1" s="1907"/>
      <c r="CL1" s="1907"/>
      <c r="CM1" s="1907"/>
      <c r="CN1" s="1907"/>
      <c r="CO1" s="1907"/>
      <c r="CP1" s="1907"/>
      <c r="CQ1" s="1907"/>
      <c r="CR1" s="1907"/>
      <c r="CS1" s="1907"/>
      <c r="CT1" s="1907"/>
      <c r="CU1" s="692"/>
      <c r="CV1" s="692"/>
      <c r="CW1" s="692"/>
    </row>
    <row r="2" spans="1:101" s="407" customFormat="1" ht="22.5" customHeight="1">
      <c r="A2" s="1912" t="s">
        <v>531</v>
      </c>
      <c r="B2" s="1912"/>
      <c r="C2" s="1912"/>
      <c r="D2" s="1912"/>
      <c r="E2" s="1912"/>
      <c r="F2" s="1912"/>
      <c r="G2" s="1912"/>
      <c r="H2" s="1912"/>
      <c r="I2" s="1912"/>
      <c r="J2" s="1912"/>
      <c r="K2" s="1912"/>
      <c r="L2" s="1912"/>
      <c r="M2" s="1912"/>
      <c r="N2" s="1912"/>
      <c r="O2" s="1912"/>
      <c r="P2" s="1912"/>
      <c r="Q2" s="1912"/>
      <c r="R2" s="1912"/>
      <c r="S2" s="1912"/>
      <c r="T2" s="1912"/>
      <c r="U2" s="1912"/>
      <c r="V2" s="1912"/>
      <c r="W2" s="1912"/>
      <c r="X2" s="1912"/>
      <c r="Y2" s="1912"/>
      <c r="Z2" s="1912"/>
      <c r="AA2" s="1912"/>
      <c r="AB2" s="1912"/>
      <c r="AC2" s="1912"/>
      <c r="AD2" s="1912"/>
      <c r="AE2" s="1912"/>
      <c r="AF2" s="1912"/>
      <c r="AG2" s="1912"/>
      <c r="AH2" s="1912"/>
      <c r="AI2" s="1912"/>
      <c r="AJ2" s="1912"/>
      <c r="AK2" s="1912"/>
      <c r="AL2" s="1912"/>
      <c r="AM2" s="1912"/>
      <c r="AN2" s="1912"/>
      <c r="AO2" s="1912"/>
      <c r="AP2" s="1912"/>
      <c r="AQ2" s="1912"/>
      <c r="AR2" s="1912"/>
      <c r="AS2" s="1912"/>
      <c r="AT2" s="1912"/>
      <c r="AU2" s="1912"/>
      <c r="AV2" s="1912"/>
      <c r="AW2" s="1912"/>
      <c r="AX2" s="1912"/>
      <c r="AY2" s="1912"/>
      <c r="AZ2" s="1912"/>
      <c r="BA2" s="1912"/>
      <c r="BB2" s="1912"/>
      <c r="BC2" s="1912"/>
      <c r="BD2" s="1912"/>
      <c r="BE2" s="1912"/>
      <c r="BF2" s="1912"/>
      <c r="BG2" s="1912"/>
      <c r="BH2" s="1912"/>
      <c r="BI2" s="1912"/>
      <c r="BJ2" s="1912"/>
      <c r="BK2" s="1912"/>
      <c r="BL2" s="1912"/>
      <c r="BM2" s="1912"/>
      <c r="BN2" s="1912"/>
      <c r="BO2" s="1912"/>
      <c r="BP2" s="1912"/>
      <c r="BQ2" s="1912"/>
      <c r="BR2" s="1912"/>
      <c r="BS2" s="1912"/>
      <c r="BT2" s="1912"/>
      <c r="BU2" s="1912"/>
      <c r="BV2" s="1912"/>
      <c r="BW2" s="1912"/>
      <c r="BX2" s="1912"/>
      <c r="BY2" s="1912"/>
      <c r="BZ2" s="1912"/>
      <c r="CA2" s="1912"/>
      <c r="CB2" s="1912"/>
      <c r="CC2" s="1912"/>
      <c r="CD2" s="1912"/>
      <c r="CE2" s="1912"/>
      <c r="CF2" s="1912"/>
      <c r="CG2" s="1912"/>
      <c r="CH2" s="1912"/>
      <c r="CI2" s="1912"/>
      <c r="CJ2" s="1912"/>
      <c r="CK2" s="1912"/>
      <c r="CL2" s="1912"/>
      <c r="CM2" s="1912"/>
      <c r="CN2" s="1912"/>
      <c r="CO2" s="1912"/>
      <c r="CP2" s="1912"/>
      <c r="CQ2" s="1912"/>
      <c r="CR2" s="1912"/>
      <c r="CS2" s="1912"/>
      <c r="CT2" s="1912"/>
      <c r="CU2" s="690"/>
      <c r="CV2" s="690"/>
      <c r="CW2" s="690"/>
    </row>
    <row r="3" spans="1:101" s="407" customFormat="1" ht="31.5" customHeight="1">
      <c r="A3" s="1913" t="s">
        <v>372</v>
      </c>
      <c r="B3" s="1913"/>
      <c r="C3" s="1913"/>
      <c r="D3" s="1913"/>
      <c r="E3" s="1913"/>
      <c r="F3" s="1913"/>
      <c r="G3" s="1913"/>
      <c r="H3" s="1913"/>
      <c r="I3" s="1913"/>
      <c r="J3" s="1913"/>
      <c r="K3" s="1913"/>
      <c r="L3" s="1913"/>
      <c r="M3" s="1913"/>
      <c r="N3" s="1913"/>
      <c r="O3" s="1913"/>
      <c r="P3" s="1913"/>
      <c r="Q3" s="1913"/>
      <c r="R3" s="1913"/>
      <c r="S3" s="1913"/>
      <c r="T3" s="1913"/>
      <c r="U3" s="1913"/>
      <c r="V3" s="1913"/>
      <c r="W3" s="1913"/>
      <c r="X3" s="1913"/>
      <c r="Y3" s="1913"/>
      <c r="Z3" s="1913"/>
      <c r="AA3" s="1913"/>
      <c r="AB3" s="1913"/>
      <c r="AC3" s="1913"/>
      <c r="AD3" s="1913"/>
      <c r="AE3" s="1913"/>
      <c r="AF3" s="1913"/>
      <c r="AG3" s="1913"/>
      <c r="AH3" s="1913"/>
      <c r="AI3" s="1913"/>
      <c r="AJ3" s="1913"/>
      <c r="AK3" s="1913"/>
      <c r="AL3" s="1913"/>
      <c r="AM3" s="1913"/>
      <c r="AN3" s="1913"/>
      <c r="AO3" s="1913"/>
      <c r="AP3" s="1913"/>
      <c r="AQ3" s="1913"/>
      <c r="AR3" s="1913"/>
      <c r="AS3" s="1913"/>
      <c r="AT3" s="1913"/>
      <c r="AU3" s="1913"/>
      <c r="AV3" s="1913"/>
      <c r="AW3" s="1913"/>
      <c r="AX3" s="1913"/>
      <c r="AY3" s="1913"/>
      <c r="AZ3" s="1913"/>
      <c r="BA3" s="1913"/>
      <c r="BB3" s="1913"/>
      <c r="BC3" s="1913"/>
      <c r="BD3" s="1913"/>
      <c r="BE3" s="1913"/>
      <c r="BF3" s="1913"/>
      <c r="BG3" s="1913"/>
      <c r="BH3" s="1913"/>
      <c r="BI3" s="1913"/>
      <c r="BJ3" s="1913"/>
      <c r="BK3" s="1913"/>
      <c r="BL3" s="1913"/>
      <c r="BM3" s="1913"/>
      <c r="BN3" s="1913"/>
      <c r="BO3" s="1913"/>
      <c r="BP3" s="1913"/>
      <c r="BQ3" s="1913"/>
      <c r="BR3" s="1913"/>
      <c r="BS3" s="1913"/>
      <c r="BT3" s="1913"/>
      <c r="BU3" s="1913"/>
      <c r="BV3" s="1913"/>
      <c r="BW3" s="1913"/>
      <c r="BX3" s="1913"/>
      <c r="BY3" s="1913"/>
      <c r="BZ3" s="1913"/>
      <c r="CA3" s="1913"/>
      <c r="CB3" s="1913"/>
      <c r="CC3" s="1913"/>
      <c r="CD3" s="1913"/>
      <c r="CE3" s="1913"/>
      <c r="CF3" s="1913"/>
      <c r="CG3" s="1913"/>
      <c r="CH3" s="1913"/>
      <c r="CI3" s="1913"/>
      <c r="CJ3" s="1913"/>
      <c r="CK3" s="1913"/>
      <c r="CL3" s="1913"/>
      <c r="CM3" s="1913"/>
      <c r="CN3" s="1913"/>
      <c r="CO3" s="1913"/>
      <c r="CP3" s="1913"/>
      <c r="CQ3" s="1913"/>
      <c r="CR3" s="1913"/>
      <c r="CS3" s="1913"/>
      <c r="CT3" s="1913"/>
      <c r="CU3" s="693"/>
      <c r="CV3" s="693"/>
      <c r="CW3" s="693"/>
    </row>
    <row r="4" spans="1:101" s="407" customFormat="1" ht="27" customHeight="1">
      <c r="A4" s="1913" t="s">
        <v>374</v>
      </c>
      <c r="B4" s="1913"/>
      <c r="C4" s="1913"/>
      <c r="D4" s="1913"/>
      <c r="E4" s="1913"/>
      <c r="F4" s="1913"/>
      <c r="G4" s="1913"/>
      <c r="H4" s="1913"/>
      <c r="I4" s="1913"/>
      <c r="J4" s="1913"/>
      <c r="K4" s="1913"/>
      <c r="L4" s="1913"/>
      <c r="M4" s="1913"/>
      <c r="N4" s="1913"/>
      <c r="O4" s="1913"/>
      <c r="P4" s="1913"/>
      <c r="Q4" s="1913"/>
      <c r="R4" s="1913"/>
      <c r="S4" s="1913"/>
      <c r="T4" s="1913"/>
      <c r="U4" s="1913"/>
      <c r="V4" s="1913"/>
      <c r="W4" s="1913"/>
      <c r="X4" s="1913"/>
      <c r="Y4" s="1913"/>
      <c r="Z4" s="1913"/>
      <c r="AA4" s="1913"/>
      <c r="AB4" s="1913"/>
      <c r="AC4" s="1913"/>
      <c r="AD4" s="1913"/>
      <c r="AE4" s="1913"/>
      <c r="AF4" s="1913"/>
      <c r="AG4" s="1913"/>
      <c r="AH4" s="1913"/>
      <c r="AI4" s="1913"/>
      <c r="AJ4" s="1913"/>
      <c r="AK4" s="1913"/>
      <c r="AL4" s="1913"/>
      <c r="AM4" s="1913"/>
      <c r="AN4" s="1913"/>
      <c r="AO4" s="1913"/>
      <c r="AP4" s="1913"/>
      <c r="AQ4" s="1913"/>
      <c r="AR4" s="1913"/>
      <c r="AS4" s="1913"/>
      <c r="AT4" s="1913"/>
      <c r="AU4" s="1913"/>
      <c r="AV4" s="1913"/>
      <c r="AW4" s="1913"/>
      <c r="AX4" s="1913"/>
      <c r="AY4" s="1913"/>
      <c r="AZ4" s="1913"/>
      <c r="BA4" s="1913"/>
      <c r="BB4" s="1913"/>
      <c r="BC4" s="1913"/>
      <c r="BD4" s="1913"/>
      <c r="BE4" s="1913"/>
      <c r="BF4" s="1913"/>
      <c r="BG4" s="1913"/>
      <c r="BH4" s="1913"/>
      <c r="BI4" s="1913"/>
      <c r="BJ4" s="1913"/>
      <c r="BK4" s="1913"/>
      <c r="BL4" s="1913"/>
      <c r="BM4" s="1913"/>
      <c r="BN4" s="1913"/>
      <c r="BO4" s="1913"/>
      <c r="BP4" s="1913"/>
      <c r="BQ4" s="1913"/>
      <c r="BR4" s="1913"/>
      <c r="BS4" s="1913"/>
      <c r="BT4" s="1913"/>
      <c r="BU4" s="1913"/>
      <c r="BV4" s="1913"/>
      <c r="BW4" s="1913"/>
      <c r="BX4" s="1913"/>
      <c r="BY4" s="1913"/>
      <c r="BZ4" s="1913"/>
      <c r="CA4" s="1913"/>
      <c r="CB4" s="1913"/>
      <c r="CC4" s="1913"/>
      <c r="CD4" s="1913"/>
      <c r="CE4" s="1913"/>
      <c r="CF4" s="1913"/>
      <c r="CG4" s="1913"/>
      <c r="CH4" s="1913"/>
      <c r="CI4" s="1913"/>
      <c r="CJ4" s="1913"/>
      <c r="CK4" s="1913"/>
      <c r="CL4" s="1913"/>
      <c r="CM4" s="1913"/>
      <c r="CN4" s="1913"/>
      <c r="CO4" s="1913"/>
      <c r="CP4" s="1913"/>
      <c r="CQ4" s="1913"/>
      <c r="CR4" s="1913"/>
      <c r="CS4" s="1913"/>
      <c r="CT4" s="1913"/>
      <c r="CU4" s="693"/>
      <c r="CV4" s="693"/>
      <c r="CW4" s="693"/>
    </row>
    <row r="5" spans="1:101" s="403" customFormat="1" ht="30.75" customHeight="1">
      <c r="A5" s="620" t="s">
        <v>90</v>
      </c>
      <c r="B5" s="620" t="s">
        <v>663</v>
      </c>
      <c r="C5" s="620"/>
      <c r="D5" s="620"/>
      <c r="E5" s="620"/>
      <c r="F5" s="620"/>
      <c r="G5" s="620"/>
      <c r="H5" s="620"/>
      <c r="I5" s="620"/>
      <c r="J5" s="620"/>
      <c r="K5" s="620"/>
      <c r="L5" s="620"/>
      <c r="M5" s="620"/>
      <c r="N5" s="620"/>
      <c r="O5" s="620"/>
      <c r="P5" s="620"/>
      <c r="Q5" s="620"/>
      <c r="R5" s="620"/>
      <c r="S5" s="620"/>
      <c r="T5" s="620"/>
      <c r="U5" s="620"/>
      <c r="V5" s="620"/>
      <c r="W5" s="620"/>
      <c r="X5" s="620"/>
      <c r="Y5" s="620"/>
      <c r="Z5" s="620"/>
      <c r="AA5" s="620"/>
      <c r="AB5" s="620"/>
      <c r="AC5" s="620"/>
      <c r="AD5" s="620"/>
      <c r="AE5" s="620"/>
      <c r="AF5" s="620"/>
      <c r="AG5" s="620"/>
      <c r="AH5" s="620"/>
      <c r="AI5" s="620"/>
      <c r="AJ5" s="620"/>
      <c r="AK5" s="620"/>
      <c r="AL5" s="620"/>
      <c r="AM5" s="620"/>
      <c r="AN5" s="620"/>
      <c r="AO5" s="620"/>
      <c r="AP5" s="620"/>
      <c r="AQ5" s="620"/>
      <c r="AR5" s="620"/>
      <c r="AS5" s="620"/>
      <c r="AT5" s="620"/>
      <c r="BO5" s="620"/>
      <c r="BT5" s="620" t="s">
        <v>664</v>
      </c>
      <c r="BU5" s="620"/>
      <c r="BV5" s="620"/>
      <c r="BW5" s="620"/>
      <c r="BX5" s="620"/>
      <c r="BY5" s="620"/>
      <c r="BZ5" s="620"/>
      <c r="CA5" s="620"/>
      <c r="CB5" s="620"/>
      <c r="CC5" s="620"/>
      <c r="CD5" s="620"/>
      <c r="CE5" s="620"/>
      <c r="CF5" s="620" t="s">
        <v>543</v>
      </c>
      <c r="CG5" s="620"/>
      <c r="CH5" s="620"/>
      <c r="CI5" s="620"/>
      <c r="CJ5" s="620"/>
      <c r="CK5" s="620"/>
      <c r="CL5" s="620"/>
      <c r="CM5" s="620"/>
      <c r="CN5" s="620"/>
      <c r="CO5" s="620"/>
      <c r="CP5" s="620"/>
      <c r="CQ5" s="620"/>
      <c r="CR5" s="620"/>
      <c r="CS5" s="620"/>
      <c r="CT5" s="620"/>
      <c r="CU5" s="620"/>
      <c r="CV5" s="620"/>
      <c r="CW5" s="620"/>
    </row>
    <row r="6" spans="1:101" s="403" customFormat="1" ht="9" customHeight="1">
      <c r="A6" s="620"/>
      <c r="B6" s="620"/>
      <c r="CD6" s="620"/>
      <c r="CR6" s="621"/>
      <c r="CS6" s="621"/>
      <c r="CT6" s="621"/>
      <c r="CU6" s="621"/>
      <c r="CV6" s="621"/>
    </row>
    <row r="7" spans="1:101" s="403" customFormat="1" ht="12.75">
      <c r="A7" s="622" t="s">
        <v>661</v>
      </c>
      <c r="C7" s="1852">
        <v>1</v>
      </c>
      <c r="D7" s="1853"/>
      <c r="E7" s="1853"/>
      <c r="F7" s="1853"/>
      <c r="G7" s="1853"/>
      <c r="H7" s="604"/>
      <c r="I7" s="605" t="s">
        <v>615</v>
      </c>
      <c r="J7" s="604"/>
      <c r="K7" s="604"/>
      <c r="L7" s="604"/>
      <c r="M7" s="604"/>
      <c r="N7" s="604"/>
      <c r="O7" s="604"/>
      <c r="P7" s="604"/>
      <c r="Q7" s="604"/>
      <c r="R7" s="604"/>
      <c r="S7" s="604"/>
      <c r="T7" s="604"/>
      <c r="U7" s="604"/>
      <c r="V7" s="604"/>
      <c r="W7" s="604"/>
      <c r="X7" s="604"/>
      <c r="Y7" s="604"/>
      <c r="Z7" s="604"/>
      <c r="AA7" s="604"/>
      <c r="AB7" s="604"/>
      <c r="AC7" s="604"/>
      <c r="AD7" s="604"/>
      <c r="AE7" s="604"/>
      <c r="AF7" s="604"/>
      <c r="AG7" s="604"/>
      <c r="AH7" s="604"/>
      <c r="AI7" s="604"/>
      <c r="AJ7" s="604"/>
      <c r="AK7" s="604"/>
      <c r="AL7" s="604"/>
      <c r="AM7" s="604"/>
      <c r="AN7" s="604"/>
      <c r="AO7" s="538"/>
      <c r="AP7" s="538"/>
      <c r="AQ7" s="691"/>
      <c r="BT7" s="403" t="s">
        <v>655</v>
      </c>
      <c r="CR7" s="623"/>
      <c r="CS7" s="621"/>
      <c r="CT7" s="621"/>
      <c r="CU7" s="621"/>
      <c r="CV7" s="621"/>
    </row>
    <row r="8" spans="1:101" s="403" customFormat="1" ht="12.75">
      <c r="A8" s="622"/>
      <c r="CR8" s="623"/>
      <c r="CS8" s="621"/>
      <c r="CT8" s="621"/>
      <c r="CU8" s="621"/>
      <c r="CV8" s="621"/>
    </row>
    <row r="9" spans="1:101" s="403" customFormat="1" ht="12.75">
      <c r="A9" s="622"/>
    </row>
    <row r="10" spans="1:101" s="403" customFormat="1" ht="15.75" thickBot="1">
      <c r="A10" s="393" t="s">
        <v>147</v>
      </c>
      <c r="B10" s="392" t="str">
        <f>'CUMPLIMIENTO % '!C7</f>
        <v>LUIS GABRIEL IBARRA ANGEL</v>
      </c>
      <c r="C10" s="393"/>
      <c r="D10" s="392"/>
      <c r="E10" s="392"/>
      <c r="F10" s="392"/>
      <c r="G10" s="392"/>
      <c r="H10" s="392"/>
      <c r="I10" s="392"/>
      <c r="J10" s="392"/>
      <c r="K10" s="392"/>
      <c r="L10" s="392"/>
      <c r="M10" s="392"/>
      <c r="N10" s="392"/>
      <c r="O10" s="392"/>
      <c r="P10" s="392"/>
      <c r="Q10" s="392"/>
      <c r="R10" s="392"/>
      <c r="S10" s="392"/>
      <c r="T10" s="392"/>
      <c r="U10" s="392"/>
      <c r="V10" s="392"/>
      <c r="W10" s="392"/>
      <c r="X10" s="392"/>
      <c r="Y10" s="392"/>
      <c r="Z10" s="392"/>
      <c r="AA10" s="392"/>
      <c r="AB10" s="392"/>
      <c r="AC10" s="392"/>
      <c r="AD10" s="392"/>
      <c r="AE10" s="392"/>
      <c r="AF10" s="392"/>
      <c r="AG10" s="392"/>
      <c r="AH10" s="392"/>
      <c r="AI10" s="392"/>
      <c r="AJ10" s="392"/>
      <c r="AK10" s="392"/>
      <c r="AL10" s="392"/>
      <c r="AM10" s="392"/>
      <c r="AN10" s="392"/>
      <c r="AO10" s="392"/>
      <c r="AP10" s="392"/>
      <c r="AQ10" s="392"/>
      <c r="AR10" s="392"/>
      <c r="AS10" s="392"/>
      <c r="AT10" s="392"/>
      <c r="AU10" s="392"/>
      <c r="AV10" s="392"/>
      <c r="AW10" s="392"/>
      <c r="AX10" s="392"/>
      <c r="AY10" s="392"/>
      <c r="AZ10" s="392"/>
      <c r="BA10" s="392"/>
      <c r="BB10" s="610" t="s">
        <v>54</v>
      </c>
      <c r="BC10" s="610"/>
      <c r="BD10" s="610"/>
      <c r="BE10" s="610" t="s">
        <v>419</v>
      </c>
      <c r="BF10" s="610"/>
      <c r="BG10" s="610"/>
      <c r="BH10" s="610"/>
      <c r="BI10" s="610"/>
      <c r="BJ10" s="610"/>
      <c r="BK10" s="610"/>
      <c r="BL10" s="610"/>
      <c r="BM10" s="610"/>
      <c r="BN10" s="610"/>
      <c r="BO10" s="610"/>
      <c r="BP10" s="610"/>
      <c r="BQ10" s="610"/>
      <c r="BR10" s="610"/>
      <c r="BS10" s="610"/>
      <c r="BU10" s="610"/>
      <c r="BV10" s="610"/>
      <c r="BW10" s="610"/>
      <c r="BX10" s="610"/>
      <c r="BY10" s="610"/>
      <c r="BZ10" s="610"/>
      <c r="CA10" s="610"/>
      <c r="CB10" s="610"/>
      <c r="CC10" s="610"/>
      <c r="CD10" s="1029" t="str">
        <f>PORTADA!C31</f>
        <v>OCTUBRE - DICIEMBRE DEL 2020</v>
      </c>
      <c r="CE10" s="610"/>
      <c r="CF10" s="610"/>
      <c r="CG10" s="610"/>
      <c r="CH10" s="610"/>
      <c r="CJ10" s="610"/>
      <c r="CK10" s="610"/>
      <c r="CL10" s="610"/>
      <c r="CM10" s="610"/>
      <c r="CN10" s="610"/>
      <c r="CO10" s="610"/>
      <c r="CP10" s="610"/>
      <c r="CQ10" s="610"/>
      <c r="CR10" s="610"/>
      <c r="CS10" s="610"/>
      <c r="CT10" s="610"/>
      <c r="CU10" s="610"/>
      <c r="CV10" s="610"/>
      <c r="CW10" s="610"/>
    </row>
    <row r="11" spans="1:101" ht="21.95" customHeight="1">
      <c r="A11" s="352"/>
      <c r="B11" s="353"/>
      <c r="C11" s="354"/>
      <c r="D11" s="355"/>
      <c r="E11" s="355"/>
      <c r="F11" s="355"/>
      <c r="G11" s="355"/>
      <c r="H11" s="355"/>
      <c r="I11" s="355"/>
      <c r="J11" s="355"/>
      <c r="K11" s="355"/>
      <c r="L11" s="355"/>
      <c r="M11" s="355"/>
      <c r="N11" s="355"/>
      <c r="O11" s="355"/>
      <c r="P11" s="355"/>
      <c r="Q11" s="355"/>
      <c r="R11" s="355"/>
      <c r="S11" s="355"/>
      <c r="T11" s="355"/>
      <c r="U11" s="355"/>
      <c r="V11" s="355"/>
      <c r="W11" s="355"/>
      <c r="X11" s="355"/>
      <c r="Y11" s="355"/>
      <c r="Z11" s="355"/>
      <c r="AA11" s="355"/>
      <c r="AB11" s="355"/>
      <c r="AC11" s="355"/>
      <c r="AD11" s="355"/>
      <c r="AE11" s="355"/>
      <c r="AF11" s="355"/>
      <c r="AG11" s="355"/>
      <c r="AH11" s="355"/>
      <c r="AI11" s="355"/>
      <c r="AJ11" s="355"/>
      <c r="AK11" s="355"/>
      <c r="AL11" s="355"/>
      <c r="AM11" s="355"/>
      <c r="AN11" s="355"/>
      <c r="AO11" s="355"/>
      <c r="AP11" s="355"/>
      <c r="AQ11" s="355"/>
      <c r="AR11" s="355"/>
      <c r="AS11" s="355"/>
      <c r="AT11" s="355"/>
      <c r="AU11" s="355"/>
      <c r="AV11" s="355"/>
      <c r="AW11" s="355"/>
      <c r="AX11" s="355"/>
      <c r="AY11" s="1805"/>
      <c r="AZ11" s="1805"/>
      <c r="BA11" s="1805"/>
      <c r="BB11" s="1805"/>
      <c r="BC11" s="1805"/>
      <c r="BD11" s="1805"/>
      <c r="BE11" s="1805"/>
      <c r="BF11" s="1805"/>
      <c r="BG11" s="1805"/>
      <c r="BH11" s="1805"/>
      <c r="BI11" s="1805"/>
      <c r="BJ11" s="1805"/>
      <c r="BK11" s="1805"/>
      <c r="BL11" s="1805"/>
      <c r="BM11" s="1805"/>
      <c r="BN11" s="1805"/>
      <c r="BO11" s="1805"/>
      <c r="BP11" s="1805"/>
      <c r="BQ11" s="1805"/>
      <c r="BR11" s="1805"/>
      <c r="BS11" s="1805"/>
      <c r="BT11" s="1805"/>
      <c r="BU11" s="1805"/>
      <c r="BV11" s="1805"/>
      <c r="BW11" s="1805"/>
      <c r="BX11" s="1805"/>
      <c r="BY11" s="1805"/>
      <c r="BZ11" s="1805"/>
      <c r="CA11" s="1805"/>
      <c r="CB11" s="1805"/>
      <c r="CC11" s="1805"/>
      <c r="CD11" s="1805"/>
      <c r="CE11" s="1805"/>
      <c r="CF11" s="1805"/>
      <c r="CG11" s="1805"/>
      <c r="CH11" s="1805"/>
      <c r="CI11" s="1805"/>
      <c r="CJ11" s="1805"/>
      <c r="CK11" s="1805"/>
      <c r="CL11" s="1805"/>
      <c r="CM11" s="1805"/>
      <c r="CN11" s="1805"/>
      <c r="CO11" s="1805"/>
      <c r="CP11" s="1805"/>
      <c r="CQ11" s="1805"/>
      <c r="CR11" s="1805"/>
      <c r="CS11" s="1805"/>
      <c r="CT11" s="1806"/>
    </row>
    <row r="12" spans="1:101" ht="21.95" customHeight="1">
      <c r="A12" s="356"/>
      <c r="CT12" s="357"/>
    </row>
    <row r="13" spans="1:101" ht="21.95" customHeight="1">
      <c r="A13" s="356"/>
      <c r="CT13" s="357"/>
    </row>
    <row r="14" spans="1:101" ht="21.95" customHeight="1">
      <c r="A14" s="356"/>
      <c r="CT14" s="357"/>
    </row>
    <row r="15" spans="1:101" ht="21.95" customHeight="1">
      <c r="A15" s="356"/>
      <c r="CT15" s="357"/>
    </row>
    <row r="16" spans="1:101" ht="21.95" customHeight="1">
      <c r="A16" s="356"/>
      <c r="CT16" s="357"/>
    </row>
    <row r="17" spans="1:101" ht="21.95" customHeight="1">
      <c r="A17" s="356"/>
      <c r="CT17" s="357"/>
    </row>
    <row r="18" spans="1:101" ht="21.95" customHeight="1">
      <c r="A18" s="356"/>
      <c r="CT18" s="357"/>
    </row>
    <row r="19" spans="1:101" ht="21.95" customHeight="1">
      <c r="A19" s="356"/>
      <c r="CT19" s="357"/>
    </row>
    <row r="20" spans="1:101" ht="21.95" customHeight="1">
      <c r="A20" s="356"/>
      <c r="CT20" s="357"/>
    </row>
    <row r="21" spans="1:101" ht="21.95" customHeight="1">
      <c r="A21" s="356"/>
      <c r="CT21" s="357"/>
    </row>
    <row r="22" spans="1:101" ht="21.95" customHeight="1">
      <c r="A22" s="356"/>
      <c r="CT22" s="357"/>
    </row>
    <row r="23" spans="1:101" ht="21.95" customHeight="1">
      <c r="A23" s="356"/>
      <c r="CT23" s="357"/>
    </row>
    <row r="24" spans="1:101" ht="21.95" customHeight="1">
      <c r="A24" s="356"/>
      <c r="CT24" s="357"/>
    </row>
    <row r="25" spans="1:101" ht="21.95" customHeight="1">
      <c r="A25" s="356"/>
      <c r="CT25" s="357"/>
    </row>
    <row r="26" spans="1:101" ht="21.95" customHeight="1">
      <c r="A26" s="356"/>
      <c r="CT26" s="357"/>
    </row>
    <row r="27" spans="1:101" ht="21.95" customHeight="1">
      <c r="A27" s="356"/>
      <c r="CT27" s="357"/>
    </row>
    <row r="28" spans="1:101" ht="21.95" customHeight="1" thickBot="1">
      <c r="A28" s="358"/>
      <c r="B28" s="359"/>
      <c r="C28" s="359"/>
      <c r="D28" s="359"/>
      <c r="E28" s="359"/>
      <c r="F28" s="359"/>
      <c r="G28" s="359"/>
      <c r="H28" s="359"/>
      <c r="I28" s="359"/>
      <c r="J28" s="359"/>
      <c r="K28" s="359"/>
      <c r="L28" s="359"/>
      <c r="M28" s="359"/>
      <c r="N28" s="359"/>
      <c r="O28" s="359"/>
      <c r="P28" s="359"/>
      <c r="Q28" s="359"/>
      <c r="R28" s="359"/>
      <c r="S28" s="359"/>
      <c r="T28" s="359"/>
      <c r="U28" s="359"/>
      <c r="V28" s="359"/>
      <c r="W28" s="359"/>
      <c r="X28" s="359"/>
      <c r="Y28" s="359"/>
      <c r="Z28" s="359"/>
      <c r="AA28" s="359"/>
      <c r="AB28" s="359"/>
      <c r="AC28" s="359"/>
      <c r="AD28" s="359"/>
      <c r="AE28" s="359"/>
      <c r="AF28" s="359"/>
      <c r="AG28" s="359"/>
      <c r="AH28" s="359"/>
      <c r="AI28" s="359"/>
      <c r="AJ28" s="359"/>
      <c r="AK28" s="359"/>
      <c r="AL28" s="359"/>
      <c r="AM28" s="359"/>
      <c r="AN28" s="359"/>
      <c r="AO28" s="359"/>
      <c r="AP28" s="359"/>
      <c r="AQ28" s="359"/>
      <c r="AR28" s="359"/>
      <c r="AS28" s="359"/>
      <c r="AT28" s="359"/>
      <c r="AU28" s="359"/>
      <c r="AV28" s="359"/>
      <c r="AW28" s="359"/>
      <c r="AX28" s="359"/>
      <c r="AY28" s="359"/>
      <c r="AZ28" s="359"/>
      <c r="BA28" s="359"/>
      <c r="BB28" s="359"/>
      <c r="BC28" s="359"/>
      <c r="BD28" s="359"/>
      <c r="BE28" s="359"/>
      <c r="BF28" s="359"/>
      <c r="BG28" s="359"/>
      <c r="BH28" s="359"/>
      <c r="BI28" s="359"/>
      <c r="BJ28" s="359"/>
      <c r="BK28" s="359"/>
      <c r="BL28" s="359"/>
      <c r="BM28" s="359"/>
      <c r="BN28" s="359"/>
      <c r="BO28" s="359"/>
      <c r="BP28" s="359"/>
      <c r="BQ28" s="359"/>
      <c r="BR28" s="359"/>
      <c r="BS28" s="359"/>
      <c r="BT28" s="359"/>
      <c r="BU28" s="359"/>
      <c r="BV28" s="359"/>
      <c r="BW28" s="359"/>
      <c r="BX28" s="359"/>
      <c r="BY28" s="359"/>
      <c r="BZ28" s="359"/>
      <c r="CA28" s="359"/>
      <c r="CB28" s="359"/>
      <c r="CC28" s="359"/>
      <c r="CD28" s="359"/>
      <c r="CE28" s="359"/>
      <c r="CF28" s="359"/>
      <c r="CG28" s="359"/>
      <c r="CH28" s="359"/>
      <c r="CI28" s="359"/>
      <c r="CJ28" s="359"/>
      <c r="CK28" s="359"/>
      <c r="CL28" s="359"/>
      <c r="CM28" s="359"/>
      <c r="CN28" s="359"/>
      <c r="CO28" s="359"/>
      <c r="CP28" s="359"/>
      <c r="CQ28" s="359"/>
      <c r="CR28" s="359"/>
      <c r="CS28" s="359"/>
      <c r="CT28" s="360"/>
      <c r="CV28" s="349" t="s">
        <v>54</v>
      </c>
    </row>
    <row r="29" spans="1:101" ht="16.5" customHeight="1" thickBot="1">
      <c r="A29" s="361" t="s">
        <v>7</v>
      </c>
      <c r="B29" s="1992" t="s">
        <v>52</v>
      </c>
      <c r="C29" s="1993"/>
      <c r="D29" s="1993"/>
      <c r="E29" s="1993"/>
      <c r="F29" s="1993"/>
      <c r="G29" s="1993"/>
      <c r="H29" s="1993"/>
      <c r="I29" s="1993"/>
      <c r="J29" s="1993"/>
      <c r="K29" s="1993"/>
      <c r="L29" s="1993"/>
      <c r="M29" s="1993"/>
      <c r="N29" s="1993"/>
      <c r="O29" s="1993"/>
      <c r="P29" s="1993"/>
      <c r="Q29" s="1993"/>
      <c r="R29" s="1993"/>
      <c r="S29" s="1993"/>
      <c r="T29" s="1993"/>
      <c r="U29" s="1993"/>
      <c r="V29" s="1993"/>
      <c r="W29" s="1993"/>
      <c r="X29" s="1993"/>
      <c r="Y29" s="1993"/>
      <c r="Z29" s="1993"/>
      <c r="AA29" s="1993"/>
      <c r="AB29" s="1993"/>
      <c r="AC29" s="1993"/>
      <c r="AD29" s="1993"/>
      <c r="AE29" s="1993"/>
      <c r="AF29" s="1993"/>
      <c r="AG29" s="1993"/>
      <c r="AH29" s="1993"/>
      <c r="AI29" s="1993"/>
      <c r="AJ29" s="1993"/>
      <c r="AK29" s="1993"/>
      <c r="AL29" s="1993"/>
      <c r="AM29" s="1993"/>
      <c r="AN29" s="1993"/>
      <c r="AO29" s="1993"/>
      <c r="AP29" s="1993"/>
      <c r="AQ29" s="1993"/>
      <c r="AR29" s="1993"/>
      <c r="AS29" s="1993"/>
      <c r="AT29" s="1993"/>
      <c r="AU29" s="1993"/>
      <c r="AV29" s="1993"/>
      <c r="AW29" s="1993"/>
      <c r="AX29" s="1993"/>
      <c r="AY29" s="1993"/>
      <c r="AZ29" s="1993"/>
      <c r="BA29" s="1993"/>
      <c r="BB29" s="1993"/>
      <c r="BC29" s="1993"/>
      <c r="BD29" s="1993"/>
      <c r="BE29" s="1993"/>
      <c r="BF29" s="1993"/>
      <c r="BG29" s="1993"/>
      <c r="BH29" s="1993"/>
      <c r="BI29" s="1993"/>
      <c r="BJ29" s="1993"/>
      <c r="BK29" s="1993"/>
      <c r="BL29" s="1993"/>
      <c r="BM29" s="1993"/>
      <c r="BN29" s="1993"/>
      <c r="BO29" s="1993"/>
      <c r="BP29" s="1993"/>
      <c r="BQ29" s="1993"/>
      <c r="BR29" s="1993"/>
      <c r="BS29" s="1993"/>
      <c r="BT29" s="1993"/>
      <c r="BU29" s="1993"/>
      <c r="BV29" s="1993"/>
      <c r="BW29" s="1993"/>
      <c r="BX29" s="1993"/>
      <c r="BY29" s="1993"/>
      <c r="BZ29" s="1993"/>
      <c r="CA29" s="1663" t="s">
        <v>568</v>
      </c>
      <c r="CB29" s="1664"/>
      <c r="CC29" s="1664"/>
      <c r="CD29" s="1664"/>
      <c r="CE29" s="1664"/>
      <c r="CF29" s="1664"/>
      <c r="CG29" s="1664"/>
      <c r="CH29" s="1664"/>
      <c r="CI29" s="1664"/>
      <c r="CJ29" s="1664"/>
      <c r="CK29" s="1664"/>
      <c r="CL29" s="1664"/>
      <c r="CM29" s="1664"/>
      <c r="CN29" s="1664"/>
      <c r="CO29" s="1664"/>
      <c r="CP29" s="1664"/>
      <c r="CQ29" s="1664"/>
      <c r="CR29" s="1664"/>
      <c r="CS29" s="1664"/>
      <c r="CT29" s="1665"/>
    </row>
    <row r="30" spans="1:101" ht="16.5" thickBot="1">
      <c r="A30" s="362" t="s">
        <v>282</v>
      </c>
      <c r="B30" s="1779" t="s">
        <v>569</v>
      </c>
      <c r="C30" s="1779"/>
      <c r="D30" s="1779"/>
      <c r="E30" s="1779"/>
      <c r="F30" s="1779"/>
      <c r="G30" s="1779"/>
      <c r="H30" s="1779"/>
      <c r="I30" s="1779"/>
      <c r="J30" s="1779"/>
      <c r="K30" s="1779"/>
      <c r="L30" s="1779"/>
      <c r="M30" s="1779"/>
      <c r="N30" s="1779"/>
      <c r="O30" s="1779"/>
      <c r="P30" s="1779"/>
      <c r="Q30" s="1779"/>
      <c r="R30" s="1779"/>
      <c r="S30" s="1779"/>
      <c r="T30" s="1779"/>
      <c r="U30" s="1779"/>
      <c r="V30" s="1780"/>
      <c r="W30" s="1780"/>
      <c r="X30" s="1780"/>
      <c r="Y30" s="1780"/>
      <c r="Z30" s="1780"/>
      <c r="AA30" s="1780"/>
      <c r="AB30" s="1780"/>
      <c r="AC30" s="1780"/>
      <c r="AD30" s="1780"/>
      <c r="AE30" s="1780"/>
      <c r="AF30" s="1780"/>
      <c r="AG30" s="1780"/>
      <c r="AH30" s="1780"/>
      <c r="AI30" s="1780"/>
      <c r="AJ30" s="1780"/>
      <c r="AK30" s="1780"/>
      <c r="AL30" s="1780"/>
      <c r="AM30" s="1780"/>
      <c r="AN30" s="1780"/>
      <c r="AO30" s="1780"/>
      <c r="AP30" s="1780"/>
      <c r="AQ30" s="1780"/>
      <c r="AR30" s="1780"/>
      <c r="AS30" s="1780"/>
      <c r="AT30" s="1780"/>
      <c r="AU30" s="1780"/>
      <c r="AV30" s="1780"/>
      <c r="AW30" s="1780"/>
      <c r="AX30" s="1780"/>
      <c r="AY30" s="1780"/>
      <c r="AZ30" s="1780"/>
      <c r="BA30" s="1780"/>
      <c r="BB30" s="1780"/>
      <c r="BC30" s="1780"/>
      <c r="BD30" s="1780"/>
      <c r="BE30" s="1780"/>
      <c r="BF30" s="1780"/>
      <c r="BG30" s="1780"/>
      <c r="BH30" s="1780"/>
      <c r="BI30" s="1780"/>
      <c r="BJ30" s="1781"/>
      <c r="BK30" s="1781"/>
      <c r="BL30" s="1781"/>
      <c r="BM30" s="1781"/>
      <c r="BN30" s="1781"/>
      <c r="BO30" s="1781"/>
      <c r="BP30" s="1781"/>
      <c r="BQ30" s="1781"/>
      <c r="BR30" s="1781"/>
      <c r="BS30" s="1781"/>
      <c r="BT30" s="1781"/>
      <c r="BU30" s="1781"/>
      <c r="BV30" s="1781"/>
      <c r="BW30" s="1781"/>
      <c r="BX30" s="1781"/>
      <c r="BY30" s="1781"/>
      <c r="BZ30" s="1782"/>
      <c r="CA30" s="1854"/>
      <c r="CB30" s="1855"/>
      <c r="CC30" s="1855"/>
      <c r="CD30" s="1855"/>
      <c r="CE30" s="1855"/>
      <c r="CF30" s="1855"/>
      <c r="CG30" s="1855"/>
      <c r="CH30" s="1855"/>
      <c r="CI30" s="1855"/>
      <c r="CJ30" s="1855"/>
      <c r="CK30" s="1855"/>
      <c r="CL30" s="1855"/>
      <c r="CM30" s="1855"/>
      <c r="CN30" s="1855"/>
      <c r="CO30" s="1855"/>
      <c r="CP30" s="1855"/>
      <c r="CQ30" s="1855"/>
      <c r="CR30" s="1855"/>
      <c r="CS30" s="1855"/>
      <c r="CT30" s="1856"/>
    </row>
    <row r="31" spans="1:101" ht="12.75" customHeight="1" thickBot="1">
      <c r="A31" s="363" t="s">
        <v>132</v>
      </c>
      <c r="B31" s="1988">
        <v>1</v>
      </c>
      <c r="C31" s="1988"/>
      <c r="D31" s="1988"/>
      <c r="E31" s="1988"/>
      <c r="F31" s="1988"/>
      <c r="G31" s="1988"/>
      <c r="H31" s="1988"/>
      <c r="I31" s="1988"/>
      <c r="J31" s="1988"/>
      <c r="K31" s="1988"/>
      <c r="L31" s="1988"/>
      <c r="M31" s="1988"/>
      <c r="N31" s="1988"/>
      <c r="O31" s="1988"/>
      <c r="P31" s="1988"/>
      <c r="Q31" s="1988"/>
      <c r="R31" s="1988"/>
      <c r="S31" s="1988"/>
      <c r="T31" s="1988"/>
      <c r="U31" s="1988"/>
      <c r="V31" s="1988">
        <v>2</v>
      </c>
      <c r="W31" s="1988"/>
      <c r="X31" s="1988"/>
      <c r="Y31" s="1988"/>
      <c r="Z31" s="1988"/>
      <c r="AA31" s="1988"/>
      <c r="AB31" s="1988"/>
      <c r="AC31" s="1988"/>
      <c r="AD31" s="1988"/>
      <c r="AE31" s="1988"/>
      <c r="AF31" s="1988"/>
      <c r="AG31" s="1988"/>
      <c r="AH31" s="1988"/>
      <c r="AI31" s="1988"/>
      <c r="AJ31" s="1988"/>
      <c r="AK31" s="1988"/>
      <c r="AL31" s="1988"/>
      <c r="AM31" s="1988"/>
      <c r="AN31" s="1988"/>
      <c r="AO31" s="1988"/>
      <c r="AP31" s="1972" t="s">
        <v>570</v>
      </c>
      <c r="AQ31" s="1973"/>
      <c r="AR31" s="1973"/>
      <c r="AS31" s="1973"/>
      <c r="AT31" s="1973"/>
      <c r="AU31" s="1973"/>
      <c r="AV31" s="1973"/>
      <c r="AW31" s="1973"/>
      <c r="AX31" s="1973"/>
      <c r="AY31" s="1973"/>
      <c r="AZ31" s="1973"/>
      <c r="BA31" s="1973"/>
      <c r="BB31" s="1973"/>
      <c r="BC31" s="1973"/>
      <c r="BD31" s="1973"/>
      <c r="BE31" s="1973"/>
      <c r="BF31" s="1973"/>
      <c r="BG31" s="1973"/>
      <c r="BH31" s="1973"/>
      <c r="BI31" s="1974"/>
      <c r="BJ31" s="1989" t="s">
        <v>1043</v>
      </c>
      <c r="BK31" s="1990"/>
      <c r="BL31" s="1990"/>
      <c r="BM31" s="1990"/>
      <c r="BN31" s="1990"/>
      <c r="BO31" s="1990"/>
      <c r="BP31" s="1990"/>
      <c r="BQ31" s="1990"/>
      <c r="BR31" s="1990"/>
      <c r="BS31" s="1990"/>
      <c r="BT31" s="1990"/>
      <c r="BU31" s="1990"/>
      <c r="BV31" s="1990"/>
      <c r="BW31" s="1990"/>
      <c r="BX31" s="1990"/>
      <c r="BY31" s="1990"/>
      <c r="BZ31" s="1991"/>
      <c r="CA31" s="1864" t="s">
        <v>368</v>
      </c>
      <c r="CB31" s="1865"/>
      <c r="CC31" s="1865"/>
      <c r="CD31" s="1865"/>
      <c r="CE31" s="1865" t="s">
        <v>96</v>
      </c>
      <c r="CF31" s="1865"/>
      <c r="CG31" s="1865"/>
      <c r="CH31" s="1865"/>
      <c r="CI31" s="1865" t="s">
        <v>97</v>
      </c>
      <c r="CJ31" s="1865"/>
      <c r="CK31" s="1865"/>
      <c r="CL31" s="1865"/>
      <c r="CM31" s="1865" t="s">
        <v>98</v>
      </c>
      <c r="CN31" s="1865"/>
      <c r="CO31" s="1865"/>
      <c r="CP31" s="1865"/>
      <c r="CQ31" s="1865" t="s">
        <v>369</v>
      </c>
      <c r="CR31" s="1865"/>
      <c r="CS31" s="1865"/>
      <c r="CT31" s="1905"/>
      <c r="CU31" s="611" t="s">
        <v>572</v>
      </c>
      <c r="CV31" s="611" t="s">
        <v>14</v>
      </c>
      <c r="CW31" s="611" t="s">
        <v>573</v>
      </c>
    </row>
    <row r="32" spans="1:101" ht="10.5" customHeight="1">
      <c r="A32" s="1645" t="s">
        <v>55</v>
      </c>
      <c r="B32" s="365"/>
      <c r="U32" s="366"/>
      <c r="AO32" s="366"/>
      <c r="BI32" s="366"/>
      <c r="BZ32" s="366"/>
      <c r="CA32" s="1860" t="s">
        <v>617</v>
      </c>
      <c r="CB32" s="1861"/>
      <c r="CC32" s="1861" t="s">
        <v>39</v>
      </c>
      <c r="CD32" s="1861"/>
      <c r="CE32" s="1861" t="s">
        <v>617</v>
      </c>
      <c r="CF32" s="1861"/>
      <c r="CG32" s="1861" t="s">
        <v>39</v>
      </c>
      <c r="CH32" s="1861"/>
      <c r="CI32" s="1861" t="s">
        <v>617</v>
      </c>
      <c r="CJ32" s="1861"/>
      <c r="CK32" s="1861" t="s">
        <v>39</v>
      </c>
      <c r="CL32" s="1861"/>
      <c r="CM32" s="1861" t="s">
        <v>617</v>
      </c>
      <c r="CN32" s="1861"/>
      <c r="CO32" s="1861" t="s">
        <v>39</v>
      </c>
      <c r="CP32" s="1861"/>
      <c r="CQ32" s="1861" t="s">
        <v>617</v>
      </c>
      <c r="CR32" s="1861"/>
      <c r="CS32" s="1861" t="s">
        <v>39</v>
      </c>
      <c r="CT32" s="1866"/>
      <c r="CU32" s="612"/>
      <c r="CV32" s="613" t="s">
        <v>54</v>
      </c>
      <c r="CW32" s="614">
        <v>3.1739999999999999</v>
      </c>
    </row>
    <row r="33" spans="1:101" ht="4.5" customHeight="1">
      <c r="A33" s="1645"/>
      <c r="B33" s="371"/>
      <c r="C33" s="371"/>
      <c r="D33" s="371"/>
      <c r="E33" s="371"/>
      <c r="F33" s="371"/>
      <c r="G33" s="371"/>
      <c r="H33" s="371"/>
      <c r="I33" s="371"/>
      <c r="J33" s="371"/>
      <c r="K33" s="371"/>
      <c r="L33" s="371"/>
      <c r="M33" s="371"/>
      <c r="N33" s="371"/>
      <c r="O33" s="371"/>
      <c r="P33" s="371"/>
      <c r="Q33" s="371"/>
      <c r="R33" s="371"/>
      <c r="S33" s="371"/>
      <c r="T33" s="371"/>
      <c r="U33" s="371"/>
      <c r="V33" s="371"/>
      <c r="W33" s="371"/>
      <c r="X33" s="371"/>
      <c r="Y33" s="371"/>
      <c r="Z33" s="371"/>
      <c r="AA33" s="371"/>
      <c r="AB33" s="371"/>
      <c r="AC33" s="371"/>
      <c r="AD33" s="371"/>
      <c r="AE33" s="371"/>
      <c r="AF33" s="371"/>
      <c r="AG33" s="371"/>
      <c r="AH33" s="371"/>
      <c r="AI33" s="371"/>
      <c r="AJ33" s="371"/>
      <c r="AK33" s="371"/>
      <c r="AL33" s="371"/>
      <c r="AM33" s="371"/>
      <c r="AN33" s="371"/>
      <c r="AO33" s="371"/>
      <c r="AP33" s="371"/>
      <c r="AQ33" s="371"/>
      <c r="AR33" s="371"/>
      <c r="AS33" s="371"/>
      <c r="AT33" s="371"/>
      <c r="AU33" s="371"/>
      <c r="AV33" s="371"/>
      <c r="AW33" s="371"/>
      <c r="AX33" s="371"/>
      <c r="AY33" s="371"/>
      <c r="AZ33" s="371"/>
      <c r="BA33" s="371"/>
      <c r="BB33" s="371"/>
      <c r="BC33" s="371"/>
      <c r="BD33" s="371"/>
      <c r="BE33" s="371"/>
      <c r="BF33" s="371"/>
      <c r="BG33" s="371"/>
      <c r="BH33" s="371"/>
      <c r="BI33" s="371"/>
      <c r="BJ33" s="371"/>
      <c r="BK33" s="371"/>
      <c r="BL33" s="371"/>
      <c r="BM33" s="371"/>
      <c r="BN33" s="371"/>
      <c r="BO33" s="371"/>
      <c r="BZ33" s="366"/>
      <c r="CA33" s="1862"/>
      <c r="CB33" s="1863"/>
      <c r="CC33" s="1863"/>
      <c r="CD33" s="1863"/>
      <c r="CE33" s="1863"/>
      <c r="CF33" s="1863"/>
      <c r="CG33" s="1863"/>
      <c r="CH33" s="1863"/>
      <c r="CI33" s="1863"/>
      <c r="CJ33" s="1863"/>
      <c r="CK33" s="1863"/>
      <c r="CL33" s="1863"/>
      <c r="CM33" s="1863"/>
      <c r="CN33" s="1863"/>
      <c r="CO33" s="1863"/>
      <c r="CP33" s="1863"/>
      <c r="CQ33" s="1863"/>
      <c r="CR33" s="1863"/>
      <c r="CS33" s="1863"/>
      <c r="CT33" s="1867"/>
      <c r="CU33" s="615"/>
      <c r="CV33" s="615"/>
      <c r="CW33" s="615"/>
    </row>
    <row r="34" spans="1:101" ht="13.5" customHeight="1">
      <c r="A34" s="1646"/>
      <c r="B34" s="378"/>
      <c r="C34" s="379"/>
      <c r="D34" s="379"/>
      <c r="E34" s="379"/>
      <c r="F34" s="379"/>
      <c r="G34" s="379"/>
      <c r="H34" s="379"/>
      <c r="I34" s="379"/>
      <c r="J34" s="379"/>
      <c r="K34" s="379"/>
      <c r="L34" s="379"/>
      <c r="M34" s="379"/>
      <c r="N34" s="379"/>
      <c r="O34" s="379"/>
      <c r="P34" s="379"/>
      <c r="Q34" s="379"/>
      <c r="R34" s="379"/>
      <c r="S34" s="379"/>
      <c r="T34" s="379"/>
      <c r="U34" s="380"/>
      <c r="V34" s="379"/>
      <c r="W34" s="379"/>
      <c r="X34" s="379"/>
      <c r="Y34" s="379"/>
      <c r="Z34" s="379"/>
      <c r="AA34" s="379"/>
      <c r="AB34" s="379"/>
      <c r="AC34" s="379"/>
      <c r="AD34" s="379"/>
      <c r="AE34" s="379"/>
      <c r="AF34" s="379"/>
      <c r="AG34" s="379"/>
      <c r="AH34" s="379"/>
      <c r="AI34" s="379"/>
      <c r="AJ34" s="379"/>
      <c r="AK34" s="379"/>
      <c r="AL34" s="379"/>
      <c r="AM34" s="379"/>
      <c r="AN34" s="379"/>
      <c r="AO34" s="380"/>
      <c r="AP34" s="379"/>
      <c r="AQ34" s="379"/>
      <c r="AR34" s="379"/>
      <c r="AS34" s="379"/>
      <c r="AT34" s="379"/>
      <c r="AU34" s="379"/>
      <c r="AV34" s="379"/>
      <c r="AW34" s="379"/>
      <c r="AX34" s="379"/>
      <c r="AY34" s="379"/>
      <c r="AZ34" s="379"/>
      <c r="BA34" s="379"/>
      <c r="BB34" s="379"/>
      <c r="BC34" s="379"/>
      <c r="BD34" s="379"/>
      <c r="BE34" s="379"/>
      <c r="BF34" s="379"/>
      <c r="BG34" s="379"/>
      <c r="BH34" s="379"/>
      <c r="BI34" s="380"/>
      <c r="BJ34" s="379"/>
      <c r="BK34" s="379"/>
      <c r="BL34" s="379"/>
      <c r="BM34" s="379"/>
      <c r="BN34" s="379"/>
      <c r="BO34" s="379"/>
      <c r="BP34" s="379"/>
      <c r="BQ34" s="379"/>
      <c r="BR34" s="379"/>
      <c r="BS34" s="379"/>
      <c r="BT34" s="379"/>
      <c r="BU34" s="379"/>
      <c r="BV34" s="379"/>
      <c r="BW34" s="379"/>
      <c r="BX34" s="379"/>
      <c r="BY34" s="379"/>
      <c r="BZ34" s="380"/>
      <c r="CA34" s="1932">
        <v>0</v>
      </c>
      <c r="CB34" s="1933"/>
      <c r="CC34" s="1934">
        <f>+CA34/$CU$34</f>
        <v>0</v>
      </c>
      <c r="CD34" s="1935"/>
      <c r="CE34" s="1809">
        <v>3.17</v>
      </c>
      <c r="CF34" s="1809"/>
      <c r="CG34" s="1794">
        <f>+CE34/$CU$34</f>
        <v>1</v>
      </c>
      <c r="CH34" s="1793"/>
      <c r="CI34" s="1795">
        <v>0</v>
      </c>
      <c r="CJ34" s="1795"/>
      <c r="CK34" s="1936">
        <f>+CI34/$CU$34</f>
        <v>0</v>
      </c>
      <c r="CL34" s="1936"/>
      <c r="CM34" s="1923">
        <v>0</v>
      </c>
      <c r="CN34" s="1923"/>
      <c r="CO34" s="1924">
        <f>+CM34/$CU$34</f>
        <v>0</v>
      </c>
      <c r="CP34" s="1925"/>
      <c r="CQ34" s="1798">
        <f>+'[1]Estado Resumen'!$L$21</f>
        <v>0</v>
      </c>
      <c r="CR34" s="1798"/>
      <c r="CS34" s="1799">
        <f>+CQ34/$CU$34</f>
        <v>0</v>
      </c>
      <c r="CT34" s="1800"/>
      <c r="CU34" s="612">
        <f>CE34+CI34+CQ34+CM34+CA34</f>
        <v>3.17</v>
      </c>
      <c r="CV34" s="616">
        <f>CG34+CK34+CS34+CC34+CO34</f>
        <v>1</v>
      </c>
      <c r="CW34" s="615"/>
    </row>
    <row r="35" spans="1:101" ht="10.5" customHeight="1">
      <c r="A35" s="1644" t="s">
        <v>88</v>
      </c>
      <c r="B35" s="365"/>
      <c r="U35" s="366"/>
      <c r="AO35" s="366"/>
      <c r="BI35" s="366"/>
      <c r="BZ35" s="366"/>
      <c r="CA35" s="1889"/>
      <c r="CB35" s="1789"/>
      <c r="CC35" s="1789"/>
      <c r="CD35" s="1789"/>
      <c r="CE35" s="1926"/>
      <c r="CF35" s="1926"/>
      <c r="CG35" s="1926"/>
      <c r="CH35" s="1926"/>
      <c r="CI35" s="1926"/>
      <c r="CJ35" s="1926"/>
      <c r="CK35" s="1926"/>
      <c r="CL35" s="1926"/>
      <c r="CM35" s="1928"/>
      <c r="CN35" s="1928"/>
      <c r="CO35" s="1928"/>
      <c r="CP35" s="1928"/>
      <c r="CQ35" s="1928"/>
      <c r="CR35" s="1928"/>
      <c r="CS35" s="1928"/>
      <c r="CT35" s="1930"/>
      <c r="CW35" s="615"/>
    </row>
    <row r="36" spans="1:101" ht="4.5" customHeight="1">
      <c r="A36" s="1645"/>
      <c r="B36" s="365"/>
      <c r="U36" s="366"/>
      <c r="AO36" s="366"/>
      <c r="BI36" s="366"/>
      <c r="BZ36" s="366"/>
      <c r="CA36" s="1889"/>
      <c r="CB36" s="1789"/>
      <c r="CC36" s="1789"/>
      <c r="CD36" s="1789"/>
      <c r="CE36" s="1927"/>
      <c r="CF36" s="1927"/>
      <c r="CG36" s="1927"/>
      <c r="CH36" s="1927"/>
      <c r="CI36" s="1927"/>
      <c r="CJ36" s="1927"/>
      <c r="CK36" s="1927"/>
      <c r="CL36" s="1927"/>
      <c r="CM36" s="1929"/>
      <c r="CN36" s="1929"/>
      <c r="CO36" s="1929"/>
      <c r="CP36" s="1929"/>
      <c r="CQ36" s="1929"/>
      <c r="CR36" s="1929"/>
      <c r="CS36" s="1929"/>
      <c r="CT36" s="1931"/>
      <c r="CU36" s="612"/>
      <c r="CV36" s="616"/>
      <c r="CW36" s="615"/>
    </row>
    <row r="37" spans="1:101" ht="13.5" customHeight="1">
      <c r="A37" s="1646"/>
      <c r="B37" s="378"/>
      <c r="C37" s="379"/>
      <c r="D37" s="379"/>
      <c r="E37" s="379"/>
      <c r="F37" s="379"/>
      <c r="G37" s="379"/>
      <c r="H37" s="379"/>
      <c r="I37" s="379"/>
      <c r="J37" s="379"/>
      <c r="K37" s="379"/>
      <c r="L37" s="379"/>
      <c r="M37" s="379"/>
      <c r="N37" s="379"/>
      <c r="O37" s="379"/>
      <c r="P37" s="379"/>
      <c r="Q37" s="379"/>
      <c r="R37" s="379"/>
      <c r="S37" s="379"/>
      <c r="T37" s="379"/>
      <c r="U37" s="380"/>
      <c r="V37" s="379"/>
      <c r="W37" s="379"/>
      <c r="X37" s="379"/>
      <c r="Y37" s="379"/>
      <c r="Z37" s="379"/>
      <c r="AA37" s="379"/>
      <c r="AB37" s="379"/>
      <c r="AC37" s="379"/>
      <c r="AD37" s="379"/>
      <c r="AE37" s="379"/>
      <c r="AF37" s="379"/>
      <c r="AG37" s="379"/>
      <c r="AH37" s="379"/>
      <c r="AI37" s="379"/>
      <c r="AJ37" s="379"/>
      <c r="AK37" s="379"/>
      <c r="AL37" s="379"/>
      <c r="AM37" s="379"/>
      <c r="AN37" s="379"/>
      <c r="AO37" s="380"/>
      <c r="AP37" s="379"/>
      <c r="AQ37" s="379"/>
      <c r="AR37" s="379"/>
      <c r="AS37" s="379"/>
      <c r="AT37" s="379"/>
      <c r="AU37" s="379"/>
      <c r="AV37" s="379"/>
      <c r="AW37" s="379"/>
      <c r="AX37" s="379"/>
      <c r="AY37" s="379"/>
      <c r="AZ37" s="379"/>
      <c r="BA37" s="379"/>
      <c r="BB37" s="379"/>
      <c r="BC37" s="379"/>
      <c r="BD37" s="379"/>
      <c r="BE37" s="379"/>
      <c r="BF37" s="379"/>
      <c r="BG37" s="379"/>
      <c r="BH37" s="379"/>
      <c r="BI37" s="380"/>
      <c r="BJ37" s="379"/>
      <c r="BK37" s="379"/>
      <c r="BL37" s="379"/>
      <c r="BM37" s="379"/>
      <c r="BN37" s="379"/>
      <c r="BO37" s="379"/>
      <c r="BP37" s="379"/>
      <c r="BQ37" s="379"/>
      <c r="BR37" s="379"/>
      <c r="BS37" s="379"/>
      <c r="BT37" s="379"/>
      <c r="BU37" s="379"/>
      <c r="BV37" s="379"/>
      <c r="BW37" s="379"/>
      <c r="BX37" s="379"/>
      <c r="BY37" s="379"/>
      <c r="BZ37" s="380"/>
      <c r="CA37" s="1932"/>
      <c r="CB37" s="1933"/>
      <c r="CC37" s="1934"/>
      <c r="CD37" s="1935"/>
      <c r="CE37" s="1809"/>
      <c r="CF37" s="1809"/>
      <c r="CG37" s="1794"/>
      <c r="CH37" s="1793"/>
      <c r="CI37" s="1795"/>
      <c r="CJ37" s="1795"/>
      <c r="CK37" s="1936"/>
      <c r="CL37" s="1936"/>
      <c r="CM37" s="1923"/>
      <c r="CN37" s="1923"/>
      <c r="CO37" s="1924"/>
      <c r="CP37" s="1925"/>
      <c r="CQ37" s="1798"/>
      <c r="CR37" s="1798"/>
      <c r="CS37" s="1799"/>
      <c r="CT37" s="1800"/>
      <c r="CU37" s="624"/>
      <c r="CV37" s="616"/>
      <c r="CW37" s="615"/>
    </row>
    <row r="38" spans="1:101" ht="10.5" customHeight="1">
      <c r="A38" s="1644" t="s">
        <v>666</v>
      </c>
      <c r="B38" s="365"/>
      <c r="U38" s="366"/>
      <c r="AO38" s="366"/>
      <c r="BI38" s="366"/>
      <c r="BZ38" s="366"/>
      <c r="CA38" s="1889" t="s">
        <v>54</v>
      </c>
      <c r="CB38" s="1789"/>
      <c r="CC38" s="1789"/>
      <c r="CD38" s="1789"/>
      <c r="CE38" s="1926" t="s">
        <v>54</v>
      </c>
      <c r="CF38" s="1926"/>
      <c r="CG38" s="1926"/>
      <c r="CH38" s="1926"/>
      <c r="CI38" s="1926" t="s">
        <v>54</v>
      </c>
      <c r="CJ38" s="1926"/>
      <c r="CK38" s="1926"/>
      <c r="CL38" s="1926"/>
      <c r="CM38" s="1928" t="s">
        <v>54</v>
      </c>
      <c r="CN38" s="1928"/>
      <c r="CO38" s="1928"/>
      <c r="CP38" s="1928"/>
      <c r="CQ38" s="1928" t="s">
        <v>54</v>
      </c>
      <c r="CR38" s="1928"/>
      <c r="CS38" s="1928"/>
      <c r="CT38" s="1930"/>
      <c r="CW38" s="615"/>
    </row>
    <row r="39" spans="1:101" ht="4.5" customHeight="1">
      <c r="A39" s="1645"/>
      <c r="B39" s="365"/>
      <c r="U39" s="366"/>
      <c r="AO39" s="366"/>
      <c r="BI39" s="366"/>
      <c r="BZ39" s="366"/>
      <c r="CA39" s="1889"/>
      <c r="CB39" s="1789"/>
      <c r="CC39" s="1789"/>
      <c r="CD39" s="1789"/>
      <c r="CE39" s="1927"/>
      <c r="CF39" s="1927"/>
      <c r="CG39" s="1927"/>
      <c r="CH39" s="1927"/>
      <c r="CI39" s="1927"/>
      <c r="CJ39" s="1927"/>
      <c r="CK39" s="1927"/>
      <c r="CL39" s="1927"/>
      <c r="CM39" s="1929"/>
      <c r="CN39" s="1929"/>
      <c r="CO39" s="1929"/>
      <c r="CP39" s="1929"/>
      <c r="CQ39" s="1929"/>
      <c r="CR39" s="1929"/>
      <c r="CS39" s="1929"/>
      <c r="CT39" s="1931"/>
      <c r="CU39" s="612" t="s">
        <v>54</v>
      </c>
      <c r="CV39" s="616" t="s">
        <v>54</v>
      </c>
      <c r="CW39" s="615"/>
    </row>
    <row r="40" spans="1:101" ht="13.5" customHeight="1">
      <c r="A40" s="1646"/>
      <c r="B40" s="378"/>
      <c r="C40" s="379"/>
      <c r="D40" s="379"/>
      <c r="E40" s="379"/>
      <c r="F40" s="379"/>
      <c r="G40" s="379"/>
      <c r="H40" s="379"/>
      <c r="I40" s="379"/>
      <c r="J40" s="379"/>
      <c r="K40" s="379"/>
      <c r="L40" s="379"/>
      <c r="M40" s="379"/>
      <c r="N40" s="379"/>
      <c r="O40" s="379"/>
      <c r="P40" s="379"/>
      <c r="Q40" s="379"/>
      <c r="R40" s="379"/>
      <c r="S40" s="379"/>
      <c r="T40" s="379"/>
      <c r="U40" s="380"/>
      <c r="V40" s="379"/>
      <c r="W40" s="379"/>
      <c r="X40" s="379"/>
      <c r="Y40" s="379"/>
      <c r="Z40" s="379"/>
      <c r="AA40" s="379"/>
      <c r="AB40" s="379"/>
      <c r="AC40" s="379"/>
      <c r="AD40" s="379"/>
      <c r="AE40" s="379"/>
      <c r="AF40" s="379"/>
      <c r="AG40" s="379"/>
      <c r="AH40" s="379"/>
      <c r="AI40" s="379"/>
      <c r="AJ40" s="379"/>
      <c r="AK40" s="379"/>
      <c r="AL40" s="379"/>
      <c r="AM40" s="379"/>
      <c r="AN40" s="379"/>
      <c r="AO40" s="380"/>
      <c r="AP40" s="379"/>
      <c r="AQ40" s="379"/>
      <c r="AR40" s="379"/>
      <c r="AS40" s="379"/>
      <c r="AT40" s="379"/>
      <c r="AU40" s="379"/>
      <c r="AV40" s="379"/>
      <c r="AW40" s="379"/>
      <c r="AX40" s="379"/>
      <c r="AY40" s="379"/>
      <c r="AZ40" s="379"/>
      <c r="BA40" s="379"/>
      <c r="BB40" s="379"/>
      <c r="BC40" s="379"/>
      <c r="BD40" s="379"/>
      <c r="BE40" s="379"/>
      <c r="BF40" s="379"/>
      <c r="BG40" s="379"/>
      <c r="BH40" s="379"/>
      <c r="BI40" s="380"/>
      <c r="BJ40" s="379"/>
      <c r="BK40" s="379"/>
      <c r="BL40" s="379"/>
      <c r="BM40" s="379"/>
      <c r="BN40" s="379"/>
      <c r="BO40" s="379"/>
      <c r="BP40" s="379"/>
      <c r="BQ40" s="379"/>
      <c r="BR40" s="379"/>
      <c r="BS40" s="379"/>
      <c r="BT40" s="379"/>
      <c r="BU40" s="379"/>
      <c r="BV40" s="379"/>
      <c r="BW40" s="379"/>
      <c r="BX40" s="379"/>
      <c r="BY40" s="379"/>
      <c r="BZ40" s="380"/>
      <c r="CA40" s="1932">
        <v>0</v>
      </c>
      <c r="CB40" s="1933"/>
      <c r="CC40" s="1934">
        <v>0</v>
      </c>
      <c r="CD40" s="1935"/>
      <c r="CE40" s="1809">
        <v>0</v>
      </c>
      <c r="CF40" s="1809"/>
      <c r="CG40" s="1794">
        <f>CE40/CW32</f>
        <v>0</v>
      </c>
      <c r="CH40" s="1793"/>
      <c r="CI40" s="1795">
        <v>0</v>
      </c>
      <c r="CJ40" s="1795"/>
      <c r="CK40" s="1936">
        <f>CI40/CW32</f>
        <v>0</v>
      </c>
      <c r="CL40" s="1936"/>
      <c r="CM40" s="1923">
        <v>0</v>
      </c>
      <c r="CN40" s="1923"/>
      <c r="CO40" s="1924">
        <f>CM40/CW32</f>
        <v>0</v>
      </c>
      <c r="CP40" s="1925"/>
      <c r="CQ40" s="1798">
        <v>0</v>
      </c>
      <c r="CR40" s="1798"/>
      <c r="CS40" s="1799">
        <v>0</v>
      </c>
      <c r="CT40" s="1800"/>
      <c r="CU40" s="612">
        <f>CE40+CI40+CQ40+CM40+CA40</f>
        <v>0</v>
      </c>
      <c r="CV40" s="616">
        <f>CG40+CK40+CS40</f>
        <v>0</v>
      </c>
      <c r="CW40" s="615"/>
    </row>
    <row r="41" spans="1:101" ht="10.5" customHeight="1">
      <c r="A41" s="1644" t="s">
        <v>56</v>
      </c>
      <c r="B41" s="365"/>
      <c r="U41" s="366"/>
      <c r="AO41" s="366"/>
      <c r="BI41" s="366"/>
      <c r="BZ41" s="366"/>
      <c r="CA41" s="1889" t="s">
        <v>54</v>
      </c>
      <c r="CB41" s="1789"/>
      <c r="CC41" s="1789"/>
      <c r="CD41" s="1789"/>
      <c r="CE41" s="1926" t="s">
        <v>54</v>
      </c>
      <c r="CF41" s="1926"/>
      <c r="CG41" s="1926"/>
      <c r="CH41" s="1926"/>
      <c r="CI41" s="1926" t="s">
        <v>54</v>
      </c>
      <c r="CJ41" s="1926"/>
      <c r="CK41" s="1926"/>
      <c r="CL41" s="1926"/>
      <c r="CM41" s="1928" t="s">
        <v>54</v>
      </c>
      <c r="CN41" s="1928"/>
      <c r="CO41" s="1928"/>
      <c r="CP41" s="1928"/>
      <c r="CQ41" s="1928" t="s">
        <v>54</v>
      </c>
      <c r="CR41" s="1928"/>
      <c r="CS41" s="1928"/>
      <c r="CT41" s="1930"/>
      <c r="CU41" s="612" t="s">
        <v>54</v>
      </c>
      <c r="CV41" s="616" t="s">
        <v>54</v>
      </c>
      <c r="CW41" s="615"/>
    </row>
    <row r="42" spans="1:101" ht="4.5" customHeight="1">
      <c r="A42" s="1645"/>
      <c r="B42" s="365"/>
      <c r="U42" s="366"/>
      <c r="AO42" s="366"/>
      <c r="BI42" s="366"/>
      <c r="BZ42" s="366"/>
      <c r="CA42" s="1889"/>
      <c r="CB42" s="1789"/>
      <c r="CC42" s="1789"/>
      <c r="CD42" s="1789"/>
      <c r="CE42" s="1927"/>
      <c r="CF42" s="1927"/>
      <c r="CG42" s="1927"/>
      <c r="CH42" s="1927"/>
      <c r="CI42" s="1927"/>
      <c r="CJ42" s="1927"/>
      <c r="CK42" s="1927"/>
      <c r="CL42" s="1927"/>
      <c r="CM42" s="1929"/>
      <c r="CN42" s="1929"/>
      <c r="CO42" s="1929"/>
      <c r="CP42" s="1929"/>
      <c r="CQ42" s="1929"/>
      <c r="CR42" s="1929"/>
      <c r="CS42" s="1929"/>
      <c r="CT42" s="1931"/>
      <c r="CU42" s="612"/>
      <c r="CV42" s="616"/>
      <c r="CW42" s="615"/>
    </row>
    <row r="43" spans="1:101" ht="13.5" customHeight="1">
      <c r="A43" s="1646"/>
      <c r="B43" s="378"/>
      <c r="C43" s="379"/>
      <c r="D43" s="379"/>
      <c r="E43" s="379"/>
      <c r="F43" s="379"/>
      <c r="G43" s="379"/>
      <c r="H43" s="379"/>
      <c r="I43" s="379"/>
      <c r="J43" s="379"/>
      <c r="K43" s="379"/>
      <c r="L43" s="379"/>
      <c r="M43" s="379"/>
      <c r="N43" s="379"/>
      <c r="O43" s="379"/>
      <c r="P43" s="379"/>
      <c r="Q43" s="379"/>
      <c r="R43" s="379"/>
      <c r="S43" s="379"/>
      <c r="T43" s="379"/>
      <c r="U43" s="380"/>
      <c r="V43" s="379"/>
      <c r="W43" s="379"/>
      <c r="X43" s="379"/>
      <c r="Y43" s="379"/>
      <c r="Z43" s="379"/>
      <c r="AA43" s="379"/>
      <c r="AB43" s="379"/>
      <c r="AC43" s="379"/>
      <c r="AD43" s="379"/>
      <c r="AE43" s="379"/>
      <c r="AF43" s="379"/>
      <c r="AG43" s="379"/>
      <c r="AH43" s="379"/>
      <c r="AI43" s="379"/>
      <c r="AJ43" s="379"/>
      <c r="AK43" s="379"/>
      <c r="AL43" s="379"/>
      <c r="AM43" s="379"/>
      <c r="AN43" s="379"/>
      <c r="AO43" s="380"/>
      <c r="AP43" s="379"/>
      <c r="AQ43" s="379"/>
      <c r="AR43" s="379"/>
      <c r="AS43" s="379"/>
      <c r="AT43" s="379"/>
      <c r="AU43" s="379"/>
      <c r="AV43" s="379"/>
      <c r="AW43" s="379"/>
      <c r="AX43" s="379"/>
      <c r="AY43" s="379"/>
      <c r="AZ43" s="379"/>
      <c r="BA43" s="379"/>
      <c r="BB43" s="379"/>
      <c r="BC43" s="379"/>
      <c r="BD43" s="379"/>
      <c r="BE43" s="379"/>
      <c r="BF43" s="379"/>
      <c r="BG43" s="379"/>
      <c r="BH43" s="379"/>
      <c r="BI43" s="380"/>
      <c r="BJ43" s="379"/>
      <c r="BK43" s="379"/>
      <c r="BL43" s="379"/>
      <c r="BM43" s="379"/>
      <c r="BN43" s="379"/>
      <c r="BO43" s="379"/>
      <c r="BP43" s="379"/>
      <c r="BQ43" s="379"/>
      <c r="BR43" s="379"/>
      <c r="BS43" s="379"/>
      <c r="BT43" s="379"/>
      <c r="BU43" s="379"/>
      <c r="BV43" s="379"/>
      <c r="BW43" s="379"/>
      <c r="BX43" s="379"/>
      <c r="BY43" s="379"/>
      <c r="BZ43" s="380"/>
      <c r="CA43" s="1932">
        <v>0</v>
      </c>
      <c r="CB43" s="1933"/>
      <c r="CC43" s="1934">
        <v>0</v>
      </c>
      <c r="CD43" s="1935"/>
      <c r="CE43" s="1809">
        <v>0</v>
      </c>
      <c r="CF43" s="1809"/>
      <c r="CG43" s="1794">
        <f>CE43/CW32</f>
        <v>0</v>
      </c>
      <c r="CH43" s="1793"/>
      <c r="CI43" s="1795">
        <v>0</v>
      </c>
      <c r="CJ43" s="1795"/>
      <c r="CK43" s="1936">
        <f>CI43/CW32</f>
        <v>0</v>
      </c>
      <c r="CL43" s="1936"/>
      <c r="CM43" s="1923">
        <v>0</v>
      </c>
      <c r="CN43" s="1923"/>
      <c r="CO43" s="1924">
        <f>CM43/CW32</f>
        <v>0</v>
      </c>
      <c r="CP43" s="1925"/>
      <c r="CQ43" s="1798">
        <v>0</v>
      </c>
      <c r="CR43" s="1798"/>
      <c r="CS43" s="1799">
        <v>0</v>
      </c>
      <c r="CT43" s="1800"/>
      <c r="CU43" s="612">
        <f>CE43+CI43+CQ43+CM43+CA43</f>
        <v>0</v>
      </c>
      <c r="CV43" s="616">
        <f>CG43+CK43+CS43</f>
        <v>0</v>
      </c>
      <c r="CW43" s="615"/>
    </row>
    <row r="44" spans="1:101" ht="10.5" customHeight="1">
      <c r="A44" s="1644" t="s">
        <v>574</v>
      </c>
      <c r="B44" s="365"/>
      <c r="U44" s="366"/>
      <c r="AO44" s="366"/>
      <c r="BI44" s="366"/>
      <c r="BZ44" s="366"/>
      <c r="CA44" s="1889" t="s">
        <v>54</v>
      </c>
      <c r="CB44" s="1789"/>
      <c r="CC44" s="1789"/>
      <c r="CD44" s="1789"/>
      <c r="CE44" s="1926" t="s">
        <v>54</v>
      </c>
      <c r="CF44" s="1926"/>
      <c r="CG44" s="1926"/>
      <c r="CH44" s="1926"/>
      <c r="CI44" s="1926" t="s">
        <v>54</v>
      </c>
      <c r="CJ44" s="1926"/>
      <c r="CK44" s="1926"/>
      <c r="CL44" s="1926"/>
      <c r="CM44" s="1928" t="s">
        <v>54</v>
      </c>
      <c r="CN44" s="1928"/>
      <c r="CO44" s="1928"/>
      <c r="CP44" s="1928"/>
      <c r="CQ44" s="1928" t="s">
        <v>54</v>
      </c>
      <c r="CR44" s="1928"/>
      <c r="CS44" s="1928"/>
      <c r="CT44" s="1930"/>
      <c r="CU44" s="612"/>
      <c r="CV44" s="616"/>
      <c r="CW44" s="615"/>
    </row>
    <row r="45" spans="1:101" ht="4.5" customHeight="1">
      <c r="A45" s="1645"/>
      <c r="B45" s="886"/>
      <c r="C45" s="373"/>
      <c r="D45" s="373"/>
      <c r="E45" s="373"/>
      <c r="F45" s="373"/>
      <c r="G45" s="373"/>
      <c r="H45" s="373"/>
      <c r="I45" s="373"/>
      <c r="J45" s="373"/>
      <c r="K45" s="373"/>
      <c r="L45" s="373"/>
      <c r="M45" s="373"/>
      <c r="N45" s="373"/>
      <c r="O45" s="373"/>
      <c r="P45" s="373"/>
      <c r="Q45" s="373"/>
      <c r="R45" s="373"/>
      <c r="S45" s="373"/>
      <c r="T45" s="373"/>
      <c r="U45" s="401"/>
      <c r="V45" s="373"/>
      <c r="W45" s="373"/>
      <c r="X45" s="373"/>
      <c r="Y45" s="373"/>
      <c r="Z45" s="373"/>
      <c r="AA45" s="373"/>
      <c r="AB45" s="373"/>
      <c r="AC45" s="373"/>
      <c r="AD45" s="373"/>
      <c r="AE45" s="373"/>
      <c r="AF45" s="373"/>
      <c r="AG45" s="373"/>
      <c r="AH45" s="373"/>
      <c r="AI45" s="373"/>
      <c r="AJ45" s="373"/>
      <c r="AK45" s="373"/>
      <c r="AL45" s="373"/>
      <c r="AM45" s="373"/>
      <c r="AN45" s="373"/>
      <c r="AO45" s="401"/>
      <c r="AP45" s="373"/>
      <c r="AQ45" s="373"/>
      <c r="AR45" s="373"/>
      <c r="AS45" s="373"/>
      <c r="AT45" s="373"/>
      <c r="AU45" s="373"/>
      <c r="AV45" s="373"/>
      <c r="AW45" s="373"/>
      <c r="AX45" s="373"/>
      <c r="AY45" s="373"/>
      <c r="AZ45" s="373"/>
      <c r="BA45" s="373"/>
      <c r="BB45" s="373"/>
      <c r="BC45" s="373"/>
      <c r="BD45" s="373"/>
      <c r="BE45" s="373"/>
      <c r="BF45" s="373"/>
      <c r="BG45" s="373"/>
      <c r="BH45" s="373"/>
      <c r="BI45" s="401"/>
      <c r="BJ45" s="625"/>
      <c r="BK45" s="625"/>
      <c r="BL45" s="625"/>
      <c r="BM45" s="625"/>
      <c r="BN45" s="625"/>
      <c r="BZ45" s="366"/>
      <c r="CA45" s="1889"/>
      <c r="CB45" s="1789"/>
      <c r="CC45" s="1789"/>
      <c r="CD45" s="1789"/>
      <c r="CE45" s="1927"/>
      <c r="CF45" s="1927"/>
      <c r="CG45" s="1927"/>
      <c r="CH45" s="1927"/>
      <c r="CI45" s="1927"/>
      <c r="CJ45" s="1927"/>
      <c r="CK45" s="1927"/>
      <c r="CL45" s="1927"/>
      <c r="CM45" s="1929"/>
      <c r="CN45" s="1929"/>
      <c r="CO45" s="1929"/>
      <c r="CP45" s="1929"/>
      <c r="CQ45" s="1929"/>
      <c r="CR45" s="1929"/>
      <c r="CS45" s="1929"/>
      <c r="CT45" s="1931"/>
      <c r="CU45" s="612" t="s">
        <v>54</v>
      </c>
      <c r="CV45" s="616" t="s">
        <v>54</v>
      </c>
      <c r="CW45" s="612"/>
    </row>
    <row r="46" spans="1:101" ht="13.5" customHeight="1">
      <c r="A46" s="1646"/>
      <c r="B46" s="378"/>
      <c r="C46" s="379"/>
      <c r="D46" s="379"/>
      <c r="E46" s="379"/>
      <c r="F46" s="379"/>
      <c r="G46" s="379"/>
      <c r="H46" s="379"/>
      <c r="I46" s="379"/>
      <c r="J46" s="379"/>
      <c r="K46" s="379"/>
      <c r="L46" s="379"/>
      <c r="M46" s="379"/>
      <c r="N46" s="379"/>
      <c r="O46" s="379"/>
      <c r="P46" s="379"/>
      <c r="Q46" s="379"/>
      <c r="R46" s="379"/>
      <c r="S46" s="379"/>
      <c r="T46" s="379"/>
      <c r="U46" s="380"/>
      <c r="V46" s="379"/>
      <c r="W46" s="379"/>
      <c r="X46" s="379"/>
      <c r="Y46" s="379"/>
      <c r="Z46" s="379"/>
      <c r="AA46" s="379"/>
      <c r="AB46" s="379"/>
      <c r="AC46" s="379"/>
      <c r="AD46" s="379"/>
      <c r="AE46" s="379"/>
      <c r="AF46" s="379"/>
      <c r="AG46" s="379"/>
      <c r="AH46" s="379"/>
      <c r="AI46" s="379"/>
      <c r="AJ46" s="379"/>
      <c r="AK46" s="379"/>
      <c r="AL46" s="379"/>
      <c r="AM46" s="379"/>
      <c r="AN46" s="379"/>
      <c r="AO46" s="380"/>
      <c r="AP46" s="379"/>
      <c r="AQ46" s="379"/>
      <c r="AR46" s="379"/>
      <c r="AS46" s="379"/>
      <c r="AT46" s="379"/>
      <c r="AU46" s="379"/>
      <c r="AV46" s="379"/>
      <c r="AW46" s="379"/>
      <c r="AX46" s="379"/>
      <c r="AY46" s="379"/>
      <c r="AZ46" s="379"/>
      <c r="BA46" s="379"/>
      <c r="BB46" s="379"/>
      <c r="BC46" s="379"/>
      <c r="BD46" s="379"/>
      <c r="BE46" s="379"/>
      <c r="BF46" s="379"/>
      <c r="BG46" s="379"/>
      <c r="BH46" s="379"/>
      <c r="BI46" s="380"/>
      <c r="BJ46" s="379"/>
      <c r="BK46" s="379"/>
      <c r="BL46" s="379"/>
      <c r="BM46" s="379"/>
      <c r="BN46" s="379"/>
      <c r="BO46" s="379"/>
      <c r="BP46" s="379"/>
      <c r="BQ46" s="379"/>
      <c r="BR46" s="379"/>
      <c r="BS46" s="379"/>
      <c r="BT46" s="379"/>
      <c r="BU46" s="379"/>
      <c r="BV46" s="379"/>
      <c r="BW46" s="379"/>
      <c r="BX46" s="379"/>
      <c r="BY46" s="379"/>
      <c r="BZ46" s="380"/>
      <c r="CA46" s="1932">
        <v>0</v>
      </c>
      <c r="CB46" s="1933"/>
      <c r="CC46" s="1934">
        <v>0</v>
      </c>
      <c r="CD46" s="1935"/>
      <c r="CE46" s="1809">
        <v>0</v>
      </c>
      <c r="CF46" s="1809"/>
      <c r="CG46" s="1794">
        <f>CE46/CW32</f>
        <v>0</v>
      </c>
      <c r="CH46" s="1793"/>
      <c r="CI46" s="1795">
        <v>2.9510000000000001</v>
      </c>
      <c r="CJ46" s="1795"/>
      <c r="CK46" s="1936">
        <f>CI46/CW32</f>
        <v>0.92974165091367367</v>
      </c>
      <c r="CL46" s="1936"/>
      <c r="CM46" s="1923">
        <v>0.223</v>
      </c>
      <c r="CN46" s="1923"/>
      <c r="CO46" s="1924">
        <f>CM46/CW32</f>
        <v>7.0258349086326402E-2</v>
      </c>
      <c r="CP46" s="1925"/>
      <c r="CQ46" s="1798">
        <v>0</v>
      </c>
      <c r="CR46" s="1798"/>
      <c r="CS46" s="1799">
        <v>0</v>
      </c>
      <c r="CT46" s="1800"/>
      <c r="CU46" s="612">
        <f>CE46+CI46+CQ46+CM46+CA46</f>
        <v>3.1739999999999999</v>
      </c>
      <c r="CV46" s="616">
        <f>CG46+CK46+CS46+CO46</f>
        <v>1</v>
      </c>
      <c r="CW46" s="615"/>
    </row>
    <row r="47" spans="1:101" ht="10.5" customHeight="1">
      <c r="A47" s="1644" t="s">
        <v>57</v>
      </c>
      <c r="B47" s="365"/>
      <c r="U47" s="366"/>
      <c r="AO47" s="366"/>
      <c r="BI47" s="366"/>
      <c r="BZ47" s="366"/>
      <c r="CA47" s="1889" t="s">
        <v>54</v>
      </c>
      <c r="CB47" s="1789"/>
      <c r="CC47" s="1789"/>
      <c r="CD47" s="1789"/>
      <c r="CE47" s="1926" t="s">
        <v>54</v>
      </c>
      <c r="CF47" s="1926"/>
      <c r="CG47" s="1926"/>
      <c r="CH47" s="1926"/>
      <c r="CI47" s="1926" t="s">
        <v>54</v>
      </c>
      <c r="CJ47" s="1926"/>
      <c r="CK47" s="1926"/>
      <c r="CL47" s="1926"/>
      <c r="CM47" s="1928" t="s">
        <v>54</v>
      </c>
      <c r="CN47" s="1928"/>
      <c r="CO47" s="1928"/>
      <c r="CP47" s="1928"/>
      <c r="CQ47" s="1928" t="s">
        <v>54</v>
      </c>
      <c r="CR47" s="1928"/>
      <c r="CS47" s="1928"/>
      <c r="CT47" s="1930"/>
      <c r="CU47" s="612" t="s">
        <v>54</v>
      </c>
      <c r="CV47" s="616" t="s">
        <v>54</v>
      </c>
      <c r="CW47" s="612"/>
    </row>
    <row r="48" spans="1:101" ht="3.75" customHeight="1">
      <c r="A48" s="1645"/>
      <c r="B48" s="371"/>
      <c r="C48" s="371"/>
      <c r="D48" s="371"/>
      <c r="E48" s="371"/>
      <c r="F48" s="371"/>
      <c r="G48" s="371"/>
      <c r="H48" s="371"/>
      <c r="I48" s="371"/>
      <c r="J48" s="371"/>
      <c r="K48" s="371"/>
      <c r="L48" s="371"/>
      <c r="M48" s="371"/>
      <c r="N48" s="371"/>
      <c r="O48" s="371"/>
      <c r="P48" s="371"/>
      <c r="Q48" s="371"/>
      <c r="R48" s="371"/>
      <c r="S48" s="371"/>
      <c r="T48" s="371"/>
      <c r="U48" s="371"/>
      <c r="V48" s="371"/>
      <c r="W48" s="371"/>
      <c r="X48" s="371"/>
      <c r="Y48" s="371"/>
      <c r="Z48" s="371"/>
      <c r="AA48" s="371"/>
      <c r="AB48" s="371"/>
      <c r="AC48" s="371"/>
      <c r="AD48" s="371"/>
      <c r="AE48" s="371"/>
      <c r="AF48" s="371"/>
      <c r="AG48" s="371"/>
      <c r="AH48" s="371"/>
      <c r="AI48" s="371"/>
      <c r="AJ48" s="371"/>
      <c r="AK48" s="371"/>
      <c r="AL48" s="371"/>
      <c r="AM48" s="371"/>
      <c r="AN48" s="371"/>
      <c r="AO48" s="371"/>
      <c r="AP48" s="371"/>
      <c r="AQ48" s="371"/>
      <c r="AR48" s="371"/>
      <c r="AS48" s="371"/>
      <c r="AT48" s="371"/>
      <c r="AU48" s="371"/>
      <c r="AV48" s="371"/>
      <c r="AW48" s="371"/>
      <c r="AX48" s="371"/>
      <c r="AY48" s="371"/>
      <c r="AZ48" s="371"/>
      <c r="BA48" s="371"/>
      <c r="BB48" s="371"/>
      <c r="BC48" s="371"/>
      <c r="BD48" s="371"/>
      <c r="BE48" s="371"/>
      <c r="BF48" s="371"/>
      <c r="BG48" s="371"/>
      <c r="BH48" s="371"/>
      <c r="BI48" s="371"/>
      <c r="BJ48" s="371"/>
      <c r="BK48" s="371"/>
      <c r="BL48" s="371"/>
      <c r="BM48" s="371"/>
      <c r="BN48" s="371"/>
      <c r="BZ48" s="366"/>
      <c r="CA48" s="1889"/>
      <c r="CB48" s="1789"/>
      <c r="CC48" s="1789"/>
      <c r="CD48" s="1789"/>
      <c r="CE48" s="1927"/>
      <c r="CF48" s="1927"/>
      <c r="CG48" s="1927"/>
      <c r="CH48" s="1927"/>
      <c r="CI48" s="1927"/>
      <c r="CJ48" s="1927"/>
      <c r="CK48" s="1927"/>
      <c r="CL48" s="1927"/>
      <c r="CM48" s="1929"/>
      <c r="CN48" s="1929"/>
      <c r="CO48" s="1929"/>
      <c r="CP48" s="1929"/>
      <c r="CQ48" s="1929"/>
      <c r="CR48" s="1929"/>
      <c r="CS48" s="1929"/>
      <c r="CT48" s="1931"/>
      <c r="CU48" s="612"/>
      <c r="CV48" s="616"/>
      <c r="CW48" s="615"/>
    </row>
    <row r="49" spans="1:101" ht="12.75" customHeight="1">
      <c r="A49" s="1646"/>
      <c r="B49" s="378"/>
      <c r="C49" s="379"/>
      <c r="D49" s="379"/>
      <c r="E49" s="379"/>
      <c r="F49" s="379"/>
      <c r="G49" s="379"/>
      <c r="H49" s="379"/>
      <c r="I49" s="379"/>
      <c r="J49" s="379"/>
      <c r="K49" s="379"/>
      <c r="L49" s="379"/>
      <c r="M49" s="379"/>
      <c r="N49" s="379"/>
      <c r="O49" s="379"/>
      <c r="P49" s="379"/>
      <c r="Q49" s="379"/>
      <c r="R49" s="379"/>
      <c r="S49" s="379"/>
      <c r="T49" s="379"/>
      <c r="U49" s="380"/>
      <c r="V49" s="379"/>
      <c r="W49" s="379"/>
      <c r="X49" s="379"/>
      <c r="Y49" s="379"/>
      <c r="Z49" s="379"/>
      <c r="AA49" s="379"/>
      <c r="AB49" s="379"/>
      <c r="AC49" s="379"/>
      <c r="AD49" s="379"/>
      <c r="AE49" s="379"/>
      <c r="AF49" s="379"/>
      <c r="AG49" s="379"/>
      <c r="AH49" s="379"/>
      <c r="AI49" s="379"/>
      <c r="AJ49" s="379"/>
      <c r="AK49" s="379"/>
      <c r="AL49" s="379"/>
      <c r="AM49" s="379"/>
      <c r="AN49" s="379"/>
      <c r="AO49" s="380"/>
      <c r="AP49" s="379"/>
      <c r="AQ49" s="379"/>
      <c r="AR49" s="379"/>
      <c r="AS49" s="379"/>
      <c r="AT49" s="379"/>
      <c r="AU49" s="379"/>
      <c r="AV49" s="379"/>
      <c r="AW49" s="379"/>
      <c r="AX49" s="379"/>
      <c r="AY49" s="379"/>
      <c r="AZ49" s="379"/>
      <c r="BA49" s="379"/>
      <c r="BB49" s="379"/>
      <c r="BC49" s="379"/>
      <c r="BD49" s="379"/>
      <c r="BE49" s="379"/>
      <c r="BF49" s="379"/>
      <c r="BG49" s="379"/>
      <c r="BH49" s="379"/>
      <c r="BI49" s="380"/>
      <c r="BJ49" s="379"/>
      <c r="BK49" s="379"/>
      <c r="BL49" s="379"/>
      <c r="BM49" s="379"/>
      <c r="BN49" s="379"/>
      <c r="BO49" s="379"/>
      <c r="BP49" s="379"/>
      <c r="BQ49" s="379"/>
      <c r="BR49" s="379"/>
      <c r="BS49" s="379"/>
      <c r="BT49" s="379"/>
      <c r="BU49" s="379"/>
      <c r="BV49" s="379"/>
      <c r="BW49" s="379"/>
      <c r="BX49" s="379"/>
      <c r="BY49" s="379"/>
      <c r="BZ49" s="380"/>
      <c r="CA49" s="1932">
        <v>0</v>
      </c>
      <c r="CB49" s="1933"/>
      <c r="CC49" s="1934">
        <v>0</v>
      </c>
      <c r="CD49" s="1935"/>
      <c r="CE49" s="1809">
        <v>3.1739999999999999</v>
      </c>
      <c r="CF49" s="1809"/>
      <c r="CG49" s="1794">
        <v>1</v>
      </c>
      <c r="CH49" s="1793"/>
      <c r="CI49" s="1795">
        <v>0</v>
      </c>
      <c r="CJ49" s="1795"/>
      <c r="CK49" s="1936">
        <v>0</v>
      </c>
      <c r="CL49" s="1936"/>
      <c r="CM49" s="1923">
        <v>0</v>
      </c>
      <c r="CN49" s="1923"/>
      <c r="CO49" s="1924">
        <v>0</v>
      </c>
      <c r="CP49" s="1925"/>
      <c r="CQ49" s="1798">
        <v>0</v>
      </c>
      <c r="CR49" s="1798"/>
      <c r="CS49" s="1799">
        <v>0</v>
      </c>
      <c r="CT49" s="1800"/>
      <c r="CU49" s="612">
        <f>CE49+CI49+CQ49+CM49+CA49</f>
        <v>3.1739999999999999</v>
      </c>
      <c r="CV49" s="616">
        <f>CG49+CK49+CS49</f>
        <v>1</v>
      </c>
      <c r="CW49" s="615"/>
    </row>
    <row r="50" spans="1:101" ht="10.5" customHeight="1">
      <c r="A50" s="1644" t="s">
        <v>58</v>
      </c>
      <c r="B50" s="365"/>
      <c r="U50" s="366"/>
      <c r="AO50" s="366"/>
      <c r="BI50" s="366"/>
      <c r="BZ50" s="366"/>
      <c r="CA50" s="1889" t="s">
        <v>54</v>
      </c>
      <c r="CB50" s="1789"/>
      <c r="CC50" s="1789"/>
      <c r="CD50" s="1789"/>
      <c r="CE50" s="1926" t="s">
        <v>54</v>
      </c>
      <c r="CF50" s="1926"/>
      <c r="CG50" s="1926"/>
      <c r="CH50" s="1926"/>
      <c r="CI50" s="1926" t="s">
        <v>54</v>
      </c>
      <c r="CJ50" s="1926"/>
      <c r="CK50" s="1926"/>
      <c r="CL50" s="1926"/>
      <c r="CM50" s="1928" t="s">
        <v>54</v>
      </c>
      <c r="CN50" s="1928"/>
      <c r="CO50" s="1928"/>
      <c r="CP50" s="1928"/>
      <c r="CQ50" s="1928" t="s">
        <v>54</v>
      </c>
      <c r="CR50" s="1928"/>
      <c r="CS50" s="1928"/>
      <c r="CT50" s="1930"/>
      <c r="CU50" s="612"/>
      <c r="CV50" s="616"/>
      <c r="CW50" s="615"/>
    </row>
    <row r="51" spans="1:101" ht="4.5" customHeight="1">
      <c r="A51" s="1645"/>
      <c r="B51" s="371"/>
      <c r="C51" s="371"/>
      <c r="D51" s="371"/>
      <c r="E51" s="371"/>
      <c r="F51" s="371"/>
      <c r="G51" s="371"/>
      <c r="H51" s="371"/>
      <c r="I51" s="371"/>
      <c r="J51" s="371"/>
      <c r="K51" s="371"/>
      <c r="L51" s="371"/>
      <c r="M51" s="371"/>
      <c r="N51" s="371"/>
      <c r="O51" s="371"/>
      <c r="P51" s="371"/>
      <c r="Q51" s="371"/>
      <c r="R51" s="371"/>
      <c r="S51" s="371"/>
      <c r="T51" s="371"/>
      <c r="U51" s="372"/>
      <c r="V51" s="371"/>
      <c r="W51" s="371"/>
      <c r="X51" s="371"/>
      <c r="Y51" s="371"/>
      <c r="Z51" s="371"/>
      <c r="AA51" s="371"/>
      <c r="AB51" s="371"/>
      <c r="AC51" s="371"/>
      <c r="AD51" s="371"/>
      <c r="AE51" s="371"/>
      <c r="AF51" s="371"/>
      <c r="AG51" s="371"/>
      <c r="AH51" s="371"/>
      <c r="AI51" s="371"/>
      <c r="AJ51" s="371"/>
      <c r="AK51" s="371"/>
      <c r="AL51" s="371"/>
      <c r="AM51" s="371"/>
      <c r="AN51" s="371"/>
      <c r="AO51" s="372"/>
      <c r="AP51" s="371"/>
      <c r="AQ51" s="371"/>
      <c r="AR51" s="371"/>
      <c r="AS51" s="371"/>
      <c r="AT51" s="371"/>
      <c r="AU51" s="371"/>
      <c r="AV51" s="371"/>
      <c r="AW51" s="371"/>
      <c r="AX51" s="371"/>
      <c r="AY51" s="371"/>
      <c r="AZ51" s="371"/>
      <c r="BA51" s="371"/>
      <c r="BB51" s="371"/>
      <c r="BC51" s="371"/>
      <c r="BD51" s="371"/>
      <c r="BE51" s="371"/>
      <c r="BF51" s="371"/>
      <c r="BG51" s="371"/>
      <c r="BH51" s="371"/>
      <c r="BI51" s="372"/>
      <c r="BJ51" s="371"/>
      <c r="BK51" s="371"/>
      <c r="BL51" s="371"/>
      <c r="BM51" s="371"/>
      <c r="BN51" s="371"/>
      <c r="BO51" s="386"/>
      <c r="BZ51" s="366"/>
      <c r="CA51" s="1889"/>
      <c r="CB51" s="1789"/>
      <c r="CC51" s="1789"/>
      <c r="CD51" s="1789"/>
      <c r="CE51" s="1927"/>
      <c r="CF51" s="1927"/>
      <c r="CG51" s="1927"/>
      <c r="CH51" s="1927"/>
      <c r="CI51" s="1927"/>
      <c r="CJ51" s="1927"/>
      <c r="CK51" s="1927"/>
      <c r="CL51" s="1927"/>
      <c r="CM51" s="1929"/>
      <c r="CN51" s="1929"/>
      <c r="CO51" s="1929"/>
      <c r="CP51" s="1929"/>
      <c r="CQ51" s="1929"/>
      <c r="CR51" s="1929"/>
      <c r="CS51" s="1929"/>
      <c r="CT51" s="1931"/>
      <c r="CU51" s="612" t="s">
        <v>54</v>
      </c>
      <c r="CV51" s="616" t="s">
        <v>54</v>
      </c>
      <c r="CW51" s="612"/>
    </row>
    <row r="52" spans="1:101" ht="12.75" customHeight="1">
      <c r="A52" s="1646"/>
      <c r="B52" s="378"/>
      <c r="C52" s="379"/>
      <c r="D52" s="379"/>
      <c r="E52" s="379"/>
      <c r="F52" s="379"/>
      <c r="G52" s="379"/>
      <c r="H52" s="379"/>
      <c r="I52" s="379"/>
      <c r="J52" s="379"/>
      <c r="K52" s="379"/>
      <c r="L52" s="379"/>
      <c r="M52" s="379"/>
      <c r="N52" s="379"/>
      <c r="O52" s="379"/>
      <c r="P52" s="379"/>
      <c r="Q52" s="379"/>
      <c r="R52" s="379"/>
      <c r="S52" s="379"/>
      <c r="T52" s="379"/>
      <c r="U52" s="380"/>
      <c r="V52" s="379"/>
      <c r="W52" s="379"/>
      <c r="X52" s="379"/>
      <c r="Y52" s="379"/>
      <c r="Z52" s="379"/>
      <c r="AA52" s="379"/>
      <c r="AB52" s="379"/>
      <c r="AC52" s="379"/>
      <c r="AD52" s="379"/>
      <c r="AE52" s="379"/>
      <c r="AF52" s="379"/>
      <c r="AG52" s="379"/>
      <c r="AH52" s="379"/>
      <c r="AI52" s="379"/>
      <c r="AJ52" s="379"/>
      <c r="AK52" s="379"/>
      <c r="AL52" s="379"/>
      <c r="AM52" s="379"/>
      <c r="AN52" s="379"/>
      <c r="AO52" s="380"/>
      <c r="AP52" s="379"/>
      <c r="AQ52" s="379"/>
      <c r="AR52" s="379"/>
      <c r="AS52" s="379"/>
      <c r="AT52" s="379"/>
      <c r="AU52" s="379"/>
      <c r="AV52" s="379"/>
      <c r="AW52" s="379"/>
      <c r="AX52" s="379"/>
      <c r="AY52" s="379"/>
      <c r="AZ52" s="379"/>
      <c r="BA52" s="379"/>
      <c r="BB52" s="379"/>
      <c r="BC52" s="379"/>
      <c r="BD52" s="379"/>
      <c r="BE52" s="379"/>
      <c r="BF52" s="379"/>
      <c r="BG52" s="379"/>
      <c r="BH52" s="379"/>
      <c r="BI52" s="380"/>
      <c r="BJ52" s="379"/>
      <c r="BK52" s="379"/>
      <c r="BL52" s="379"/>
      <c r="BM52" s="379"/>
      <c r="BN52" s="379"/>
      <c r="BO52" s="379"/>
      <c r="BP52" s="379"/>
      <c r="BQ52" s="379"/>
      <c r="BR52" s="379"/>
      <c r="BS52" s="379"/>
      <c r="BT52" s="379"/>
      <c r="BU52" s="379"/>
      <c r="BV52" s="379"/>
      <c r="BW52" s="379"/>
      <c r="BX52" s="379"/>
      <c r="BY52" s="379"/>
      <c r="BZ52" s="380"/>
      <c r="CA52" s="1932">
        <v>0</v>
      </c>
      <c r="CB52" s="1933"/>
      <c r="CC52" s="1934">
        <v>0</v>
      </c>
      <c r="CD52" s="1935"/>
      <c r="CE52" s="1809">
        <f>+$CW$32</f>
        <v>3.1739999999999999</v>
      </c>
      <c r="CF52" s="1809"/>
      <c r="CG52" s="1794">
        <f>CE52/CW32</f>
        <v>1</v>
      </c>
      <c r="CH52" s="1793"/>
      <c r="CI52" s="1795">
        <v>0</v>
      </c>
      <c r="CJ52" s="1795"/>
      <c r="CK52" s="1936">
        <f>CI52/CW32</f>
        <v>0</v>
      </c>
      <c r="CL52" s="1936"/>
      <c r="CM52" s="1923">
        <v>0</v>
      </c>
      <c r="CN52" s="1923"/>
      <c r="CO52" s="1924">
        <f>CM52/CW32</f>
        <v>0</v>
      </c>
      <c r="CP52" s="1925"/>
      <c r="CQ52" s="1798">
        <v>0</v>
      </c>
      <c r="CR52" s="1798"/>
      <c r="CS52" s="1799">
        <v>0</v>
      </c>
      <c r="CT52" s="1800"/>
      <c r="CU52" s="612">
        <f>CE52+CI52+CQ52+CM52+CA52</f>
        <v>3.1739999999999999</v>
      </c>
      <c r="CV52" s="616">
        <f>CG52+CK52+CS52</f>
        <v>1</v>
      </c>
      <c r="CW52" s="615"/>
    </row>
    <row r="53" spans="1:101" ht="10.5" customHeight="1">
      <c r="A53" s="1644" t="s">
        <v>59</v>
      </c>
      <c r="B53" s="365"/>
      <c r="U53" s="366"/>
      <c r="AO53" s="366"/>
      <c r="BI53" s="366"/>
      <c r="BZ53" s="366"/>
      <c r="CA53" s="1889" t="s">
        <v>54</v>
      </c>
      <c r="CB53" s="1789"/>
      <c r="CC53" s="1789"/>
      <c r="CD53" s="1789"/>
      <c r="CE53" s="1926" t="s">
        <v>54</v>
      </c>
      <c r="CF53" s="1926"/>
      <c r="CG53" s="1926"/>
      <c r="CH53" s="1926"/>
      <c r="CI53" s="1926" t="s">
        <v>54</v>
      </c>
      <c r="CJ53" s="1926"/>
      <c r="CK53" s="1926"/>
      <c r="CL53" s="1926"/>
      <c r="CM53" s="1928" t="s">
        <v>54</v>
      </c>
      <c r="CN53" s="1928"/>
      <c r="CO53" s="1928"/>
      <c r="CP53" s="1928"/>
      <c r="CQ53" s="1928" t="s">
        <v>54</v>
      </c>
      <c r="CR53" s="1928"/>
      <c r="CS53" s="1928"/>
      <c r="CT53" s="1930"/>
      <c r="CU53" s="612" t="s">
        <v>54</v>
      </c>
      <c r="CV53" s="616" t="s">
        <v>54</v>
      </c>
      <c r="CW53" s="615"/>
    </row>
    <row r="54" spans="1:101" ht="4.5" customHeight="1">
      <c r="A54" s="1645"/>
      <c r="B54" s="370"/>
      <c r="C54" s="371"/>
      <c r="D54" s="371"/>
      <c r="E54" s="371"/>
      <c r="F54" s="371"/>
      <c r="G54" s="371"/>
      <c r="H54" s="371"/>
      <c r="I54" s="371"/>
      <c r="J54" s="371"/>
      <c r="K54" s="371"/>
      <c r="L54" s="371"/>
      <c r="M54" s="371"/>
      <c r="N54" s="371"/>
      <c r="O54" s="371"/>
      <c r="P54" s="371"/>
      <c r="Q54" s="371"/>
      <c r="R54" s="371"/>
      <c r="S54" s="371"/>
      <c r="T54" s="371"/>
      <c r="U54" s="372"/>
      <c r="V54" s="371"/>
      <c r="W54" s="371"/>
      <c r="X54" s="371"/>
      <c r="Y54" s="371"/>
      <c r="Z54" s="371"/>
      <c r="AA54" s="371"/>
      <c r="AB54" s="371"/>
      <c r="AC54" s="371"/>
      <c r="AD54" s="371"/>
      <c r="AE54" s="371"/>
      <c r="AF54" s="371"/>
      <c r="AG54" s="371"/>
      <c r="AH54" s="371"/>
      <c r="AI54" s="371"/>
      <c r="AJ54" s="371"/>
      <c r="AK54" s="371"/>
      <c r="AL54" s="371"/>
      <c r="AM54" s="371"/>
      <c r="AN54" s="371"/>
      <c r="AO54" s="372"/>
      <c r="AP54" s="371"/>
      <c r="AQ54" s="371"/>
      <c r="AR54" s="371"/>
      <c r="AS54" s="371"/>
      <c r="AT54" s="371"/>
      <c r="AU54" s="371"/>
      <c r="AV54" s="371"/>
      <c r="AW54" s="371"/>
      <c r="AX54" s="371"/>
      <c r="AY54" s="371"/>
      <c r="AZ54" s="371"/>
      <c r="BA54" s="371"/>
      <c r="BB54" s="371"/>
      <c r="BC54" s="371"/>
      <c r="BD54" s="371"/>
      <c r="BE54" s="371"/>
      <c r="BF54" s="371"/>
      <c r="BG54" s="371"/>
      <c r="BH54" s="371"/>
      <c r="BI54" s="372"/>
      <c r="BJ54" s="371"/>
      <c r="BK54" s="371"/>
      <c r="BL54" s="371"/>
      <c r="BM54" s="371"/>
      <c r="BN54" s="371"/>
      <c r="BZ54" s="366"/>
      <c r="CA54" s="1889"/>
      <c r="CB54" s="1789"/>
      <c r="CC54" s="1789"/>
      <c r="CD54" s="1789"/>
      <c r="CE54" s="1927"/>
      <c r="CF54" s="1927"/>
      <c r="CG54" s="1927"/>
      <c r="CH54" s="1927"/>
      <c r="CI54" s="1927"/>
      <c r="CJ54" s="1927"/>
      <c r="CK54" s="1927"/>
      <c r="CL54" s="1927"/>
      <c r="CM54" s="1929"/>
      <c r="CN54" s="1929"/>
      <c r="CO54" s="1929"/>
      <c r="CP54" s="1929"/>
      <c r="CQ54" s="1929"/>
      <c r="CR54" s="1929"/>
      <c r="CS54" s="1929"/>
      <c r="CT54" s="1931"/>
      <c r="CU54" s="612"/>
      <c r="CV54" s="615"/>
      <c r="CW54" s="615"/>
    </row>
    <row r="55" spans="1:101" ht="13.5" customHeight="1">
      <c r="A55" s="1646"/>
      <c r="B55" s="378"/>
      <c r="C55" s="379"/>
      <c r="D55" s="379"/>
      <c r="E55" s="379"/>
      <c r="F55" s="379"/>
      <c r="G55" s="379"/>
      <c r="H55" s="379"/>
      <c r="I55" s="379"/>
      <c r="J55" s="379"/>
      <c r="K55" s="379"/>
      <c r="L55" s="379"/>
      <c r="M55" s="379"/>
      <c r="N55" s="379"/>
      <c r="O55" s="379"/>
      <c r="P55" s="379"/>
      <c r="Q55" s="379"/>
      <c r="R55" s="379"/>
      <c r="S55" s="379"/>
      <c r="T55" s="379"/>
      <c r="U55" s="380"/>
      <c r="V55" s="379"/>
      <c r="W55" s="379"/>
      <c r="X55" s="379"/>
      <c r="Y55" s="379"/>
      <c r="Z55" s="379"/>
      <c r="AA55" s="379"/>
      <c r="AB55" s="379"/>
      <c r="AC55" s="379"/>
      <c r="AD55" s="379"/>
      <c r="AE55" s="379"/>
      <c r="AF55" s="379"/>
      <c r="AG55" s="379"/>
      <c r="AH55" s="379"/>
      <c r="AI55" s="379"/>
      <c r="AJ55" s="379"/>
      <c r="AK55" s="379"/>
      <c r="AL55" s="379"/>
      <c r="AM55" s="379"/>
      <c r="AN55" s="379"/>
      <c r="AO55" s="380"/>
      <c r="AP55" s="379"/>
      <c r="AQ55" s="379"/>
      <c r="AR55" s="379"/>
      <c r="AS55" s="379"/>
      <c r="AT55" s="379"/>
      <c r="AU55" s="379"/>
      <c r="AV55" s="379"/>
      <c r="AW55" s="379"/>
      <c r="AX55" s="379"/>
      <c r="AY55" s="379"/>
      <c r="AZ55" s="379"/>
      <c r="BA55" s="379"/>
      <c r="BB55" s="379"/>
      <c r="BC55" s="379"/>
      <c r="BD55" s="379"/>
      <c r="BE55" s="379"/>
      <c r="BF55" s="379"/>
      <c r="BG55" s="379"/>
      <c r="BH55" s="379"/>
      <c r="BI55" s="380"/>
      <c r="BJ55" s="379"/>
      <c r="BK55" s="379"/>
      <c r="BL55" s="379"/>
      <c r="BM55" s="379"/>
      <c r="BN55" s="379"/>
      <c r="BO55" s="379"/>
      <c r="BP55" s="379"/>
      <c r="BQ55" s="379"/>
      <c r="BR55" s="379"/>
      <c r="BS55" s="379"/>
      <c r="BT55" s="379"/>
      <c r="BU55" s="379"/>
      <c r="BV55" s="379"/>
      <c r="BW55" s="379"/>
      <c r="BX55" s="379"/>
      <c r="BY55" s="379"/>
      <c r="BZ55" s="380"/>
      <c r="CA55" s="1932">
        <v>0</v>
      </c>
      <c r="CB55" s="1933"/>
      <c r="CC55" s="1934">
        <v>0</v>
      </c>
      <c r="CD55" s="1935"/>
      <c r="CE55" s="1809">
        <f>+$CW$32</f>
        <v>3.1739999999999999</v>
      </c>
      <c r="CF55" s="1809"/>
      <c r="CG55" s="1794">
        <f>CE55/CW32</f>
        <v>1</v>
      </c>
      <c r="CH55" s="1793"/>
      <c r="CI55" s="1795">
        <v>0</v>
      </c>
      <c r="CJ55" s="1795"/>
      <c r="CK55" s="1936">
        <f>CI55/CW32</f>
        <v>0</v>
      </c>
      <c r="CL55" s="1936"/>
      <c r="CM55" s="1923">
        <v>0</v>
      </c>
      <c r="CN55" s="1923"/>
      <c r="CO55" s="1924">
        <f>CM55/CW32</f>
        <v>0</v>
      </c>
      <c r="CP55" s="1925"/>
      <c r="CQ55" s="1798">
        <v>0</v>
      </c>
      <c r="CR55" s="1798"/>
      <c r="CS55" s="1799">
        <v>0</v>
      </c>
      <c r="CT55" s="1800"/>
      <c r="CU55" s="612">
        <f>CE55+CI55+CQ55+CM55+CA55</f>
        <v>3.1739999999999999</v>
      </c>
      <c r="CV55" s="616">
        <f>CG55+CK55+CS55</f>
        <v>1</v>
      </c>
    </row>
    <row r="56" spans="1:101" ht="10.5" customHeight="1">
      <c r="A56" s="870" t="s">
        <v>575</v>
      </c>
      <c r="B56" s="365"/>
      <c r="U56" s="366"/>
      <c r="AO56" s="366"/>
      <c r="BI56" s="366"/>
      <c r="BZ56" s="366"/>
      <c r="CA56" s="1889" t="s">
        <v>54</v>
      </c>
      <c r="CB56" s="1789"/>
      <c r="CC56" s="1789"/>
      <c r="CD56" s="1789"/>
      <c r="CE56" s="1926" t="s">
        <v>54</v>
      </c>
      <c r="CF56" s="1926"/>
      <c r="CG56" s="1926"/>
      <c r="CH56" s="1926"/>
      <c r="CI56" s="1926" t="s">
        <v>54</v>
      </c>
      <c r="CJ56" s="1926"/>
      <c r="CK56" s="1926"/>
      <c r="CL56" s="1926"/>
      <c r="CM56" s="1928" t="s">
        <v>54</v>
      </c>
      <c r="CN56" s="1928"/>
      <c r="CO56" s="1928"/>
      <c r="CP56" s="1928"/>
      <c r="CQ56" s="1928" t="s">
        <v>54</v>
      </c>
      <c r="CR56" s="1928"/>
      <c r="CS56" s="1928"/>
      <c r="CT56" s="1930"/>
      <c r="CU56" s="387"/>
    </row>
    <row r="57" spans="1:101" ht="4.5" customHeight="1">
      <c r="A57" s="871"/>
      <c r="B57" s="370"/>
      <c r="C57" s="371"/>
      <c r="D57" s="371"/>
      <c r="E57" s="371"/>
      <c r="F57" s="371"/>
      <c r="G57" s="371"/>
      <c r="H57" s="371"/>
      <c r="I57" s="371"/>
      <c r="J57" s="371"/>
      <c r="K57" s="371"/>
      <c r="L57" s="371"/>
      <c r="M57" s="371"/>
      <c r="N57" s="371"/>
      <c r="O57" s="371"/>
      <c r="P57" s="371"/>
      <c r="Q57" s="371"/>
      <c r="R57" s="371"/>
      <c r="S57" s="371"/>
      <c r="T57" s="371"/>
      <c r="U57" s="372"/>
      <c r="V57" s="371"/>
      <c r="W57" s="371"/>
      <c r="X57" s="371"/>
      <c r="Y57" s="371"/>
      <c r="Z57" s="371"/>
      <c r="AA57" s="371"/>
      <c r="AB57" s="371"/>
      <c r="AC57" s="371"/>
      <c r="AD57" s="371"/>
      <c r="AE57" s="371"/>
      <c r="AF57" s="371"/>
      <c r="AG57" s="371"/>
      <c r="AH57" s="371"/>
      <c r="AI57" s="371"/>
      <c r="AJ57" s="371"/>
      <c r="AK57" s="371"/>
      <c r="AL57" s="371"/>
      <c r="AM57" s="371"/>
      <c r="AN57" s="371"/>
      <c r="AO57" s="372"/>
      <c r="AP57" s="371"/>
      <c r="AQ57" s="371"/>
      <c r="AR57" s="371"/>
      <c r="AS57" s="371"/>
      <c r="AT57" s="371"/>
      <c r="AU57" s="371"/>
      <c r="AV57" s="371"/>
      <c r="AW57" s="371"/>
      <c r="AX57" s="371"/>
      <c r="AY57" s="371"/>
      <c r="AZ57" s="371"/>
      <c r="BA57" s="371"/>
      <c r="BB57" s="371"/>
      <c r="BC57" s="371"/>
      <c r="BD57" s="371"/>
      <c r="BE57" s="371"/>
      <c r="BF57" s="371"/>
      <c r="BG57" s="371"/>
      <c r="BH57" s="371"/>
      <c r="BI57" s="372"/>
      <c r="BJ57" s="371"/>
      <c r="BK57" s="371"/>
      <c r="BL57" s="371"/>
      <c r="BM57" s="371"/>
      <c r="BN57" s="371"/>
      <c r="BZ57" s="366"/>
      <c r="CA57" s="1889"/>
      <c r="CB57" s="1789"/>
      <c r="CC57" s="1789"/>
      <c r="CD57" s="1789"/>
      <c r="CE57" s="1927"/>
      <c r="CF57" s="1927"/>
      <c r="CG57" s="1927"/>
      <c r="CH57" s="1927"/>
      <c r="CI57" s="1927"/>
      <c r="CJ57" s="1927"/>
      <c r="CK57" s="1927"/>
      <c r="CL57" s="1927"/>
      <c r="CM57" s="1929"/>
      <c r="CN57" s="1929"/>
      <c r="CO57" s="1929"/>
      <c r="CP57" s="1929"/>
      <c r="CQ57" s="1929"/>
      <c r="CR57" s="1929"/>
      <c r="CS57" s="1929"/>
      <c r="CT57" s="1931"/>
      <c r="CU57" s="387"/>
    </row>
    <row r="58" spans="1:101" ht="13.5" customHeight="1" thickBot="1">
      <c r="A58" s="872">
        <v>4</v>
      </c>
      <c r="B58" s="388"/>
      <c r="C58" s="359"/>
      <c r="D58" s="359"/>
      <c r="E58" s="359"/>
      <c r="F58" s="359"/>
      <c r="G58" s="359"/>
      <c r="H58" s="359"/>
      <c r="I58" s="359"/>
      <c r="J58" s="359"/>
      <c r="K58" s="359"/>
      <c r="L58" s="359"/>
      <c r="M58" s="359"/>
      <c r="N58" s="359"/>
      <c r="O58" s="359"/>
      <c r="P58" s="359"/>
      <c r="Q58" s="359"/>
      <c r="R58" s="359"/>
      <c r="S58" s="359"/>
      <c r="T58" s="359"/>
      <c r="U58" s="389"/>
      <c r="V58" s="359"/>
      <c r="W58" s="359"/>
      <c r="X58" s="359"/>
      <c r="Y58" s="359"/>
      <c r="Z58" s="359"/>
      <c r="AA58" s="359"/>
      <c r="AB58" s="359"/>
      <c r="AC58" s="359"/>
      <c r="AD58" s="359"/>
      <c r="AE58" s="359"/>
      <c r="AF58" s="359"/>
      <c r="AG58" s="359"/>
      <c r="AH58" s="359"/>
      <c r="AI58" s="359"/>
      <c r="AJ58" s="359"/>
      <c r="AK58" s="359"/>
      <c r="AL58" s="359"/>
      <c r="AM58" s="359"/>
      <c r="AN58" s="359"/>
      <c r="AO58" s="389"/>
      <c r="AP58" s="359"/>
      <c r="AQ58" s="359"/>
      <c r="AR58" s="359"/>
      <c r="AS58" s="359"/>
      <c r="AT58" s="359"/>
      <c r="AU58" s="359"/>
      <c r="AV58" s="359"/>
      <c r="AW58" s="359"/>
      <c r="AX58" s="359"/>
      <c r="AY58" s="359"/>
      <c r="AZ58" s="359"/>
      <c r="BA58" s="359"/>
      <c r="BB58" s="359"/>
      <c r="BC58" s="359"/>
      <c r="BD58" s="359"/>
      <c r="BE58" s="359"/>
      <c r="BF58" s="359"/>
      <c r="BG58" s="359"/>
      <c r="BH58" s="359"/>
      <c r="BI58" s="389"/>
      <c r="BJ58" s="359"/>
      <c r="BK58" s="359"/>
      <c r="BL58" s="359"/>
      <c r="BM58" s="359"/>
      <c r="BN58" s="359"/>
      <c r="BO58" s="359"/>
      <c r="BP58" s="359"/>
      <c r="BQ58" s="359"/>
      <c r="BR58" s="359"/>
      <c r="BS58" s="359"/>
      <c r="BT58" s="359"/>
      <c r="BU58" s="359"/>
      <c r="BV58" s="359"/>
      <c r="BW58" s="359"/>
      <c r="BX58" s="359"/>
      <c r="BY58" s="359"/>
      <c r="BZ58" s="389"/>
      <c r="CA58" s="1941">
        <v>0</v>
      </c>
      <c r="CB58" s="1942"/>
      <c r="CC58" s="1958">
        <v>0</v>
      </c>
      <c r="CD58" s="1959"/>
      <c r="CE58" s="1940">
        <f>+CW32</f>
        <v>3.1739999999999999</v>
      </c>
      <c r="CF58" s="1940"/>
      <c r="CG58" s="1810">
        <f>CE58/CW32</f>
        <v>1</v>
      </c>
      <c r="CH58" s="1811"/>
      <c r="CI58" s="1795">
        <v>0</v>
      </c>
      <c r="CJ58" s="1795"/>
      <c r="CK58" s="1936">
        <f>CI58/CW32</f>
        <v>0</v>
      </c>
      <c r="CL58" s="1936"/>
      <c r="CM58" s="1937">
        <v>0</v>
      </c>
      <c r="CN58" s="1937"/>
      <c r="CO58" s="1938">
        <f>CM58/CW32</f>
        <v>0</v>
      </c>
      <c r="CP58" s="1939"/>
      <c r="CQ58" s="1815">
        <v>0</v>
      </c>
      <c r="CR58" s="1815"/>
      <c r="CS58" s="1816">
        <v>0</v>
      </c>
      <c r="CT58" s="1817"/>
      <c r="CU58" s="612">
        <f>CE58+CI58+CQ58+CM58+CA58</f>
        <v>3.1739999999999999</v>
      </c>
      <c r="CV58" s="616">
        <f>CG58+CK58+CS58</f>
        <v>1</v>
      </c>
    </row>
    <row r="59" spans="1:101">
      <c r="A59" s="350"/>
    </row>
    <row r="60" spans="1:101" s="546" customFormat="1" ht="12.75">
      <c r="A60" s="618" t="s">
        <v>315</v>
      </c>
    </row>
    <row r="61" spans="1:101" s="546" customFormat="1">
      <c r="A61" s="1047" t="s">
        <v>1140</v>
      </c>
      <c r="N61" s="349"/>
      <c r="O61" s="349"/>
      <c r="P61" s="349"/>
      <c r="Q61" s="349"/>
      <c r="R61" s="349"/>
      <c r="S61" s="349"/>
      <c r="T61" s="349"/>
      <c r="U61" s="349"/>
      <c r="CD61" s="619" t="s">
        <v>440</v>
      </c>
      <c r="CE61" s="619"/>
      <c r="CF61" s="619"/>
      <c r="CG61" s="619"/>
      <c r="CH61" s="619"/>
      <c r="CI61" s="619"/>
      <c r="CJ61" s="619"/>
      <c r="CK61" s="619"/>
      <c r="CL61" s="553"/>
      <c r="CM61" s="553"/>
      <c r="CN61" s="553"/>
      <c r="CO61" s="553"/>
      <c r="CP61" s="553"/>
      <c r="CQ61" s="553"/>
      <c r="CR61" s="553"/>
      <c r="CS61" s="553"/>
      <c r="CT61" s="553"/>
      <c r="CU61" s="553"/>
      <c r="CV61" s="553"/>
      <c r="CW61" s="553"/>
    </row>
    <row r="62" spans="1:101" s="546" customFormat="1" ht="12.75"/>
  </sheetData>
  <mergeCells count="169">
    <mergeCell ref="B31:U31"/>
    <mergeCell ref="V31:AO31"/>
    <mergeCell ref="AP31:BI31"/>
    <mergeCell ref="BJ31:BZ31"/>
    <mergeCell ref="CA31:CD31"/>
    <mergeCell ref="CE31:CH31"/>
    <mergeCell ref="A1:CT1"/>
    <mergeCell ref="AY11:CT11"/>
    <mergeCell ref="B29:BZ29"/>
    <mergeCell ref="CA29:CT30"/>
    <mergeCell ref="B30:U30"/>
    <mergeCell ref="V30:AO30"/>
    <mergeCell ref="AP30:BI30"/>
    <mergeCell ref="BJ30:BZ30"/>
    <mergeCell ref="C7:G7"/>
    <mergeCell ref="A2:CT2"/>
    <mergeCell ref="A3:CT3"/>
    <mergeCell ref="A4:CT4"/>
    <mergeCell ref="CC34:CD34"/>
    <mergeCell ref="CI31:CL31"/>
    <mergeCell ref="CM31:CP31"/>
    <mergeCell ref="CQ31:CT31"/>
    <mergeCell ref="CA32:CB33"/>
    <mergeCell ref="CC32:CD33"/>
    <mergeCell ref="CE32:CF33"/>
    <mergeCell ref="CK32:CL33"/>
    <mergeCell ref="CM32:CN33"/>
    <mergeCell ref="CO32:CP33"/>
    <mergeCell ref="CQ32:CR33"/>
    <mergeCell ref="CA41:CD42"/>
    <mergeCell ref="CE41:CH42"/>
    <mergeCell ref="CM41:CP42"/>
    <mergeCell ref="CQ41:CT42"/>
    <mergeCell ref="CA40:CB40"/>
    <mergeCell ref="CC40:CD40"/>
    <mergeCell ref="CE40:CF40"/>
    <mergeCell ref="CG40:CH40"/>
    <mergeCell ref="CI40:CJ40"/>
    <mergeCell ref="CK40:CL40"/>
    <mergeCell ref="CO40:CP40"/>
    <mergeCell ref="CM40:CN40"/>
    <mergeCell ref="CA46:CB46"/>
    <mergeCell ref="CC46:CD46"/>
    <mergeCell ref="CE46:CF46"/>
    <mergeCell ref="CA44:CD45"/>
    <mergeCell ref="CE44:CH45"/>
    <mergeCell ref="CM44:CP45"/>
    <mergeCell ref="CQ44:CT45"/>
    <mergeCell ref="CA43:CB43"/>
    <mergeCell ref="CC43:CD43"/>
    <mergeCell ref="CE43:CF43"/>
    <mergeCell ref="CG43:CH43"/>
    <mergeCell ref="CI43:CJ43"/>
    <mergeCell ref="CK43:CL43"/>
    <mergeCell ref="CQ56:CT57"/>
    <mergeCell ref="CI56:CL57"/>
    <mergeCell ref="CA55:CB55"/>
    <mergeCell ref="CC55:CD55"/>
    <mergeCell ref="CE55:CF55"/>
    <mergeCell ref="CM52:CN52"/>
    <mergeCell ref="CO52:CP52"/>
    <mergeCell ref="CQ52:CR52"/>
    <mergeCell ref="CS52:CT52"/>
    <mergeCell ref="CA53:CD54"/>
    <mergeCell ref="CE53:CH54"/>
    <mergeCell ref="CM53:CP54"/>
    <mergeCell ref="CQ53:CT54"/>
    <mergeCell ref="CI53:CL54"/>
    <mergeCell ref="CA52:CB52"/>
    <mergeCell ref="CC52:CD52"/>
    <mergeCell ref="CE52:CF52"/>
    <mergeCell ref="CG52:CH52"/>
    <mergeCell ref="CI52:CJ52"/>
    <mergeCell ref="CK52:CL52"/>
    <mergeCell ref="CM58:CN58"/>
    <mergeCell ref="CO58:CP58"/>
    <mergeCell ref="CQ58:CR58"/>
    <mergeCell ref="CS58:CT58"/>
    <mergeCell ref="CA58:CB58"/>
    <mergeCell ref="CC58:CD58"/>
    <mergeCell ref="CG32:CH33"/>
    <mergeCell ref="CI32:CJ33"/>
    <mergeCell ref="CE58:CF58"/>
    <mergeCell ref="CG58:CH58"/>
    <mergeCell ref="CI58:CJ58"/>
    <mergeCell ref="CK58:CL58"/>
    <mergeCell ref="CM55:CN55"/>
    <mergeCell ref="CO55:CP55"/>
    <mergeCell ref="CG55:CH55"/>
    <mergeCell ref="CI55:CJ55"/>
    <mergeCell ref="CK55:CL55"/>
    <mergeCell ref="CQ55:CR55"/>
    <mergeCell ref="CS55:CT55"/>
    <mergeCell ref="CA56:CD57"/>
    <mergeCell ref="CE56:CH57"/>
    <mergeCell ref="CM56:CP57"/>
    <mergeCell ref="CS43:CT43"/>
    <mergeCell ref="CO37:CP37"/>
    <mergeCell ref="CI50:CL51"/>
    <mergeCell ref="CQ50:CT51"/>
    <mergeCell ref="CS46:CT46"/>
    <mergeCell ref="CQ40:CR40"/>
    <mergeCell ref="CS40:CT40"/>
    <mergeCell ref="CI35:CL36"/>
    <mergeCell ref="CM35:CP36"/>
    <mergeCell ref="CQ35:CT36"/>
    <mergeCell ref="CM37:CN37"/>
    <mergeCell ref="CO49:CP49"/>
    <mergeCell ref="CQ49:CR49"/>
    <mergeCell ref="CS49:CT49"/>
    <mergeCell ref="CI37:CJ37"/>
    <mergeCell ref="CO46:CP46"/>
    <mergeCell ref="CQ46:CR46"/>
    <mergeCell ref="CM49:CN49"/>
    <mergeCell ref="CM50:CP51"/>
    <mergeCell ref="CI49:CJ49"/>
    <mergeCell ref="CK49:CL49"/>
    <mergeCell ref="CM46:CN46"/>
    <mergeCell ref="CI46:CJ46"/>
    <mergeCell ref="CS37:CT37"/>
    <mergeCell ref="CQ47:CT48"/>
    <mergeCell ref="A32:A34"/>
    <mergeCell ref="A35:A37"/>
    <mergeCell ref="A38:A40"/>
    <mergeCell ref="CA37:CB37"/>
    <mergeCell ref="CC37:CD37"/>
    <mergeCell ref="CE37:CF37"/>
    <mergeCell ref="CG37:CH37"/>
    <mergeCell ref="CK37:CL37"/>
    <mergeCell ref="CS32:CT33"/>
    <mergeCell ref="CM34:CN34"/>
    <mergeCell ref="CO34:CP34"/>
    <mergeCell ref="CE34:CF34"/>
    <mergeCell ref="CG34:CH34"/>
    <mergeCell ref="CI34:CJ34"/>
    <mergeCell ref="CK34:CL34"/>
    <mergeCell ref="CQ34:CR34"/>
    <mergeCell ref="CS34:CT34"/>
    <mergeCell ref="CA38:CD39"/>
    <mergeCell ref="CE38:CH39"/>
    <mergeCell ref="CM38:CP39"/>
    <mergeCell ref="CQ38:CT39"/>
    <mergeCell ref="CA35:CD36"/>
    <mergeCell ref="CE35:CH36"/>
    <mergeCell ref="CA34:CB34"/>
    <mergeCell ref="A41:A43"/>
    <mergeCell ref="A44:A46"/>
    <mergeCell ref="A47:A49"/>
    <mergeCell ref="A50:A52"/>
    <mergeCell ref="A53:A55"/>
    <mergeCell ref="CQ37:CR37"/>
    <mergeCell ref="CI38:CL39"/>
    <mergeCell ref="CI41:CL42"/>
    <mergeCell ref="CI44:CL45"/>
    <mergeCell ref="CM43:CN43"/>
    <mergeCell ref="CO43:CP43"/>
    <mergeCell ref="CQ43:CR43"/>
    <mergeCell ref="CA50:CD51"/>
    <mergeCell ref="CE50:CH51"/>
    <mergeCell ref="CA49:CB49"/>
    <mergeCell ref="CC49:CD49"/>
    <mergeCell ref="CE49:CF49"/>
    <mergeCell ref="CG49:CH49"/>
    <mergeCell ref="CG46:CH46"/>
    <mergeCell ref="CK46:CL46"/>
    <mergeCell ref="CI47:CL48"/>
    <mergeCell ref="CA47:CD48"/>
    <mergeCell ref="CE47:CH48"/>
    <mergeCell ref="CM47:CP48"/>
  </mergeCells>
  <hyperlinks>
    <hyperlink ref="CD61" location="'TABLA DE CONTENIDO'!A1" display="VOLVER A TABLA DE CONTENIDO"/>
  </hyperlinks>
  <printOptions horizontalCentered="1"/>
  <pageMargins left="0.39370078740157483" right="0.39370078740157483" top="0.39370078740157483" bottom="0.39370078740157483" header="0.27559055118110237" footer="0.43307086614173229"/>
  <pageSetup scale="70" orientation="portrait" r:id="rId1"/>
  <headerFooter alignWithMargins="0"/>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59"/>
  <sheetViews>
    <sheetView showGridLines="0" view="pageBreakPreview" zoomScale="130" zoomScaleSheetLayoutView="130" workbookViewId="0">
      <selection activeCell="O12" sqref="O12"/>
    </sheetView>
  </sheetViews>
  <sheetFormatPr baseColWidth="10" defaultRowHeight="12.75"/>
  <cols>
    <col min="1" max="1" width="23.140625" style="546" customWidth="1"/>
    <col min="2" max="2" width="30.7109375" style="571" customWidth="1"/>
    <col min="3" max="3" width="30.85546875" style="546" customWidth="1"/>
    <col min="4" max="9" width="8.5703125" style="546" hidden="1" customWidth="1"/>
    <col min="10" max="10" width="2.7109375" style="546" customWidth="1"/>
    <col min="11" max="11" width="12.5703125" style="546" customWidth="1"/>
    <col min="12" max="16" width="8.5703125" style="546" customWidth="1"/>
    <col min="17" max="17" width="11.42578125" style="546" customWidth="1"/>
    <col min="18" max="18" width="13.140625" style="546" customWidth="1"/>
    <col min="19" max="19" width="10.85546875" style="546" customWidth="1"/>
    <col min="20" max="21" width="9.42578125" style="546" customWidth="1"/>
    <col min="22" max="22" width="10" style="546" customWidth="1"/>
    <col min="23" max="16384" width="11.42578125" style="546"/>
  </cols>
  <sheetData>
    <row r="1" spans="1:22" s="636" customFormat="1" ht="23.25">
      <c r="A1" s="2009" t="s">
        <v>0</v>
      </c>
      <c r="B1" s="2009"/>
      <c r="C1" s="2009"/>
    </row>
    <row r="2" spans="1:22" s="636" customFormat="1" ht="18">
      <c r="A2" s="2010" t="s">
        <v>627</v>
      </c>
      <c r="B2" s="2010"/>
      <c r="C2" s="2010"/>
    </row>
    <row r="3" spans="1:22" s="636" customFormat="1" ht="3" customHeight="1">
      <c r="A3" s="637"/>
      <c r="B3" s="638"/>
      <c r="C3" s="639"/>
    </row>
    <row r="4" spans="1:22" s="636" customFormat="1" ht="15.75">
      <c r="A4" s="2011" t="s">
        <v>373</v>
      </c>
      <c r="B4" s="2011"/>
      <c r="C4" s="2011"/>
    </row>
    <row r="5" spans="1:22" s="636" customFormat="1" ht="3.75" customHeight="1">
      <c r="A5" s="637"/>
      <c r="B5" s="638"/>
      <c r="C5" s="639"/>
    </row>
    <row r="6" spans="1:22" s="636" customFormat="1" ht="18">
      <c r="A6" s="1850" t="s">
        <v>517</v>
      </c>
      <c r="B6" s="1850"/>
      <c r="C6" s="1850"/>
    </row>
    <row r="7" spans="1:22" s="636" customFormat="1" ht="18">
      <c r="A7" s="640"/>
      <c r="B7" s="548"/>
      <c r="C7" s="639"/>
    </row>
    <row r="8" spans="1:22" s="636" customFormat="1" ht="12.75" customHeight="1">
      <c r="A8" s="137" t="s">
        <v>147</v>
      </c>
      <c r="B8" s="203" t="str">
        <f>'CUMPLIMIENTO % '!C7</f>
        <v>LUIS GABRIEL IBARRA ANGEL</v>
      </c>
      <c r="C8" s="641"/>
      <c r="D8" s="642"/>
      <c r="E8" s="642"/>
      <c r="F8" s="642"/>
      <c r="G8" s="642"/>
      <c r="H8" s="642"/>
      <c r="I8" s="642"/>
      <c r="J8" s="642"/>
      <c r="K8" s="642"/>
      <c r="L8" s="642"/>
      <c r="M8" s="642"/>
      <c r="N8" s="642"/>
      <c r="O8" s="642"/>
      <c r="P8" s="642"/>
      <c r="Q8" s="642"/>
      <c r="R8" s="642"/>
      <c r="S8" s="642"/>
      <c r="T8" s="642"/>
      <c r="U8" s="642"/>
      <c r="V8" s="642"/>
    </row>
    <row r="9" spans="1:22" s="636" customFormat="1" ht="12.75" customHeight="1">
      <c r="A9" s="137"/>
      <c r="B9" s="29"/>
      <c r="C9" s="643"/>
      <c r="K9" s="644"/>
    </row>
    <row r="10" spans="1:22" s="636" customFormat="1" ht="12.75" customHeight="1">
      <c r="A10" s="139" t="s">
        <v>306</v>
      </c>
      <c r="B10" s="203" t="str">
        <f>PORTADA!C31</f>
        <v>OCTUBRE - DICIEMBRE DEL 2020</v>
      </c>
      <c r="C10" s="951"/>
      <c r="K10" s="644"/>
    </row>
    <row r="11" spans="1:22" s="636" customFormat="1" ht="12.75" customHeight="1" thickBot="1">
      <c r="A11" s="139"/>
      <c r="B11" s="29"/>
      <c r="C11" s="642"/>
      <c r="K11" s="644"/>
    </row>
    <row r="12" spans="1:22" ht="12.75" customHeight="1">
      <c r="A12" s="2012" t="s">
        <v>6</v>
      </c>
      <c r="B12" s="2012" t="s">
        <v>386</v>
      </c>
      <c r="C12" s="2012" t="s">
        <v>307</v>
      </c>
    </row>
    <row r="13" spans="1:22" ht="12.75" customHeight="1">
      <c r="A13" s="2013"/>
      <c r="B13" s="2013"/>
      <c r="C13" s="2013"/>
    </row>
    <row r="14" spans="1:22" ht="3.75" customHeight="1" thickBot="1">
      <c r="A14" s="2014"/>
      <c r="B14" s="2014"/>
      <c r="C14" s="2014"/>
    </row>
    <row r="15" spans="1:22" ht="12.75" customHeight="1">
      <c r="A15" s="2000" t="s">
        <v>657</v>
      </c>
      <c r="C15" s="645"/>
      <c r="D15" s="1998" t="s">
        <v>658</v>
      </c>
      <c r="E15" s="1998"/>
      <c r="F15" s="1998"/>
      <c r="G15" s="1998"/>
      <c r="H15" s="1998"/>
      <c r="I15" s="1998"/>
      <c r="J15" s="646"/>
      <c r="K15" s="2002" t="s">
        <v>1451</v>
      </c>
      <c r="L15" s="1999"/>
      <c r="M15" s="1999"/>
      <c r="N15" s="1999"/>
      <c r="O15" s="1999"/>
      <c r="P15" s="647"/>
      <c r="Q15" s="648"/>
      <c r="R15" s="1999" t="str">
        <f>B10</f>
        <v>OCTUBRE - DICIEMBRE DEL 2020</v>
      </c>
      <c r="S15" s="1999"/>
      <c r="T15" s="1999"/>
      <c r="U15" s="1999"/>
      <c r="V15" s="1999"/>
    </row>
    <row r="16" spans="1:22">
      <c r="A16" s="1995"/>
      <c r="C16" s="645"/>
      <c r="D16" s="649"/>
      <c r="E16" s="650" t="s">
        <v>368</v>
      </c>
      <c r="F16" s="650" t="s">
        <v>96</v>
      </c>
      <c r="G16" s="650" t="s">
        <v>97</v>
      </c>
      <c r="H16" s="650" t="s">
        <v>98</v>
      </c>
      <c r="I16" s="650" t="s">
        <v>369</v>
      </c>
      <c r="J16" s="650"/>
      <c r="K16" s="649"/>
      <c r="L16" s="650" t="s">
        <v>368</v>
      </c>
      <c r="M16" s="650" t="s">
        <v>96</v>
      </c>
      <c r="N16" s="650" t="s">
        <v>97</v>
      </c>
      <c r="O16" s="650" t="s">
        <v>98</v>
      </c>
      <c r="P16" s="650" t="s">
        <v>369</v>
      </c>
      <c r="Q16" s="648"/>
      <c r="R16" s="1999" t="str">
        <f>R15</f>
        <v>OCTUBRE - DICIEMBRE DEL 2020</v>
      </c>
      <c r="S16" s="1999"/>
      <c r="T16" s="1999"/>
      <c r="U16" s="1999"/>
      <c r="V16" s="1999"/>
    </row>
    <row r="17" spans="1:26" ht="12.75" customHeight="1">
      <c r="A17" s="1995"/>
      <c r="C17" s="645"/>
      <c r="D17" s="651"/>
      <c r="E17" s="651"/>
      <c r="F17" s="649"/>
      <c r="G17" s="649"/>
      <c r="H17" s="649"/>
      <c r="I17" s="651"/>
      <c r="J17" s="649"/>
      <c r="K17" s="651"/>
      <c r="L17" s="651"/>
      <c r="M17" s="649"/>
      <c r="N17" s="649"/>
      <c r="O17" s="649"/>
      <c r="P17" s="651"/>
      <c r="Q17" s="648">
        <f>SUM(R18:V18)</f>
        <v>3.17</v>
      </c>
      <c r="R17" s="652" t="s">
        <v>368</v>
      </c>
      <c r="S17" s="653" t="s">
        <v>96</v>
      </c>
      <c r="T17" s="654" t="s">
        <v>97</v>
      </c>
      <c r="U17" s="655" t="s">
        <v>98</v>
      </c>
      <c r="V17" s="656" t="s">
        <v>369</v>
      </c>
    </row>
    <row r="18" spans="1:26">
      <c r="A18" s="1995"/>
      <c r="C18" s="645"/>
      <c r="D18" s="657">
        <v>3.2280000000000002</v>
      </c>
      <c r="E18" s="657">
        <v>0</v>
      </c>
      <c r="F18" s="658">
        <v>0</v>
      </c>
      <c r="G18" s="659">
        <v>0</v>
      </c>
      <c r="H18" s="659">
        <v>3.2280000000000002</v>
      </c>
      <c r="I18" s="659">
        <v>0</v>
      </c>
      <c r="J18" s="659"/>
      <c r="K18" s="657">
        <f>M18+N18+O18</f>
        <v>5.1660000000000004</v>
      </c>
      <c r="L18" s="856">
        <v>0</v>
      </c>
      <c r="M18" s="856">
        <v>1.2</v>
      </c>
      <c r="N18" s="856">
        <v>1.97</v>
      </c>
      <c r="O18" s="856">
        <v>1.996</v>
      </c>
      <c r="P18" s="856">
        <v>0</v>
      </c>
      <c r="Q18" s="660" t="s">
        <v>573</v>
      </c>
      <c r="R18" s="856">
        <f>'[2]Estado Resumen'!$C$21</f>
        <v>0</v>
      </c>
      <c r="S18" s="856">
        <v>3.17</v>
      </c>
      <c r="T18" s="856">
        <v>0</v>
      </c>
      <c r="U18" s="856">
        <f>+'RUTA40-TEC'!CM34</f>
        <v>0</v>
      </c>
      <c r="V18" s="856">
        <f>+'RUTA40-TEC'!CQ34</f>
        <v>0</v>
      </c>
      <c r="W18" s="546">
        <v>3.17</v>
      </c>
      <c r="X18" s="546">
        <v>1.996</v>
      </c>
      <c r="Z18" s="546">
        <v>0</v>
      </c>
    </row>
    <row r="19" spans="1:26" ht="13.5" customHeight="1">
      <c r="A19" s="1995"/>
      <c r="C19" s="661"/>
      <c r="D19" s="662">
        <f>F19+G19+H19</f>
        <v>100</v>
      </c>
      <c r="E19" s="663">
        <f>+E18/D18*100</f>
        <v>0</v>
      </c>
      <c r="F19" s="663">
        <f>+F18/D18*100</f>
        <v>0</v>
      </c>
      <c r="G19" s="663">
        <f>+G18/D18*100</f>
        <v>0</v>
      </c>
      <c r="H19" s="664">
        <f>+H18/D18*100</f>
        <v>100</v>
      </c>
      <c r="I19" s="663">
        <f>+I18/D18*100</f>
        <v>0</v>
      </c>
      <c r="J19" s="664"/>
      <c r="K19" s="662">
        <f>M19+N19+O19</f>
        <v>1</v>
      </c>
      <c r="L19" s="665"/>
      <c r="M19" s="665">
        <v>1</v>
      </c>
      <c r="N19" s="665">
        <v>0</v>
      </c>
      <c r="O19" s="665"/>
      <c r="P19" s="665"/>
      <c r="Q19" s="660" t="s">
        <v>39</v>
      </c>
      <c r="R19" s="665"/>
      <c r="S19" s="665">
        <f>S18/$W$18</f>
        <v>1</v>
      </c>
      <c r="T19" s="665">
        <f>T18/$W$18</f>
        <v>0</v>
      </c>
      <c r="U19" s="665"/>
      <c r="V19" s="665"/>
    </row>
    <row r="20" spans="1:26" ht="13.5" customHeight="1">
      <c r="A20" s="1995"/>
      <c r="C20" s="661"/>
    </row>
    <row r="21" spans="1:26" ht="13.5" customHeight="1">
      <c r="A21" s="2001"/>
      <c r="B21" s="666"/>
      <c r="C21" s="667"/>
    </row>
    <row r="22" spans="1:26" ht="12.75" customHeight="1">
      <c r="A22" s="2003" t="s">
        <v>545</v>
      </c>
      <c r="B22" s="668"/>
      <c r="C22" s="669"/>
      <c r="D22" s="1998" t="s">
        <v>658</v>
      </c>
      <c r="E22" s="1998"/>
      <c r="F22" s="1998"/>
      <c r="G22" s="1998"/>
      <c r="H22" s="1998"/>
      <c r="I22" s="1998"/>
      <c r="J22" s="646"/>
      <c r="K22" s="2006" t="str">
        <f>+K15</f>
        <v>JULIO A SEPTIEMBRE 2020</v>
      </c>
      <c r="L22" s="2007"/>
      <c r="M22" s="2007"/>
      <c r="N22" s="2007"/>
      <c r="O22" s="2008"/>
      <c r="P22" s="647"/>
      <c r="Q22" s="648"/>
      <c r="R22" s="1999" t="str">
        <f>$R$15</f>
        <v>OCTUBRE - DICIEMBRE DEL 2020</v>
      </c>
      <c r="S22" s="1999"/>
      <c r="T22" s="1999"/>
      <c r="U22" s="1999"/>
      <c r="V22" s="1999"/>
    </row>
    <row r="23" spans="1:26">
      <c r="A23" s="2004"/>
      <c r="C23" s="645"/>
      <c r="D23" s="649"/>
      <c r="E23" s="650" t="s">
        <v>368</v>
      </c>
      <c r="F23" s="650" t="s">
        <v>96</v>
      </c>
      <c r="G23" s="650" t="s">
        <v>97</v>
      </c>
      <c r="H23" s="650" t="s">
        <v>98</v>
      </c>
      <c r="I23" s="650" t="s">
        <v>369</v>
      </c>
      <c r="J23" s="650"/>
      <c r="K23" s="649"/>
      <c r="L23" s="650" t="s">
        <v>368</v>
      </c>
      <c r="M23" s="650" t="s">
        <v>96</v>
      </c>
      <c r="N23" s="650" t="s">
        <v>97</v>
      </c>
      <c r="O23" s="650" t="s">
        <v>98</v>
      </c>
      <c r="P23" s="650" t="s">
        <v>369</v>
      </c>
      <c r="Q23" s="648"/>
      <c r="R23" s="1999" t="str">
        <f>$R$22</f>
        <v>OCTUBRE - DICIEMBRE DEL 2020</v>
      </c>
      <c r="S23" s="1999"/>
      <c r="T23" s="1999"/>
      <c r="U23" s="1999"/>
      <c r="V23" s="1999"/>
    </row>
    <row r="24" spans="1:26">
      <c r="A24" s="2004"/>
      <c r="C24" s="645"/>
      <c r="D24" s="651"/>
      <c r="E24" s="651"/>
      <c r="F24" s="649"/>
      <c r="G24" s="649"/>
      <c r="H24" s="649"/>
      <c r="I24" s="651"/>
      <c r="J24" s="649"/>
      <c r="K24" s="651"/>
      <c r="L24" s="651"/>
      <c r="M24" s="649"/>
      <c r="N24" s="649"/>
      <c r="O24" s="649"/>
      <c r="P24" s="651"/>
      <c r="Q24" s="648">
        <f>SUM(R25:V25)</f>
        <v>5.78</v>
      </c>
      <c r="R24" s="652" t="s">
        <v>368</v>
      </c>
      <c r="S24" s="653" t="s">
        <v>96</v>
      </c>
      <c r="T24" s="654" t="s">
        <v>97</v>
      </c>
      <c r="U24" s="655" t="s">
        <v>98</v>
      </c>
      <c r="V24" s="656" t="s">
        <v>369</v>
      </c>
    </row>
    <row r="25" spans="1:26" ht="12.75" customHeight="1">
      <c r="A25" s="2004"/>
      <c r="C25" s="645"/>
      <c r="D25" s="657">
        <f>F25+G25+H25</f>
        <v>2.7530000000000001</v>
      </c>
      <c r="E25" s="658">
        <v>0</v>
      </c>
      <c r="F25" s="658">
        <v>0</v>
      </c>
      <c r="G25" s="658">
        <v>0.8</v>
      </c>
      <c r="H25" s="657">
        <v>1.9530000000000001</v>
      </c>
      <c r="I25" s="658">
        <v>0</v>
      </c>
      <c r="J25" s="657"/>
      <c r="K25" s="657">
        <f>M25+N25+O25</f>
        <v>5.78</v>
      </c>
      <c r="L25" s="648">
        <v>0</v>
      </c>
      <c r="M25" s="648">
        <v>5.78</v>
      </c>
      <c r="N25" s="648">
        <v>0</v>
      </c>
      <c r="O25" s="648">
        <v>0</v>
      </c>
      <c r="P25" s="648">
        <v>0</v>
      </c>
      <c r="Q25" s="660" t="s">
        <v>573</v>
      </c>
      <c r="R25" s="678">
        <f>+'PNE - TEC'!DH36</f>
        <v>0</v>
      </c>
      <c r="S25" s="678">
        <f>+'PNE - TEC'!DL36</f>
        <v>5.78</v>
      </c>
      <c r="T25" s="678">
        <f>+'PNE - TEC'!DP36</f>
        <v>0</v>
      </c>
      <c r="U25" s="678">
        <f>+'PNE - TEC'!DT36</f>
        <v>0</v>
      </c>
      <c r="V25" s="678">
        <f>+'PNE - TEC'!DX36</f>
        <v>0</v>
      </c>
      <c r="W25" s="546">
        <v>5.78</v>
      </c>
    </row>
    <row r="26" spans="1:26" ht="12.75" customHeight="1">
      <c r="A26" s="2004"/>
      <c r="C26" s="645"/>
      <c r="D26" s="670">
        <f>F26+G26+H26</f>
        <v>100</v>
      </c>
      <c r="E26" s="663">
        <f>+E25/D25*100</f>
        <v>0</v>
      </c>
      <c r="F26" s="663">
        <f>+F25/D25*100</f>
        <v>0</v>
      </c>
      <c r="G26" s="663">
        <f>+G25/D25*100</f>
        <v>29.059208136578281</v>
      </c>
      <c r="H26" s="663">
        <f>H25/D25*100</f>
        <v>70.940791863421722</v>
      </c>
      <c r="I26" s="663">
        <f>+I25/D25*100</f>
        <v>0</v>
      </c>
      <c r="J26" s="664"/>
      <c r="K26" s="670">
        <f>M26+N26+O26</f>
        <v>100</v>
      </c>
      <c r="L26" s="663"/>
      <c r="M26" s="663">
        <v>100</v>
      </c>
      <c r="N26" s="663"/>
      <c r="O26" s="663"/>
      <c r="P26" s="663"/>
      <c r="Q26" s="660" t="s">
        <v>39</v>
      </c>
      <c r="R26" s="829"/>
      <c r="S26" s="829">
        <v>1</v>
      </c>
      <c r="T26" s="829"/>
      <c r="U26" s="829"/>
      <c r="V26" s="829"/>
    </row>
    <row r="27" spans="1:26">
      <c r="A27" s="2004"/>
      <c r="C27" s="645"/>
      <c r="I27" s="546" t="s">
        <v>54</v>
      </c>
      <c r="P27" s="546" t="s">
        <v>54</v>
      </c>
    </row>
    <row r="28" spans="1:26">
      <c r="A28" s="2005"/>
      <c r="B28" s="666"/>
      <c r="C28" s="671"/>
    </row>
    <row r="29" spans="1:26" ht="12.75" customHeight="1">
      <c r="A29" s="2000" t="s">
        <v>539</v>
      </c>
      <c r="B29" s="668"/>
      <c r="C29" s="669"/>
      <c r="D29" s="1998" t="s">
        <v>658</v>
      </c>
      <c r="E29" s="1998"/>
      <c r="F29" s="1998"/>
      <c r="G29" s="1998"/>
      <c r="H29" s="1998"/>
      <c r="I29" s="1998"/>
      <c r="J29" s="646"/>
      <c r="K29" s="1999" t="str">
        <f>+K15</f>
        <v>JULIO A SEPTIEMBRE 2020</v>
      </c>
      <c r="L29" s="1999"/>
      <c r="M29" s="1999"/>
      <c r="N29" s="1999"/>
      <c r="O29" s="1999"/>
      <c r="P29" s="672"/>
    </row>
    <row r="30" spans="1:26">
      <c r="A30" s="1995"/>
      <c r="C30" s="645"/>
      <c r="D30" s="649"/>
      <c r="E30" s="650" t="s">
        <v>368</v>
      </c>
      <c r="F30" s="650" t="s">
        <v>96</v>
      </c>
      <c r="G30" s="650" t="s">
        <v>97</v>
      </c>
      <c r="H30" s="650" t="s">
        <v>98</v>
      </c>
      <c r="I30" s="650" t="s">
        <v>369</v>
      </c>
      <c r="J30" s="650"/>
      <c r="K30" s="649"/>
      <c r="L30" s="650" t="s">
        <v>368</v>
      </c>
      <c r="M30" s="650" t="s">
        <v>96</v>
      </c>
      <c r="N30" s="650" t="s">
        <v>97</v>
      </c>
      <c r="O30" s="650" t="s">
        <v>98</v>
      </c>
      <c r="P30" s="650" t="s">
        <v>369</v>
      </c>
      <c r="Q30" s="648"/>
      <c r="R30" s="1999" t="str">
        <f>$R$15</f>
        <v>OCTUBRE - DICIEMBRE DEL 2020</v>
      </c>
      <c r="S30" s="1999"/>
      <c r="T30" s="1999"/>
      <c r="U30" s="1999"/>
      <c r="V30" s="1999"/>
    </row>
    <row r="31" spans="1:26">
      <c r="A31" s="1995"/>
      <c r="C31" s="645" t="s">
        <v>54</v>
      </c>
      <c r="D31" s="651"/>
      <c r="E31" s="651"/>
      <c r="F31" s="649"/>
      <c r="G31" s="649"/>
      <c r="H31" s="649"/>
      <c r="I31" s="651"/>
      <c r="J31" s="649"/>
      <c r="K31" s="651"/>
      <c r="L31" s="651"/>
      <c r="M31" s="649"/>
      <c r="N31" s="649"/>
      <c r="O31" s="649"/>
      <c r="P31" s="651"/>
      <c r="Q31" s="648"/>
      <c r="R31" s="1999" t="str">
        <f>$R$22</f>
        <v>OCTUBRE - DICIEMBRE DEL 2020</v>
      </c>
      <c r="S31" s="1999"/>
      <c r="T31" s="1999"/>
      <c r="U31" s="1999"/>
      <c r="V31" s="1999"/>
    </row>
    <row r="32" spans="1:26" ht="11.25" customHeight="1">
      <c r="A32" s="1995"/>
      <c r="C32" s="645" t="s">
        <v>54</v>
      </c>
      <c r="D32" s="657">
        <f>F32+G32+H32</f>
        <v>4.1239999999999997</v>
      </c>
      <c r="E32" s="658">
        <v>0</v>
      </c>
      <c r="F32" s="658">
        <v>0</v>
      </c>
      <c r="G32" s="658">
        <v>0</v>
      </c>
      <c r="H32" s="673">
        <v>4.1239999999999997</v>
      </c>
      <c r="I32" s="658">
        <v>0</v>
      </c>
      <c r="J32" s="673"/>
      <c r="K32" s="657">
        <f>M32+N32+O32</f>
        <v>6.1840000000000002</v>
      </c>
      <c r="L32" s="648">
        <v>0</v>
      </c>
      <c r="M32" s="648">
        <v>1</v>
      </c>
      <c r="N32" s="648">
        <v>3.06</v>
      </c>
      <c r="O32" s="648">
        <v>2.1239999999999997</v>
      </c>
      <c r="P32" s="648">
        <v>0</v>
      </c>
      <c r="Q32" s="648">
        <f>SUM(R33:V33)</f>
        <v>4.0600000000000005</v>
      </c>
      <c r="R32" s="652" t="s">
        <v>368</v>
      </c>
      <c r="S32" s="653" t="s">
        <v>96</v>
      </c>
      <c r="T32" s="654" t="s">
        <v>97</v>
      </c>
      <c r="U32" s="655" t="s">
        <v>98</v>
      </c>
      <c r="V32" s="656" t="s">
        <v>369</v>
      </c>
    </row>
    <row r="33" spans="1:23" ht="12.75" customHeight="1">
      <c r="A33" s="1995"/>
      <c r="C33" s="645"/>
      <c r="D33" s="662">
        <f>SUM(F33:G33)</f>
        <v>0</v>
      </c>
      <c r="E33" s="663">
        <f>+E32/D32*100</f>
        <v>0</v>
      </c>
      <c r="F33" s="663">
        <f>+F32/D32*100</f>
        <v>0</v>
      </c>
      <c r="G33" s="663">
        <f>+G32/D32*100</f>
        <v>0</v>
      </c>
      <c r="H33" s="662">
        <f>H32/D32*100</f>
        <v>100</v>
      </c>
      <c r="I33" s="663">
        <f>+I32/D32*100</f>
        <v>0</v>
      </c>
      <c r="J33" s="664"/>
      <c r="K33" s="662">
        <f>SUM(M33:N33)</f>
        <v>100</v>
      </c>
      <c r="L33" s="663"/>
      <c r="M33" s="663">
        <v>25</v>
      </c>
      <c r="N33" s="663">
        <v>75</v>
      </c>
      <c r="O33" s="662"/>
      <c r="P33" s="663"/>
      <c r="Q33" s="660" t="s">
        <v>573</v>
      </c>
      <c r="R33" s="678">
        <f>+'PNG-TEC'!CD36</f>
        <v>0</v>
      </c>
      <c r="S33" s="678">
        <f>+'PNG-TEC'!CH36</f>
        <v>3.06</v>
      </c>
      <c r="T33" s="678">
        <f>+'PNG-TEC'!CL36</f>
        <v>1</v>
      </c>
      <c r="U33" s="678">
        <f>+'PNG-TEC'!CP36</f>
        <v>0</v>
      </c>
      <c r="V33" s="678">
        <f>+'PNE - TEC'!DX36</f>
        <v>0</v>
      </c>
      <c r="W33" s="546">
        <v>4.0599999999999996</v>
      </c>
    </row>
    <row r="34" spans="1:23">
      <c r="A34" s="1995"/>
      <c r="C34" s="645"/>
      <c r="Q34" s="660" t="s">
        <v>39</v>
      </c>
      <c r="R34" s="665"/>
      <c r="S34" s="665">
        <f>S33/$W$33</f>
        <v>0.75369458128078826</v>
      </c>
      <c r="T34" s="665">
        <f>T33/$W$33</f>
        <v>0.24630541871921185</v>
      </c>
      <c r="U34" s="665"/>
      <c r="V34" s="665"/>
    </row>
    <row r="35" spans="1:23">
      <c r="A35" s="2001"/>
      <c r="B35" s="666"/>
      <c r="C35" s="671"/>
    </row>
    <row r="36" spans="1:23" ht="12.75" customHeight="1">
      <c r="A36" s="2000" t="s">
        <v>659</v>
      </c>
      <c r="C36" s="645"/>
      <c r="D36" s="1998" t="s">
        <v>658</v>
      </c>
      <c r="E36" s="1998"/>
      <c r="F36" s="1998"/>
      <c r="G36" s="1998"/>
      <c r="H36" s="1998"/>
      <c r="I36" s="1998"/>
      <c r="J36" s="646"/>
      <c r="K36" s="1999" t="str">
        <f>+K15</f>
        <v>JULIO A SEPTIEMBRE 2020</v>
      </c>
      <c r="L36" s="1999"/>
      <c r="M36" s="1999"/>
      <c r="N36" s="1999"/>
      <c r="O36" s="1999"/>
      <c r="P36" s="672"/>
    </row>
    <row r="37" spans="1:23">
      <c r="A37" s="1995"/>
      <c r="C37" s="645"/>
      <c r="D37" s="649"/>
      <c r="E37" s="650" t="s">
        <v>368</v>
      </c>
      <c r="F37" s="650" t="s">
        <v>96</v>
      </c>
      <c r="G37" s="650" t="s">
        <v>97</v>
      </c>
      <c r="H37" s="650" t="s">
        <v>98</v>
      </c>
      <c r="I37" s="650" t="s">
        <v>369</v>
      </c>
      <c r="J37" s="650"/>
      <c r="K37" s="649"/>
      <c r="L37" s="650" t="s">
        <v>368</v>
      </c>
      <c r="M37" s="650" t="s">
        <v>96</v>
      </c>
      <c r="N37" s="650" t="s">
        <v>97</v>
      </c>
      <c r="O37" s="650" t="s">
        <v>98</v>
      </c>
      <c r="P37" s="650" t="s">
        <v>369</v>
      </c>
      <c r="Q37" s="648"/>
      <c r="R37" s="1999" t="str">
        <f>R30</f>
        <v>OCTUBRE - DICIEMBRE DEL 2020</v>
      </c>
      <c r="S37" s="1999"/>
      <c r="T37" s="1999"/>
      <c r="U37" s="1999"/>
      <c r="V37" s="1999"/>
    </row>
    <row r="38" spans="1:23">
      <c r="A38" s="1995"/>
      <c r="C38" s="645"/>
      <c r="D38" s="651"/>
      <c r="E38" s="651"/>
      <c r="F38" s="649"/>
      <c r="G38" s="649"/>
      <c r="H38" s="649"/>
      <c r="I38" s="651"/>
      <c r="J38" s="649"/>
      <c r="K38" s="651"/>
      <c r="L38" s="651"/>
      <c r="M38" s="649"/>
      <c r="N38" s="649"/>
      <c r="O38" s="649"/>
      <c r="P38" s="651"/>
      <c r="Q38" s="648">
        <f>SUM(R39:V39)</f>
        <v>35.769999999999996</v>
      </c>
      <c r="R38" s="652" t="s">
        <v>368</v>
      </c>
      <c r="S38" s="653" t="s">
        <v>96</v>
      </c>
      <c r="T38" s="654" t="s">
        <v>97</v>
      </c>
      <c r="U38" s="655" t="s">
        <v>98</v>
      </c>
      <c r="V38" s="656" t="s">
        <v>369</v>
      </c>
    </row>
    <row r="39" spans="1:23">
      <c r="A39" s="1995"/>
      <c r="C39" s="645" t="s">
        <v>54</v>
      </c>
      <c r="D39" s="657">
        <f>SUM(F39:H39)</f>
        <v>34.806000000000004</v>
      </c>
      <c r="E39" s="657">
        <v>0</v>
      </c>
      <c r="F39" s="657">
        <v>0</v>
      </c>
      <c r="G39" s="657">
        <v>2.7490000000000001</v>
      </c>
      <c r="H39" s="659">
        <v>32.057000000000002</v>
      </c>
      <c r="I39" s="657">
        <v>0</v>
      </c>
      <c r="J39" s="657"/>
      <c r="K39" s="657">
        <f>M39+N39+O39+L39+P39</f>
        <v>35.769999999999996</v>
      </c>
      <c r="L39" s="648">
        <v>25.11</v>
      </c>
      <c r="M39" s="648">
        <v>6.67</v>
      </c>
      <c r="N39" s="648">
        <v>0</v>
      </c>
      <c r="O39" s="648">
        <v>3.99</v>
      </c>
      <c r="P39" s="648">
        <v>0</v>
      </c>
      <c r="Q39" s="660" t="s">
        <v>573</v>
      </c>
      <c r="R39" s="678">
        <f>'[7]Estado Resumen'!$C$54</f>
        <v>25.105999999999998</v>
      </c>
      <c r="S39" s="678">
        <f>'[7]Estado Resumen'!$E$54</f>
        <v>6.6720000000000006</v>
      </c>
      <c r="T39" s="678">
        <f>'[7]Estado Resumen'!$T$54</f>
        <v>0</v>
      </c>
      <c r="U39" s="678">
        <f>'[7]Estado Resumen'!$I$54</f>
        <v>3.992</v>
      </c>
      <c r="V39" s="678">
        <f>'[7]Estado Resumen'!$K$54</f>
        <v>0</v>
      </c>
      <c r="W39" s="546">
        <v>35.770000000000003</v>
      </c>
    </row>
    <row r="40" spans="1:23" ht="12.75" customHeight="1">
      <c r="A40" s="1995"/>
      <c r="C40" s="645" t="s">
        <v>54</v>
      </c>
      <c r="D40" s="662">
        <f>F40+G40+H40</f>
        <v>99.999999999999986</v>
      </c>
      <c r="E40" s="649">
        <f>+E39/D39*100</f>
        <v>0</v>
      </c>
      <c r="F40" s="649">
        <f>+F39/D39*100</f>
        <v>0</v>
      </c>
      <c r="G40" s="663">
        <f>+G39/D39*100</f>
        <v>7.8980635522611031</v>
      </c>
      <c r="H40" s="662">
        <f>+H39/D39*100</f>
        <v>92.101936447738879</v>
      </c>
      <c r="I40" s="649">
        <f>+I39/D39*100</f>
        <v>0</v>
      </c>
      <c r="J40" s="662"/>
      <c r="K40" s="662">
        <f>SUM(M40:N40)</f>
        <v>0.19</v>
      </c>
      <c r="L40" s="674">
        <v>0.7</v>
      </c>
      <c r="M40" s="674">
        <v>0.19</v>
      </c>
      <c r="N40" s="674">
        <v>0</v>
      </c>
      <c r="O40" s="674">
        <v>0.11</v>
      </c>
      <c r="P40" s="649"/>
      <c r="Q40" s="660" t="s">
        <v>39</v>
      </c>
      <c r="R40" s="665">
        <f>R39/$W$39</f>
        <v>0.70187307799832255</v>
      </c>
      <c r="S40" s="665">
        <f>S39/$W$39</f>
        <v>0.18652502096729104</v>
      </c>
      <c r="T40" s="665"/>
      <c r="U40" s="665">
        <f>U39/$W$39</f>
        <v>0.11160190103438634</v>
      </c>
      <c r="V40" s="665"/>
    </row>
    <row r="41" spans="1:23">
      <c r="A41" s="1995"/>
      <c r="C41" s="645"/>
    </row>
    <row r="42" spans="1:23" ht="13.5" thickBot="1">
      <c r="A42" s="1995"/>
      <c r="C42" s="645"/>
    </row>
    <row r="43" spans="1:23" ht="12.75" customHeight="1">
      <c r="A43" s="1994" t="s">
        <v>660</v>
      </c>
      <c r="B43" s="675"/>
      <c r="C43" s="676"/>
      <c r="D43" s="1997" t="s">
        <v>658</v>
      </c>
      <c r="E43" s="1998"/>
      <c r="F43" s="1998"/>
      <c r="G43" s="1998"/>
      <c r="H43" s="1998"/>
      <c r="I43" s="1998"/>
      <c r="J43" s="646"/>
      <c r="K43" s="1999" t="str">
        <f>+K15</f>
        <v>JULIO A SEPTIEMBRE 2020</v>
      </c>
      <c r="L43" s="1999"/>
      <c r="M43" s="1999"/>
      <c r="N43" s="1999"/>
      <c r="O43" s="1999"/>
      <c r="P43" s="969"/>
    </row>
    <row r="44" spans="1:23">
      <c r="A44" s="1995"/>
      <c r="C44" s="645"/>
      <c r="D44" s="649"/>
      <c r="E44" s="650" t="s">
        <v>368</v>
      </c>
      <c r="F44" s="650" t="s">
        <v>96</v>
      </c>
      <c r="G44" s="650" t="s">
        <v>97</v>
      </c>
      <c r="H44" s="650" t="s">
        <v>98</v>
      </c>
      <c r="I44" s="650" t="s">
        <v>369</v>
      </c>
      <c r="J44" s="650"/>
      <c r="K44" s="649"/>
      <c r="L44" s="650" t="s">
        <v>368</v>
      </c>
      <c r="M44" s="650" t="s">
        <v>96</v>
      </c>
      <c r="N44" s="650" t="s">
        <v>97</v>
      </c>
      <c r="O44" s="650" t="s">
        <v>98</v>
      </c>
      <c r="P44" s="650" t="s">
        <v>369</v>
      </c>
      <c r="Q44" s="648"/>
      <c r="R44" s="1999" t="str">
        <f>R37</f>
        <v>OCTUBRE - DICIEMBRE DEL 2020</v>
      </c>
      <c r="S44" s="1999"/>
      <c r="T44" s="1999"/>
      <c r="U44" s="1999"/>
      <c r="V44" s="1999"/>
    </row>
    <row r="45" spans="1:23" ht="12.75" customHeight="1">
      <c r="A45" s="1995"/>
      <c r="C45" s="677" t="s">
        <v>54</v>
      </c>
      <c r="D45" s="651"/>
      <c r="E45" s="651"/>
      <c r="F45" s="649"/>
      <c r="G45" s="649"/>
      <c r="H45" s="649"/>
      <c r="I45" s="651"/>
      <c r="J45" s="649"/>
      <c r="K45" s="651"/>
      <c r="L45" s="651"/>
      <c r="M45" s="649"/>
      <c r="N45" s="649"/>
      <c r="O45" s="649"/>
      <c r="P45" s="651"/>
      <c r="Q45" s="678">
        <f>SUM(R46:V46)</f>
        <v>44.769999999999996</v>
      </c>
      <c r="R45" s="652" t="s">
        <v>368</v>
      </c>
      <c r="S45" s="653" t="s">
        <v>96</v>
      </c>
      <c r="T45" s="654" t="s">
        <v>97</v>
      </c>
      <c r="U45" s="655" t="s">
        <v>98</v>
      </c>
      <c r="V45" s="656" t="s">
        <v>369</v>
      </c>
    </row>
    <row r="46" spans="1:23">
      <c r="A46" s="1995"/>
      <c r="C46" s="677" t="s">
        <v>54</v>
      </c>
      <c r="D46" s="657">
        <f>SUM(F46:H46)</f>
        <v>43.903999999999996</v>
      </c>
      <c r="E46" s="657">
        <v>0</v>
      </c>
      <c r="F46" s="657">
        <v>20.437999999999999</v>
      </c>
      <c r="G46" s="657">
        <v>4.4480000000000004</v>
      </c>
      <c r="H46" s="657">
        <v>19.018000000000001</v>
      </c>
      <c r="I46" s="657">
        <v>0</v>
      </c>
      <c r="J46" s="657"/>
      <c r="K46" s="657">
        <f>M46+N46+O46+L46</f>
        <v>44.769999999999996</v>
      </c>
      <c r="L46" s="679">
        <v>14.3</v>
      </c>
      <c r="M46" s="679">
        <v>21.79</v>
      </c>
      <c r="N46" s="679">
        <v>5.81</v>
      </c>
      <c r="O46" s="679">
        <v>2.87</v>
      </c>
      <c r="P46" s="679">
        <v>0</v>
      </c>
      <c r="Q46" s="680" t="s">
        <v>573</v>
      </c>
      <c r="R46" s="679">
        <f>'[6]Estado Resumen'!$C$64</f>
        <v>14.302</v>
      </c>
      <c r="S46" s="679">
        <f>'[6]Estado Resumen'!$E$64</f>
        <v>21.784999999999997</v>
      </c>
      <c r="T46" s="679">
        <f>'[6]Estado Resumen'!$G$64</f>
        <v>5.8109999999999999</v>
      </c>
      <c r="U46" s="679">
        <f>'[6]Estado Resumen'!$I$64</f>
        <v>2.8719999999999999</v>
      </c>
      <c r="V46" s="679">
        <f>+'3602 - TEC'!DI39</f>
        <v>0</v>
      </c>
      <c r="W46" s="546">
        <v>44.77</v>
      </c>
    </row>
    <row r="47" spans="1:23">
      <c r="A47" s="1995"/>
      <c r="C47" s="677" t="s">
        <v>54</v>
      </c>
      <c r="D47" s="681">
        <f>F47+G47+H47</f>
        <v>100.00000000000001</v>
      </c>
      <c r="E47" s="649">
        <f>+E46/D46*100</f>
        <v>0</v>
      </c>
      <c r="F47" s="662">
        <f>+F46/D46*100</f>
        <v>46.551567055393591</v>
      </c>
      <c r="G47" s="663">
        <f>+G46/D46*100</f>
        <v>10.131195335276971</v>
      </c>
      <c r="H47" s="664">
        <f>+H46/D46*100</f>
        <v>43.317237609329453</v>
      </c>
      <c r="I47" s="649">
        <f>+I46/D46*100</f>
        <v>0</v>
      </c>
      <c r="J47" s="664"/>
      <c r="K47" s="681">
        <f>SUM(M47:N47)</f>
        <v>0.62</v>
      </c>
      <c r="L47" s="674">
        <v>0.32</v>
      </c>
      <c r="M47" s="674">
        <v>0.49</v>
      </c>
      <c r="N47" s="674">
        <v>0.13</v>
      </c>
      <c r="O47" s="674">
        <v>0.06</v>
      </c>
      <c r="P47" s="674"/>
      <c r="Q47" s="660" t="s">
        <v>39</v>
      </c>
      <c r="R47" s="665">
        <f>R46/$W$46</f>
        <v>0.31945499218226486</v>
      </c>
      <c r="S47" s="665">
        <f>S46/$W$46</f>
        <v>0.48659816841635012</v>
      </c>
      <c r="T47" s="665">
        <f>T46/$W$46</f>
        <v>0.12979673888764798</v>
      </c>
      <c r="U47" s="665">
        <f>U46/$W$46</f>
        <v>6.4150100513736874E-2</v>
      </c>
      <c r="V47" s="665"/>
    </row>
    <row r="48" spans="1:23">
      <c r="A48" s="1995"/>
      <c r="C48" s="645"/>
    </row>
    <row r="49" spans="1:16" ht="13.5" thickBot="1">
      <c r="A49" s="1996"/>
      <c r="B49" s="682"/>
      <c r="C49" s="683"/>
      <c r="N49" s="684"/>
    </row>
    <row r="50" spans="1:16">
      <c r="A50" s="685"/>
      <c r="B50" s="546"/>
      <c r="C50" s="685"/>
    </row>
    <row r="51" spans="1:16" ht="12" customHeight="1">
      <c r="A51" s="686" t="s">
        <v>84</v>
      </c>
      <c r="B51" s="546"/>
    </row>
    <row r="52" spans="1:16" ht="12" customHeight="1">
      <c r="A52" s="687" t="s">
        <v>370</v>
      </c>
      <c r="B52" s="688"/>
      <c r="L52" s="546">
        <v>20</v>
      </c>
      <c r="M52" s="546">
        <v>20</v>
      </c>
      <c r="N52" s="546">
        <v>20</v>
      </c>
      <c r="O52" s="546">
        <v>20</v>
      </c>
      <c r="P52" s="546">
        <v>10</v>
      </c>
    </row>
    <row r="53" spans="1:16">
      <c r="A53" s="689" t="s">
        <v>85</v>
      </c>
      <c r="B53" s="688"/>
    </row>
    <row r="54" spans="1:16">
      <c r="A54" s="689" t="s">
        <v>86</v>
      </c>
      <c r="B54" s="688"/>
    </row>
    <row r="55" spans="1:16">
      <c r="A55" s="689" t="s">
        <v>87</v>
      </c>
      <c r="B55" s="688"/>
    </row>
    <row r="56" spans="1:16">
      <c r="A56" s="689" t="s">
        <v>371</v>
      </c>
      <c r="B56" s="688"/>
    </row>
    <row r="57" spans="1:16">
      <c r="B57" s="546"/>
    </row>
    <row r="58" spans="1:16" ht="13.5" thickBot="1">
      <c r="A58" s="874">
        <v>4</v>
      </c>
    </row>
    <row r="59" spans="1:16">
      <c r="C59" s="390" t="s">
        <v>440</v>
      </c>
    </row>
  </sheetData>
  <mergeCells count="30">
    <mergeCell ref="A1:C1"/>
    <mergeCell ref="A2:C2"/>
    <mergeCell ref="A4:C4"/>
    <mergeCell ref="A6:C6"/>
    <mergeCell ref="A12:A14"/>
    <mergeCell ref="B12:B14"/>
    <mergeCell ref="C12:C14"/>
    <mergeCell ref="A22:A28"/>
    <mergeCell ref="D22:I22"/>
    <mergeCell ref="K22:O22"/>
    <mergeCell ref="R22:V22"/>
    <mergeCell ref="R23:V23"/>
    <mergeCell ref="A15:A21"/>
    <mergeCell ref="D15:I15"/>
    <mergeCell ref="K15:O15"/>
    <mergeCell ref="R15:V15"/>
    <mergeCell ref="R16:V16"/>
    <mergeCell ref="A43:A49"/>
    <mergeCell ref="D43:I43"/>
    <mergeCell ref="R44:V44"/>
    <mergeCell ref="A29:A35"/>
    <mergeCell ref="D29:I29"/>
    <mergeCell ref="K29:O29"/>
    <mergeCell ref="R30:V30"/>
    <mergeCell ref="R31:V31"/>
    <mergeCell ref="A36:A42"/>
    <mergeCell ref="D36:I36"/>
    <mergeCell ref="K36:O36"/>
    <mergeCell ref="R37:V37"/>
    <mergeCell ref="K43:O43"/>
  </mergeCells>
  <hyperlinks>
    <hyperlink ref="C59" location="'TABLA DE CONTENIDO'!A1" display="VOLVER A TABLA DE CONTENIDO"/>
  </hyperlinks>
  <printOptions horizontalCentered="1"/>
  <pageMargins left="0.39370078740157483" right="0.39370078740157483" top="0.39370078740157483" bottom="0.39370078740157483" header="0.31496062992125984" footer="0.47244094488188981"/>
  <pageSetup scale="90" orientation="portrait" r:id="rId1"/>
  <headerFooter alignWithMargins="0"/>
  <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H163"/>
  <sheetViews>
    <sheetView view="pageBreakPreview" zoomScale="120" zoomScaleNormal="100" zoomScaleSheetLayoutView="120" workbookViewId="0">
      <selection activeCell="E99" sqref="E99"/>
    </sheetView>
  </sheetViews>
  <sheetFormatPr baseColWidth="10" defaultRowHeight="12.75"/>
  <cols>
    <col min="1" max="1" width="11.42578125" customWidth="1"/>
    <col min="2" max="2" width="12.28515625" customWidth="1"/>
    <col min="3" max="3" width="13.7109375" customWidth="1"/>
    <col min="4" max="7" width="11.42578125" customWidth="1"/>
    <col min="8" max="8" width="11.5703125" customWidth="1"/>
    <col min="9" max="10" width="3.85546875" customWidth="1"/>
  </cols>
  <sheetData>
    <row r="1" spans="1:8" ht="23.25">
      <c r="A1" s="1577" t="s">
        <v>0</v>
      </c>
      <c r="B1" s="1577"/>
      <c r="C1" s="1577"/>
      <c r="D1" s="1577"/>
      <c r="E1" s="1577"/>
      <c r="F1" s="1577"/>
      <c r="G1" s="1577"/>
      <c r="H1" s="1577"/>
    </row>
    <row r="2" spans="1:8" ht="18">
      <c r="A2" s="1576" t="s">
        <v>531</v>
      </c>
      <c r="B2" s="1576"/>
      <c r="C2" s="1576"/>
      <c r="D2" s="1576"/>
      <c r="E2" s="1576"/>
      <c r="F2" s="1576"/>
      <c r="G2" s="1576"/>
      <c r="H2" s="1576"/>
    </row>
    <row r="6" spans="1:8" ht="18">
      <c r="A6" s="1576" t="s">
        <v>152</v>
      </c>
      <c r="B6" s="1576"/>
      <c r="C6" s="1576"/>
      <c r="D6" s="1576"/>
      <c r="E6" s="1576"/>
      <c r="F6" s="1576"/>
      <c r="G6" s="1576"/>
      <c r="H6" s="1576"/>
    </row>
    <row r="7" spans="1:8" ht="18">
      <c r="A7" s="1576" t="s">
        <v>387</v>
      </c>
      <c r="B7" s="1576"/>
      <c r="C7" s="1576"/>
      <c r="D7" s="1576"/>
      <c r="E7" s="1576"/>
      <c r="F7" s="1576"/>
      <c r="G7" s="1576"/>
      <c r="H7" s="1576"/>
    </row>
    <row r="9" spans="1:8" ht="12.95" customHeight="1">
      <c r="A9" s="2032" t="s">
        <v>1367</v>
      </c>
      <c r="B9" s="2033"/>
      <c r="C9" s="2033"/>
      <c r="D9" s="2033"/>
      <c r="E9" s="2033"/>
      <c r="F9" s="2033"/>
      <c r="G9" s="2033"/>
      <c r="H9" s="2034"/>
    </row>
    <row r="10" spans="1:8" ht="12.95" customHeight="1">
      <c r="A10" s="10"/>
      <c r="H10" s="7"/>
    </row>
    <row r="11" spans="1:8" s="1451" customFormat="1" ht="12.95" customHeight="1">
      <c r="A11" s="10"/>
      <c r="H11" s="7"/>
    </row>
    <row r="12" spans="1:8" ht="12.95" customHeight="1">
      <c r="A12" s="10"/>
      <c r="H12" s="7"/>
    </row>
    <row r="13" spans="1:8" ht="12.95" customHeight="1">
      <c r="A13" s="10"/>
      <c r="H13" s="7"/>
    </row>
    <row r="14" spans="1:8" ht="12.95" customHeight="1">
      <c r="A14" s="10"/>
      <c r="H14" s="7"/>
    </row>
    <row r="15" spans="1:8" ht="12.95" customHeight="1">
      <c r="A15" s="2031"/>
      <c r="B15" s="2029"/>
      <c r="C15" s="2029"/>
      <c r="D15" s="2029"/>
      <c r="E15" s="2029"/>
      <c r="F15" s="2029"/>
      <c r="G15" s="2029"/>
      <c r="H15" s="2030"/>
    </row>
    <row r="16" spans="1:8" ht="12.95" customHeight="1">
      <c r="A16" s="2028"/>
      <c r="B16" s="2029"/>
      <c r="C16" s="2029"/>
      <c r="D16" s="2029"/>
      <c r="E16" s="2029"/>
      <c r="F16" s="2029"/>
      <c r="G16" s="2029"/>
      <c r="H16" s="2030"/>
    </row>
    <row r="17" spans="1:8" ht="12.95" customHeight="1">
      <c r="A17" s="10"/>
      <c r="B17" s="48"/>
      <c r="D17" s="48"/>
      <c r="E17" s="48"/>
      <c r="F17" s="48"/>
      <c r="G17" s="48"/>
      <c r="H17" s="251"/>
    </row>
    <row r="18" spans="1:8" ht="12.95" customHeight="1">
      <c r="A18" s="10"/>
      <c r="H18" s="7"/>
    </row>
    <row r="19" spans="1:8" ht="12.95" customHeight="1">
      <c r="A19" s="10"/>
      <c r="H19" s="7"/>
    </row>
    <row r="20" spans="1:8" ht="12.95" customHeight="1">
      <c r="A20" s="10"/>
      <c r="H20" s="7"/>
    </row>
    <row r="21" spans="1:8" ht="12.95" customHeight="1">
      <c r="A21" s="10"/>
      <c r="H21" s="7"/>
    </row>
    <row r="22" spans="1:8" ht="12.95" customHeight="1">
      <c r="A22" s="10"/>
      <c r="B22" s="1"/>
      <c r="C22" s="1"/>
      <c r="D22" s="1"/>
      <c r="E22" s="1"/>
      <c r="F22" s="1"/>
      <c r="G22" s="1"/>
      <c r="H22" s="252"/>
    </row>
    <row r="23" spans="1:8" ht="12.95" customHeight="1">
      <c r="A23" s="10"/>
      <c r="B23" s="1"/>
      <c r="C23" s="48"/>
      <c r="D23" s="1"/>
      <c r="E23" s="1"/>
      <c r="F23" s="1"/>
      <c r="G23" s="1"/>
      <c r="H23" s="252"/>
    </row>
    <row r="24" spans="1:8" ht="12.95" customHeight="1">
      <c r="A24" s="10"/>
      <c r="C24" s="48"/>
      <c r="H24" s="7"/>
    </row>
    <row r="25" spans="1:8" ht="12.95" customHeight="1">
      <c r="A25" s="10"/>
      <c r="H25" s="7"/>
    </row>
    <row r="26" spans="1:8" ht="12.95" customHeight="1">
      <c r="A26" s="10"/>
      <c r="H26" s="7"/>
    </row>
    <row r="27" spans="1:8" ht="12.95" customHeight="1">
      <c r="A27" s="10"/>
      <c r="H27" s="7"/>
    </row>
    <row r="28" spans="1:8" ht="12.95" customHeight="1">
      <c r="A28" s="10"/>
      <c r="H28" s="7"/>
    </row>
    <row r="29" spans="1:8" ht="12.95" customHeight="1">
      <c r="A29" s="10"/>
      <c r="H29" s="7"/>
    </row>
    <row r="30" spans="1:8" ht="12.95" customHeight="1">
      <c r="A30" s="10"/>
      <c r="H30" s="7"/>
    </row>
    <row r="31" spans="1:8" ht="12.95" customHeight="1">
      <c r="A31" s="10"/>
      <c r="H31" s="7"/>
    </row>
    <row r="32" spans="1:8" ht="12.95" customHeight="1">
      <c r="A32" s="10"/>
      <c r="H32" s="7"/>
    </row>
    <row r="33" spans="1:8" ht="12.95" customHeight="1">
      <c r="A33" s="10"/>
      <c r="H33" s="7"/>
    </row>
    <row r="34" spans="1:8" ht="12.95" customHeight="1">
      <c r="A34" s="10"/>
      <c r="H34" s="7"/>
    </row>
    <row r="35" spans="1:8" ht="12.95" customHeight="1">
      <c r="A35" s="10"/>
      <c r="H35" s="7"/>
    </row>
    <row r="36" spans="1:8" ht="12.95" customHeight="1">
      <c r="A36" s="10"/>
      <c r="H36" s="7"/>
    </row>
    <row r="37" spans="1:8" ht="12.95" customHeight="1">
      <c r="A37" s="10"/>
      <c r="H37" s="7"/>
    </row>
    <row r="38" spans="1:8" ht="12.95" customHeight="1">
      <c r="A38" s="10"/>
      <c r="H38" s="7"/>
    </row>
    <row r="39" spans="1:8" ht="12.95" customHeight="1">
      <c r="A39" s="10"/>
      <c r="H39" s="7"/>
    </row>
    <row r="40" spans="1:8" ht="12.95" customHeight="1">
      <c r="A40" s="10"/>
      <c r="H40" s="7"/>
    </row>
    <row r="41" spans="1:8" ht="12.95" customHeight="1">
      <c r="A41" s="10"/>
      <c r="H41" s="7"/>
    </row>
    <row r="42" spans="1:8" ht="12.95" customHeight="1">
      <c r="A42" s="10"/>
      <c r="H42" s="7"/>
    </row>
    <row r="43" spans="1:8" ht="12.95" customHeight="1">
      <c r="A43" s="10"/>
      <c r="H43" s="7"/>
    </row>
    <row r="44" spans="1:8" ht="12.95" customHeight="1">
      <c r="A44" s="8"/>
      <c r="B44" s="3"/>
      <c r="C44" s="3"/>
      <c r="D44" s="3"/>
      <c r="E44" s="3"/>
      <c r="F44" s="3"/>
      <c r="G44" s="3"/>
      <c r="H44" s="4"/>
    </row>
    <row r="45" spans="1:8" ht="12.95" customHeight="1"/>
    <row r="46" spans="1:8">
      <c r="A46" s="2032" t="s">
        <v>1368</v>
      </c>
      <c r="B46" s="2033"/>
      <c r="C46" s="2033"/>
      <c r="D46" s="2033"/>
      <c r="E46" s="2033"/>
      <c r="F46" s="2033"/>
      <c r="G46" s="2033"/>
      <c r="H46" s="2034"/>
    </row>
    <row r="47" spans="1:8">
      <c r="A47" s="10"/>
      <c r="B47" s="1455"/>
      <c r="C47" s="1455"/>
      <c r="D47" s="1455"/>
      <c r="E47" s="1455"/>
      <c r="F47" s="1455"/>
      <c r="G47" s="1455"/>
      <c r="H47" s="7"/>
    </row>
    <row r="48" spans="1:8" s="1451" customFormat="1">
      <c r="A48" s="10"/>
      <c r="B48" s="1455"/>
      <c r="C48" s="1455"/>
      <c r="D48" s="1455"/>
      <c r="E48" s="1455"/>
      <c r="F48" s="1455"/>
      <c r="G48" s="1455"/>
      <c r="H48" s="7"/>
    </row>
    <row r="49" spans="1:8">
      <c r="A49" s="10"/>
      <c r="B49" s="1455"/>
      <c r="C49" s="1455"/>
      <c r="D49" s="1455"/>
      <c r="E49" s="1455"/>
      <c r="F49" s="1455"/>
      <c r="G49" s="1455"/>
      <c r="H49" s="7"/>
    </row>
    <row r="50" spans="1:8">
      <c r="A50" s="10"/>
      <c r="B50" s="1455"/>
      <c r="C50" s="1455"/>
      <c r="D50" s="1455"/>
      <c r="E50" s="1455"/>
      <c r="F50" s="1455"/>
      <c r="G50" s="1455"/>
      <c r="H50" s="7"/>
    </row>
    <row r="51" spans="1:8">
      <c r="A51" s="10"/>
      <c r="B51" s="1455"/>
      <c r="C51" s="1455"/>
      <c r="D51" s="1455"/>
      <c r="E51" s="1455"/>
      <c r="F51" s="1455"/>
      <c r="G51" s="1455"/>
      <c r="H51" s="7"/>
    </row>
    <row r="52" spans="1:8">
      <c r="A52" s="10"/>
      <c r="B52" s="1455"/>
      <c r="C52" s="1455"/>
      <c r="D52" s="1455"/>
      <c r="E52" s="1455"/>
      <c r="F52" s="1455"/>
      <c r="G52" s="1455"/>
      <c r="H52" s="7"/>
    </row>
    <row r="53" spans="1:8">
      <c r="A53" s="10"/>
      <c r="B53" s="1455"/>
      <c r="C53" s="1455"/>
      <c r="D53" s="1455"/>
      <c r="E53" s="1455"/>
      <c r="F53" s="1455"/>
      <c r="G53" s="1455"/>
      <c r="H53" s="7"/>
    </row>
    <row r="54" spans="1:8">
      <c r="A54" s="10"/>
      <c r="B54" s="1455"/>
      <c r="C54" s="1455"/>
      <c r="D54" s="1455"/>
      <c r="E54" s="1455"/>
      <c r="F54" s="1455"/>
      <c r="G54" s="1455"/>
      <c r="H54" s="7"/>
    </row>
    <row r="55" spans="1:8">
      <c r="A55" s="10"/>
      <c r="B55" s="1455"/>
      <c r="C55" s="1455"/>
      <c r="D55" s="1455"/>
      <c r="E55" s="1455"/>
      <c r="F55" s="1455"/>
      <c r="G55" s="1455"/>
      <c r="H55" s="7"/>
    </row>
    <row r="56" spans="1:8">
      <c r="A56" s="10"/>
      <c r="B56" s="1455"/>
      <c r="C56" s="1455"/>
      <c r="D56" s="1455"/>
      <c r="E56" s="1455"/>
      <c r="F56" s="1455"/>
      <c r="G56" s="1455"/>
      <c r="H56" s="7"/>
    </row>
    <row r="57" spans="1:8" ht="44.25" customHeight="1">
      <c r="A57" s="10"/>
      <c r="B57" s="1455"/>
      <c r="C57" s="1455"/>
      <c r="D57" s="1455"/>
      <c r="E57" s="1455"/>
      <c r="F57" s="1455"/>
      <c r="G57" s="1455"/>
      <c r="H57" s="7"/>
    </row>
    <row r="58" spans="1:8">
      <c r="A58" s="10"/>
      <c r="B58" s="1455"/>
      <c r="C58" s="1455"/>
      <c r="D58" s="1455"/>
      <c r="E58" s="1455"/>
      <c r="F58" s="1455"/>
      <c r="G58" s="1455"/>
      <c r="H58" s="7"/>
    </row>
    <row r="59" spans="1:8">
      <c r="A59" s="10"/>
      <c r="B59" s="1455"/>
      <c r="C59" s="1455"/>
      <c r="D59" s="1455"/>
      <c r="E59" s="1455"/>
      <c r="F59" s="1455"/>
      <c r="G59" s="1455"/>
      <c r="H59" s="7"/>
    </row>
    <row r="60" spans="1:8" ht="33.75" customHeight="1">
      <c r="A60" s="10"/>
      <c r="B60" s="1455"/>
      <c r="C60" s="1455"/>
      <c r="D60" s="1455"/>
      <c r="E60" s="1455"/>
      <c r="F60" s="1455"/>
      <c r="G60" s="1455"/>
      <c r="H60" s="7"/>
    </row>
    <row r="61" spans="1:8" ht="43.5" customHeight="1">
      <c r="A61" s="10"/>
      <c r="B61" s="1455"/>
      <c r="C61" s="1455"/>
      <c r="D61" s="1455"/>
      <c r="E61" s="1455"/>
      <c r="F61" s="1455"/>
      <c r="G61" s="1455"/>
      <c r="H61" s="7"/>
    </row>
    <row r="62" spans="1:8" s="962" customFormat="1" ht="43.5" customHeight="1">
      <c r="A62" s="10"/>
      <c r="B62" s="1455"/>
      <c r="C62" s="1455"/>
      <c r="D62" s="1455"/>
      <c r="E62" s="1455"/>
      <c r="F62" s="1455"/>
      <c r="G62" s="1455"/>
      <c r="H62" s="7"/>
    </row>
    <row r="63" spans="1:8" s="962" customFormat="1" ht="47.25" customHeight="1">
      <c r="A63" s="8"/>
      <c r="B63" s="3"/>
      <c r="C63" s="3"/>
      <c r="D63" s="3"/>
      <c r="E63" s="3"/>
      <c r="F63" s="3"/>
      <c r="G63" s="3"/>
      <c r="H63" s="4"/>
    </row>
    <row r="64" spans="1:8" s="1451" customFormat="1" ht="14.25" customHeight="1"/>
    <row r="65" spans="1:8" s="1451" customFormat="1">
      <c r="A65" s="2032" t="s">
        <v>1369</v>
      </c>
      <c r="B65" s="2033"/>
      <c r="C65" s="2033"/>
      <c r="D65" s="2033"/>
      <c r="E65" s="2033"/>
      <c r="F65" s="2033"/>
      <c r="G65" s="2033"/>
      <c r="H65" s="2034"/>
    </row>
    <row r="66" spans="1:8" s="1451" customFormat="1" ht="22.5" customHeight="1">
      <c r="A66" s="10"/>
      <c r="B66" s="1455"/>
      <c r="C66" s="1455"/>
      <c r="D66" s="1455"/>
      <c r="E66" s="1455"/>
      <c r="F66" s="1455"/>
      <c r="G66" s="1455"/>
      <c r="H66" s="7"/>
    </row>
    <row r="67" spans="1:8" s="1451" customFormat="1" ht="22.5" customHeight="1">
      <c r="A67" s="10"/>
      <c r="B67" s="1455"/>
      <c r="C67" s="1455"/>
      <c r="D67" s="1455"/>
      <c r="E67" s="1455"/>
      <c r="F67" s="1455"/>
      <c r="G67" s="1455"/>
      <c r="H67" s="7"/>
    </row>
    <row r="68" spans="1:8" s="1451" customFormat="1" ht="22.5" customHeight="1">
      <c r="A68" s="10"/>
      <c r="B68" s="1455"/>
      <c r="C68" s="1455"/>
      <c r="D68" s="1455"/>
      <c r="E68" s="1455"/>
      <c r="F68" s="1455"/>
      <c r="G68" s="1455"/>
      <c r="H68" s="7"/>
    </row>
    <row r="69" spans="1:8" s="1451" customFormat="1" ht="22.5" customHeight="1">
      <c r="A69" s="10"/>
      <c r="B69" s="1455"/>
      <c r="C69" s="1455"/>
      <c r="D69" s="1455"/>
      <c r="E69" s="1455"/>
      <c r="F69" s="1455"/>
      <c r="G69" s="1455"/>
      <c r="H69" s="7"/>
    </row>
    <row r="70" spans="1:8" s="1451" customFormat="1" ht="22.5" customHeight="1">
      <c r="A70" s="10"/>
      <c r="B70" s="1455"/>
      <c r="C70" s="1455"/>
      <c r="D70" s="1455"/>
      <c r="E70" s="1455"/>
      <c r="F70" s="1455"/>
      <c r="G70" s="1455"/>
      <c r="H70" s="7"/>
    </row>
    <row r="71" spans="1:8" s="1451" customFormat="1" ht="22.5" customHeight="1">
      <c r="A71" s="10"/>
      <c r="B71" s="1455"/>
      <c r="C71" s="1455"/>
      <c r="D71" s="1455"/>
      <c r="E71" s="1455"/>
      <c r="F71" s="1455"/>
      <c r="G71" s="1455"/>
      <c r="H71" s="7"/>
    </row>
    <row r="72" spans="1:8" s="1451" customFormat="1" ht="22.5" customHeight="1">
      <c r="A72" s="10"/>
      <c r="B72" s="1455"/>
      <c r="C72" s="1455"/>
      <c r="D72" s="1455"/>
      <c r="E72" s="1455"/>
      <c r="F72" s="1455"/>
      <c r="G72" s="1455"/>
      <c r="H72" s="7"/>
    </row>
    <row r="73" spans="1:8" s="1451" customFormat="1" ht="22.5" customHeight="1">
      <c r="A73" s="10"/>
      <c r="B73" s="1455"/>
      <c r="C73" s="1455"/>
      <c r="D73" s="1455"/>
      <c r="E73" s="1455"/>
      <c r="F73" s="1455"/>
      <c r="G73" s="1455"/>
      <c r="H73" s="7"/>
    </row>
    <row r="74" spans="1:8" s="1451" customFormat="1" ht="22.5" customHeight="1">
      <c r="A74" s="10"/>
      <c r="B74" s="1455"/>
      <c r="C74" s="1455"/>
      <c r="D74" s="1455"/>
      <c r="E74" s="1455"/>
      <c r="F74" s="1455"/>
      <c r="G74" s="1455"/>
      <c r="H74" s="7"/>
    </row>
    <row r="75" spans="1:8" s="1451" customFormat="1" ht="22.5" customHeight="1">
      <c r="A75" s="10"/>
      <c r="B75" s="1455"/>
      <c r="C75" s="1455"/>
      <c r="D75" s="1455"/>
      <c r="E75" s="1455"/>
      <c r="F75" s="1455"/>
      <c r="G75" s="1455"/>
      <c r="H75" s="7"/>
    </row>
    <row r="76" spans="1:8" s="1451" customFormat="1" ht="22.5" customHeight="1">
      <c r="A76" s="10"/>
      <c r="B76" s="1455"/>
      <c r="C76" s="1455"/>
      <c r="D76" s="1455"/>
      <c r="E76" s="1455"/>
      <c r="F76" s="1455"/>
      <c r="G76" s="1455"/>
      <c r="H76" s="7"/>
    </row>
    <row r="77" spans="1:8" s="1451" customFormat="1" ht="22.5" customHeight="1">
      <c r="A77" s="10"/>
      <c r="B77" s="1455"/>
      <c r="C77" s="1455"/>
      <c r="D77" s="1455"/>
      <c r="E77" s="1455"/>
      <c r="F77" s="1455"/>
      <c r="G77" s="1455"/>
      <c r="H77" s="7"/>
    </row>
    <row r="78" spans="1:8" s="1451" customFormat="1" ht="22.5" customHeight="1">
      <c r="A78" s="10"/>
      <c r="B78" s="1455"/>
      <c r="C78" s="1455"/>
      <c r="D78" s="1455"/>
      <c r="E78" s="1455"/>
      <c r="F78" s="1455"/>
      <c r="G78" s="1455"/>
      <c r="H78" s="7"/>
    </row>
    <row r="79" spans="1:8" s="1451" customFormat="1">
      <c r="A79" s="10"/>
      <c r="B79" s="1455"/>
      <c r="C79" s="1455"/>
      <c r="D79" s="1455"/>
      <c r="E79" s="1455"/>
      <c r="F79" s="1455"/>
      <c r="G79" s="1455"/>
      <c r="H79" s="7"/>
    </row>
    <row r="80" spans="1:8">
      <c r="A80" s="10"/>
      <c r="B80" s="1455"/>
      <c r="C80" s="1455"/>
      <c r="D80" s="1455"/>
      <c r="E80" s="1455"/>
      <c r="F80" s="1455"/>
      <c r="G80" s="1455"/>
      <c r="H80" s="7"/>
    </row>
    <row r="81" spans="1:8">
      <c r="A81" s="8"/>
      <c r="B81" s="3"/>
      <c r="C81" s="3"/>
      <c r="D81" s="3"/>
      <c r="E81" s="3"/>
      <c r="F81" s="3"/>
      <c r="G81" s="3"/>
      <c r="H81" s="4"/>
    </row>
    <row r="82" spans="1:8" s="1451" customFormat="1"/>
    <row r="83" spans="1:8" s="1451" customFormat="1" ht="18" customHeight="1">
      <c r="A83" s="2035" t="s">
        <v>1446</v>
      </c>
      <c r="B83" s="2036"/>
      <c r="C83" s="2036"/>
      <c r="D83" s="2036"/>
      <c r="E83" s="2036"/>
      <c r="F83" s="2036"/>
      <c r="G83" s="2036"/>
      <c r="H83" s="2037"/>
    </row>
    <row r="84" spans="1:8" s="1451" customFormat="1">
      <c r="A84" s="10"/>
      <c r="B84" s="1455"/>
      <c r="C84" s="1455"/>
      <c r="D84" s="1455"/>
      <c r="E84" s="1455"/>
      <c r="F84" s="1455"/>
      <c r="G84" s="1455"/>
      <c r="H84" s="7"/>
    </row>
    <row r="85" spans="1:8" s="1451" customFormat="1">
      <c r="A85" s="10"/>
      <c r="B85" s="1455"/>
      <c r="C85" s="1455"/>
      <c r="D85" s="1455"/>
      <c r="E85" s="1455"/>
      <c r="F85" s="1455"/>
      <c r="G85" s="1455"/>
      <c r="H85" s="7"/>
    </row>
    <row r="86" spans="1:8" s="1451" customFormat="1">
      <c r="A86" s="10"/>
      <c r="B86" s="1455"/>
      <c r="C86" s="1455"/>
      <c r="D86" s="1455"/>
      <c r="E86" s="1455"/>
      <c r="F86" s="1455"/>
      <c r="G86" s="1455"/>
      <c r="H86" s="7"/>
    </row>
    <row r="87" spans="1:8" s="1451" customFormat="1">
      <c r="A87" s="10"/>
      <c r="B87" s="1455"/>
      <c r="C87" s="1455"/>
      <c r="D87" s="1455"/>
      <c r="E87" s="1455"/>
      <c r="F87" s="1455"/>
      <c r="G87" s="1455"/>
      <c r="H87" s="7"/>
    </row>
    <row r="88" spans="1:8" s="1451" customFormat="1">
      <c r="A88" s="10"/>
      <c r="B88" s="1455"/>
      <c r="C88" s="1455"/>
      <c r="D88" s="1455"/>
      <c r="E88" s="1455"/>
      <c r="F88" s="1455"/>
      <c r="G88" s="1455"/>
      <c r="H88" s="7"/>
    </row>
    <row r="89" spans="1:8" s="1451" customFormat="1">
      <c r="A89" s="10"/>
      <c r="B89" s="1455"/>
      <c r="C89" s="1455"/>
      <c r="D89" s="1455"/>
      <c r="E89" s="1455"/>
      <c r="F89" s="1455"/>
      <c r="G89" s="1455"/>
      <c r="H89" s="7"/>
    </row>
    <row r="90" spans="1:8" s="1451" customFormat="1">
      <c r="A90" s="10"/>
      <c r="B90" s="1455"/>
      <c r="C90" s="1455"/>
      <c r="D90" s="1455"/>
      <c r="E90" s="1455"/>
      <c r="F90" s="1455"/>
      <c r="G90" s="1455"/>
      <c r="H90" s="7"/>
    </row>
    <row r="91" spans="1:8" s="1451" customFormat="1">
      <c r="A91" s="10"/>
      <c r="B91" s="1455"/>
      <c r="C91" s="1455"/>
      <c r="D91" s="1455"/>
      <c r="E91" s="1455"/>
      <c r="F91" s="1455"/>
      <c r="G91" s="1455"/>
      <c r="H91" s="7"/>
    </row>
    <row r="92" spans="1:8" s="1451" customFormat="1">
      <c r="A92" s="10"/>
      <c r="B92" s="1455"/>
      <c r="C92" s="1455"/>
      <c r="D92" s="1455"/>
      <c r="E92" s="1455"/>
      <c r="F92" s="1455"/>
      <c r="G92" s="1455"/>
      <c r="H92" s="7"/>
    </row>
    <row r="93" spans="1:8" s="1451" customFormat="1">
      <c r="A93" s="10"/>
      <c r="B93" s="1455"/>
      <c r="C93" s="1455"/>
      <c r="D93" s="1455"/>
      <c r="E93" s="1455"/>
      <c r="F93" s="1455"/>
      <c r="G93" s="1455"/>
      <c r="H93" s="7"/>
    </row>
    <row r="94" spans="1:8" s="1451" customFormat="1">
      <c r="A94" s="10"/>
      <c r="B94" s="1455"/>
      <c r="C94" s="1455"/>
      <c r="D94" s="1455"/>
      <c r="E94" s="1455"/>
      <c r="F94" s="1455"/>
      <c r="G94" s="1455"/>
      <c r="H94" s="7"/>
    </row>
    <row r="95" spans="1:8" s="1451" customFormat="1">
      <c r="A95" s="10"/>
      <c r="B95" s="1455"/>
      <c r="C95" s="1455"/>
      <c r="D95" s="1455"/>
      <c r="E95" s="1455"/>
      <c r="F95" s="1455"/>
      <c r="G95" s="1455"/>
      <c r="H95" s="7"/>
    </row>
    <row r="96" spans="1:8" s="1451" customFormat="1">
      <c r="A96" s="10"/>
      <c r="B96" s="1455"/>
      <c r="C96" s="1455"/>
      <c r="D96" s="1455"/>
      <c r="E96" s="1455"/>
      <c r="F96" s="1455"/>
      <c r="G96" s="1455"/>
      <c r="H96" s="7"/>
    </row>
    <row r="97" spans="1:8" s="1451" customFormat="1">
      <c r="A97" s="10"/>
      <c r="B97" s="1455"/>
      <c r="C97" s="1455"/>
      <c r="D97" s="1455"/>
      <c r="E97" s="1455"/>
      <c r="F97" s="1455"/>
      <c r="G97" s="1455"/>
      <c r="H97" s="7"/>
    </row>
    <row r="98" spans="1:8" s="1451" customFormat="1">
      <c r="A98" s="10"/>
      <c r="B98" s="1455"/>
      <c r="C98" s="1455"/>
      <c r="D98" s="1455"/>
      <c r="E98" s="1455"/>
      <c r="F98" s="1455"/>
      <c r="G98" s="1455"/>
      <c r="H98" s="7"/>
    </row>
    <row r="99" spans="1:8" s="1451" customFormat="1">
      <c r="A99" s="10"/>
      <c r="B99" s="1455"/>
      <c r="C99" s="1455"/>
      <c r="D99" s="1455"/>
      <c r="E99" s="1455"/>
      <c r="F99" s="1455"/>
      <c r="G99" s="1455"/>
      <c r="H99" s="7"/>
    </row>
    <row r="100" spans="1:8" s="1451" customFormat="1">
      <c r="A100" s="10"/>
      <c r="B100" s="1455"/>
      <c r="C100" s="1455"/>
      <c r="D100" s="1455"/>
      <c r="E100" s="1455"/>
      <c r="F100" s="1455"/>
      <c r="G100" s="1455"/>
      <c r="H100" s="7"/>
    </row>
    <row r="101" spans="1:8" s="1451" customFormat="1">
      <c r="A101" s="10"/>
      <c r="B101" s="1455"/>
      <c r="C101" s="1455"/>
      <c r="D101" s="1455"/>
      <c r="E101" s="1455"/>
      <c r="F101" s="1455"/>
      <c r="G101" s="1455"/>
      <c r="H101" s="7"/>
    </row>
    <row r="102" spans="1:8" s="1451" customFormat="1">
      <c r="A102" s="10"/>
      <c r="B102" s="1455"/>
      <c r="C102" s="1455"/>
      <c r="D102" s="1455"/>
      <c r="E102" s="1455"/>
      <c r="F102" s="1455"/>
      <c r="G102" s="1455"/>
      <c r="H102" s="7"/>
    </row>
    <row r="103" spans="1:8" s="1451" customFormat="1">
      <c r="A103" s="10"/>
      <c r="B103" s="1455"/>
      <c r="C103" s="1455"/>
      <c r="D103" s="1455"/>
      <c r="E103" s="1455"/>
      <c r="F103" s="1455"/>
      <c r="G103" s="1455"/>
      <c r="H103" s="7"/>
    </row>
    <row r="104" spans="1:8" s="1451" customFormat="1">
      <c r="A104" s="10"/>
      <c r="B104" s="1455"/>
      <c r="C104" s="1455"/>
      <c r="D104" s="1455"/>
      <c r="E104" s="1455"/>
      <c r="F104" s="1455"/>
      <c r="G104" s="1455"/>
      <c r="H104" s="7"/>
    </row>
    <row r="105" spans="1:8" s="1451" customFormat="1">
      <c r="A105" s="10"/>
      <c r="B105" s="1455"/>
      <c r="C105" s="1455"/>
      <c r="D105" s="1455"/>
      <c r="E105" s="1455"/>
      <c r="F105" s="1455"/>
      <c r="G105" s="1455"/>
      <c r="H105" s="7"/>
    </row>
    <row r="106" spans="1:8" s="1451" customFormat="1">
      <c r="A106" s="10"/>
      <c r="B106" s="1455"/>
      <c r="C106" s="1455"/>
      <c r="D106" s="1455"/>
      <c r="E106" s="1455"/>
      <c r="F106" s="1455"/>
      <c r="G106" s="1455"/>
      <c r="H106" s="7"/>
    </row>
    <row r="107" spans="1:8" s="1451" customFormat="1">
      <c r="A107" s="10"/>
      <c r="B107" s="1455"/>
      <c r="C107" s="1455"/>
      <c r="D107" s="1455"/>
      <c r="E107" s="1455"/>
      <c r="F107" s="1455"/>
      <c r="G107" s="1455"/>
      <c r="H107" s="7"/>
    </row>
    <row r="108" spans="1:8" s="1451" customFormat="1">
      <c r="A108" s="10"/>
      <c r="B108" s="1455"/>
      <c r="C108" s="1455"/>
      <c r="D108" s="1455"/>
      <c r="E108" s="1455"/>
      <c r="F108" s="1455"/>
      <c r="G108" s="1455"/>
      <c r="H108" s="7"/>
    </row>
    <row r="109" spans="1:8" s="1451" customFormat="1">
      <c r="A109" s="10"/>
      <c r="B109" s="1455"/>
      <c r="C109" s="1455"/>
      <c r="D109" s="1455"/>
      <c r="E109" s="1455"/>
      <c r="F109" s="1455"/>
      <c r="G109" s="1455"/>
      <c r="H109" s="7"/>
    </row>
    <row r="110" spans="1:8" s="1451" customFormat="1">
      <c r="A110" s="10"/>
      <c r="B110" s="1455"/>
      <c r="C110" s="1455"/>
      <c r="D110" s="1455"/>
      <c r="E110" s="1455"/>
      <c r="F110" s="1455"/>
      <c r="G110" s="1455"/>
      <c r="H110" s="7"/>
    </row>
    <row r="111" spans="1:8" s="1451" customFormat="1">
      <c r="A111" s="10"/>
      <c r="B111" s="1455"/>
      <c r="C111" s="1455"/>
      <c r="D111" s="1455"/>
      <c r="E111" s="1455"/>
      <c r="F111" s="1455"/>
      <c r="G111" s="1455"/>
      <c r="H111" s="7"/>
    </row>
    <row r="112" spans="1:8" s="1451" customFormat="1">
      <c r="A112" s="10"/>
      <c r="B112" s="1455"/>
      <c r="C112" s="1455"/>
      <c r="D112" s="1455"/>
      <c r="E112" s="1455"/>
      <c r="F112" s="1455"/>
      <c r="G112" s="1455"/>
      <c r="H112" s="7"/>
    </row>
    <row r="113" spans="1:8" s="1451" customFormat="1">
      <c r="A113" s="10"/>
      <c r="B113" s="1455"/>
      <c r="C113" s="1455"/>
      <c r="D113" s="1455"/>
      <c r="E113" s="1455"/>
      <c r="F113" s="1455"/>
      <c r="G113" s="1455"/>
      <c r="H113" s="7"/>
    </row>
    <row r="114" spans="1:8" s="1451" customFormat="1">
      <c r="A114" s="8"/>
      <c r="B114" s="3"/>
      <c r="C114" s="3"/>
      <c r="D114" s="3"/>
      <c r="E114" s="3"/>
      <c r="F114" s="3"/>
      <c r="G114" s="3"/>
      <c r="H114" s="4"/>
    </row>
    <row r="115" spans="1:8" s="1451" customFormat="1"/>
    <row r="116" spans="1:8" s="1493" customFormat="1">
      <c r="A116" s="2038" t="s">
        <v>1447</v>
      </c>
      <c r="B116" s="2039"/>
      <c r="C116" s="2039"/>
      <c r="D116" s="2039"/>
      <c r="E116" s="2039"/>
      <c r="F116" s="2039"/>
      <c r="G116" s="2039"/>
      <c r="H116" s="2040"/>
    </row>
    <row r="117" spans="1:8" s="1493" customFormat="1">
      <c r="A117" s="10"/>
      <c r="B117" s="1455"/>
      <c r="C117" s="1455"/>
      <c r="D117" s="1455"/>
      <c r="E117" s="1455"/>
      <c r="F117" s="1455"/>
      <c r="G117" s="1455"/>
      <c r="H117" s="7"/>
    </row>
    <row r="118" spans="1:8" s="1493" customFormat="1">
      <c r="A118" s="10"/>
      <c r="B118" s="1455"/>
      <c r="C118" s="1455"/>
      <c r="D118" s="1455"/>
      <c r="E118" s="1455"/>
      <c r="F118" s="1455"/>
      <c r="G118" s="1455"/>
      <c r="H118" s="7"/>
    </row>
    <row r="119" spans="1:8" s="1493" customFormat="1">
      <c r="A119" s="10"/>
      <c r="B119" s="1455"/>
      <c r="C119" s="1455"/>
      <c r="D119" s="1455"/>
      <c r="E119" s="1455"/>
      <c r="F119" s="1455"/>
      <c r="G119" s="1455"/>
      <c r="H119" s="7"/>
    </row>
    <row r="120" spans="1:8" s="1493" customFormat="1">
      <c r="A120" s="10"/>
      <c r="B120" s="1455"/>
      <c r="C120" s="1455"/>
      <c r="D120" s="1455"/>
      <c r="E120" s="1455"/>
      <c r="F120" s="1455"/>
      <c r="G120" s="1455"/>
      <c r="H120" s="7"/>
    </row>
    <row r="121" spans="1:8" s="1493" customFormat="1">
      <c r="A121" s="10"/>
      <c r="B121" s="1455"/>
      <c r="C121" s="1455"/>
      <c r="D121" s="1455"/>
      <c r="E121" s="1455"/>
      <c r="F121" s="1455"/>
      <c r="G121" s="1455"/>
      <c r="H121" s="7"/>
    </row>
    <row r="122" spans="1:8" s="1493" customFormat="1">
      <c r="A122" s="10"/>
      <c r="B122" s="1455"/>
      <c r="C122" s="1455"/>
      <c r="D122" s="1455"/>
      <c r="E122" s="1455"/>
      <c r="F122" s="1455"/>
      <c r="G122" s="1455"/>
      <c r="H122" s="7"/>
    </row>
    <row r="123" spans="1:8" s="1493" customFormat="1">
      <c r="A123" s="10"/>
      <c r="B123" s="1455"/>
      <c r="C123" s="1455"/>
      <c r="D123" s="1455"/>
      <c r="E123" s="1455"/>
      <c r="F123" s="1455"/>
      <c r="G123" s="1455"/>
      <c r="H123" s="7"/>
    </row>
    <row r="124" spans="1:8" s="1493" customFormat="1">
      <c r="A124" s="10"/>
      <c r="B124" s="1455"/>
      <c r="C124" s="1455"/>
      <c r="D124" s="1455"/>
      <c r="E124" s="1455"/>
      <c r="F124" s="1455"/>
      <c r="G124" s="1455"/>
      <c r="H124" s="7"/>
    </row>
    <row r="125" spans="1:8" s="1493" customFormat="1">
      <c r="A125" s="10"/>
      <c r="B125" s="1455"/>
      <c r="C125" s="1455"/>
      <c r="D125" s="1455"/>
      <c r="E125" s="1455"/>
      <c r="F125" s="1455"/>
      <c r="G125" s="1455"/>
      <c r="H125" s="7"/>
    </row>
    <row r="126" spans="1:8" s="1493" customFormat="1">
      <c r="A126" s="10"/>
      <c r="B126" s="1455"/>
      <c r="C126" s="1455"/>
      <c r="D126" s="1455"/>
      <c r="E126" s="1455"/>
      <c r="F126" s="1455"/>
      <c r="G126" s="1455"/>
      <c r="H126" s="7"/>
    </row>
    <row r="127" spans="1:8" s="1493" customFormat="1">
      <c r="A127" s="10"/>
      <c r="B127" s="1455"/>
      <c r="C127" s="1455"/>
      <c r="D127" s="1455"/>
      <c r="E127" s="1455"/>
      <c r="F127" s="1455"/>
      <c r="G127" s="1455"/>
      <c r="H127" s="7"/>
    </row>
    <row r="128" spans="1:8" s="1493" customFormat="1">
      <c r="A128" s="10"/>
      <c r="B128" s="1455"/>
      <c r="C128" s="1455"/>
      <c r="D128" s="1455"/>
      <c r="E128" s="1455"/>
      <c r="F128" s="1455"/>
      <c r="G128" s="1455"/>
      <c r="H128" s="7"/>
    </row>
    <row r="129" spans="1:8" s="1493" customFormat="1">
      <c r="A129" s="10"/>
      <c r="B129" s="1455"/>
      <c r="C129" s="1455"/>
      <c r="D129" s="1455"/>
      <c r="E129" s="1455"/>
      <c r="F129" s="1455"/>
      <c r="G129" s="1455"/>
      <c r="H129" s="7"/>
    </row>
    <row r="130" spans="1:8" s="1493" customFormat="1">
      <c r="A130" s="10"/>
      <c r="B130" s="1455"/>
      <c r="C130" s="1455"/>
      <c r="D130" s="1455"/>
      <c r="E130" s="1455"/>
      <c r="F130" s="1455"/>
      <c r="G130" s="1455"/>
      <c r="H130" s="7"/>
    </row>
    <row r="131" spans="1:8" s="1493" customFormat="1">
      <c r="A131" s="10"/>
      <c r="B131" s="1455"/>
      <c r="C131" s="1455"/>
      <c r="D131" s="1455"/>
      <c r="E131" s="1455"/>
      <c r="F131" s="1455"/>
      <c r="G131" s="1455"/>
      <c r="H131" s="7"/>
    </row>
    <row r="132" spans="1:8" s="1493" customFormat="1">
      <c r="A132" s="10"/>
      <c r="B132" s="1455"/>
      <c r="C132" s="1455"/>
      <c r="D132" s="1455"/>
      <c r="E132" s="1455"/>
      <c r="F132" s="1455"/>
      <c r="G132" s="1455"/>
      <c r="H132" s="7"/>
    </row>
    <row r="133" spans="1:8" s="1493" customFormat="1">
      <c r="A133" s="10"/>
      <c r="B133" s="1455"/>
      <c r="C133" s="1455"/>
      <c r="D133" s="1455"/>
      <c r="E133" s="1455"/>
      <c r="F133" s="1455"/>
      <c r="G133" s="1455"/>
      <c r="H133" s="7"/>
    </row>
    <row r="134" spans="1:8" s="1493" customFormat="1">
      <c r="A134" s="10"/>
      <c r="B134" s="1455"/>
      <c r="C134" s="1455"/>
      <c r="D134" s="1455"/>
      <c r="E134" s="1455"/>
      <c r="F134" s="1455"/>
      <c r="G134" s="1455"/>
      <c r="H134" s="7"/>
    </row>
    <row r="135" spans="1:8" s="1493" customFormat="1">
      <c r="A135" s="10"/>
      <c r="B135" s="1455"/>
      <c r="C135" s="1455"/>
      <c r="D135" s="1455"/>
      <c r="E135" s="1455"/>
      <c r="F135" s="1455"/>
      <c r="G135" s="1455"/>
      <c r="H135" s="7"/>
    </row>
    <row r="136" spans="1:8" s="1493" customFormat="1">
      <c r="A136" s="10"/>
      <c r="B136" s="1455"/>
      <c r="C136" s="1455"/>
      <c r="D136" s="1455"/>
      <c r="E136" s="1455"/>
      <c r="F136" s="1455"/>
      <c r="G136" s="1455"/>
      <c r="H136" s="7"/>
    </row>
    <row r="137" spans="1:8" s="1493" customFormat="1">
      <c r="A137" s="10"/>
      <c r="B137" s="1455"/>
      <c r="C137" s="1455"/>
      <c r="D137" s="1455"/>
      <c r="E137" s="1455"/>
      <c r="F137" s="1455"/>
      <c r="G137" s="1455"/>
      <c r="H137" s="7"/>
    </row>
    <row r="138" spans="1:8" s="1493" customFormat="1">
      <c r="A138" s="10"/>
      <c r="B138" s="1455"/>
      <c r="C138" s="1455"/>
      <c r="D138" s="1455"/>
      <c r="E138" s="1455"/>
      <c r="F138" s="1455"/>
      <c r="G138" s="1455"/>
      <c r="H138" s="7"/>
    </row>
    <row r="139" spans="1:8" s="1493" customFormat="1">
      <c r="A139" s="10"/>
      <c r="B139" s="1455"/>
      <c r="C139" s="1455"/>
      <c r="D139" s="1455"/>
      <c r="E139" s="1455"/>
      <c r="F139" s="1455"/>
      <c r="G139" s="1455"/>
      <c r="H139" s="7"/>
    </row>
    <row r="140" spans="1:8" s="1493" customFormat="1">
      <c r="A140" s="10"/>
      <c r="B140" s="1455"/>
      <c r="C140" s="1455"/>
      <c r="D140" s="1455"/>
      <c r="E140" s="1455"/>
      <c r="F140" s="1455"/>
      <c r="G140" s="1455"/>
      <c r="H140" s="7"/>
    </row>
    <row r="141" spans="1:8" s="1493" customFormat="1">
      <c r="A141" s="8"/>
      <c r="B141" s="3"/>
      <c r="C141" s="3"/>
      <c r="D141" s="3"/>
      <c r="E141" s="3"/>
      <c r="F141" s="3"/>
      <c r="G141" s="3"/>
      <c r="H141" s="4"/>
    </row>
    <row r="142" spans="1:8" s="1493" customFormat="1"/>
    <row r="144" spans="1:8">
      <c r="F144" s="2026" t="s">
        <v>84</v>
      </c>
      <c r="G144" s="2027"/>
    </row>
    <row r="145" spans="1:8">
      <c r="F145" s="10" t="s">
        <v>85</v>
      </c>
      <c r="G145" s="204"/>
    </row>
    <row r="146" spans="1:8">
      <c r="F146" s="10" t="s">
        <v>86</v>
      </c>
      <c r="G146" s="124"/>
    </row>
    <row r="147" spans="1:8">
      <c r="F147" s="8" t="s">
        <v>87</v>
      </c>
      <c r="G147" s="125"/>
    </row>
    <row r="149" spans="1:8">
      <c r="A149" s="242" t="s">
        <v>83</v>
      </c>
      <c r="B149" s="207" t="s">
        <v>230</v>
      </c>
      <c r="D149" s="56"/>
      <c r="E149" s="56"/>
      <c r="F149" s="56"/>
      <c r="G149" s="56"/>
      <c r="H149" s="56"/>
    </row>
    <row r="150" spans="1:8">
      <c r="A150" s="56"/>
      <c r="B150" s="207" t="s">
        <v>389</v>
      </c>
      <c r="D150" s="56"/>
      <c r="E150" s="56"/>
      <c r="F150" s="56"/>
      <c r="G150" s="56"/>
      <c r="H150" s="56"/>
    </row>
    <row r="151" spans="1:8">
      <c r="B151" s="56"/>
      <c r="C151" s="207"/>
      <c r="D151" s="56"/>
      <c r="E151" s="56"/>
      <c r="F151" s="56"/>
      <c r="G151" s="56"/>
      <c r="H151" s="56"/>
    </row>
    <row r="152" spans="1:8" ht="13.5" thickBot="1">
      <c r="A152" s="2024" t="s">
        <v>421</v>
      </c>
      <c r="B152" s="2024"/>
      <c r="C152" s="2025"/>
      <c r="D152" s="2024"/>
      <c r="E152" s="2024"/>
      <c r="F152" s="2024"/>
      <c r="G152" s="2024"/>
      <c r="H152" s="56"/>
    </row>
    <row r="153" spans="1:8" ht="13.5" thickBot="1">
      <c r="A153" s="288" t="s">
        <v>23</v>
      </c>
      <c r="B153" s="243" t="s">
        <v>100</v>
      </c>
      <c r="C153" s="244" t="s">
        <v>52</v>
      </c>
      <c r="D153" s="244" t="s">
        <v>24</v>
      </c>
      <c r="E153" s="2018" t="s">
        <v>420</v>
      </c>
      <c r="F153" s="2019"/>
      <c r="G153" s="2020"/>
    </row>
    <row r="154" spans="1:8" ht="25.5">
      <c r="A154" s="696">
        <v>1</v>
      </c>
      <c r="B154" s="696">
        <v>3602</v>
      </c>
      <c r="C154" s="697" t="s">
        <v>532</v>
      </c>
      <c r="D154" s="830" t="s">
        <v>864</v>
      </c>
      <c r="E154" s="2015" t="s">
        <v>839</v>
      </c>
      <c r="F154" s="2016"/>
      <c r="G154" s="2017"/>
    </row>
    <row r="155" spans="1:8" ht="25.5">
      <c r="A155" s="832">
        <v>2</v>
      </c>
      <c r="B155" s="696">
        <v>3602</v>
      </c>
      <c r="C155" s="697" t="s">
        <v>532</v>
      </c>
      <c r="D155" s="704" t="s">
        <v>635</v>
      </c>
      <c r="E155" s="2015" t="s">
        <v>667</v>
      </c>
      <c r="F155" s="2016"/>
      <c r="G155" s="2017"/>
    </row>
    <row r="156" spans="1:8" ht="25.5">
      <c r="A156" s="832">
        <v>3</v>
      </c>
      <c r="B156" s="696">
        <v>3602</v>
      </c>
      <c r="C156" s="697" t="s">
        <v>532</v>
      </c>
      <c r="D156" s="831" t="s">
        <v>838</v>
      </c>
      <c r="E156" s="2015" t="s">
        <v>667</v>
      </c>
      <c r="F156" s="2016"/>
      <c r="G156" s="2017"/>
    </row>
    <row r="157" spans="1:8" s="999" customFormat="1" ht="25.5">
      <c r="A157" s="832">
        <v>4</v>
      </c>
      <c r="B157" s="998">
        <v>3602</v>
      </c>
      <c r="C157" s="697" t="s">
        <v>532</v>
      </c>
      <c r="D157" s="831" t="s">
        <v>1100</v>
      </c>
      <c r="E157" s="2015" t="s">
        <v>1101</v>
      </c>
      <c r="F157" s="2016"/>
      <c r="G157" s="2017"/>
    </row>
    <row r="158" spans="1:8" ht="25.5" customHeight="1">
      <c r="A158" s="832">
        <v>5</v>
      </c>
      <c r="B158" s="1017">
        <v>3602</v>
      </c>
      <c r="C158" s="697" t="s">
        <v>532</v>
      </c>
      <c r="D158" s="831" t="s">
        <v>879</v>
      </c>
      <c r="E158" s="2015" t="s">
        <v>875</v>
      </c>
      <c r="F158" s="2016"/>
      <c r="G158" s="2017"/>
    </row>
    <row r="159" spans="1:8" ht="36.75" customHeight="1">
      <c r="A159" s="832">
        <v>6</v>
      </c>
      <c r="B159" s="1017">
        <v>3602</v>
      </c>
      <c r="C159" s="697" t="s">
        <v>532</v>
      </c>
      <c r="D159" s="831" t="s">
        <v>631</v>
      </c>
      <c r="E159" s="2015" t="s">
        <v>1073</v>
      </c>
      <c r="F159" s="2016"/>
      <c r="G159" s="2017"/>
      <c r="H159" s="962"/>
    </row>
    <row r="160" spans="1:8" ht="35.25" customHeight="1">
      <c r="A160" s="832">
        <v>7</v>
      </c>
      <c r="B160" s="1450">
        <v>3603</v>
      </c>
      <c r="C160" s="697" t="s">
        <v>557</v>
      </c>
      <c r="D160" s="831" t="s">
        <v>630</v>
      </c>
      <c r="E160" s="2015" t="s">
        <v>1076</v>
      </c>
      <c r="F160" s="2016"/>
      <c r="G160" s="2017"/>
      <c r="H160" s="962"/>
    </row>
    <row r="161" spans="1:8" ht="61.5" customHeight="1" thickBot="1">
      <c r="A161" s="873">
        <v>8</v>
      </c>
      <c r="B161" s="868">
        <v>3603</v>
      </c>
      <c r="C161" s="868" t="s">
        <v>557</v>
      </c>
      <c r="D161" s="868" t="s">
        <v>553</v>
      </c>
      <c r="E161" s="2021" t="s">
        <v>1057</v>
      </c>
      <c r="F161" s="2022"/>
      <c r="G161" s="2023"/>
      <c r="H161" s="111"/>
    </row>
    <row r="163" spans="1:8" ht="20.25">
      <c r="A163" s="48"/>
      <c r="B163" s="1"/>
      <c r="C163" s="1"/>
      <c r="D163" s="1"/>
      <c r="E163" s="1585" t="s">
        <v>441</v>
      </c>
      <c r="F163" s="1585"/>
      <c r="G163" s="1585"/>
      <c r="H163" s="1585"/>
    </row>
  </sheetData>
  <mergeCells count="23">
    <mergeCell ref="A152:G152"/>
    <mergeCell ref="F144:G144"/>
    <mergeCell ref="A16:H16"/>
    <mergeCell ref="A1:H1"/>
    <mergeCell ref="A2:H2"/>
    <mergeCell ref="A6:H6"/>
    <mergeCell ref="A7:H7"/>
    <mergeCell ref="A15:H15"/>
    <mergeCell ref="A9:H9"/>
    <mergeCell ref="A46:H46"/>
    <mergeCell ref="A65:H65"/>
    <mergeCell ref="A83:H83"/>
    <mergeCell ref="A116:H116"/>
    <mergeCell ref="E163:H163"/>
    <mergeCell ref="E160:G160"/>
    <mergeCell ref="E153:G153"/>
    <mergeCell ref="E154:G154"/>
    <mergeCell ref="E156:G156"/>
    <mergeCell ref="E158:G158"/>
    <mergeCell ref="E155:G155"/>
    <mergeCell ref="E159:G159"/>
    <mergeCell ref="E157:G157"/>
    <mergeCell ref="E161:G161"/>
  </mergeCells>
  <phoneticPr fontId="3" type="noConversion"/>
  <hyperlinks>
    <hyperlink ref="E163" location="'TABLA DE CONTENIDO'!A1" display="VOLVER A LA TABLA DE CONTENIDO"/>
  </hyperlinks>
  <printOptions horizontalCentered="1" verticalCentered="1"/>
  <pageMargins left="0.59055118110236227" right="0.35433070866141736" top="0.59055118110236227" bottom="0.6692913385826772" header="0.51181102362204722" footer="0.51181102362204722"/>
  <pageSetup scale="39" orientation="portrait" horizontalDpi="300" verticalDpi="300" r:id="rId1"/>
  <headerFooter alignWithMargins="0"/>
  <rowBreaks count="1" manualBreakCount="1">
    <brk id="115" max="8" man="1"/>
  </rowBreaks>
  <drawing r:id="rId2"/>
  <legacyDrawing r:id="rId3"/>
  <oleObjects>
    <mc:AlternateContent xmlns:mc="http://schemas.openxmlformats.org/markup-compatibility/2006">
      <mc:Choice Requires="x14">
        <oleObject progId="Word.Document.6" shapeId="9218" r:id="rId4">
          <objectPr defaultSize="0" autoLine="0" r:id="rId5">
            <anchor moveWithCells="1">
              <from>
                <xdr:col>0</xdr:col>
                <xdr:colOff>19050</xdr:colOff>
                <xdr:row>0</xdr:row>
                <xdr:rowOff>19050</xdr:rowOff>
              </from>
              <to>
                <xdr:col>1</xdr:col>
                <xdr:colOff>485775</xdr:colOff>
                <xdr:row>5</xdr:row>
                <xdr:rowOff>0</xdr:rowOff>
              </to>
            </anchor>
          </objectPr>
        </oleObject>
      </mc:Choice>
      <mc:Fallback>
        <oleObject progId="Word.Document.6" shapeId="9218" r:id="rId4"/>
      </mc:Fallback>
    </mc:AlternateContent>
  </oleObjects>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6"/>
  <sheetViews>
    <sheetView view="pageBreakPreview" zoomScaleNormal="100" zoomScaleSheetLayoutView="100" workbookViewId="0">
      <selection activeCell="G5" sqref="G5"/>
    </sheetView>
  </sheetViews>
  <sheetFormatPr baseColWidth="10" defaultRowHeight="12.75"/>
  <cols>
    <col min="1" max="1" width="26.85546875" customWidth="1"/>
    <col min="2" max="2" width="10.140625" customWidth="1"/>
    <col min="3" max="3" width="9" customWidth="1"/>
    <col min="4" max="4" width="9.140625" customWidth="1"/>
    <col min="5" max="5" width="24.7109375" customWidth="1"/>
    <col min="6" max="6" width="24" customWidth="1"/>
    <col min="7" max="7" width="34.7109375" customWidth="1"/>
  </cols>
  <sheetData>
    <row r="1" spans="1:9" s="32" customFormat="1" ht="23.25">
      <c r="A1" s="1579" t="s">
        <v>0</v>
      </c>
      <c r="B1" s="1579"/>
      <c r="C1" s="1579"/>
      <c r="D1" s="1579"/>
      <c r="E1" s="1579"/>
      <c r="F1" s="1579"/>
      <c r="G1" s="1579"/>
    </row>
    <row r="2" spans="1:9" s="32" customFormat="1" ht="18">
      <c r="A2" s="1580" t="s">
        <v>531</v>
      </c>
      <c r="B2" s="1580"/>
      <c r="C2" s="1580"/>
      <c r="D2" s="1580"/>
      <c r="E2" s="1580"/>
      <c r="F2" s="1580"/>
      <c r="G2" s="1580"/>
    </row>
    <row r="3" spans="1:9" s="32" customFormat="1">
      <c r="A3" s="37"/>
      <c r="B3" s="37"/>
      <c r="C3" s="31"/>
      <c r="D3" s="31"/>
      <c r="E3" s="31"/>
      <c r="F3" s="31"/>
      <c r="G3" s="31"/>
    </row>
    <row r="4" spans="1:9" s="32" customFormat="1" ht="18">
      <c r="A4" s="1580" t="s">
        <v>77</v>
      </c>
      <c r="B4" s="1580"/>
      <c r="C4" s="1580"/>
      <c r="D4" s="1580"/>
      <c r="E4" s="1580"/>
      <c r="F4" s="1580"/>
      <c r="G4" s="1580"/>
    </row>
    <row r="5" spans="1:9" s="32" customFormat="1">
      <c r="A5" s="37"/>
      <c r="B5" s="37"/>
      <c r="C5" s="31"/>
      <c r="D5" s="31"/>
      <c r="E5" s="31"/>
      <c r="F5" s="31"/>
      <c r="G5" s="31"/>
    </row>
    <row r="6" spans="1:9" s="32" customFormat="1" ht="18">
      <c r="A6" s="1580" t="s">
        <v>153</v>
      </c>
      <c r="B6" s="1580"/>
      <c r="C6" s="1580"/>
      <c r="D6" s="1580"/>
      <c r="E6" s="1580"/>
      <c r="F6" s="1580"/>
      <c r="G6" s="1580"/>
    </row>
    <row r="7" spans="1:9" s="32" customFormat="1" ht="12" customHeight="1">
      <c r="A7" s="2041" t="s">
        <v>41</v>
      </c>
      <c r="B7" s="2041"/>
      <c r="C7" s="2041"/>
      <c r="D7" s="2041"/>
      <c r="E7" s="2041"/>
      <c r="F7" s="2041"/>
      <c r="G7" s="2041"/>
    </row>
    <row r="8" spans="1:9" s="32" customFormat="1" ht="12" customHeight="1">
      <c r="A8"/>
      <c r="B8" s="42"/>
      <c r="G8" s="2043" t="str">
        <f>PORTADA!C31</f>
        <v>OCTUBRE - DICIEMBRE DEL 2020</v>
      </c>
    </row>
    <row r="9" spans="1:9" s="32" customFormat="1" ht="12" customHeight="1">
      <c r="A9" s="185" t="s">
        <v>147</v>
      </c>
      <c r="B9" s="2045" t="str">
        <f>'CUMPLIMIENTO % '!C7</f>
        <v>LUIS GABRIEL IBARRA ANGEL</v>
      </c>
      <c r="C9" s="2045"/>
      <c r="D9" s="2045"/>
      <c r="E9" s="2045"/>
      <c r="F9" s="139" t="s">
        <v>409</v>
      </c>
      <c r="G9" s="2044"/>
    </row>
    <row r="10" spans="1:9" ht="13.5" thickBot="1"/>
    <row r="11" spans="1:9" s="23" customFormat="1" ht="41.25" customHeight="1">
      <c r="A11" s="1544" t="s">
        <v>6</v>
      </c>
      <c r="B11" s="1545" t="s">
        <v>7</v>
      </c>
      <c r="C11" s="1545" t="s">
        <v>78</v>
      </c>
      <c r="D11" s="1545" t="s">
        <v>79</v>
      </c>
      <c r="E11" s="949" t="s">
        <v>42</v>
      </c>
      <c r="F11" s="949" t="s">
        <v>503</v>
      </c>
      <c r="G11" s="1546" t="s">
        <v>13</v>
      </c>
    </row>
    <row r="12" spans="1:9" ht="63.75">
      <c r="A12" s="890" t="s">
        <v>675</v>
      </c>
      <c r="B12" s="123">
        <v>4507</v>
      </c>
      <c r="C12" s="890" t="s">
        <v>631</v>
      </c>
      <c r="D12" s="890" t="s">
        <v>552</v>
      </c>
      <c r="E12" s="890" t="s">
        <v>674</v>
      </c>
      <c r="F12" s="701">
        <f>'CANT OBRA PNE'!H23</f>
        <v>790422036.34780002</v>
      </c>
      <c r="G12" s="704" t="s">
        <v>1104</v>
      </c>
      <c r="H12" s="1484"/>
      <c r="I12" s="1484"/>
    </row>
    <row r="13" spans="1:9" ht="63.75">
      <c r="A13" s="704" t="s">
        <v>539</v>
      </c>
      <c r="B13" s="890">
        <v>4507</v>
      </c>
      <c r="C13" s="704" t="s">
        <v>835</v>
      </c>
      <c r="D13" s="704" t="s">
        <v>841</v>
      </c>
      <c r="E13" s="704" t="s">
        <v>840</v>
      </c>
      <c r="F13" s="701">
        <f>'CANT OBRA PNG'!H21</f>
        <v>800374841</v>
      </c>
      <c r="G13" s="704" t="s">
        <v>1107</v>
      </c>
      <c r="H13" s="1543"/>
    </row>
    <row r="14" spans="1:9" ht="25.5">
      <c r="A14" s="704" t="s">
        <v>668</v>
      </c>
      <c r="B14" s="890" t="s">
        <v>1032</v>
      </c>
      <c r="C14" s="704" t="s">
        <v>106</v>
      </c>
      <c r="D14" s="704" t="s">
        <v>1033</v>
      </c>
      <c r="E14" s="890" t="s">
        <v>674</v>
      </c>
      <c r="F14" s="701">
        <f>+'CANT OBRA 40TL05'!H20</f>
        <v>221363783</v>
      </c>
      <c r="G14" s="704" t="s">
        <v>676</v>
      </c>
      <c r="H14" s="929"/>
    </row>
    <row r="15" spans="1:9" ht="25.5">
      <c r="A15" s="1461" t="s">
        <v>1034</v>
      </c>
      <c r="B15" s="1461">
        <v>3602</v>
      </c>
      <c r="C15" s="1461" t="s">
        <v>533</v>
      </c>
      <c r="D15" s="1461" t="s">
        <v>534</v>
      </c>
      <c r="E15" s="1461" t="s">
        <v>674</v>
      </c>
      <c r="F15" s="701">
        <f>+'[11]CANT OBRA 3602'!H37</f>
        <v>9981419502.3832245</v>
      </c>
      <c r="G15" s="1461" t="s">
        <v>676</v>
      </c>
      <c r="H15" s="929"/>
    </row>
    <row r="16" spans="1:9" s="1041" customFormat="1" ht="25.5">
      <c r="A16" s="1461" t="s">
        <v>1141</v>
      </c>
      <c r="B16" s="1547">
        <v>3603</v>
      </c>
      <c r="C16" s="1547" t="s">
        <v>1142</v>
      </c>
      <c r="D16" s="1547" t="s">
        <v>1125</v>
      </c>
      <c r="E16" s="1461" t="s">
        <v>674</v>
      </c>
      <c r="F16" s="701">
        <f>+'[11]CANT OBRA 3603'!H165</f>
        <v>3058309277.4778223</v>
      </c>
      <c r="G16" s="1461" t="s">
        <v>676</v>
      </c>
      <c r="H16" s="1038"/>
    </row>
    <row r="17" spans="1:8" s="1454" customFormat="1" ht="25.5">
      <c r="A17" s="707" t="s">
        <v>1370</v>
      </c>
      <c r="B17" s="706">
        <v>3602</v>
      </c>
      <c r="C17" s="707" t="s">
        <v>690</v>
      </c>
      <c r="D17" s="706" t="s">
        <v>690</v>
      </c>
      <c r="E17" s="707" t="s">
        <v>1371</v>
      </c>
      <c r="F17" s="701">
        <f>+'CANT OBRA 3602'!H50</f>
        <v>75048449.731996432</v>
      </c>
      <c r="G17" s="1548" t="s">
        <v>1374</v>
      </c>
      <c r="H17" s="1038"/>
    </row>
    <row r="18" spans="1:8" s="1454" customFormat="1" ht="25.5">
      <c r="A18" s="707" t="s">
        <v>1370</v>
      </c>
      <c r="B18" s="706">
        <v>3602</v>
      </c>
      <c r="C18" s="707" t="s">
        <v>694</v>
      </c>
      <c r="D18" s="707" t="s">
        <v>694</v>
      </c>
      <c r="E18" s="707" t="s">
        <v>1372</v>
      </c>
      <c r="F18" s="701">
        <f>+'CANT OBRA 3602'!H63</f>
        <v>73054603</v>
      </c>
      <c r="G18" s="1548" t="s">
        <v>1375</v>
      </c>
      <c r="H18" s="1038"/>
    </row>
    <row r="19" spans="1:8" s="1454" customFormat="1" ht="25.5">
      <c r="A19" s="707" t="s">
        <v>1370</v>
      </c>
      <c r="B19" s="706">
        <v>3602</v>
      </c>
      <c r="C19" s="707" t="s">
        <v>700</v>
      </c>
      <c r="D19" s="707" t="s">
        <v>700</v>
      </c>
      <c r="E19" s="707" t="s">
        <v>1373</v>
      </c>
      <c r="F19" s="701">
        <f>+'CANT OBRA 3602'!H76</f>
        <v>72893531.653941393</v>
      </c>
      <c r="G19" s="1548" t="s">
        <v>1376</v>
      </c>
      <c r="H19" s="1038"/>
    </row>
    <row r="20" spans="1:8" s="1454" customFormat="1" ht="25.5">
      <c r="A20" s="707" t="s">
        <v>1370</v>
      </c>
      <c r="B20" s="1461">
        <v>3602</v>
      </c>
      <c r="C20" s="1461" t="s">
        <v>703</v>
      </c>
      <c r="D20" s="1461" t="s">
        <v>1006</v>
      </c>
      <c r="E20" s="707" t="s">
        <v>1378</v>
      </c>
      <c r="F20" s="701">
        <f>+'CANT OBRA 3602'!H89</f>
        <v>74198230.885023713</v>
      </c>
      <c r="G20" s="1461" t="s">
        <v>1377</v>
      </c>
      <c r="H20" s="1038"/>
    </row>
    <row r="21" spans="1:8" s="1454" customFormat="1" ht="25.5">
      <c r="A21" s="707" t="s">
        <v>1370</v>
      </c>
      <c r="B21" s="1461">
        <v>3602</v>
      </c>
      <c r="C21" s="1461" t="s">
        <v>706</v>
      </c>
      <c r="D21" s="1461" t="s">
        <v>706</v>
      </c>
      <c r="E21" s="707" t="s">
        <v>1424</v>
      </c>
      <c r="F21" s="701">
        <f>+'CANT OBRA 3602'!H98</f>
        <v>24644222.402440451</v>
      </c>
      <c r="G21" s="1461" t="s">
        <v>1425</v>
      </c>
      <c r="H21" s="1038"/>
    </row>
    <row r="22" spans="1:8" s="1454" customFormat="1" ht="38.25">
      <c r="A22" s="707" t="s">
        <v>1370</v>
      </c>
      <c r="B22" s="1461">
        <v>3602</v>
      </c>
      <c r="C22" s="1461" t="s">
        <v>533</v>
      </c>
      <c r="D22" s="1461" t="s">
        <v>534</v>
      </c>
      <c r="E22" s="707" t="s">
        <v>799</v>
      </c>
      <c r="F22" s="701">
        <f>+'CANT OBRA 3602'!H108</f>
        <v>13838294.037916085</v>
      </c>
      <c r="G22" s="1461" t="s">
        <v>1379</v>
      </c>
      <c r="H22" s="1038"/>
    </row>
    <row r="23" spans="1:8" s="1454" customFormat="1" ht="25.5">
      <c r="A23" s="707" t="s">
        <v>1370</v>
      </c>
      <c r="B23" s="1461">
        <v>3602</v>
      </c>
      <c r="C23" s="1461" t="s">
        <v>533</v>
      </c>
      <c r="D23" s="1461" t="s">
        <v>534</v>
      </c>
      <c r="E23" s="1461" t="s">
        <v>684</v>
      </c>
      <c r="F23" s="701">
        <f>+'CANT OBRA 3602'!H116</f>
        <v>156647816.79389313</v>
      </c>
      <c r="G23" s="1461" t="s">
        <v>1380</v>
      </c>
      <c r="H23" s="1038"/>
    </row>
    <row r="24" spans="1:8" s="1454" customFormat="1">
      <c r="A24" s="707" t="s">
        <v>1370</v>
      </c>
      <c r="B24" s="1461">
        <v>3602</v>
      </c>
      <c r="C24" s="1461" t="s">
        <v>1382</v>
      </c>
      <c r="D24" s="1461" t="s">
        <v>1382</v>
      </c>
      <c r="E24" s="1461" t="s">
        <v>1383</v>
      </c>
      <c r="F24" s="701">
        <f>+'CANT OBRA 3602'!H138</f>
        <v>50784424.8694655</v>
      </c>
      <c r="G24" s="1461" t="s">
        <v>1384</v>
      </c>
      <c r="H24" s="1038"/>
    </row>
    <row r="25" spans="1:8" s="1454" customFormat="1" ht="25.5">
      <c r="A25" s="707" t="s">
        <v>1370</v>
      </c>
      <c r="B25" s="1461">
        <v>3602</v>
      </c>
      <c r="C25" s="1461" t="s">
        <v>1385</v>
      </c>
      <c r="D25" s="1461" t="s">
        <v>1386</v>
      </c>
      <c r="E25" s="1461" t="s">
        <v>1387</v>
      </c>
      <c r="F25" s="1501">
        <f>+'CANT OBRA 3602'!H148</f>
        <v>43774859.812091403</v>
      </c>
      <c r="G25" s="1549" t="s">
        <v>1388</v>
      </c>
      <c r="H25" s="1489"/>
    </row>
    <row r="26" spans="1:8" s="1454" customFormat="1" ht="25.5">
      <c r="A26" s="707" t="s">
        <v>1370</v>
      </c>
      <c r="B26" s="1461">
        <v>3602</v>
      </c>
      <c r="C26" s="1461" t="s">
        <v>1389</v>
      </c>
      <c r="D26" s="1461" t="s">
        <v>1389</v>
      </c>
      <c r="E26" s="1461" t="s">
        <v>1387</v>
      </c>
      <c r="F26" s="701">
        <f>+'CANT OBRA 3602'!H159</f>
        <v>9759460.0905613881</v>
      </c>
      <c r="G26" s="1461" t="s">
        <v>1388</v>
      </c>
      <c r="H26" s="1038"/>
    </row>
    <row r="27" spans="1:8" s="1454" customFormat="1" ht="51">
      <c r="A27" s="707" t="s">
        <v>1370</v>
      </c>
      <c r="B27" s="1461">
        <v>3602</v>
      </c>
      <c r="C27" s="1461" t="s">
        <v>1390</v>
      </c>
      <c r="D27" s="1461" t="s">
        <v>1390</v>
      </c>
      <c r="E27" s="1461" t="s">
        <v>1391</v>
      </c>
      <c r="F27" s="701">
        <f>+'CANT OBRA 3602'!H173</f>
        <v>15217220.214213882</v>
      </c>
      <c r="G27" s="1461" t="s">
        <v>1394</v>
      </c>
      <c r="H27" s="1038"/>
    </row>
    <row r="28" spans="1:8" s="1454" customFormat="1" ht="51">
      <c r="A28" s="707" t="s">
        <v>1370</v>
      </c>
      <c r="B28" s="1461">
        <v>3602</v>
      </c>
      <c r="C28" s="1461" t="s">
        <v>1392</v>
      </c>
      <c r="D28" s="1461" t="s">
        <v>1392</v>
      </c>
      <c r="E28" s="1461" t="s">
        <v>1393</v>
      </c>
      <c r="F28" s="701">
        <f>+'CANT OBRA 3602'!H188</f>
        <v>15217220.214213882</v>
      </c>
      <c r="G28" s="1461" t="s">
        <v>1394</v>
      </c>
      <c r="H28" s="1038"/>
    </row>
    <row r="29" spans="1:8" s="1454" customFormat="1" ht="25.5">
      <c r="A29" s="707" t="s">
        <v>1370</v>
      </c>
      <c r="B29" s="1461">
        <v>3602</v>
      </c>
      <c r="C29" s="1461" t="s">
        <v>1395</v>
      </c>
      <c r="D29" s="1461" t="s">
        <v>1395</v>
      </c>
      <c r="E29" s="1461" t="s">
        <v>1396</v>
      </c>
      <c r="F29" s="701">
        <f>+'CANT OBRA 3602'!H200</f>
        <v>73538914.809764162</v>
      </c>
      <c r="G29" s="1461" t="s">
        <v>1397</v>
      </c>
      <c r="H29" s="1038"/>
    </row>
    <row r="30" spans="1:8" s="1454" customFormat="1" ht="25.5">
      <c r="A30" s="707" t="s">
        <v>1370</v>
      </c>
      <c r="B30" s="1461">
        <v>3602</v>
      </c>
      <c r="C30" s="1461" t="s">
        <v>855</v>
      </c>
      <c r="D30" s="1461" t="s">
        <v>855</v>
      </c>
      <c r="E30" s="1461" t="s">
        <v>1398</v>
      </c>
      <c r="F30" s="701">
        <f>+'CANT OBRA 3602'!H213</f>
        <v>42020190.01566501</v>
      </c>
      <c r="G30" s="1461" t="s">
        <v>1399</v>
      </c>
      <c r="H30" s="1038"/>
    </row>
    <row r="31" spans="1:8" s="1454" customFormat="1" ht="25.5">
      <c r="A31" s="707" t="s">
        <v>1370</v>
      </c>
      <c r="B31" s="1461">
        <v>3602</v>
      </c>
      <c r="C31" s="1461" t="s">
        <v>1400</v>
      </c>
      <c r="D31" s="1461" t="s">
        <v>1400</v>
      </c>
      <c r="E31" s="1461" t="s">
        <v>1402</v>
      </c>
      <c r="F31" s="701">
        <f>+'CANT OBRA 3602'!H272</f>
        <v>6568879626.9904242</v>
      </c>
      <c r="G31" s="1461" t="s">
        <v>1401</v>
      </c>
      <c r="H31" s="1038"/>
    </row>
    <row r="32" spans="1:8" s="1454" customFormat="1" ht="25.5">
      <c r="A32" s="707" t="s">
        <v>1370</v>
      </c>
      <c r="B32" s="1461">
        <v>3602</v>
      </c>
      <c r="C32" s="1461" t="s">
        <v>1403</v>
      </c>
      <c r="D32" s="1461" t="s">
        <v>1403</v>
      </c>
      <c r="E32" s="1461" t="s">
        <v>1404</v>
      </c>
      <c r="F32" s="701">
        <f>+'CANT OBRA 3602'!H286</f>
        <v>4094860.5438016206</v>
      </c>
      <c r="G32" s="1461" t="s">
        <v>1394</v>
      </c>
      <c r="H32" s="1038"/>
    </row>
    <row r="33" spans="1:8" s="1454" customFormat="1" ht="38.25">
      <c r="A33" s="707" t="s">
        <v>1370</v>
      </c>
      <c r="B33" s="1461">
        <v>3602</v>
      </c>
      <c r="C33" s="1461" t="s">
        <v>1406</v>
      </c>
      <c r="D33" s="1461" t="s">
        <v>1405</v>
      </c>
      <c r="E33" s="1461" t="s">
        <v>1407</v>
      </c>
      <c r="F33" s="701">
        <f>+'CANT OBRA 3602'!H298</f>
        <v>72120327.429304436</v>
      </c>
      <c r="G33" s="1461" t="s">
        <v>1408</v>
      </c>
      <c r="H33" s="1038"/>
    </row>
    <row r="34" spans="1:8" s="1454" customFormat="1" ht="25.5">
      <c r="A34" s="707" t="s">
        <v>1370</v>
      </c>
      <c r="B34" s="1461">
        <v>3602</v>
      </c>
      <c r="C34" s="1461" t="s">
        <v>533</v>
      </c>
      <c r="D34" s="1461" t="s">
        <v>534</v>
      </c>
      <c r="E34" s="1461" t="s">
        <v>1410</v>
      </c>
      <c r="F34" s="701">
        <f>+'CANT OBRA 3602'!H307</f>
        <v>26713977.459691234</v>
      </c>
      <c r="G34" s="1461" t="s">
        <v>1409</v>
      </c>
      <c r="H34" s="1038"/>
    </row>
    <row r="35" spans="1:8" s="1454" customFormat="1" ht="25.5">
      <c r="A35" s="707" t="s">
        <v>1370</v>
      </c>
      <c r="B35" s="1461">
        <v>3602</v>
      </c>
      <c r="C35" s="1461" t="s">
        <v>533</v>
      </c>
      <c r="D35" s="1461" t="s">
        <v>534</v>
      </c>
      <c r="E35" s="1461" t="s">
        <v>1410</v>
      </c>
      <c r="F35" s="701">
        <f>+'CANT OBRA 3602'!H317</f>
        <v>4323153.3858639682</v>
      </c>
      <c r="G35" s="1461" t="s">
        <v>1411</v>
      </c>
      <c r="H35" s="1038"/>
    </row>
    <row r="36" spans="1:8" s="1454" customFormat="1" ht="25.5">
      <c r="A36" s="707" t="s">
        <v>557</v>
      </c>
      <c r="B36" s="1461">
        <v>3603</v>
      </c>
      <c r="C36" s="1461" t="s">
        <v>1412</v>
      </c>
      <c r="D36" s="1461" t="s">
        <v>1413</v>
      </c>
      <c r="E36" s="1461" t="s">
        <v>1414</v>
      </c>
      <c r="F36" s="701">
        <f>+'CANT OBRA 3603'!H32</f>
        <v>68755122.305379525</v>
      </c>
      <c r="G36" s="1461" t="s">
        <v>1415</v>
      </c>
      <c r="H36" s="1038"/>
    </row>
    <row r="37" spans="1:8" s="1454" customFormat="1" ht="25.5">
      <c r="A37" s="707" t="s">
        <v>557</v>
      </c>
      <c r="B37" s="1461">
        <v>3603</v>
      </c>
      <c r="C37" s="1461" t="s">
        <v>712</v>
      </c>
      <c r="D37" s="1461" t="s">
        <v>712</v>
      </c>
      <c r="E37" s="1461" t="s">
        <v>1416</v>
      </c>
      <c r="F37" s="701">
        <f>+'CANT OBRA 3603'!H41</f>
        <v>11279266.999999998</v>
      </c>
      <c r="G37" s="1461" t="s">
        <v>1415</v>
      </c>
      <c r="H37" s="1038"/>
    </row>
    <row r="38" spans="1:8" s="1454" customFormat="1" ht="25.5">
      <c r="A38" s="707" t="s">
        <v>557</v>
      </c>
      <c r="B38" s="1461">
        <v>3603</v>
      </c>
      <c r="C38" s="1461" t="s">
        <v>709</v>
      </c>
      <c r="D38" s="1461" t="s">
        <v>709</v>
      </c>
      <c r="E38" s="1461" t="s">
        <v>1417</v>
      </c>
      <c r="F38" s="701">
        <f>+'CANT OBRA 3603'!H103</f>
        <v>6568879626.9904242</v>
      </c>
      <c r="G38" s="1461" t="s">
        <v>1419</v>
      </c>
      <c r="H38" s="1038"/>
    </row>
    <row r="39" spans="1:8" s="1454" customFormat="1" ht="38.25">
      <c r="A39" s="707" t="s">
        <v>557</v>
      </c>
      <c r="B39" s="1461">
        <v>3603</v>
      </c>
      <c r="C39" s="1461" t="s">
        <v>106</v>
      </c>
      <c r="D39" s="1461" t="s">
        <v>537</v>
      </c>
      <c r="E39" s="1461" t="s">
        <v>1418</v>
      </c>
      <c r="F39" s="701">
        <f>+'CANT OBRA 3603'!H142</f>
        <v>37995317</v>
      </c>
      <c r="G39" s="1461" t="s">
        <v>1420</v>
      </c>
      <c r="H39" s="1038"/>
    </row>
    <row r="40" spans="1:8" s="1454" customFormat="1" ht="25.5">
      <c r="A40" s="707" t="s">
        <v>539</v>
      </c>
      <c r="B40" s="1461">
        <v>4507</v>
      </c>
      <c r="C40" s="1461" t="s">
        <v>583</v>
      </c>
      <c r="D40" s="1461" t="s">
        <v>583</v>
      </c>
      <c r="E40" s="1461" t="s">
        <v>1421</v>
      </c>
      <c r="F40" s="701">
        <f>+'CANT OBRA PNG'!H34</f>
        <v>102551626</v>
      </c>
      <c r="G40" s="1461" t="s">
        <v>1422</v>
      </c>
      <c r="H40" s="1038"/>
    </row>
    <row r="41" spans="1:8" ht="18" customHeight="1" thickBot="1">
      <c r="A41" s="106"/>
      <c r="B41" s="102"/>
      <c r="C41" s="102"/>
      <c r="D41" s="102"/>
      <c r="E41" s="102"/>
      <c r="F41" s="102"/>
      <c r="G41" s="89"/>
    </row>
    <row r="43" spans="1:8" ht="42" customHeight="1">
      <c r="A43" s="2042" t="s">
        <v>1105</v>
      </c>
      <c r="B43" s="2042"/>
      <c r="C43" s="2042"/>
      <c r="D43" s="2042"/>
      <c r="E43" s="2042"/>
      <c r="F43" s="2042"/>
      <c r="G43" s="2042"/>
    </row>
    <row r="44" spans="1:8">
      <c r="A44" s="55" t="s">
        <v>888</v>
      </c>
      <c r="F44" s="1585" t="s">
        <v>440</v>
      </c>
      <c r="G44" s="1585"/>
    </row>
    <row r="46" spans="1:8" ht="15">
      <c r="A46" s="44"/>
      <c r="B46" s="44"/>
      <c r="C46" s="24"/>
      <c r="D46" s="24"/>
    </row>
  </sheetData>
  <mergeCells count="9">
    <mergeCell ref="F44:G44"/>
    <mergeCell ref="A7:G7"/>
    <mergeCell ref="A1:G1"/>
    <mergeCell ref="A2:G2"/>
    <mergeCell ref="A4:G4"/>
    <mergeCell ref="A6:G6"/>
    <mergeCell ref="A43:G43"/>
    <mergeCell ref="G8:G9"/>
    <mergeCell ref="B9:E9"/>
  </mergeCells>
  <phoneticPr fontId="3" type="noConversion"/>
  <hyperlinks>
    <hyperlink ref="F44" location="'TABLA DE CONTENIDO'!A1" display="VOLVER A TABLA DE CONTENIDO"/>
    <hyperlink ref="F12" location="'CANT OBRA PNE'!H23" display="'CANT OBRA PNE'!H23"/>
    <hyperlink ref="F13" location="'CANT OBRA PNG'!H21" display="'CANT OBRA PNG'!H21"/>
    <hyperlink ref="F14" location="'CANT OBRA 40TL05'!H2" display="'CANT OBRA 40TL05'!H2"/>
    <hyperlink ref="F15" location="'CANT OBRA 3602'!H37" display="'CANT OBRA 3602'!H37"/>
    <hyperlink ref="F16" location="'CANT OBRA 3603'!H167" display="'CANT OBRA 3603'!H167"/>
    <hyperlink ref="F17" location="'CANT OBRA 3602'!H50" display="'CANT OBRA 3602'!H50"/>
    <hyperlink ref="F18" location="'CANT OBRA 3602'!H63" display="'CANT OBRA 3602'!H63"/>
    <hyperlink ref="F19" location="'CANT OBRA 3602'!H76" display="'CANT OBRA 3602'!H76"/>
    <hyperlink ref="F20" location="'CANT OBRA 3602'!H89" display="'CANT OBRA 3602'!H89"/>
    <hyperlink ref="F21" location="'CANT OBRA 3602'!H98" display="'CANT OBRA 3602'!H98"/>
    <hyperlink ref="F22" location="'CANT OBRA 3602'!H108" display="'CANT OBRA 3602'!H108"/>
    <hyperlink ref="F23" location="'CANT OBRA 3602'!H116" display="'CANT OBRA 3602'!H116"/>
    <hyperlink ref="F24" location="'CANT OBRA 3602'!H138" display="'CANT OBRA 3602'!H138"/>
    <hyperlink ref="F25" location="'CANT OBRA 3602'!H148" display="'CANT OBRA 3602'!H148"/>
    <hyperlink ref="F26" location="'CANT OBRA 3602'!H159" display="'CANT OBRA 3602'!H159"/>
    <hyperlink ref="F27" location="'CANT OBRA 3602'!H173" display="'CANT OBRA 3602'!H173"/>
    <hyperlink ref="F28" location="'CANT OBRA 3602'!H188" display="'CANT OBRA 3602'!H188"/>
    <hyperlink ref="F29" location="'CANT OBRA 3602'!H200" display="'CANT OBRA 3602'!H200"/>
    <hyperlink ref="F30" location="'CANT OBRA 3602'!H213" display="'CANT OBRA 3602'!H213"/>
    <hyperlink ref="F31" location="'CANT OBRA 3602'!H272" display="'CANT OBRA 3602'!H272"/>
    <hyperlink ref="F32" location="'CANT OBRA 3602'!H286" display="'CANT OBRA 3602'!H286"/>
    <hyperlink ref="F33" location="'CANT OBRA 3602'!H298" display="'CANT OBRA 3602'!H298"/>
    <hyperlink ref="F34" location="'CANT OBRA 3602'!H307" display="'CANT OBRA 3602'!H307"/>
    <hyperlink ref="F35" location="'CANT OBRA 3602'!H317" display="'CANT OBRA 3602'!H317"/>
    <hyperlink ref="F36" location="'CANT OBRA 3603'!H32" display="'CANT OBRA 3603'!H32"/>
    <hyperlink ref="F37" location="'CANT OBRA 3603'!H41" display="'CANT OBRA 3603'!H41"/>
    <hyperlink ref="F38" location="'CANT OBRA 3603'!H103" display="'CANT OBRA 3603'!H103"/>
    <hyperlink ref="F39" location="'CANT OBRA 3603'!H142" display="'CANT OBRA 3603'!H142"/>
    <hyperlink ref="F40" location="'CANT OBRA PNG'!H34" display="'CANT OBRA PNG'!H34"/>
  </hyperlinks>
  <printOptions horizontalCentered="1" verticalCentered="1"/>
  <pageMargins left="0.70866141732283472" right="0.78740157480314965" top="0.78740157480314965" bottom="0.98425196850393704" header="0.51181102362204722" footer="0.51181102362204722"/>
  <pageSetup scale="71" orientation="landscape" horizontalDpi="120" verticalDpi="144" r:id="rId1"/>
  <headerFooter alignWithMargins="0"/>
  <rowBreaks count="1" manualBreakCount="1">
    <brk id="20" max="16383" man="1"/>
  </rowBreaks>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22"/>
  <sheetViews>
    <sheetView view="pageBreakPreview" zoomScaleNormal="100" zoomScaleSheetLayoutView="100" workbookViewId="0">
      <selection activeCell="A16" sqref="A16"/>
    </sheetView>
  </sheetViews>
  <sheetFormatPr baseColWidth="10" defaultRowHeight="12.75"/>
  <cols>
    <col min="1" max="1" width="21" customWidth="1"/>
    <col min="2" max="2" width="14" customWidth="1"/>
    <col min="5" max="5" width="47.28515625" customWidth="1"/>
    <col min="6" max="6" width="24.5703125" customWidth="1"/>
    <col min="7" max="7" width="40" customWidth="1"/>
  </cols>
  <sheetData>
    <row r="1" spans="1:8" ht="23.25">
      <c r="A1" s="1579" t="s">
        <v>0</v>
      </c>
      <c r="B1" s="1579"/>
      <c r="C1" s="1579"/>
      <c r="D1" s="1579"/>
      <c r="E1" s="1579"/>
      <c r="F1" s="1579"/>
      <c r="G1" s="1579"/>
    </row>
    <row r="2" spans="1:8" ht="18">
      <c r="A2" s="1580" t="s">
        <v>531</v>
      </c>
      <c r="B2" s="1580"/>
      <c r="C2" s="1580"/>
      <c r="D2" s="1580"/>
      <c r="E2" s="1580"/>
      <c r="F2" s="1580"/>
      <c r="G2" s="1580"/>
    </row>
    <row r="3" spans="1:8">
      <c r="A3" s="37"/>
      <c r="B3" s="37"/>
      <c r="C3" s="31"/>
      <c r="D3" s="31"/>
      <c r="E3" s="31"/>
      <c r="F3" s="31"/>
      <c r="G3" s="31"/>
    </row>
    <row r="4" spans="1:8" ht="18">
      <c r="A4" s="1580" t="s">
        <v>46</v>
      </c>
      <c r="B4" s="1580"/>
      <c r="C4" s="1580"/>
      <c r="D4" s="1580"/>
      <c r="E4" s="1580"/>
      <c r="F4" s="1580"/>
      <c r="G4" s="1580"/>
    </row>
    <row r="5" spans="1:8">
      <c r="A5" s="37"/>
      <c r="B5" s="37"/>
      <c r="C5" s="31"/>
      <c r="D5" s="31"/>
      <c r="E5" s="31"/>
      <c r="F5" s="31"/>
      <c r="G5" s="31"/>
    </row>
    <row r="6" spans="1:8" ht="18">
      <c r="A6" s="1580" t="s">
        <v>154</v>
      </c>
      <c r="B6" s="1580"/>
      <c r="C6" s="1580"/>
      <c r="D6" s="1580"/>
      <c r="E6" s="1580"/>
      <c r="F6" s="1580"/>
      <c r="G6" s="1580"/>
    </row>
    <row r="7" spans="1:8">
      <c r="A7" s="2041" t="s">
        <v>41</v>
      </c>
      <c r="B7" s="2041"/>
      <c r="C7" s="2041"/>
      <c r="D7" s="2041"/>
      <c r="E7" s="2041"/>
      <c r="F7" s="2041"/>
      <c r="G7" s="2041"/>
    </row>
    <row r="8" spans="1:8">
      <c r="A8" s="37"/>
      <c r="B8" s="37"/>
      <c r="C8" s="31"/>
      <c r="D8" s="31"/>
      <c r="E8" s="31"/>
      <c r="F8" s="31"/>
      <c r="G8" s="31"/>
    </row>
    <row r="9" spans="1:8">
      <c r="B9" s="42"/>
      <c r="C9" s="32"/>
      <c r="D9" s="32"/>
      <c r="E9" s="32"/>
      <c r="F9" s="32"/>
      <c r="G9" s="32"/>
    </row>
    <row r="10" spans="1:8">
      <c r="A10" s="2047" t="s">
        <v>147</v>
      </c>
      <c r="B10" s="2047"/>
      <c r="C10" s="2045" t="str">
        <f>'CUMPLIMIENTO % '!C7</f>
        <v>LUIS GABRIEL IBARRA ANGEL</v>
      </c>
      <c r="D10" s="2045"/>
      <c r="E10" s="2045"/>
      <c r="F10" s="139" t="s">
        <v>409</v>
      </c>
      <c r="G10" s="950" t="str">
        <f>PORTADA!C31</f>
        <v>OCTUBRE - DICIEMBRE DEL 2020</v>
      </c>
    </row>
    <row r="11" spans="1:8" ht="13.5" thickBot="1"/>
    <row r="12" spans="1:8" ht="13.5" thickBot="1">
      <c r="A12" s="103" t="s">
        <v>6</v>
      </c>
      <c r="B12" s="100" t="s">
        <v>7</v>
      </c>
      <c r="C12" s="100" t="s">
        <v>78</v>
      </c>
      <c r="D12" s="100" t="s">
        <v>79</v>
      </c>
      <c r="E12" s="104" t="s">
        <v>42</v>
      </c>
      <c r="F12" s="949" t="s">
        <v>503</v>
      </c>
      <c r="G12" s="105" t="s">
        <v>13</v>
      </c>
    </row>
    <row r="13" spans="1:8" ht="89.25">
      <c r="A13" s="705" t="s">
        <v>678</v>
      </c>
      <c r="B13" s="706">
        <v>3602</v>
      </c>
      <c r="C13" s="707" t="s">
        <v>845</v>
      </c>
      <c r="D13" s="706" t="s">
        <v>642</v>
      </c>
      <c r="E13" s="1502" t="s">
        <v>1035</v>
      </c>
      <c r="F13" s="1507">
        <f>+'CANT OBRA 3602'!H125</f>
        <v>241740458.01526716</v>
      </c>
      <c r="G13" s="1504"/>
      <c r="H13" s="1483"/>
    </row>
    <row r="14" spans="1:8" s="1041" customFormat="1" ht="27" customHeight="1">
      <c r="A14" s="1053" t="s">
        <v>678</v>
      </c>
      <c r="B14" s="1054">
        <v>3602</v>
      </c>
      <c r="C14" s="1055" t="s">
        <v>845</v>
      </c>
      <c r="D14" s="1054" t="s">
        <v>642</v>
      </c>
      <c r="E14" s="1503" t="s">
        <v>1143</v>
      </c>
      <c r="F14" s="1507">
        <f>+'CANT OBRA 3602'!H350</f>
        <v>3360099400.5258279</v>
      </c>
      <c r="G14" s="1505" t="s">
        <v>1338</v>
      </c>
      <c r="H14" s="1484"/>
    </row>
    <row r="15" spans="1:8" ht="25.5">
      <c r="A15" s="708" t="s">
        <v>679</v>
      </c>
      <c r="B15" s="704" t="s">
        <v>680</v>
      </c>
      <c r="C15" s="704" t="s">
        <v>681</v>
      </c>
      <c r="D15" s="696" t="s">
        <v>682</v>
      </c>
      <c r="E15" s="1481" t="s">
        <v>683</v>
      </c>
      <c r="F15" s="1507">
        <f>'CANT OBRA 3603'!H17</f>
        <v>208863755.72519085</v>
      </c>
      <c r="G15" s="1482" t="s">
        <v>1055</v>
      </c>
      <c r="H15" s="1484"/>
    </row>
    <row r="16" spans="1:8" s="1041" customFormat="1" ht="102">
      <c r="A16" s="123" t="s">
        <v>536</v>
      </c>
      <c r="B16" s="1550">
        <v>3603</v>
      </c>
      <c r="C16" s="1055" t="s">
        <v>553</v>
      </c>
      <c r="D16" s="1056" t="s">
        <v>1144</v>
      </c>
      <c r="E16" s="1503" t="s">
        <v>1145</v>
      </c>
      <c r="F16" s="1507">
        <f>+'CANT OBRA 3603'!H133</f>
        <v>1433136047.3455822</v>
      </c>
      <c r="G16" s="1506" t="s">
        <v>1056</v>
      </c>
      <c r="H16" s="1509"/>
    </row>
    <row r="17" spans="1:7" ht="23.25" customHeight="1">
      <c r="A17" s="705"/>
      <c r="B17" s="706"/>
      <c r="C17" s="707"/>
      <c r="D17" s="706"/>
      <c r="E17" s="707"/>
      <c r="F17" s="701"/>
      <c r="G17" s="875"/>
    </row>
    <row r="18" spans="1:7" ht="18" customHeight="1">
      <c r="A18" s="70"/>
      <c r="B18" s="6"/>
      <c r="C18" s="6"/>
      <c r="D18" s="6"/>
      <c r="E18" s="6"/>
      <c r="F18" s="6"/>
      <c r="G18" s="22"/>
    </row>
    <row r="19" spans="1:7" ht="18" customHeight="1" thickBot="1">
      <c r="A19" s="106"/>
      <c r="B19" s="102"/>
      <c r="C19" s="102"/>
      <c r="D19" s="102"/>
      <c r="E19" s="102"/>
      <c r="F19" s="102"/>
      <c r="G19" s="89"/>
    </row>
    <row r="21" spans="1:7" ht="25.5" customHeight="1">
      <c r="A21" s="2042" t="s">
        <v>522</v>
      </c>
      <c r="B21" s="2042"/>
      <c r="C21" s="2042"/>
      <c r="D21" s="2042"/>
      <c r="E21" s="2042"/>
      <c r="F21" s="2042"/>
      <c r="G21" s="2042"/>
    </row>
    <row r="22" spans="1:7">
      <c r="A22" s="55" t="s">
        <v>888</v>
      </c>
      <c r="F22" s="1585" t="s">
        <v>440</v>
      </c>
      <c r="G22" s="2046"/>
    </row>
  </sheetData>
  <mergeCells count="9">
    <mergeCell ref="A1:G1"/>
    <mergeCell ref="A2:G2"/>
    <mergeCell ref="A4:G4"/>
    <mergeCell ref="A6:G6"/>
    <mergeCell ref="F22:G22"/>
    <mergeCell ref="A21:G21"/>
    <mergeCell ref="C10:E10"/>
    <mergeCell ref="A10:B10"/>
    <mergeCell ref="A7:G7"/>
  </mergeCells>
  <phoneticPr fontId="3" type="noConversion"/>
  <hyperlinks>
    <hyperlink ref="F22" location="'TABLA DE CONTENIDO'!A1" display="'TABLA DE CONTENIDO'!A1"/>
    <hyperlink ref="F22:G22" location="'TABLA DE CONTENIDO'!A1" display="VOLVER A TABLA DE CONTENIDO"/>
    <hyperlink ref="F13" location="'CANT OBRA 3602'!H125" display="'CANT OBRA 3602'!H125"/>
    <hyperlink ref="F14" location="'CANT OBRA 3602'!H350" display="'CANT OBRA 3602'!H350"/>
    <hyperlink ref="F15" location="'CANT OBRA 3603'!H17" display="'CANT OBRA 3603'!H17"/>
    <hyperlink ref="F16" location="'CANT OBRA 3603'!H133" display="'CANT OBRA 3603'!H133"/>
  </hyperlinks>
  <printOptions horizontalCentered="1" verticalCentered="1"/>
  <pageMargins left="0.59055118110236227" right="0.70866141732283472" top="0.78740157480314965" bottom="0.98425196850393704" header="0" footer="0"/>
  <pageSetup scale="71" orientation="landscape" horizontalDpi="300" verticalDpi="300" r:id="rId1"/>
  <headerFooter alignWithMargins="0"/>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000"/>
  <sheetViews>
    <sheetView view="pageBreakPreview" zoomScale="115" zoomScaleNormal="100" zoomScaleSheetLayoutView="115" workbookViewId="0">
      <selection activeCell="H343" sqref="H343"/>
    </sheetView>
  </sheetViews>
  <sheetFormatPr baseColWidth="10" defaultColWidth="14.42578125" defaultRowHeight="12.75"/>
  <cols>
    <col min="1" max="1" width="7.85546875" style="1041" customWidth="1"/>
    <col min="2" max="2" width="16.42578125" style="1041" customWidth="1"/>
    <col min="3" max="3" width="13" style="1041" customWidth="1"/>
    <col min="4" max="4" width="44" style="1041" customWidth="1"/>
    <col min="5" max="5" width="8.140625" style="1041" customWidth="1"/>
    <col min="6" max="6" width="22.5703125" style="1041" customWidth="1"/>
    <col min="7" max="7" width="22.42578125" style="1041" customWidth="1"/>
    <col min="8" max="8" width="24" style="1041" customWidth="1"/>
    <col min="9" max="9" width="14.7109375" style="1041" customWidth="1"/>
    <col min="10" max="12" width="11.42578125" style="1041" customWidth="1"/>
    <col min="13" max="26" width="10" style="1041" customWidth="1"/>
    <col min="27" max="16384" width="14.42578125" style="1041"/>
  </cols>
  <sheetData>
    <row r="1" spans="1:26" ht="12.75" customHeight="1">
      <c r="A1" s="2059" t="s">
        <v>0</v>
      </c>
      <c r="B1" s="2060"/>
      <c r="C1" s="2060"/>
      <c r="D1" s="2060"/>
      <c r="E1" s="2060"/>
      <c r="F1" s="2060"/>
      <c r="G1" s="2060"/>
      <c r="H1" s="2060"/>
      <c r="I1" s="1057"/>
      <c r="J1" s="1057"/>
      <c r="K1" s="1057"/>
      <c r="L1" s="1057"/>
      <c r="M1" s="1057"/>
      <c r="N1" s="1057"/>
      <c r="O1" s="1057"/>
      <c r="P1" s="1057"/>
      <c r="Q1" s="1057"/>
      <c r="R1" s="1057"/>
      <c r="S1" s="1057"/>
      <c r="T1" s="1057"/>
      <c r="U1" s="1057"/>
      <c r="V1" s="1057"/>
      <c r="W1" s="1057"/>
      <c r="X1" s="1057"/>
      <c r="Y1" s="1057"/>
      <c r="Z1" s="1057"/>
    </row>
    <row r="2" spans="1:26" ht="12.75" customHeight="1">
      <c r="A2" s="2059" t="s">
        <v>531</v>
      </c>
      <c r="B2" s="2060"/>
      <c r="C2" s="2060"/>
      <c r="D2" s="2060"/>
      <c r="E2" s="2060"/>
      <c r="F2" s="2060"/>
      <c r="G2" s="2060"/>
      <c r="H2" s="2060"/>
      <c r="I2" s="1057"/>
      <c r="J2" s="1057"/>
      <c r="K2" s="1057"/>
      <c r="L2" s="1057"/>
      <c r="M2" s="1057"/>
      <c r="N2" s="1057"/>
      <c r="O2" s="1057"/>
      <c r="P2" s="1057"/>
      <c r="Q2" s="1057"/>
      <c r="R2" s="1057"/>
      <c r="S2" s="1057"/>
      <c r="T2" s="1057"/>
      <c r="U2" s="1057"/>
      <c r="V2" s="1057"/>
      <c r="W2" s="1057"/>
      <c r="X2" s="1057"/>
      <c r="Y2" s="1057"/>
      <c r="Z2" s="1057"/>
    </row>
    <row r="3" spans="1:26" ht="12.75" customHeight="1">
      <c r="A3" s="2059" t="s">
        <v>60</v>
      </c>
      <c r="B3" s="2060"/>
      <c r="C3" s="2060"/>
      <c r="D3" s="2060"/>
      <c r="E3" s="2060"/>
      <c r="F3" s="2060"/>
      <c r="G3" s="2060"/>
      <c r="H3" s="2060"/>
      <c r="I3" s="1058"/>
      <c r="J3" s="1057"/>
      <c r="K3" s="1057"/>
      <c r="L3" s="1057"/>
      <c r="M3" s="1057"/>
      <c r="N3" s="1057"/>
      <c r="O3" s="1057"/>
      <c r="P3" s="1057"/>
      <c r="Q3" s="1057"/>
      <c r="R3" s="1057"/>
      <c r="S3" s="1057"/>
      <c r="T3" s="1057"/>
      <c r="U3" s="1057"/>
      <c r="V3" s="1057"/>
      <c r="W3" s="1057"/>
      <c r="X3" s="1057"/>
      <c r="Y3" s="1057"/>
      <c r="Z3" s="1057"/>
    </row>
    <row r="4" spans="1:26" ht="12.75" customHeight="1">
      <c r="A4" s="1058"/>
      <c r="B4" s="1058"/>
      <c r="C4" s="1058"/>
      <c r="D4" s="1057"/>
      <c r="E4" s="1059"/>
      <c r="F4" s="1057"/>
      <c r="G4" s="1057"/>
      <c r="H4" s="1057"/>
      <c r="I4" s="1057"/>
      <c r="J4" s="1057"/>
      <c r="K4" s="1057"/>
      <c r="L4" s="1057"/>
      <c r="M4" s="1057"/>
      <c r="N4" s="1057"/>
      <c r="O4" s="1057"/>
      <c r="P4" s="1057"/>
      <c r="Q4" s="1057"/>
      <c r="R4" s="1057"/>
      <c r="S4" s="1057"/>
      <c r="T4" s="1057"/>
      <c r="U4" s="1057"/>
      <c r="V4" s="1057"/>
      <c r="W4" s="1057"/>
      <c r="X4" s="1057"/>
      <c r="Y4" s="1057"/>
      <c r="Z4" s="1057"/>
    </row>
    <row r="5" spans="1:26" ht="12.75" customHeight="1">
      <c r="A5" s="2059" t="s">
        <v>316</v>
      </c>
      <c r="B5" s="2060"/>
      <c r="C5" s="2060"/>
      <c r="D5" s="2060"/>
      <c r="E5" s="2060"/>
      <c r="F5" s="2060"/>
      <c r="G5" s="2060"/>
      <c r="H5" s="2060"/>
      <c r="I5" s="1057"/>
      <c r="J5" s="1057"/>
      <c r="K5" s="1057"/>
      <c r="L5" s="1057"/>
      <c r="M5" s="1057"/>
      <c r="N5" s="1057"/>
      <c r="O5" s="1057"/>
      <c r="P5" s="1057"/>
      <c r="Q5" s="1057"/>
      <c r="R5" s="1057"/>
      <c r="S5" s="1057"/>
      <c r="T5" s="1057"/>
      <c r="U5" s="1057"/>
      <c r="V5" s="1057"/>
      <c r="W5" s="1057"/>
      <c r="X5" s="1057"/>
      <c r="Y5" s="1057"/>
      <c r="Z5" s="1057"/>
    </row>
    <row r="6" spans="1:26" ht="12.75" customHeight="1">
      <c r="A6" s="2061" t="s">
        <v>502</v>
      </c>
      <c r="B6" s="2062"/>
      <c r="C6" s="2062"/>
      <c r="D6" s="2062"/>
      <c r="E6" s="2062"/>
      <c r="F6" s="2062"/>
      <c r="G6" s="2062"/>
      <c r="H6" s="2062"/>
      <c r="I6" s="1057"/>
      <c r="J6" s="1057"/>
      <c r="K6" s="1057"/>
      <c r="L6" s="1057"/>
      <c r="M6" s="1057"/>
      <c r="N6" s="1057"/>
      <c r="O6" s="1057"/>
      <c r="P6" s="1057"/>
      <c r="Q6" s="1057"/>
      <c r="R6" s="1057"/>
      <c r="S6" s="1057"/>
      <c r="T6" s="1057"/>
      <c r="U6" s="1057"/>
      <c r="V6" s="1057"/>
      <c r="W6" s="1057"/>
      <c r="X6" s="1057"/>
      <c r="Y6" s="1057"/>
      <c r="Z6" s="1057"/>
    </row>
    <row r="7" spans="1:26" ht="45.75" customHeight="1">
      <c r="A7" s="1060" t="s">
        <v>147</v>
      </c>
      <c r="B7" s="1036"/>
      <c r="C7" s="2068" t="s">
        <v>1120</v>
      </c>
      <c r="D7" s="2060"/>
      <c r="E7" s="1057"/>
      <c r="F7" s="1061" t="s">
        <v>409</v>
      </c>
      <c r="G7" s="2071" t="str">
        <f>+'NECESIDADES CRITICAS'!G10</f>
        <v>OCTUBRE - DICIEMBRE DEL 2020</v>
      </c>
      <c r="H7" s="2070"/>
      <c r="I7" s="1057"/>
      <c r="J7" s="1057"/>
      <c r="K7" s="1057"/>
      <c r="L7" s="1057"/>
      <c r="M7" s="1057"/>
      <c r="N7" s="1057"/>
      <c r="O7" s="1057"/>
      <c r="P7" s="1057"/>
      <c r="Q7" s="1057"/>
      <c r="R7" s="1057"/>
      <c r="S7" s="1057"/>
      <c r="T7" s="1057"/>
      <c r="U7" s="1057"/>
      <c r="V7" s="1057"/>
      <c r="W7" s="1057"/>
      <c r="X7" s="1057"/>
      <c r="Y7" s="1057"/>
      <c r="Z7" s="1057"/>
    </row>
    <row r="8" spans="1:26" ht="18" customHeight="1">
      <c r="A8" s="1060" t="s">
        <v>110</v>
      </c>
      <c r="B8" s="1036"/>
      <c r="C8" s="2072" t="s">
        <v>565</v>
      </c>
      <c r="D8" s="2070"/>
      <c r="E8" s="1058" t="s">
        <v>317</v>
      </c>
      <c r="F8" s="2069" t="s">
        <v>1091</v>
      </c>
      <c r="G8" s="2070"/>
      <c r="H8" s="1062"/>
      <c r="I8" s="1057"/>
      <c r="J8" s="1057"/>
      <c r="K8" s="1057"/>
      <c r="L8" s="1057"/>
      <c r="M8" s="1057"/>
      <c r="N8" s="1057"/>
      <c r="O8" s="1057"/>
      <c r="P8" s="1057"/>
      <c r="Q8" s="1057"/>
      <c r="R8" s="1057"/>
      <c r="S8" s="1057"/>
      <c r="T8" s="1057"/>
      <c r="U8" s="1057"/>
      <c r="V8" s="1057"/>
      <c r="W8" s="1057"/>
      <c r="X8" s="1057"/>
      <c r="Y8" s="1057"/>
      <c r="Z8" s="1057"/>
    </row>
    <row r="9" spans="1:26" ht="15" customHeight="1" thickBot="1">
      <c r="A9" s="1036"/>
      <c r="B9" s="1036"/>
      <c r="C9" s="1036"/>
      <c r="D9" s="1036"/>
      <c r="E9" s="1036"/>
      <c r="F9" s="1036"/>
      <c r="G9" s="1036"/>
      <c r="H9" s="1057"/>
      <c r="I9" s="1057"/>
      <c r="J9" s="1057"/>
      <c r="K9" s="1057"/>
      <c r="L9" s="1057"/>
      <c r="M9" s="1057"/>
      <c r="N9" s="1057"/>
      <c r="O9" s="1057"/>
      <c r="P9" s="1057"/>
      <c r="Q9" s="1057"/>
      <c r="R9" s="1057"/>
      <c r="S9" s="1057"/>
      <c r="T9" s="1057"/>
      <c r="U9" s="1057"/>
      <c r="V9" s="1057"/>
      <c r="W9" s="1057"/>
      <c r="X9" s="1057"/>
      <c r="Y9" s="1057"/>
      <c r="Z9" s="1057"/>
    </row>
    <row r="10" spans="1:26" ht="17.25" customHeight="1" thickBot="1">
      <c r="A10" s="2064" t="s">
        <v>390</v>
      </c>
      <c r="B10" s="2066" t="s">
        <v>391</v>
      </c>
      <c r="C10" s="2067"/>
      <c r="D10" s="1059"/>
      <c r="E10" s="1059"/>
      <c r="F10" s="1059"/>
      <c r="G10" s="1059"/>
      <c r="H10" s="1059"/>
      <c r="I10" s="1059"/>
      <c r="J10" s="1059"/>
      <c r="K10" s="1059"/>
      <c r="L10" s="1059"/>
      <c r="M10" s="1059"/>
      <c r="N10" s="1059"/>
      <c r="O10" s="1059"/>
      <c r="P10" s="1059"/>
      <c r="Q10" s="1059"/>
      <c r="R10" s="1059"/>
      <c r="S10" s="1059"/>
      <c r="T10" s="1059"/>
      <c r="U10" s="1059"/>
      <c r="V10" s="1059"/>
      <c r="W10" s="1059"/>
      <c r="X10" s="1059"/>
      <c r="Y10" s="1059"/>
      <c r="Z10" s="1059"/>
    </row>
    <row r="11" spans="1:26" ht="29.25" customHeight="1">
      <c r="A11" s="2065"/>
      <c r="B11" s="1063" t="s">
        <v>500</v>
      </c>
      <c r="C11" s="1063" t="s">
        <v>501</v>
      </c>
      <c r="D11" s="1064" t="s">
        <v>80</v>
      </c>
      <c r="E11" s="1064" t="s">
        <v>61</v>
      </c>
      <c r="F11" s="1064" t="s">
        <v>62</v>
      </c>
      <c r="G11" s="1065" t="s">
        <v>63</v>
      </c>
      <c r="H11" s="1066" t="s">
        <v>1048</v>
      </c>
      <c r="I11" s="1067"/>
      <c r="J11" s="1067"/>
      <c r="K11" s="1067"/>
      <c r="L11" s="1067"/>
      <c r="M11" s="1067"/>
      <c r="N11" s="1067"/>
      <c r="O11" s="1067"/>
      <c r="P11" s="1067"/>
      <c r="Q11" s="1067"/>
      <c r="R11" s="1067"/>
      <c r="S11" s="1067"/>
      <c r="T11" s="1067"/>
      <c r="U11" s="1067"/>
      <c r="V11" s="1067"/>
      <c r="W11" s="1067"/>
      <c r="X11" s="1067"/>
      <c r="Y11" s="1067"/>
      <c r="Z11" s="1067"/>
    </row>
    <row r="12" spans="1:26" ht="16.5" customHeight="1">
      <c r="A12" s="1050"/>
      <c r="B12" s="1050"/>
      <c r="C12" s="1050"/>
      <c r="D12" s="1050"/>
      <c r="E12" s="1050"/>
      <c r="F12" s="1050"/>
      <c r="G12" s="1050"/>
      <c r="H12" s="1050"/>
      <c r="I12" s="1059"/>
      <c r="J12" s="1059"/>
      <c r="K12" s="1059"/>
      <c r="L12" s="1059"/>
      <c r="M12" s="1059"/>
      <c r="N12" s="1059"/>
      <c r="O12" s="1059"/>
      <c r="P12" s="1059"/>
      <c r="Q12" s="1059"/>
      <c r="R12" s="1059"/>
      <c r="S12" s="1059"/>
      <c r="T12" s="1059"/>
      <c r="U12" s="1059"/>
      <c r="V12" s="1059"/>
      <c r="W12" s="1059"/>
      <c r="X12" s="1059"/>
      <c r="Y12" s="1059"/>
      <c r="Z12" s="1059"/>
    </row>
    <row r="13" spans="1:26" ht="14.25" customHeight="1">
      <c r="A13" s="1068" t="s">
        <v>1146</v>
      </c>
      <c r="B13" s="1050"/>
      <c r="C13" s="1050"/>
      <c r="D13" s="1050"/>
      <c r="E13" s="1050"/>
      <c r="F13" s="1050"/>
      <c r="G13" s="1050"/>
      <c r="H13" s="1050"/>
      <c r="I13" s="1059"/>
      <c r="J13" s="1059"/>
      <c r="K13" s="1059"/>
      <c r="L13" s="1059"/>
      <c r="M13" s="1059"/>
      <c r="N13" s="1059"/>
      <c r="O13" s="1059"/>
      <c r="P13" s="1059"/>
      <c r="Q13" s="1059"/>
      <c r="R13" s="1059"/>
      <c r="S13" s="1059"/>
      <c r="T13" s="1059"/>
      <c r="U13" s="1059"/>
      <c r="V13" s="1059"/>
      <c r="W13" s="1059"/>
      <c r="X13" s="1059"/>
      <c r="Y13" s="1059"/>
      <c r="Z13" s="1059"/>
    </row>
    <row r="14" spans="1:26" ht="14.25" customHeight="1">
      <c r="A14" s="1069"/>
      <c r="B14" s="1070">
        <v>201.7</v>
      </c>
      <c r="C14" s="1071" t="s">
        <v>1147</v>
      </c>
      <c r="D14" s="1072" t="s">
        <v>1148</v>
      </c>
      <c r="E14" s="1070" t="s">
        <v>842</v>
      </c>
      <c r="F14" s="1050">
        <v>15</v>
      </c>
      <c r="G14" s="1073">
        <f>160192.483848485*1.06</f>
        <v>169804.0328793941</v>
      </c>
      <c r="H14" s="1074">
        <f t="shared" ref="H14:H24" si="0">F14*G14</f>
        <v>2547060.4931909116</v>
      </c>
      <c r="I14" s="1059"/>
      <c r="J14" s="1059"/>
      <c r="K14" s="1059"/>
      <c r="L14" s="1059"/>
      <c r="M14" s="1059"/>
      <c r="N14" s="1059"/>
      <c r="O14" s="1059"/>
      <c r="P14" s="1059"/>
      <c r="Q14" s="1059"/>
      <c r="R14" s="1059"/>
      <c r="S14" s="1059"/>
      <c r="T14" s="1059"/>
      <c r="U14" s="1059"/>
      <c r="V14" s="1059"/>
      <c r="W14" s="1059"/>
      <c r="X14" s="1059"/>
      <c r="Y14" s="1059"/>
      <c r="Z14" s="1059"/>
    </row>
    <row r="15" spans="1:26" ht="64.5" customHeight="1">
      <c r="A15" s="1069"/>
      <c r="B15" s="1070">
        <v>465.2</v>
      </c>
      <c r="C15" s="1071">
        <v>465.2</v>
      </c>
      <c r="D15" s="1075" t="s">
        <v>1149</v>
      </c>
      <c r="E15" s="1070" t="s">
        <v>842</v>
      </c>
      <c r="F15" s="1076">
        <f>8754*6.98*0.1</f>
        <v>6110.2920000000013</v>
      </c>
      <c r="G15" s="1528">
        <f>24735*1.06</f>
        <v>26219.100000000002</v>
      </c>
      <c r="H15" s="1529">
        <f t="shared" si="0"/>
        <v>160206356.97720006</v>
      </c>
      <c r="I15" s="1059"/>
      <c r="J15" s="1059"/>
      <c r="K15" s="1059"/>
      <c r="L15" s="1059"/>
      <c r="M15" s="1059"/>
      <c r="N15" s="1059"/>
      <c r="O15" s="1059"/>
      <c r="P15" s="1059"/>
      <c r="Q15" s="1059"/>
      <c r="R15" s="1059"/>
      <c r="S15" s="1059"/>
      <c r="T15" s="1059"/>
      <c r="U15" s="1059"/>
      <c r="V15" s="1059"/>
      <c r="W15" s="1059"/>
      <c r="X15" s="1059"/>
      <c r="Y15" s="1059"/>
      <c r="Z15" s="1059"/>
    </row>
    <row r="16" spans="1:26" ht="30" customHeight="1">
      <c r="A16" s="1069"/>
      <c r="B16" s="1070" t="s">
        <v>1150</v>
      </c>
      <c r="C16" s="1071" t="s">
        <v>1150</v>
      </c>
      <c r="D16" s="1075" t="s">
        <v>1151</v>
      </c>
      <c r="E16" s="1077" t="s">
        <v>842</v>
      </c>
      <c r="F16" s="1076">
        <f>8754*6.98*0.4</f>
        <v>24441.168000000005</v>
      </c>
      <c r="G16" s="1528">
        <f>16260*1.06</f>
        <v>17235.600000000002</v>
      </c>
      <c r="H16" s="1529">
        <f t="shared" si="0"/>
        <v>421258195.18080014</v>
      </c>
      <c r="I16" s="1059"/>
      <c r="J16" s="1059"/>
      <c r="K16" s="1059"/>
      <c r="L16" s="1059"/>
      <c r="M16" s="1059"/>
      <c r="N16" s="1059"/>
      <c r="O16" s="1059"/>
      <c r="P16" s="1059"/>
      <c r="Q16" s="1059"/>
      <c r="R16" s="1059"/>
      <c r="S16" s="1059"/>
      <c r="T16" s="1059"/>
      <c r="U16" s="1059"/>
      <c r="V16" s="1059"/>
      <c r="W16" s="1059"/>
      <c r="X16" s="1059"/>
      <c r="Y16" s="1059"/>
      <c r="Z16" s="1059"/>
    </row>
    <row r="17" spans="1:26" ht="33" customHeight="1">
      <c r="A17" s="1069"/>
      <c r="B17" s="1070">
        <v>231.1</v>
      </c>
      <c r="C17" s="1071" t="s">
        <v>1152</v>
      </c>
      <c r="D17" s="1075" t="s">
        <v>1153</v>
      </c>
      <c r="E17" s="1077" t="s">
        <v>673</v>
      </c>
      <c r="F17" s="1076">
        <f>8754*7.8</f>
        <v>68281.2</v>
      </c>
      <c r="G17" s="1528">
        <f>8887.42049*1.06</f>
        <v>9420.6657194000018</v>
      </c>
      <c r="H17" s="1529">
        <f t="shared" si="0"/>
        <v>643254360.11949539</v>
      </c>
      <c r="I17" s="1059"/>
      <c r="J17" s="1059"/>
      <c r="K17" s="1059"/>
      <c r="L17" s="1059"/>
      <c r="M17" s="1059"/>
      <c r="N17" s="1059"/>
      <c r="O17" s="1059"/>
      <c r="P17" s="1059"/>
      <c r="Q17" s="1059"/>
      <c r="R17" s="1059"/>
      <c r="S17" s="1059"/>
      <c r="T17" s="1059"/>
      <c r="U17" s="1059"/>
      <c r="V17" s="1059"/>
      <c r="W17" s="1059"/>
      <c r="X17" s="1059"/>
      <c r="Y17" s="1059"/>
      <c r="Z17" s="1059"/>
    </row>
    <row r="18" spans="1:26" ht="14.25" customHeight="1">
      <c r="A18" s="1069"/>
      <c r="B18" s="1070">
        <v>320.10000000000002</v>
      </c>
      <c r="C18" s="1071">
        <v>320.10000000000002</v>
      </c>
      <c r="D18" s="1072" t="s">
        <v>1154</v>
      </c>
      <c r="E18" s="1077" t="s">
        <v>842</v>
      </c>
      <c r="F18" s="1076">
        <f>8754*6.98*0.3</f>
        <v>18330.876</v>
      </c>
      <c r="G18" s="1528">
        <f>81512*1.06</f>
        <v>86402.72</v>
      </c>
      <c r="H18" s="1529">
        <f t="shared" si="0"/>
        <v>1583837546.38272</v>
      </c>
      <c r="I18" s="1059"/>
      <c r="J18" s="1059"/>
      <c r="K18" s="1059"/>
      <c r="L18" s="1059"/>
      <c r="M18" s="1059"/>
      <c r="N18" s="1059"/>
      <c r="O18" s="1059"/>
      <c r="P18" s="1059"/>
      <c r="Q18" s="1059"/>
      <c r="R18" s="1059"/>
      <c r="S18" s="1059"/>
      <c r="T18" s="1059"/>
      <c r="U18" s="1059"/>
      <c r="V18" s="1059"/>
      <c r="W18" s="1059"/>
      <c r="X18" s="1059"/>
      <c r="Y18" s="1059"/>
      <c r="Z18" s="1059"/>
    </row>
    <row r="19" spans="1:26" ht="14.25" customHeight="1">
      <c r="A19" s="1069"/>
      <c r="B19" s="1070">
        <v>330.1</v>
      </c>
      <c r="C19" s="1071" t="s">
        <v>1155</v>
      </c>
      <c r="D19" s="1072" t="s">
        <v>1156</v>
      </c>
      <c r="E19" s="1077" t="s">
        <v>842</v>
      </c>
      <c r="F19" s="1076">
        <f>8754*6.98*0.2</f>
        <v>12220.584000000003</v>
      </c>
      <c r="G19" s="1528">
        <f>100675.24025*1.06</f>
        <v>106715.75466500001</v>
      </c>
      <c r="H19" s="1529">
        <f t="shared" si="0"/>
        <v>1304128844.0070248</v>
      </c>
      <c r="I19" s="1059"/>
      <c r="J19" s="1059"/>
      <c r="K19" s="1059"/>
      <c r="L19" s="1059"/>
      <c r="M19" s="1059"/>
      <c r="N19" s="1059"/>
      <c r="O19" s="1059"/>
      <c r="P19" s="1059"/>
      <c r="Q19" s="1059"/>
      <c r="R19" s="1059"/>
      <c r="S19" s="1059"/>
      <c r="T19" s="1059"/>
      <c r="U19" s="1059"/>
      <c r="V19" s="1059"/>
      <c r="W19" s="1059"/>
      <c r="X19" s="1059"/>
      <c r="Y19" s="1059"/>
      <c r="Z19" s="1059"/>
    </row>
    <row r="20" spans="1:26" ht="14.25" customHeight="1">
      <c r="A20" s="1069"/>
      <c r="B20" s="1070" t="s">
        <v>1157</v>
      </c>
      <c r="C20" s="1071" t="s">
        <v>1158</v>
      </c>
      <c r="D20" s="1072" t="s">
        <v>1159</v>
      </c>
      <c r="E20" s="1077" t="s">
        <v>842</v>
      </c>
      <c r="F20" s="1076">
        <f>8754*6.98*0.1</f>
        <v>6110.2920000000013</v>
      </c>
      <c r="G20" s="1528">
        <f>712144.20875*1.06</f>
        <v>754872.86127500003</v>
      </c>
      <c r="H20" s="1529">
        <f t="shared" si="0"/>
        <v>4612493605.2657433</v>
      </c>
      <c r="I20" s="1059"/>
      <c r="J20" s="1059"/>
      <c r="K20" s="1059"/>
      <c r="L20" s="1059"/>
      <c r="M20" s="1059"/>
      <c r="N20" s="1059"/>
      <c r="O20" s="1059"/>
      <c r="P20" s="1059"/>
      <c r="Q20" s="1059"/>
      <c r="R20" s="1059"/>
      <c r="S20" s="1059"/>
      <c r="T20" s="1059"/>
      <c r="U20" s="1059"/>
      <c r="V20" s="1059"/>
      <c r="W20" s="1059"/>
      <c r="X20" s="1059"/>
      <c r="Y20" s="1059"/>
      <c r="Z20" s="1059"/>
    </row>
    <row r="21" spans="1:26" ht="30.75" customHeight="1">
      <c r="A21" s="1069"/>
      <c r="B21" s="1070" t="s">
        <v>1160</v>
      </c>
      <c r="C21" s="1071" t="s">
        <v>1160</v>
      </c>
      <c r="D21" s="1075" t="s">
        <v>1161</v>
      </c>
      <c r="E21" s="1077" t="s">
        <v>842</v>
      </c>
      <c r="F21" s="1076">
        <f>3200*1.2*0.15</f>
        <v>576</v>
      </c>
      <c r="G21" s="1528">
        <f>493289.81*1.06</f>
        <v>522887.1986</v>
      </c>
      <c r="H21" s="1529">
        <f t="shared" si="0"/>
        <v>301183026.39359999</v>
      </c>
      <c r="I21" s="1059"/>
      <c r="J21" s="1059"/>
      <c r="K21" s="1059"/>
      <c r="L21" s="1059"/>
      <c r="M21" s="1059"/>
      <c r="N21" s="1059"/>
      <c r="O21" s="1059"/>
      <c r="P21" s="1059"/>
      <c r="Q21" s="1059"/>
      <c r="R21" s="1059"/>
      <c r="S21" s="1059"/>
      <c r="T21" s="1059"/>
      <c r="U21" s="1059"/>
      <c r="V21" s="1059"/>
      <c r="W21" s="1059"/>
      <c r="X21" s="1059"/>
      <c r="Y21" s="1059"/>
      <c r="Z21" s="1059"/>
    </row>
    <row r="22" spans="1:26" ht="14.25" customHeight="1">
      <c r="A22" s="1069"/>
      <c r="B22" s="1070">
        <v>700.1</v>
      </c>
      <c r="C22" s="1071" t="s">
        <v>1162</v>
      </c>
      <c r="D22" s="1072" t="s">
        <v>1163</v>
      </c>
      <c r="E22" s="1077" t="s">
        <v>677</v>
      </c>
      <c r="F22" s="1076">
        <f>8754*3</f>
        <v>26262</v>
      </c>
      <c r="G22" s="1528">
        <f>1872.2176525*1.06</f>
        <v>1984.55071165</v>
      </c>
      <c r="H22" s="1529">
        <f t="shared" si="0"/>
        <v>52118270.789352298</v>
      </c>
      <c r="I22" s="1059"/>
      <c r="J22" s="1059"/>
      <c r="K22" s="1059"/>
      <c r="L22" s="1059"/>
      <c r="M22" s="1059"/>
      <c r="N22" s="1059"/>
      <c r="O22" s="1059"/>
      <c r="P22" s="1059"/>
      <c r="Q22" s="1059"/>
      <c r="R22" s="1059"/>
      <c r="S22" s="1059"/>
      <c r="T22" s="1059"/>
      <c r="U22" s="1059"/>
      <c r="V22" s="1059"/>
      <c r="W22" s="1059"/>
      <c r="X22" s="1059"/>
      <c r="Y22" s="1059"/>
      <c r="Z22" s="1059"/>
    </row>
    <row r="23" spans="1:26" ht="14.25" customHeight="1">
      <c r="A23" s="1069"/>
      <c r="B23" s="1070">
        <v>630.4</v>
      </c>
      <c r="C23" s="1071" t="s">
        <v>1164</v>
      </c>
      <c r="D23" s="1072" t="s">
        <v>1165</v>
      </c>
      <c r="E23" s="1077" t="s">
        <v>842</v>
      </c>
      <c r="F23" s="1076">
        <v>45</v>
      </c>
      <c r="G23" s="1528">
        <f>629181.028125*1.06</f>
        <v>666931.88981249998</v>
      </c>
      <c r="H23" s="1529">
        <f t="shared" si="0"/>
        <v>30011935.041562498</v>
      </c>
      <c r="I23" s="1059"/>
      <c r="J23" s="1059"/>
      <c r="K23" s="1059"/>
      <c r="L23" s="1059"/>
      <c r="M23" s="1059"/>
      <c r="N23" s="1059"/>
      <c r="O23" s="1059"/>
      <c r="P23" s="1059"/>
      <c r="Q23" s="1059"/>
      <c r="R23" s="1059"/>
      <c r="S23" s="1059"/>
      <c r="T23" s="1059"/>
      <c r="U23" s="1059"/>
      <c r="V23" s="1059"/>
      <c r="W23" s="1059"/>
      <c r="X23" s="1059"/>
      <c r="Y23" s="1059"/>
      <c r="Z23" s="1059"/>
    </row>
    <row r="24" spans="1:26" ht="14.25" customHeight="1">
      <c r="A24" s="1069"/>
      <c r="B24" s="1070">
        <v>681.1</v>
      </c>
      <c r="C24" s="1071" t="s">
        <v>1166</v>
      </c>
      <c r="D24" s="1075" t="s">
        <v>1167</v>
      </c>
      <c r="E24" s="1077" t="s">
        <v>842</v>
      </c>
      <c r="F24" s="1076">
        <v>40</v>
      </c>
      <c r="G24" s="1528">
        <f>172240*1.06</f>
        <v>182574.40000000002</v>
      </c>
      <c r="H24" s="1529">
        <f t="shared" si="0"/>
        <v>7302976.0000000009</v>
      </c>
      <c r="I24" s="1059"/>
      <c r="J24" s="1059"/>
      <c r="K24" s="1059"/>
      <c r="L24" s="1059"/>
      <c r="M24" s="1059"/>
      <c r="N24" s="1059"/>
      <c r="O24" s="1059"/>
      <c r="P24" s="1059"/>
      <c r="Q24" s="1059"/>
      <c r="R24" s="1059"/>
      <c r="S24" s="1059"/>
      <c r="T24" s="1059"/>
      <c r="U24" s="1059"/>
      <c r="V24" s="1059"/>
      <c r="W24" s="1059"/>
      <c r="X24" s="1059"/>
      <c r="Y24" s="1059"/>
      <c r="Z24" s="1059"/>
    </row>
    <row r="25" spans="1:26" ht="14.25" customHeight="1">
      <c r="A25" s="1069"/>
      <c r="B25" s="1070"/>
      <c r="C25" s="1071"/>
      <c r="D25" s="1075"/>
      <c r="E25" s="1077"/>
      <c r="F25" s="1076"/>
      <c r="G25" s="1073"/>
      <c r="H25" s="1074"/>
      <c r="I25" s="1059"/>
      <c r="J25" s="1059"/>
      <c r="K25" s="1059"/>
      <c r="L25" s="1059"/>
      <c r="M25" s="1059"/>
      <c r="N25" s="1059"/>
      <c r="O25" s="1059"/>
      <c r="P25" s="1059"/>
      <c r="Q25" s="1059"/>
      <c r="R25" s="1059"/>
      <c r="S25" s="1059"/>
      <c r="T25" s="1059"/>
      <c r="U25" s="1059"/>
      <c r="V25" s="1059"/>
      <c r="W25" s="1059"/>
      <c r="X25" s="1059"/>
      <c r="Y25" s="1059"/>
      <c r="Z25" s="1059"/>
    </row>
    <row r="26" spans="1:26" ht="14.25" customHeight="1">
      <c r="A26" s="1079"/>
      <c r="B26" s="1080"/>
      <c r="C26" s="1081"/>
      <c r="D26" s="2051" t="s">
        <v>1168</v>
      </c>
      <c r="E26" s="2052"/>
      <c r="F26" s="2052"/>
      <c r="G26" s="2052"/>
      <c r="H26" s="2053"/>
      <c r="I26" s="1059"/>
      <c r="J26" s="1059"/>
      <c r="K26" s="1059"/>
      <c r="L26" s="1059"/>
      <c r="M26" s="1059"/>
      <c r="N26" s="1059"/>
      <c r="O26" s="1059"/>
      <c r="P26" s="1059"/>
      <c r="Q26" s="1059"/>
      <c r="R26" s="1059"/>
      <c r="S26" s="1059"/>
      <c r="T26" s="1059"/>
      <c r="U26" s="1059"/>
      <c r="V26" s="1059"/>
      <c r="W26" s="1059"/>
      <c r="X26" s="1059"/>
      <c r="Y26" s="1059"/>
      <c r="Z26" s="1059"/>
    </row>
    <row r="27" spans="1:26" ht="14.25" customHeight="1">
      <c r="A27" s="1069"/>
      <c r="B27" s="1070"/>
      <c r="C27" s="1071" t="s">
        <v>1058</v>
      </c>
      <c r="D27" s="1082" t="s">
        <v>1169</v>
      </c>
      <c r="E27" s="1071" t="s">
        <v>842</v>
      </c>
      <c r="F27" s="1071">
        <f>500*25*0.1</f>
        <v>1250</v>
      </c>
      <c r="G27" s="1073">
        <f>17968*1.06</f>
        <v>19046.080000000002</v>
      </c>
      <c r="H27" s="1074">
        <f t="shared" ref="H27:H28" si="1">F27*G27</f>
        <v>23807600.000000004</v>
      </c>
      <c r="I27" s="1059"/>
      <c r="J27" s="1059"/>
      <c r="K27" s="1059"/>
      <c r="L27" s="1059"/>
      <c r="M27" s="1059"/>
      <c r="N27" s="1059"/>
      <c r="O27" s="1059"/>
      <c r="P27" s="1059"/>
      <c r="Q27" s="1059"/>
      <c r="R27" s="1059"/>
      <c r="S27" s="1059"/>
      <c r="T27" s="1059"/>
      <c r="U27" s="1059"/>
      <c r="V27" s="1059"/>
      <c r="W27" s="1059"/>
      <c r="X27" s="1059"/>
      <c r="Y27" s="1059"/>
      <c r="Z27" s="1059"/>
    </row>
    <row r="28" spans="1:26" ht="14.25" customHeight="1">
      <c r="A28" s="1069"/>
      <c r="B28" s="1070">
        <v>810.1</v>
      </c>
      <c r="C28" s="1071" t="s">
        <v>1171</v>
      </c>
      <c r="D28" s="1082" t="s">
        <v>1172</v>
      </c>
      <c r="E28" s="1071" t="s">
        <v>673</v>
      </c>
      <c r="F28" s="1071">
        <f>500*25</f>
        <v>12500</v>
      </c>
      <c r="G28" s="1073">
        <f>12873*1.06</f>
        <v>13645.380000000001</v>
      </c>
      <c r="H28" s="1074">
        <f t="shared" si="1"/>
        <v>170567250</v>
      </c>
      <c r="I28" s="1059"/>
      <c r="J28" s="1059"/>
      <c r="K28" s="1059"/>
      <c r="L28" s="1059"/>
      <c r="M28" s="1059"/>
      <c r="N28" s="1059"/>
      <c r="O28" s="1059"/>
      <c r="P28" s="1059"/>
      <c r="Q28" s="1059"/>
      <c r="R28" s="1059"/>
      <c r="S28" s="1059"/>
      <c r="T28" s="1059"/>
      <c r="U28" s="1059"/>
      <c r="V28" s="1059"/>
      <c r="W28" s="1059"/>
      <c r="X28" s="1059"/>
      <c r="Y28" s="1059"/>
      <c r="Z28" s="1059"/>
    </row>
    <row r="29" spans="1:26" ht="14.25" customHeight="1">
      <c r="A29" s="1069"/>
      <c r="B29" s="1069"/>
      <c r="C29" s="1083"/>
      <c r="D29" s="1050"/>
      <c r="E29" s="1050"/>
      <c r="F29" s="1050"/>
      <c r="G29" s="1073"/>
      <c r="H29" s="1049"/>
      <c r="I29" s="1059"/>
      <c r="J29" s="1059"/>
      <c r="K29" s="1059"/>
      <c r="L29" s="1059"/>
      <c r="M29" s="1059"/>
      <c r="N29" s="1059"/>
      <c r="O29" s="1059"/>
      <c r="P29" s="1059"/>
      <c r="Q29" s="1059"/>
      <c r="R29" s="1059"/>
      <c r="S29" s="1059"/>
      <c r="T29" s="1059"/>
      <c r="U29" s="1059"/>
      <c r="V29" s="1059"/>
      <c r="W29" s="1059"/>
      <c r="X29" s="1059"/>
      <c r="Y29" s="1059"/>
      <c r="Z29" s="1059"/>
    </row>
    <row r="30" spans="1:26" ht="14.25" customHeight="1">
      <c r="A30" s="1069"/>
      <c r="B30" s="1069"/>
      <c r="C30" s="1083"/>
      <c r="D30" s="1050"/>
      <c r="E30" s="1050"/>
      <c r="F30" s="1050"/>
      <c r="G30" s="1084" t="s">
        <v>1173</v>
      </c>
      <c r="H30" s="1085">
        <f>SUM(H14:H28)</f>
        <v>9312717026.6506901</v>
      </c>
      <c r="I30" s="1059"/>
      <c r="J30" s="1059"/>
      <c r="K30" s="1059"/>
      <c r="L30" s="1059"/>
      <c r="M30" s="1059"/>
      <c r="N30" s="1059"/>
      <c r="O30" s="1059"/>
      <c r="P30" s="1059"/>
      <c r="Q30" s="1059"/>
      <c r="R30" s="1059"/>
      <c r="S30" s="1059"/>
      <c r="T30" s="1059"/>
      <c r="U30" s="1059"/>
      <c r="V30" s="1059"/>
      <c r="W30" s="1059"/>
      <c r="X30" s="1059"/>
      <c r="Y30" s="1059"/>
      <c r="Z30" s="1059"/>
    </row>
    <row r="31" spans="1:26" ht="38.25" customHeight="1">
      <c r="A31" s="1069"/>
      <c r="B31" s="1069"/>
      <c r="C31" s="1083"/>
      <c r="D31" s="1086" t="s">
        <v>947</v>
      </c>
      <c r="E31" s="1336" t="s">
        <v>1174</v>
      </c>
      <c r="F31" s="1050"/>
      <c r="G31" s="1084"/>
      <c r="H31" s="1085">
        <f>H30*0.05</f>
        <v>465635851.33253455</v>
      </c>
      <c r="I31" s="1059"/>
      <c r="J31" s="1059"/>
      <c r="K31" s="1059"/>
      <c r="L31" s="1059"/>
      <c r="M31" s="1059"/>
      <c r="N31" s="1059"/>
      <c r="O31" s="1059"/>
      <c r="P31" s="1059"/>
      <c r="Q31" s="1059"/>
      <c r="R31" s="1059"/>
      <c r="S31" s="1059"/>
      <c r="T31" s="1059"/>
      <c r="U31" s="1059"/>
      <c r="V31" s="1059"/>
      <c r="W31" s="1059"/>
      <c r="X31" s="1059"/>
      <c r="Y31" s="1059"/>
      <c r="Z31" s="1059"/>
    </row>
    <row r="32" spans="1:26" ht="14.25" customHeight="1">
      <c r="A32" s="1069"/>
      <c r="B32" s="1069"/>
      <c r="C32" s="1083"/>
      <c r="D32" s="1086" t="s">
        <v>1175</v>
      </c>
      <c r="E32" s="1087"/>
      <c r="F32" s="1050"/>
      <c r="G32" s="1084"/>
      <c r="H32" s="1085">
        <f>H30+H31</f>
        <v>9778352877.9832249</v>
      </c>
      <c r="I32" s="1059"/>
      <c r="J32" s="1059"/>
      <c r="K32" s="1059"/>
      <c r="L32" s="1059"/>
      <c r="M32" s="1059"/>
      <c r="N32" s="1059"/>
      <c r="O32" s="1059"/>
      <c r="P32" s="1059"/>
      <c r="Q32" s="1059"/>
      <c r="R32" s="1059"/>
      <c r="S32" s="1059"/>
      <c r="T32" s="1059"/>
      <c r="U32" s="1059"/>
      <c r="V32" s="1059"/>
      <c r="W32" s="1059"/>
      <c r="X32" s="1059"/>
      <c r="Y32" s="1059"/>
      <c r="Z32" s="1059"/>
    </row>
    <row r="33" spans="1:26" ht="14.25" customHeight="1">
      <c r="A33" s="1069"/>
      <c r="B33" s="1069"/>
      <c r="C33" s="1083"/>
      <c r="D33" s="1086" t="s">
        <v>949</v>
      </c>
      <c r="E33" s="1087"/>
      <c r="F33" s="1050"/>
      <c r="G33" s="1084"/>
      <c r="H33" s="1085">
        <f>ROUND((+H32/(1+0.3)*0.05*0.19),0)</f>
        <v>71457194</v>
      </c>
      <c r="I33" s="1059"/>
      <c r="J33" s="1059"/>
      <c r="K33" s="1059"/>
      <c r="L33" s="1059"/>
      <c r="M33" s="1059"/>
      <c r="N33" s="1059"/>
      <c r="O33" s="1059"/>
      <c r="P33" s="1059"/>
      <c r="Q33" s="1059"/>
      <c r="R33" s="1059"/>
      <c r="S33" s="1059"/>
      <c r="T33" s="1059"/>
      <c r="U33" s="1059"/>
      <c r="V33" s="1059"/>
      <c r="W33" s="1059"/>
      <c r="X33" s="1059"/>
      <c r="Y33" s="1059"/>
      <c r="Z33" s="1059"/>
    </row>
    <row r="34" spans="1:26" ht="14.25" customHeight="1">
      <c r="A34" s="1069"/>
      <c r="B34" s="1069"/>
      <c r="C34" s="1083"/>
      <c r="D34" s="1088" t="s">
        <v>1176</v>
      </c>
      <c r="E34" s="1087"/>
      <c r="F34" s="1050"/>
      <c r="G34" s="1084"/>
      <c r="H34" s="1085">
        <f>H32+H33</f>
        <v>9849810071.9832249</v>
      </c>
      <c r="I34" s="1059"/>
      <c r="J34" s="1059"/>
      <c r="K34" s="1059"/>
      <c r="L34" s="1059"/>
      <c r="M34" s="1059"/>
      <c r="N34" s="1059"/>
      <c r="O34" s="1059"/>
      <c r="P34" s="1059"/>
      <c r="Q34" s="1059"/>
      <c r="R34" s="1059"/>
      <c r="S34" s="1059"/>
      <c r="T34" s="1059"/>
      <c r="U34" s="1059"/>
      <c r="V34" s="1059"/>
      <c r="W34" s="1059"/>
      <c r="X34" s="1059"/>
      <c r="Y34" s="1059"/>
      <c r="Z34" s="1059"/>
    </row>
    <row r="35" spans="1:26" ht="24.75" customHeight="1">
      <c r="A35" s="1069"/>
      <c r="B35" s="1069"/>
      <c r="C35" s="1083"/>
      <c r="D35" s="1086" t="s">
        <v>1177</v>
      </c>
      <c r="E35" s="1070" t="s">
        <v>1339</v>
      </c>
      <c r="F35" s="1050">
        <v>8</v>
      </c>
      <c r="G35" s="1528">
        <f>13042000*1.06</f>
        <v>13824520</v>
      </c>
      <c r="H35" s="1529">
        <f>F35*G35</f>
        <v>110596160</v>
      </c>
      <c r="I35" s="1059"/>
      <c r="J35" s="1059"/>
      <c r="K35" s="1059"/>
      <c r="L35" s="1059"/>
      <c r="M35" s="1059"/>
      <c r="N35" s="1059"/>
      <c r="O35" s="1059"/>
      <c r="P35" s="1059"/>
      <c r="Q35" s="1059"/>
      <c r="R35" s="1059"/>
      <c r="S35" s="1059"/>
      <c r="T35" s="1059"/>
      <c r="U35" s="1059"/>
      <c r="V35" s="1059"/>
      <c r="W35" s="1059"/>
      <c r="X35" s="1059"/>
      <c r="Y35" s="1059"/>
      <c r="Z35" s="1059"/>
    </row>
    <row r="36" spans="1:26" ht="24" customHeight="1">
      <c r="A36" s="1069"/>
      <c r="B36" s="1069"/>
      <c r="C36" s="1083"/>
      <c r="D36" s="1086" t="s">
        <v>1179</v>
      </c>
      <c r="E36" s="1087"/>
      <c r="F36" s="1485"/>
      <c r="G36" s="1486"/>
      <c r="H36" s="1085">
        <f>H35*0.19</f>
        <v>21013270.399999999</v>
      </c>
      <c r="I36" s="1059"/>
      <c r="J36" s="1059"/>
      <c r="K36" s="1059"/>
      <c r="L36" s="1059"/>
      <c r="M36" s="1059"/>
      <c r="N36" s="1059"/>
      <c r="O36" s="1059"/>
      <c r="P36" s="1059"/>
      <c r="Q36" s="1059"/>
      <c r="R36" s="1059"/>
      <c r="S36" s="1059"/>
      <c r="T36" s="1059"/>
      <c r="U36" s="1059"/>
      <c r="V36" s="1059"/>
      <c r="W36" s="1059"/>
      <c r="X36" s="1059"/>
      <c r="Y36" s="1059"/>
      <c r="Z36" s="1059"/>
    </row>
    <row r="37" spans="1:26" ht="14.25" customHeight="1">
      <c r="A37" s="1089"/>
      <c r="B37" s="1059"/>
      <c r="C37" s="1059"/>
      <c r="D37" s="1059"/>
      <c r="E37" s="1059"/>
      <c r="F37" s="2058" t="s">
        <v>483</v>
      </c>
      <c r="G37" s="2058"/>
      <c r="H37" s="1487">
        <f>H34+H36+H35</f>
        <v>9981419502.3832245</v>
      </c>
      <c r="I37" s="1059"/>
      <c r="J37" s="1059"/>
      <c r="K37" s="1059"/>
      <c r="L37" s="1059"/>
      <c r="M37" s="1059"/>
      <c r="N37" s="1059"/>
      <c r="O37" s="1059"/>
      <c r="P37" s="1059"/>
      <c r="Q37" s="1059"/>
      <c r="R37" s="1059"/>
      <c r="S37" s="1059"/>
      <c r="T37" s="1059"/>
      <c r="U37" s="1059"/>
      <c r="V37" s="1059"/>
      <c r="W37" s="1059"/>
      <c r="X37" s="1059"/>
      <c r="Y37" s="1059"/>
      <c r="Z37" s="1059"/>
    </row>
    <row r="38" spans="1:26" ht="12.75" customHeight="1">
      <c r="A38" s="1089" t="s">
        <v>1110</v>
      </c>
      <c r="B38" s="1059"/>
      <c r="C38" s="1059"/>
      <c r="D38" s="1059"/>
      <c r="E38" s="1059"/>
      <c r="F38" s="1059"/>
      <c r="G38" s="1059"/>
      <c r="H38" s="1059"/>
      <c r="I38" s="1059"/>
      <c r="J38" s="1059"/>
      <c r="K38" s="1059"/>
      <c r="L38" s="1059"/>
      <c r="M38" s="1059"/>
      <c r="N38" s="1059"/>
      <c r="O38" s="1059"/>
      <c r="P38" s="1059"/>
      <c r="Q38" s="1059"/>
      <c r="R38" s="1059"/>
      <c r="S38" s="1059"/>
      <c r="T38" s="1059"/>
      <c r="U38" s="1059"/>
      <c r="V38" s="1059"/>
      <c r="W38" s="1059"/>
      <c r="X38" s="1059"/>
      <c r="Y38" s="1059"/>
      <c r="Z38" s="1059"/>
    </row>
    <row r="39" spans="1:26" ht="12.75" customHeight="1">
      <c r="A39" s="1059"/>
      <c r="B39" s="1059"/>
      <c r="C39" s="1059"/>
      <c r="D39" s="1059"/>
      <c r="E39" s="1059"/>
      <c r="F39" s="1059"/>
      <c r="G39" s="1059"/>
      <c r="H39" s="1059"/>
      <c r="I39" s="1059"/>
      <c r="J39" s="1059"/>
      <c r="K39" s="1059"/>
      <c r="L39" s="1059"/>
      <c r="M39" s="1059"/>
      <c r="N39" s="1059"/>
      <c r="O39" s="1059"/>
      <c r="P39" s="1059"/>
      <c r="Q39" s="1059"/>
      <c r="R39" s="1059"/>
      <c r="S39" s="1059"/>
      <c r="T39" s="1059"/>
      <c r="U39" s="1059"/>
      <c r="V39" s="1059"/>
      <c r="W39" s="1059"/>
      <c r="X39" s="1059"/>
      <c r="Y39" s="1059"/>
      <c r="Z39" s="1059"/>
    </row>
    <row r="40" spans="1:26" ht="25.5" customHeight="1">
      <c r="A40" s="1090">
        <v>642</v>
      </c>
      <c r="B40" s="1091">
        <v>600</v>
      </c>
      <c r="C40" s="1091" t="s">
        <v>882</v>
      </c>
      <c r="D40" s="1092" t="s">
        <v>883</v>
      </c>
      <c r="E40" s="1090" t="s">
        <v>677</v>
      </c>
      <c r="F40" s="1094">
        <v>12</v>
      </c>
      <c r="G40" s="1095">
        <v>630670.92479999992</v>
      </c>
      <c r="H40" s="1095">
        <f>+F40*G40</f>
        <v>7568051.097599999</v>
      </c>
      <c r="I40" s="1059"/>
      <c r="J40" s="1059"/>
      <c r="K40" s="1059"/>
      <c r="L40" s="1059"/>
      <c r="M40" s="1059"/>
      <c r="N40" s="1059"/>
      <c r="O40" s="1059"/>
      <c r="P40" s="1059"/>
      <c r="Q40" s="1059"/>
      <c r="R40" s="1059"/>
      <c r="S40" s="1059"/>
      <c r="T40" s="1059"/>
      <c r="U40" s="1059"/>
      <c r="V40" s="1059"/>
      <c r="W40" s="1059"/>
      <c r="X40" s="1059"/>
      <c r="Y40" s="1059"/>
      <c r="Z40" s="1059"/>
    </row>
    <row r="41" spans="1:26" ht="12.75" customHeight="1">
      <c r="A41" s="1090" t="s">
        <v>893</v>
      </c>
      <c r="B41" s="1096">
        <v>400</v>
      </c>
      <c r="C41" s="1090">
        <v>450.2</v>
      </c>
      <c r="D41" s="1097" t="s">
        <v>1180</v>
      </c>
      <c r="E41" s="1097" t="s">
        <v>842</v>
      </c>
      <c r="F41" s="1094">
        <v>9</v>
      </c>
      <c r="G41" s="1095">
        <v>761715</v>
      </c>
      <c r="H41" s="1095">
        <f>+F41*G41</f>
        <v>6855435</v>
      </c>
      <c r="I41" s="1059"/>
      <c r="J41" s="1059"/>
      <c r="K41" s="1059"/>
      <c r="L41" s="1059"/>
      <c r="M41" s="1059"/>
      <c r="N41" s="1059"/>
      <c r="O41" s="1059"/>
      <c r="P41" s="1059"/>
      <c r="Q41" s="1059"/>
      <c r="R41" s="1059"/>
      <c r="S41" s="1059"/>
      <c r="T41" s="1059"/>
      <c r="U41" s="1059"/>
      <c r="V41" s="1059"/>
      <c r="W41" s="1059"/>
      <c r="X41" s="1059"/>
      <c r="Y41" s="1059"/>
      <c r="Z41" s="1059"/>
    </row>
    <row r="42" spans="1:26" ht="25.5" customHeight="1">
      <c r="A42" s="1090" t="s">
        <v>894</v>
      </c>
      <c r="B42" s="1096">
        <v>400</v>
      </c>
      <c r="C42" s="1090">
        <v>420.2</v>
      </c>
      <c r="D42" s="1097" t="s">
        <v>1181</v>
      </c>
      <c r="E42" s="1097" t="s">
        <v>673</v>
      </c>
      <c r="F42" s="1094">
        <v>150</v>
      </c>
      <c r="G42" s="1097">
        <v>2830.8475228037005</v>
      </c>
      <c r="H42" s="1095">
        <f t="shared" ref="H42:H47" si="2">+F42*G42</f>
        <v>424627.12842055509</v>
      </c>
      <c r="I42" s="1059"/>
      <c r="J42" s="1059"/>
      <c r="K42" s="1059"/>
      <c r="L42" s="1059"/>
      <c r="M42" s="1059"/>
      <c r="N42" s="1059"/>
      <c r="O42" s="1059"/>
      <c r="P42" s="1059"/>
      <c r="Q42" s="1059"/>
      <c r="R42" s="1059"/>
      <c r="S42" s="1059"/>
      <c r="T42" s="1059"/>
      <c r="U42" s="1059"/>
      <c r="V42" s="1059"/>
      <c r="W42" s="1059"/>
      <c r="X42" s="1059"/>
      <c r="Y42" s="1059"/>
      <c r="Z42" s="1059"/>
    </row>
    <row r="43" spans="1:26" ht="25.5" customHeight="1">
      <c r="A43" s="1090" t="s">
        <v>1082</v>
      </c>
      <c r="B43" s="1096">
        <v>700</v>
      </c>
      <c r="C43" s="1090">
        <v>700.1</v>
      </c>
      <c r="D43" s="1097" t="s">
        <v>1182</v>
      </c>
      <c r="E43" s="1097" t="s">
        <v>677</v>
      </c>
      <c r="F43" s="1094">
        <v>100</v>
      </c>
      <c r="G43" s="1097">
        <v>2650.3065319915022</v>
      </c>
      <c r="H43" s="1095">
        <f t="shared" si="2"/>
        <v>265030.65319915023</v>
      </c>
      <c r="I43" s="1059"/>
      <c r="J43" s="1059"/>
      <c r="K43" s="1059"/>
      <c r="L43" s="1059"/>
      <c r="M43" s="1059"/>
      <c r="N43" s="1059"/>
      <c r="O43" s="1059"/>
      <c r="P43" s="1059"/>
      <c r="Q43" s="1059"/>
      <c r="R43" s="1059"/>
      <c r="S43" s="1059"/>
      <c r="T43" s="1059"/>
      <c r="U43" s="1059"/>
      <c r="V43" s="1059"/>
      <c r="W43" s="1059"/>
      <c r="X43" s="1059"/>
      <c r="Y43" s="1059"/>
      <c r="Z43" s="1059"/>
    </row>
    <row r="44" spans="1:26" ht="12.75" customHeight="1">
      <c r="A44" s="1090" t="s">
        <v>672</v>
      </c>
      <c r="B44" s="1096">
        <v>700</v>
      </c>
      <c r="C44" s="1090">
        <v>701.1</v>
      </c>
      <c r="D44" s="1097" t="s">
        <v>1183</v>
      </c>
      <c r="E44" s="1097" t="s">
        <v>1242</v>
      </c>
      <c r="F44" s="1094">
        <v>30</v>
      </c>
      <c r="G44" s="1097">
        <v>12075.925668628786</v>
      </c>
      <c r="H44" s="1095">
        <f t="shared" si="2"/>
        <v>362277.77005886356</v>
      </c>
      <c r="I44" s="1059"/>
      <c r="J44" s="1059"/>
      <c r="K44" s="1059"/>
      <c r="L44" s="1059"/>
      <c r="M44" s="1059"/>
      <c r="N44" s="1059"/>
      <c r="O44" s="1059"/>
      <c r="P44" s="1059"/>
      <c r="Q44" s="1059"/>
      <c r="R44" s="1059"/>
      <c r="S44" s="1059"/>
      <c r="T44" s="1059"/>
      <c r="U44" s="1059"/>
      <c r="V44" s="1059"/>
      <c r="W44" s="1059"/>
      <c r="X44" s="1059"/>
      <c r="Y44" s="1059"/>
      <c r="Z44" s="1059"/>
    </row>
    <row r="45" spans="1:26" ht="12.75" customHeight="1">
      <c r="A45" s="1090">
        <v>632</v>
      </c>
      <c r="B45" s="1091">
        <v>632</v>
      </c>
      <c r="C45" s="1091" t="s">
        <v>884</v>
      </c>
      <c r="D45" s="1092" t="s">
        <v>885</v>
      </c>
      <c r="E45" s="1090" t="s">
        <v>677</v>
      </c>
      <c r="F45" s="1094">
        <v>60</v>
      </c>
      <c r="G45" s="1098">
        <v>351822.69170699356</v>
      </c>
      <c r="H45" s="1095">
        <f t="shared" si="2"/>
        <v>21109361.502419613</v>
      </c>
      <c r="I45" s="1059"/>
      <c r="J45" s="1059"/>
      <c r="K45" s="1059"/>
      <c r="L45" s="1059"/>
      <c r="M45" s="1059"/>
      <c r="N45" s="1059"/>
      <c r="O45" s="1059"/>
      <c r="P45" s="1059"/>
      <c r="Q45" s="1059"/>
      <c r="R45" s="1059"/>
      <c r="S45" s="1059"/>
      <c r="T45" s="1059"/>
      <c r="U45" s="1059"/>
      <c r="V45" s="1059"/>
      <c r="W45" s="1059"/>
      <c r="X45" s="1059"/>
      <c r="Y45" s="1059"/>
      <c r="Z45" s="1059"/>
    </row>
    <row r="46" spans="1:26" ht="12.75" customHeight="1">
      <c r="A46" s="1090"/>
      <c r="B46" s="1091"/>
      <c r="C46" s="1091"/>
      <c r="D46" s="1092" t="s">
        <v>895</v>
      </c>
      <c r="E46" s="1093" t="s">
        <v>673</v>
      </c>
      <c r="F46" s="1094">
        <v>1820</v>
      </c>
      <c r="G46" s="1095">
        <v>12441.599999999999</v>
      </c>
      <c r="H46" s="1095">
        <f t="shared" si="2"/>
        <v>22643711.999999996</v>
      </c>
      <c r="I46" s="1059"/>
      <c r="J46" s="1059"/>
      <c r="K46" s="1059"/>
      <c r="L46" s="1059"/>
      <c r="M46" s="1059"/>
      <c r="N46" s="1059"/>
      <c r="O46" s="1059"/>
      <c r="P46" s="1059"/>
      <c r="Q46" s="1059"/>
      <c r="R46" s="1059"/>
      <c r="S46" s="1059"/>
      <c r="T46" s="1059"/>
      <c r="U46" s="1059"/>
      <c r="V46" s="1059"/>
      <c r="W46" s="1059"/>
      <c r="X46" s="1059"/>
      <c r="Y46" s="1059"/>
      <c r="Z46" s="1059"/>
    </row>
    <row r="47" spans="1:26" ht="12.75" customHeight="1">
      <c r="A47" s="1090" t="s">
        <v>896</v>
      </c>
      <c r="B47" s="1091" t="s">
        <v>897</v>
      </c>
      <c r="C47" s="1091"/>
      <c r="D47" s="1092" t="s">
        <v>898</v>
      </c>
      <c r="E47" s="1093" t="s">
        <v>842</v>
      </c>
      <c r="F47" s="1093">
        <v>24</v>
      </c>
      <c r="G47" s="1095">
        <v>636651.18719999993</v>
      </c>
      <c r="H47" s="1095">
        <f t="shared" si="2"/>
        <v>15279628.492799997</v>
      </c>
      <c r="I47" s="1059"/>
      <c r="J47" s="1059"/>
      <c r="K47" s="1059"/>
      <c r="L47" s="1059"/>
      <c r="M47" s="1059"/>
      <c r="N47" s="1059"/>
      <c r="O47" s="1059"/>
      <c r="P47" s="1059"/>
      <c r="Q47" s="1059"/>
      <c r="R47" s="1059"/>
      <c r="S47" s="1059"/>
      <c r="T47" s="1059"/>
      <c r="U47" s="1059"/>
      <c r="V47" s="1059"/>
      <c r="W47" s="1059"/>
      <c r="X47" s="1059"/>
      <c r="Y47" s="1059"/>
      <c r="Z47" s="1059"/>
    </row>
    <row r="48" spans="1:26" ht="12.75" customHeight="1">
      <c r="A48" s="1014"/>
      <c r="B48" s="1014"/>
      <c r="C48" s="1014"/>
      <c r="D48" s="1059"/>
      <c r="E48" s="1059"/>
      <c r="F48" s="2054" t="s">
        <v>176</v>
      </c>
      <c r="G48" s="2055"/>
      <c r="H48" s="1099">
        <f>+SUM(H40:H47)</f>
        <v>74508123.644498169</v>
      </c>
      <c r="I48" s="1059"/>
      <c r="J48" s="1059"/>
      <c r="K48" s="1059"/>
      <c r="L48" s="1059"/>
      <c r="M48" s="1059"/>
      <c r="N48" s="1059"/>
      <c r="O48" s="1059"/>
      <c r="P48" s="1059"/>
      <c r="Q48" s="1059"/>
      <c r="R48" s="1059"/>
      <c r="S48" s="1059"/>
      <c r="T48" s="1059"/>
      <c r="U48" s="1059"/>
      <c r="V48" s="1059"/>
      <c r="W48" s="1059"/>
      <c r="X48" s="1059"/>
      <c r="Y48" s="1059"/>
      <c r="Z48" s="1059"/>
    </row>
    <row r="49" spans="1:26" ht="12.75" customHeight="1">
      <c r="A49" s="1014"/>
      <c r="B49" s="1014"/>
      <c r="C49" s="1014"/>
      <c r="D49" s="1059"/>
      <c r="E49" s="1059"/>
      <c r="F49" s="2050" t="s">
        <v>1044</v>
      </c>
      <c r="G49" s="2049"/>
      <c r="H49" s="1099">
        <f>+((H48/1.31)*(0.05))*0.19</f>
        <v>540326.08749826916</v>
      </c>
      <c r="I49" s="1059"/>
      <c r="J49" s="1059"/>
      <c r="K49" s="1059"/>
      <c r="L49" s="1059"/>
      <c r="M49" s="1059"/>
      <c r="N49" s="1059"/>
      <c r="O49" s="1059"/>
      <c r="P49" s="1059"/>
      <c r="Q49" s="1059"/>
      <c r="R49" s="1059"/>
      <c r="S49" s="1059"/>
      <c r="T49" s="1059"/>
      <c r="U49" s="1059"/>
      <c r="V49" s="1059"/>
      <c r="W49" s="1059"/>
      <c r="X49" s="1059"/>
      <c r="Y49" s="1059"/>
      <c r="Z49" s="1059"/>
    </row>
    <row r="50" spans="1:26" ht="12.75" customHeight="1">
      <c r="A50" s="1059"/>
      <c r="B50" s="1059"/>
      <c r="C50" s="1059"/>
      <c r="D50" s="1059"/>
      <c r="E50" s="1059"/>
      <c r="F50" s="2050" t="s">
        <v>177</v>
      </c>
      <c r="G50" s="2049"/>
      <c r="H50" s="1459">
        <f>+H48+H49</f>
        <v>75048449.731996432</v>
      </c>
      <c r="I50" s="1512" t="s">
        <v>1436</v>
      </c>
      <c r="J50" s="1059"/>
      <c r="K50" s="1059"/>
      <c r="L50" s="1059"/>
      <c r="M50" s="1059"/>
      <c r="N50" s="1059"/>
      <c r="O50" s="1059"/>
      <c r="P50" s="1059"/>
      <c r="Q50" s="1059"/>
      <c r="R50" s="1059"/>
      <c r="S50" s="1059"/>
      <c r="T50" s="1059"/>
      <c r="U50" s="1059"/>
      <c r="V50" s="1059"/>
      <c r="W50" s="1059"/>
      <c r="X50" s="1059"/>
      <c r="Y50" s="1059"/>
      <c r="Z50" s="1059"/>
    </row>
    <row r="51" spans="1:26" ht="12.75" customHeight="1">
      <c r="A51" s="1059"/>
      <c r="B51" s="1059"/>
      <c r="C51" s="1059"/>
      <c r="D51" s="1059"/>
      <c r="E51" s="1059"/>
      <c r="F51" s="1059"/>
      <c r="G51" s="1059"/>
      <c r="H51" s="1100"/>
      <c r="I51" s="1059"/>
      <c r="J51" s="1059"/>
      <c r="K51" s="1059"/>
      <c r="L51" s="1059"/>
      <c r="M51" s="1059"/>
      <c r="N51" s="1059"/>
      <c r="O51" s="1059"/>
      <c r="P51" s="1059"/>
      <c r="Q51" s="1059"/>
      <c r="R51" s="1059"/>
      <c r="S51" s="1059"/>
      <c r="T51" s="1059"/>
      <c r="U51" s="1059"/>
      <c r="V51" s="1059"/>
      <c r="W51" s="1059"/>
      <c r="X51" s="1059"/>
      <c r="Y51" s="1059"/>
      <c r="Z51" s="1059"/>
    </row>
    <row r="52" spans="1:26" ht="12.75" customHeight="1">
      <c r="A52" s="1089" t="s">
        <v>1111</v>
      </c>
      <c r="B52" s="1059"/>
      <c r="C52" s="1059"/>
      <c r="D52" s="1059"/>
      <c r="E52" s="1059"/>
      <c r="F52" s="1059"/>
      <c r="G52" s="1059"/>
      <c r="H52" s="1059"/>
      <c r="I52" s="1059"/>
      <c r="J52" s="1059"/>
      <c r="K52" s="1059"/>
      <c r="L52" s="1059"/>
      <c r="M52" s="1059"/>
      <c r="N52" s="1059"/>
      <c r="O52" s="1059"/>
      <c r="P52" s="1059"/>
      <c r="Q52" s="1059"/>
      <c r="R52" s="1059"/>
      <c r="S52" s="1059"/>
      <c r="T52" s="1059"/>
      <c r="U52" s="1059"/>
      <c r="V52" s="1059"/>
      <c r="W52" s="1059"/>
      <c r="X52" s="1059"/>
      <c r="Y52" s="1059"/>
      <c r="Z52" s="1059"/>
    </row>
    <row r="53" spans="1:26" ht="12.75" customHeight="1">
      <c r="A53" s="1059"/>
      <c r="B53" s="1059"/>
      <c r="C53" s="1059"/>
      <c r="D53" s="1059"/>
      <c r="E53" s="1059"/>
      <c r="F53" s="1059"/>
      <c r="G53" s="1059"/>
      <c r="H53" s="1059"/>
      <c r="I53" s="1059"/>
      <c r="J53" s="1059"/>
      <c r="K53" s="1059"/>
      <c r="L53" s="1059"/>
      <c r="M53" s="1059"/>
      <c r="N53" s="1059"/>
      <c r="O53" s="1059"/>
      <c r="P53" s="1059"/>
      <c r="Q53" s="1059"/>
      <c r="R53" s="1059"/>
      <c r="S53" s="1059"/>
      <c r="T53" s="1059"/>
      <c r="U53" s="1059"/>
      <c r="V53" s="1059"/>
      <c r="W53" s="1059"/>
      <c r="X53" s="1059"/>
      <c r="Y53" s="1059"/>
      <c r="Z53" s="1059"/>
    </row>
    <row r="54" spans="1:26" ht="12.75" customHeight="1">
      <c r="A54" s="1090">
        <v>642</v>
      </c>
      <c r="B54" s="1091">
        <v>600</v>
      </c>
      <c r="C54" s="1091" t="s">
        <v>882</v>
      </c>
      <c r="D54" s="1093" t="s">
        <v>883</v>
      </c>
      <c r="E54" s="1093" t="s">
        <v>677</v>
      </c>
      <c r="F54" s="1094">
        <v>12</v>
      </c>
      <c r="G54" s="1095">
        <v>630670.92479999992</v>
      </c>
      <c r="H54" s="1095">
        <f>+F54*G54</f>
        <v>7568051.097599999</v>
      </c>
      <c r="I54" s="1059"/>
      <c r="J54" s="1059"/>
      <c r="K54" s="1059"/>
      <c r="L54" s="1059"/>
      <c r="M54" s="1059"/>
      <c r="N54" s="1059"/>
      <c r="O54" s="1059"/>
      <c r="P54" s="1059"/>
      <c r="Q54" s="1059"/>
      <c r="R54" s="1059"/>
      <c r="S54" s="1059"/>
      <c r="T54" s="1059"/>
      <c r="U54" s="1059"/>
      <c r="V54" s="1059"/>
      <c r="W54" s="1059"/>
      <c r="X54" s="1059"/>
      <c r="Y54" s="1059"/>
      <c r="Z54" s="1059"/>
    </row>
    <row r="55" spans="1:26" ht="12.75" customHeight="1">
      <c r="A55" s="1090" t="s">
        <v>893</v>
      </c>
      <c r="B55" s="1096">
        <v>400</v>
      </c>
      <c r="C55" s="1090">
        <v>450.2</v>
      </c>
      <c r="D55" s="1097" t="s">
        <v>1180</v>
      </c>
      <c r="E55" s="1097" t="s">
        <v>842</v>
      </c>
      <c r="F55" s="1094">
        <v>22</v>
      </c>
      <c r="G55" s="1095">
        <v>761715</v>
      </c>
      <c r="H55" s="1095">
        <f t="shared" ref="H55:H60" si="3">+F55*G55</f>
        <v>16757730</v>
      </c>
      <c r="I55" s="1059"/>
      <c r="J55" s="1059"/>
      <c r="K55" s="1059"/>
      <c r="L55" s="1059"/>
      <c r="M55" s="1059"/>
      <c r="N55" s="1059"/>
      <c r="O55" s="1059"/>
      <c r="P55" s="1059"/>
      <c r="Q55" s="1059"/>
      <c r="R55" s="1059"/>
      <c r="S55" s="1059"/>
      <c r="T55" s="1059"/>
      <c r="U55" s="1059"/>
      <c r="V55" s="1059"/>
      <c r="W55" s="1059"/>
      <c r="X55" s="1059"/>
      <c r="Y55" s="1059"/>
      <c r="Z55" s="1059"/>
    </row>
    <row r="56" spans="1:26" ht="25.5" customHeight="1">
      <c r="A56" s="1090" t="s">
        <v>894</v>
      </c>
      <c r="B56" s="1096">
        <v>400</v>
      </c>
      <c r="C56" s="1090">
        <v>420.2</v>
      </c>
      <c r="D56" s="1097" t="s">
        <v>1181</v>
      </c>
      <c r="E56" s="1097" t="s">
        <v>673</v>
      </c>
      <c r="F56" s="1094">
        <v>440</v>
      </c>
      <c r="G56" s="1097">
        <v>2754.4369710000001</v>
      </c>
      <c r="H56" s="1095">
        <f t="shared" si="3"/>
        <v>1211952.26724</v>
      </c>
      <c r="I56" s="1059"/>
      <c r="J56" s="1059"/>
      <c r="K56" s="1059"/>
      <c r="L56" s="1059"/>
      <c r="M56" s="1059"/>
      <c r="N56" s="1059"/>
      <c r="O56" s="1059"/>
      <c r="P56" s="1059"/>
      <c r="Q56" s="1059"/>
      <c r="R56" s="1059"/>
      <c r="S56" s="1059"/>
      <c r="T56" s="1059"/>
      <c r="U56" s="1059"/>
      <c r="V56" s="1059"/>
      <c r="W56" s="1059"/>
      <c r="X56" s="1059"/>
      <c r="Y56" s="1059"/>
      <c r="Z56" s="1059"/>
    </row>
    <row r="57" spans="1:26" ht="25.5" customHeight="1">
      <c r="A57" s="1090" t="s">
        <v>1082</v>
      </c>
      <c r="B57" s="1096">
        <v>700</v>
      </c>
      <c r="C57" s="1090">
        <v>700.1</v>
      </c>
      <c r="D57" s="1097" t="s">
        <v>1182</v>
      </c>
      <c r="E57" s="1097" t="s">
        <v>677</v>
      </c>
      <c r="F57" s="1094">
        <v>100</v>
      </c>
      <c r="G57" s="1097">
        <v>2650.3065319915022</v>
      </c>
      <c r="H57" s="1095">
        <f t="shared" si="3"/>
        <v>265030.65319915023</v>
      </c>
      <c r="I57" s="1059"/>
      <c r="J57" s="1059"/>
      <c r="K57" s="1059"/>
      <c r="L57" s="1059"/>
      <c r="M57" s="1059"/>
      <c r="N57" s="1059"/>
      <c r="O57" s="1059"/>
      <c r="P57" s="1059"/>
      <c r="Q57" s="1059"/>
      <c r="R57" s="1059"/>
      <c r="S57" s="1059"/>
      <c r="T57" s="1059"/>
      <c r="U57" s="1059"/>
      <c r="V57" s="1059"/>
      <c r="W57" s="1059"/>
      <c r="X57" s="1059"/>
      <c r="Y57" s="1059"/>
      <c r="Z57" s="1059"/>
    </row>
    <row r="58" spans="1:26" ht="12.75" customHeight="1">
      <c r="A58" s="1090">
        <v>632</v>
      </c>
      <c r="B58" s="1090">
        <v>632</v>
      </c>
      <c r="C58" s="1090" t="s">
        <v>884</v>
      </c>
      <c r="D58" s="1093" t="s">
        <v>885</v>
      </c>
      <c r="E58" s="1090" t="s">
        <v>677</v>
      </c>
      <c r="F58" s="1094">
        <v>50</v>
      </c>
      <c r="G58" s="1098">
        <v>351822.69170699356</v>
      </c>
      <c r="H58" s="1095">
        <f t="shared" si="3"/>
        <v>17591134.585349679</v>
      </c>
      <c r="I58" s="1059"/>
      <c r="J58" s="1059"/>
      <c r="K58" s="1059"/>
      <c r="L58" s="1059"/>
      <c r="M58" s="1059"/>
      <c r="N58" s="1059"/>
      <c r="O58" s="1059"/>
      <c r="P58" s="1059"/>
      <c r="Q58" s="1059"/>
      <c r="R58" s="1059"/>
      <c r="S58" s="1059"/>
      <c r="T58" s="1059"/>
      <c r="U58" s="1059"/>
      <c r="V58" s="1059"/>
      <c r="W58" s="1059"/>
      <c r="X58" s="1059"/>
      <c r="Y58" s="1059"/>
      <c r="Z58" s="1059"/>
    </row>
    <row r="59" spans="1:26" ht="12.75" customHeight="1">
      <c r="A59" s="1090"/>
      <c r="B59" s="1090" t="s">
        <v>897</v>
      </c>
      <c r="C59" s="1090"/>
      <c r="D59" s="1093" t="s">
        <v>898</v>
      </c>
      <c r="E59" s="1093" t="s">
        <v>842</v>
      </c>
      <c r="F59" s="1094">
        <v>14</v>
      </c>
      <c r="G59" s="1095">
        <v>636651.18719999993</v>
      </c>
      <c r="H59" s="1095">
        <f t="shared" si="3"/>
        <v>8913116.6207999997</v>
      </c>
      <c r="I59" s="1059"/>
      <c r="J59" s="1059"/>
      <c r="K59" s="1059"/>
      <c r="L59" s="1059"/>
      <c r="M59" s="1059"/>
      <c r="N59" s="1059"/>
      <c r="O59" s="1059"/>
      <c r="P59" s="1059"/>
      <c r="Q59" s="1059"/>
      <c r="R59" s="1059"/>
      <c r="S59" s="1059"/>
      <c r="T59" s="1059"/>
      <c r="U59" s="1059"/>
      <c r="V59" s="1059"/>
      <c r="W59" s="1059"/>
      <c r="X59" s="1059"/>
      <c r="Y59" s="1059"/>
      <c r="Z59" s="1059"/>
    </row>
    <row r="60" spans="1:26" ht="12.75" customHeight="1">
      <c r="A60" s="1090"/>
      <c r="B60" s="1090"/>
      <c r="C60" s="1090"/>
      <c r="D60" s="1093" t="s">
        <v>895</v>
      </c>
      <c r="E60" s="1093" t="s">
        <v>673</v>
      </c>
      <c r="F60" s="1094">
        <v>1625</v>
      </c>
      <c r="G60" s="1095">
        <v>12441.599999999999</v>
      </c>
      <c r="H60" s="1095">
        <f t="shared" si="3"/>
        <v>20217599.999999996</v>
      </c>
      <c r="I60" s="1059"/>
      <c r="J60" s="1059"/>
      <c r="K60" s="1059"/>
      <c r="L60" s="1059"/>
      <c r="M60" s="1059"/>
      <c r="N60" s="1059"/>
      <c r="O60" s="1059"/>
      <c r="P60" s="1059"/>
      <c r="Q60" s="1059"/>
      <c r="R60" s="1059"/>
      <c r="S60" s="1059"/>
      <c r="T60" s="1059"/>
      <c r="U60" s="1059"/>
      <c r="V60" s="1059"/>
      <c r="W60" s="1059"/>
      <c r="X60" s="1059"/>
      <c r="Y60" s="1059"/>
      <c r="Z60" s="1059"/>
    </row>
    <row r="61" spans="1:26" ht="12.75" customHeight="1">
      <c r="A61" s="1101"/>
      <c r="B61" s="1102"/>
      <c r="C61" s="1102"/>
      <c r="D61" s="1103"/>
      <c r="E61" s="1103"/>
      <c r="F61" s="2054" t="s">
        <v>176</v>
      </c>
      <c r="G61" s="2056"/>
      <c r="H61" s="1099">
        <f>+SUM(H54:H60)</f>
        <v>72524615.224188834</v>
      </c>
      <c r="I61" s="1059"/>
      <c r="J61" s="1059"/>
      <c r="K61" s="1059"/>
      <c r="L61" s="1059"/>
      <c r="M61" s="1059"/>
      <c r="N61" s="1059"/>
      <c r="O61" s="1059"/>
      <c r="P61" s="1059"/>
      <c r="Q61" s="1059"/>
      <c r="R61" s="1059"/>
      <c r="S61" s="1059"/>
      <c r="T61" s="1059"/>
      <c r="U61" s="1059"/>
      <c r="V61" s="1059"/>
      <c r="W61" s="1059"/>
      <c r="X61" s="1059"/>
      <c r="Y61" s="1059"/>
      <c r="Z61" s="1059"/>
    </row>
    <row r="62" spans="1:26" ht="12.75" customHeight="1">
      <c r="A62" s="1014"/>
      <c r="B62" s="1014"/>
      <c r="C62" s="1014"/>
      <c r="D62" s="1104"/>
      <c r="E62" s="1059"/>
      <c r="F62" s="2050" t="s">
        <v>1044</v>
      </c>
      <c r="G62" s="2049"/>
      <c r="H62" s="1099">
        <f>+((H61/1.31)*(0.05))*0.19</f>
        <v>525941.86612961371</v>
      </c>
      <c r="I62" s="1059"/>
      <c r="J62" s="1059"/>
      <c r="K62" s="1059">
        <v>324</v>
      </c>
      <c r="L62" s="1059">
        <v>132</v>
      </c>
      <c r="M62" s="1059"/>
      <c r="N62" s="1059"/>
      <c r="O62" s="1059"/>
      <c r="P62" s="1059"/>
      <c r="Q62" s="1059"/>
      <c r="R62" s="1059"/>
      <c r="S62" s="1059"/>
      <c r="T62" s="1059"/>
      <c r="U62" s="1059"/>
      <c r="V62" s="1059"/>
      <c r="W62" s="1059"/>
      <c r="X62" s="1059"/>
      <c r="Y62" s="1059"/>
      <c r="Z62" s="1059"/>
    </row>
    <row r="63" spans="1:26" ht="12.75" customHeight="1">
      <c r="A63" s="1059"/>
      <c r="B63" s="1059"/>
      <c r="C63" s="1059"/>
      <c r="D63" s="1059"/>
      <c r="E63" s="1059"/>
      <c r="F63" s="2050" t="s">
        <v>177</v>
      </c>
      <c r="G63" s="2049"/>
      <c r="H63" s="1459">
        <v>73054603</v>
      </c>
      <c r="I63" s="1480" t="s">
        <v>1436</v>
      </c>
      <c r="J63" s="1059"/>
      <c r="K63" s="1059"/>
      <c r="L63" s="1059">
        <v>896</v>
      </c>
      <c r="M63" s="1059"/>
      <c r="N63" s="1059"/>
      <c r="O63" s="1059"/>
      <c r="P63" s="1059"/>
      <c r="Q63" s="1059"/>
      <c r="R63" s="1059"/>
      <c r="S63" s="1059"/>
      <c r="T63" s="1059"/>
      <c r="U63" s="1059"/>
      <c r="V63" s="1059"/>
      <c r="W63" s="1059"/>
      <c r="X63" s="1059"/>
      <c r="Y63" s="1059"/>
      <c r="Z63" s="1059"/>
    </row>
    <row r="64" spans="1:26" ht="13.5" customHeight="1">
      <c r="A64" s="1059"/>
      <c r="B64" s="1059"/>
      <c r="C64" s="1059"/>
      <c r="D64" s="1059"/>
      <c r="E64" s="1059"/>
      <c r="F64" s="1059"/>
      <c r="G64" s="1059"/>
      <c r="H64" s="1100"/>
      <c r="I64" s="1059"/>
      <c r="J64" s="1059"/>
      <c r="K64" s="1059"/>
      <c r="L64" s="1059"/>
      <c r="M64" s="1059"/>
      <c r="N64" s="1059"/>
      <c r="O64" s="1059"/>
      <c r="P64" s="1059"/>
      <c r="Q64" s="1059"/>
      <c r="R64" s="1059"/>
      <c r="S64" s="1059"/>
      <c r="T64" s="1059"/>
      <c r="U64" s="1059"/>
      <c r="V64" s="1059"/>
      <c r="W64" s="1059"/>
      <c r="X64" s="1059"/>
      <c r="Y64" s="1059"/>
      <c r="Z64" s="1059"/>
    </row>
    <row r="65" spans="1:26" ht="12.75" customHeight="1">
      <c r="A65" s="1089" t="s">
        <v>1184</v>
      </c>
      <c r="B65" s="1059"/>
      <c r="C65" s="1059"/>
      <c r="D65" s="1059"/>
      <c r="E65" s="1059"/>
      <c r="F65" s="1059"/>
      <c r="G65" s="1059"/>
      <c r="H65" s="1059"/>
      <c r="I65" s="1059"/>
      <c r="J65" s="1059"/>
      <c r="K65" s="1059"/>
      <c r="L65" s="1059"/>
      <c r="M65" s="1059"/>
      <c r="N65" s="1059"/>
      <c r="O65" s="1059"/>
      <c r="P65" s="1059"/>
      <c r="Q65" s="1059"/>
      <c r="R65" s="1059"/>
      <c r="S65" s="1059"/>
      <c r="T65" s="1059"/>
      <c r="U65" s="1059"/>
      <c r="V65" s="1059"/>
      <c r="W65" s="1059"/>
      <c r="X65" s="1059"/>
      <c r="Y65" s="1059"/>
      <c r="Z65" s="1059"/>
    </row>
    <row r="66" spans="1:26" ht="12.75" customHeight="1">
      <c r="A66" s="1059"/>
      <c r="B66" s="1059"/>
      <c r="C66" s="1059"/>
      <c r="D66" s="1059"/>
      <c r="E66" s="1059"/>
      <c r="F66" s="1059"/>
      <c r="G66" s="1059"/>
      <c r="H66" s="1059"/>
      <c r="I66" s="1059"/>
      <c r="J66" s="1059"/>
      <c r="K66" s="1059"/>
      <c r="L66" s="1059"/>
      <c r="M66" s="1059"/>
      <c r="N66" s="1059"/>
      <c r="O66" s="1059"/>
      <c r="P66" s="1059"/>
      <c r="Q66" s="1059"/>
      <c r="R66" s="1059"/>
      <c r="S66" s="1059"/>
      <c r="T66" s="1059"/>
      <c r="U66" s="1059"/>
      <c r="V66" s="1059"/>
      <c r="W66" s="1059"/>
      <c r="X66" s="1059"/>
      <c r="Y66" s="1059"/>
      <c r="Z66" s="1059"/>
    </row>
    <row r="67" spans="1:26" ht="12.75" customHeight="1">
      <c r="A67" s="1090">
        <v>642</v>
      </c>
      <c r="B67" s="1091">
        <v>642</v>
      </c>
      <c r="C67" s="1091" t="s">
        <v>882</v>
      </c>
      <c r="D67" s="1093" t="s">
        <v>883</v>
      </c>
      <c r="E67" s="1093" t="s">
        <v>677</v>
      </c>
      <c r="F67" s="1094">
        <v>13.25</v>
      </c>
      <c r="G67" s="1095">
        <v>630670.92479999992</v>
      </c>
      <c r="H67" s="1095">
        <f>+F67*G67</f>
        <v>8356389.7535999985</v>
      </c>
      <c r="I67" s="1059"/>
      <c r="J67" s="1059"/>
      <c r="K67" s="1059"/>
      <c r="L67" s="1059"/>
      <c r="M67" s="1059"/>
      <c r="N67" s="1059"/>
      <c r="O67" s="1059"/>
      <c r="P67" s="1059"/>
      <c r="Q67" s="1059"/>
      <c r="R67" s="1059"/>
      <c r="S67" s="1059"/>
      <c r="T67" s="1059"/>
      <c r="U67" s="1059"/>
      <c r="V67" s="1059"/>
      <c r="W67" s="1059"/>
      <c r="X67" s="1059"/>
      <c r="Y67" s="1059"/>
      <c r="Z67" s="1059"/>
    </row>
    <row r="68" spans="1:26" ht="12.75" customHeight="1">
      <c r="A68" s="1091" t="s">
        <v>893</v>
      </c>
      <c r="B68" s="1096">
        <v>400</v>
      </c>
      <c r="C68" s="1090">
        <v>450.2</v>
      </c>
      <c r="D68" s="1097" t="s">
        <v>1180</v>
      </c>
      <c r="E68" s="1097" t="s">
        <v>842</v>
      </c>
      <c r="F68" s="1094">
        <v>6.93</v>
      </c>
      <c r="G68" s="1095">
        <v>761715</v>
      </c>
      <c r="H68" s="1095">
        <f t="shared" ref="H68:H73" si="4">+F68*G68</f>
        <v>5278684.95</v>
      </c>
      <c r="I68" s="1059"/>
      <c r="J68" s="1059"/>
      <c r="K68" s="1059"/>
      <c r="L68" s="1059"/>
      <c r="M68" s="1059"/>
      <c r="N68" s="1059"/>
      <c r="O68" s="1059"/>
      <c r="P68" s="1059"/>
      <c r="Q68" s="1059"/>
      <c r="R68" s="1059"/>
      <c r="S68" s="1059"/>
      <c r="T68" s="1059"/>
      <c r="U68" s="1059"/>
      <c r="V68" s="1059"/>
      <c r="W68" s="1059"/>
      <c r="X68" s="1059"/>
      <c r="Y68" s="1059"/>
      <c r="Z68" s="1059"/>
    </row>
    <row r="69" spans="1:26" ht="25.5" customHeight="1">
      <c r="A69" s="1091" t="s">
        <v>894</v>
      </c>
      <c r="B69" s="1096">
        <v>400</v>
      </c>
      <c r="C69" s="1090">
        <v>420.2</v>
      </c>
      <c r="D69" s="1097" t="s">
        <v>1181</v>
      </c>
      <c r="E69" s="1097" t="s">
        <v>673</v>
      </c>
      <c r="F69" s="1094">
        <v>139.65</v>
      </c>
      <c r="G69" s="1097">
        <v>2754.4369710000001</v>
      </c>
      <c r="H69" s="1095">
        <f t="shared" si="4"/>
        <v>384657.12300015002</v>
      </c>
      <c r="I69" s="1059"/>
      <c r="J69" s="1059"/>
      <c r="K69" s="1059"/>
      <c r="L69" s="1059"/>
      <c r="M69" s="1059"/>
      <c r="N69" s="1059"/>
      <c r="O69" s="1059"/>
      <c r="P69" s="1059"/>
      <c r="Q69" s="1059"/>
      <c r="R69" s="1059"/>
      <c r="S69" s="1059"/>
      <c r="T69" s="1059"/>
      <c r="U69" s="1059"/>
      <c r="V69" s="1059"/>
      <c r="W69" s="1059"/>
      <c r="X69" s="1059"/>
      <c r="Y69" s="1059"/>
      <c r="Z69" s="1059"/>
    </row>
    <row r="70" spans="1:26" ht="25.5" customHeight="1">
      <c r="A70" s="1090" t="s">
        <v>1082</v>
      </c>
      <c r="B70" s="1096">
        <v>700</v>
      </c>
      <c r="C70" s="1090">
        <v>700.1</v>
      </c>
      <c r="D70" s="1097" t="s">
        <v>1182</v>
      </c>
      <c r="E70" s="1097" t="s">
        <v>677</v>
      </c>
      <c r="F70" s="1094">
        <v>100</v>
      </c>
      <c r="G70" s="1097">
        <v>2605.3845945833336</v>
      </c>
      <c r="H70" s="1095">
        <f t="shared" si="4"/>
        <v>260538.45945833335</v>
      </c>
      <c r="I70" s="1059"/>
      <c r="J70" s="1059"/>
      <c r="K70" s="1059"/>
      <c r="L70" s="1059"/>
      <c r="M70" s="1059"/>
      <c r="N70" s="1059"/>
      <c r="O70" s="1059"/>
      <c r="P70" s="1059"/>
      <c r="Q70" s="1059"/>
      <c r="R70" s="1059"/>
      <c r="S70" s="1059"/>
      <c r="T70" s="1059"/>
      <c r="U70" s="1059"/>
      <c r="V70" s="1059"/>
      <c r="W70" s="1059"/>
      <c r="X70" s="1059"/>
      <c r="Y70" s="1059"/>
      <c r="Z70" s="1059"/>
    </row>
    <row r="71" spans="1:26" ht="12.75" customHeight="1">
      <c r="A71" s="1090">
        <v>632</v>
      </c>
      <c r="B71" s="1091">
        <v>632</v>
      </c>
      <c r="C71" s="1091" t="s">
        <v>884</v>
      </c>
      <c r="D71" s="1093" t="s">
        <v>885</v>
      </c>
      <c r="E71" s="1090" t="s">
        <v>677</v>
      </c>
      <c r="F71" s="1094">
        <v>42</v>
      </c>
      <c r="G71" s="1098">
        <v>351822.69170699356</v>
      </c>
      <c r="H71" s="1095">
        <f t="shared" si="4"/>
        <v>14776553.05169373</v>
      </c>
      <c r="I71" s="1059"/>
      <c r="J71" s="1059"/>
      <c r="K71" s="1059"/>
      <c r="L71" s="1059"/>
      <c r="M71" s="1059"/>
      <c r="N71" s="1059"/>
      <c r="O71" s="1059"/>
      <c r="P71" s="1059"/>
      <c r="Q71" s="1059"/>
      <c r="R71" s="1059"/>
      <c r="S71" s="1059"/>
      <c r="T71" s="1059"/>
      <c r="U71" s="1059"/>
      <c r="V71" s="1059"/>
      <c r="W71" s="1059"/>
      <c r="X71" s="1059"/>
      <c r="Y71" s="1059"/>
      <c r="Z71" s="1059"/>
    </row>
    <row r="72" spans="1:26" ht="12.75" customHeight="1">
      <c r="A72" s="1090"/>
      <c r="B72" s="1091"/>
      <c r="C72" s="1091"/>
      <c r="D72" s="1093" t="s">
        <v>895</v>
      </c>
      <c r="E72" s="1093" t="s">
        <v>673</v>
      </c>
      <c r="F72" s="1094">
        <v>1025</v>
      </c>
      <c r="G72" s="1095">
        <v>12441.599999999999</v>
      </c>
      <c r="H72" s="1095">
        <f t="shared" si="4"/>
        <v>12752639.999999998</v>
      </c>
      <c r="I72" s="1059"/>
      <c r="J72" s="1059"/>
      <c r="K72" s="1059"/>
      <c r="L72" s="1059"/>
      <c r="M72" s="1059"/>
      <c r="N72" s="1059"/>
      <c r="O72" s="1059"/>
      <c r="P72" s="1059"/>
      <c r="Q72" s="1059"/>
      <c r="R72" s="1059"/>
      <c r="S72" s="1059"/>
      <c r="T72" s="1059"/>
      <c r="U72" s="1059"/>
      <c r="V72" s="1059"/>
      <c r="W72" s="1059"/>
      <c r="X72" s="1059"/>
      <c r="Y72" s="1059"/>
      <c r="Z72" s="1059"/>
    </row>
    <row r="73" spans="1:26" ht="12.75" customHeight="1">
      <c r="A73" s="1090" t="s">
        <v>896</v>
      </c>
      <c r="B73" s="1091" t="s">
        <v>897</v>
      </c>
      <c r="C73" s="1091"/>
      <c r="D73" s="1093" t="s">
        <v>898</v>
      </c>
      <c r="E73" s="1093" t="s">
        <v>842</v>
      </c>
      <c r="F73" s="1093">
        <v>48</v>
      </c>
      <c r="G73" s="1095">
        <v>636651.18719999993</v>
      </c>
      <c r="H73" s="1095">
        <f t="shared" si="4"/>
        <v>30559256.985599995</v>
      </c>
      <c r="I73" s="1059"/>
      <c r="J73" s="1059"/>
      <c r="K73" s="1059"/>
      <c r="L73" s="1059"/>
      <c r="M73" s="1059"/>
      <c r="N73" s="1059"/>
      <c r="O73" s="1059"/>
      <c r="P73" s="1059"/>
      <c r="Q73" s="1059"/>
      <c r="R73" s="1059"/>
      <c r="S73" s="1059"/>
      <c r="T73" s="1059"/>
      <c r="U73" s="1059"/>
      <c r="V73" s="1059"/>
      <c r="W73" s="1059"/>
      <c r="X73" s="1059"/>
      <c r="Y73" s="1059"/>
      <c r="Z73" s="1059"/>
    </row>
    <row r="74" spans="1:26" ht="12.75" customHeight="1">
      <c r="A74" s="1014"/>
      <c r="B74" s="1014"/>
      <c r="C74" s="1014"/>
      <c r="D74" s="1059"/>
      <c r="E74" s="1059"/>
      <c r="F74" s="2054" t="s">
        <v>176</v>
      </c>
      <c r="G74" s="2055"/>
      <c r="H74" s="1099">
        <f>+SUM(H67:H73)</f>
        <v>72368720.323352203</v>
      </c>
      <c r="I74" s="1059"/>
      <c r="J74" s="1059"/>
      <c r="K74" s="1059"/>
      <c r="L74" s="1059"/>
      <c r="M74" s="1059"/>
      <c r="N74" s="1059"/>
      <c r="O74" s="1059"/>
      <c r="P74" s="1059"/>
      <c r="Q74" s="1059"/>
      <c r="R74" s="1059"/>
      <c r="S74" s="1059"/>
      <c r="T74" s="1059"/>
      <c r="U74" s="1059"/>
      <c r="V74" s="1059"/>
      <c r="W74" s="1059"/>
      <c r="X74" s="1059"/>
      <c r="Y74" s="1059"/>
      <c r="Z74" s="1059"/>
    </row>
    <row r="75" spans="1:26" ht="12.75" customHeight="1">
      <c r="A75" s="1014"/>
      <c r="B75" s="1014"/>
      <c r="C75" s="1014"/>
      <c r="D75" s="1059"/>
      <c r="E75" s="1059"/>
      <c r="F75" s="2050" t="s">
        <v>1044</v>
      </c>
      <c r="G75" s="2049"/>
      <c r="H75" s="1099">
        <f>+((H74/1.31)*(0.05))*0.19</f>
        <v>524811.33058919536</v>
      </c>
      <c r="I75" s="1059"/>
      <c r="J75" s="1059"/>
      <c r="K75" s="1059"/>
      <c r="L75" s="1059"/>
      <c r="M75" s="1059"/>
      <c r="N75" s="1059"/>
      <c r="O75" s="1059"/>
      <c r="P75" s="1059"/>
      <c r="Q75" s="1059"/>
      <c r="R75" s="1059"/>
      <c r="S75" s="1059"/>
      <c r="T75" s="1059"/>
      <c r="U75" s="1059"/>
      <c r="V75" s="1059"/>
      <c r="W75" s="1059"/>
      <c r="X75" s="1059"/>
      <c r="Y75" s="1059"/>
      <c r="Z75" s="1059"/>
    </row>
    <row r="76" spans="1:26" ht="12.75" customHeight="1">
      <c r="A76" s="1059"/>
      <c r="B76" s="1059"/>
      <c r="C76" s="1059"/>
      <c r="D76" s="1059"/>
      <c r="E76" s="1059"/>
      <c r="F76" s="2050" t="s">
        <v>177</v>
      </c>
      <c r="G76" s="2049"/>
      <c r="H76" s="1459">
        <f>+SUM(H74:H75)</f>
        <v>72893531.653941393</v>
      </c>
      <c r="I76" s="1513" t="s">
        <v>1436</v>
      </c>
      <c r="J76" s="1059"/>
      <c r="K76" s="1059"/>
      <c r="L76" s="1059"/>
      <c r="M76" s="1059"/>
      <c r="N76" s="1059"/>
      <c r="O76" s="1059"/>
      <c r="P76" s="1059"/>
      <c r="Q76" s="1059"/>
      <c r="R76" s="1059"/>
      <c r="S76" s="1059"/>
      <c r="T76" s="1059"/>
      <c r="U76" s="1059"/>
      <c r="V76" s="1059"/>
      <c r="W76" s="1059"/>
      <c r="X76" s="1059"/>
      <c r="Y76" s="1059"/>
      <c r="Z76" s="1059"/>
    </row>
    <row r="77" spans="1:26" ht="12.75" customHeight="1">
      <c r="A77" s="1059"/>
      <c r="B77" s="1059"/>
      <c r="C77" s="1059"/>
      <c r="D77" s="1059"/>
      <c r="E77" s="1059"/>
      <c r="F77" s="1059"/>
      <c r="G77" s="1059"/>
      <c r="H77" s="1100"/>
      <c r="I77" s="1059"/>
      <c r="J77" s="1059"/>
      <c r="K77" s="1059"/>
      <c r="L77" s="1059"/>
      <c r="M77" s="1059"/>
      <c r="N77" s="1059"/>
      <c r="O77" s="1059"/>
      <c r="P77" s="1059"/>
      <c r="Q77" s="1059"/>
      <c r="R77" s="1059"/>
      <c r="S77" s="1059"/>
      <c r="T77" s="1059"/>
      <c r="U77" s="1059"/>
      <c r="V77" s="1059"/>
      <c r="W77" s="1059"/>
      <c r="X77" s="1059"/>
      <c r="Y77" s="1059"/>
      <c r="Z77" s="1059"/>
    </row>
    <row r="78" spans="1:26" ht="12.75" customHeight="1">
      <c r="A78" s="1089" t="s">
        <v>1185</v>
      </c>
      <c r="B78" s="1059"/>
      <c r="C78" s="1059"/>
      <c r="D78" s="1059"/>
      <c r="E78" s="1059"/>
      <c r="F78" s="1059"/>
      <c r="G78" s="1059"/>
      <c r="H78" s="1059"/>
      <c r="I78" s="1059"/>
      <c r="J78" s="1059"/>
      <c r="K78" s="1059"/>
      <c r="L78" s="1059"/>
      <c r="M78" s="1059"/>
      <c r="N78" s="1059"/>
      <c r="O78" s="1059"/>
      <c r="P78" s="1059"/>
      <c r="Q78" s="1059"/>
      <c r="R78" s="1059"/>
      <c r="S78" s="1059"/>
      <c r="T78" s="1059"/>
      <c r="U78" s="1059"/>
      <c r="V78" s="1059"/>
      <c r="W78" s="1059"/>
      <c r="X78" s="1059"/>
      <c r="Y78" s="1059"/>
      <c r="Z78" s="1059"/>
    </row>
    <row r="79" spans="1:26" ht="12.75" customHeight="1">
      <c r="A79" s="1059"/>
      <c r="B79" s="1059"/>
      <c r="C79" s="1059"/>
      <c r="D79" s="1059"/>
      <c r="E79" s="1059"/>
      <c r="F79" s="1059"/>
      <c r="G79" s="1059"/>
      <c r="H79" s="1059"/>
      <c r="I79" s="1059"/>
      <c r="J79" s="1059"/>
      <c r="K79" s="1059"/>
      <c r="L79" s="1059"/>
      <c r="M79" s="1059"/>
      <c r="N79" s="1059"/>
      <c r="O79" s="1059"/>
      <c r="P79" s="1059"/>
      <c r="Q79" s="1059"/>
      <c r="R79" s="1059"/>
      <c r="S79" s="1059"/>
      <c r="T79" s="1059"/>
      <c r="U79" s="1059"/>
      <c r="V79" s="1059"/>
      <c r="W79" s="1059"/>
      <c r="X79" s="1059"/>
      <c r="Y79" s="1059"/>
      <c r="Z79" s="1059"/>
    </row>
    <row r="80" spans="1:26" ht="12.75" customHeight="1">
      <c r="A80" s="1090">
        <v>642</v>
      </c>
      <c r="B80" s="1091">
        <v>642</v>
      </c>
      <c r="C80" s="1091" t="s">
        <v>882</v>
      </c>
      <c r="D80" s="1093" t="s">
        <v>883</v>
      </c>
      <c r="E80" s="1093" t="s">
        <v>677</v>
      </c>
      <c r="F80" s="1094">
        <v>14</v>
      </c>
      <c r="G80" s="1095">
        <v>630670.92479999992</v>
      </c>
      <c r="H80" s="1095">
        <f>+F80*G80</f>
        <v>8829392.9471999984</v>
      </c>
      <c r="I80" s="1059"/>
      <c r="J80" s="1059"/>
      <c r="K80" s="1059"/>
      <c r="L80" s="1059"/>
      <c r="M80" s="1059"/>
      <c r="N80" s="1059"/>
      <c r="O80" s="1059"/>
      <c r="P80" s="1059"/>
      <c r="Q80" s="1059"/>
      <c r="R80" s="1059"/>
      <c r="S80" s="1059"/>
      <c r="T80" s="1059"/>
      <c r="U80" s="1059"/>
      <c r="V80" s="1059"/>
      <c r="W80" s="1059"/>
      <c r="X80" s="1059"/>
      <c r="Y80" s="1059"/>
      <c r="Z80" s="1059"/>
    </row>
    <row r="81" spans="1:26" ht="12.75" customHeight="1">
      <c r="A81" s="1091" t="s">
        <v>893</v>
      </c>
      <c r="B81" s="1096">
        <v>400</v>
      </c>
      <c r="C81" s="1090">
        <v>450.2</v>
      </c>
      <c r="D81" s="1097" t="s">
        <v>1180</v>
      </c>
      <c r="E81" s="1097" t="s">
        <v>842</v>
      </c>
      <c r="F81" s="1094">
        <v>13.200000000000001</v>
      </c>
      <c r="G81" s="1095">
        <v>761715</v>
      </c>
      <c r="H81" s="1095">
        <f t="shared" ref="H81:H86" si="5">+F81*G81</f>
        <v>10054638</v>
      </c>
      <c r="I81" s="1059"/>
      <c r="J81" s="1059"/>
      <c r="K81" s="1059"/>
      <c r="L81" s="1059"/>
      <c r="M81" s="1059"/>
      <c r="N81" s="1059"/>
      <c r="O81" s="1059"/>
      <c r="P81" s="1059"/>
      <c r="Q81" s="1059"/>
      <c r="R81" s="1059"/>
      <c r="S81" s="1059"/>
      <c r="T81" s="1059"/>
      <c r="U81" s="1059"/>
      <c r="V81" s="1059"/>
      <c r="W81" s="1059"/>
      <c r="X81" s="1059"/>
      <c r="Y81" s="1059"/>
      <c r="Z81" s="1059"/>
    </row>
    <row r="82" spans="1:26" ht="25.5" customHeight="1">
      <c r="A82" s="1091" t="s">
        <v>894</v>
      </c>
      <c r="B82" s="1096">
        <v>400</v>
      </c>
      <c r="C82" s="1090">
        <v>420.2</v>
      </c>
      <c r="D82" s="1097" t="s">
        <v>1181</v>
      </c>
      <c r="E82" s="1097" t="s">
        <v>673</v>
      </c>
      <c r="F82" s="1094">
        <v>264</v>
      </c>
      <c r="G82" s="1097">
        <v>2754.4369710000001</v>
      </c>
      <c r="H82" s="1095">
        <f t="shared" si="5"/>
        <v>727171.36034400004</v>
      </c>
      <c r="I82" s="1059"/>
      <c r="J82" s="1059"/>
      <c r="K82" s="1059"/>
      <c r="L82" s="1059"/>
      <c r="M82" s="1059"/>
      <c r="N82" s="1059"/>
      <c r="O82" s="1059"/>
      <c r="P82" s="1059"/>
      <c r="Q82" s="1059"/>
      <c r="R82" s="1059"/>
      <c r="S82" s="1059"/>
      <c r="T82" s="1059"/>
      <c r="U82" s="1059"/>
      <c r="V82" s="1059"/>
      <c r="W82" s="1059"/>
      <c r="X82" s="1059"/>
      <c r="Y82" s="1059"/>
      <c r="Z82" s="1059"/>
    </row>
    <row r="83" spans="1:26" ht="25.5" customHeight="1">
      <c r="A83" s="1090" t="s">
        <v>1082</v>
      </c>
      <c r="B83" s="1096">
        <v>700</v>
      </c>
      <c r="C83" s="1090">
        <v>700.1</v>
      </c>
      <c r="D83" s="1097" t="s">
        <v>1182</v>
      </c>
      <c r="E83" s="1097" t="s">
        <v>677</v>
      </c>
      <c r="F83" s="1094">
        <v>100</v>
      </c>
      <c r="G83" s="1097">
        <v>2605.3845945833336</v>
      </c>
      <c r="H83" s="1095">
        <f t="shared" si="5"/>
        <v>260538.45945833335</v>
      </c>
      <c r="I83" s="1059"/>
      <c r="J83" s="1059"/>
      <c r="K83" s="1059"/>
      <c r="L83" s="1059"/>
      <c r="M83" s="1059"/>
      <c r="N83" s="1059"/>
      <c r="O83" s="1059"/>
      <c r="P83" s="1059"/>
      <c r="Q83" s="1059"/>
      <c r="R83" s="1059"/>
      <c r="S83" s="1059"/>
      <c r="T83" s="1059"/>
      <c r="U83" s="1059"/>
      <c r="V83" s="1059"/>
      <c r="W83" s="1059"/>
      <c r="X83" s="1059"/>
      <c r="Y83" s="1059"/>
      <c r="Z83" s="1059"/>
    </row>
    <row r="84" spans="1:26" ht="12.75" customHeight="1">
      <c r="A84" s="1090">
        <v>632</v>
      </c>
      <c r="B84" s="1091">
        <v>632</v>
      </c>
      <c r="C84" s="1091" t="s">
        <v>884</v>
      </c>
      <c r="D84" s="1093" t="s">
        <v>885</v>
      </c>
      <c r="E84" s="1090" t="s">
        <v>677</v>
      </c>
      <c r="F84" s="1094">
        <v>65</v>
      </c>
      <c r="G84" s="1098">
        <v>351822.69170699356</v>
      </c>
      <c r="H84" s="1095">
        <f t="shared" si="5"/>
        <v>22868474.96095458</v>
      </c>
      <c r="I84" s="1059"/>
      <c r="J84" s="1059"/>
      <c r="K84" s="1059"/>
      <c r="L84" s="1059"/>
      <c r="M84" s="1059"/>
      <c r="N84" s="1059"/>
      <c r="O84" s="1059"/>
      <c r="P84" s="1059"/>
      <c r="Q84" s="1059"/>
      <c r="R84" s="1059"/>
      <c r="S84" s="1059"/>
      <c r="T84" s="1059"/>
      <c r="U84" s="1059"/>
      <c r="V84" s="1059"/>
      <c r="W84" s="1059"/>
      <c r="X84" s="1059"/>
      <c r="Y84" s="1059"/>
      <c r="Z84" s="1059"/>
    </row>
    <row r="85" spans="1:26" ht="12.75" customHeight="1">
      <c r="A85" s="1091" t="s">
        <v>897</v>
      </c>
      <c r="B85" s="1091" t="s">
        <v>897</v>
      </c>
      <c r="C85" s="1091"/>
      <c r="D85" s="1093" t="s">
        <v>898</v>
      </c>
      <c r="E85" s="1093" t="s">
        <v>842</v>
      </c>
      <c r="F85" s="1093">
        <v>33</v>
      </c>
      <c r="G85" s="1095">
        <v>636651.18719999993</v>
      </c>
      <c r="H85" s="1095">
        <f t="shared" si="5"/>
        <v>21009489.177599996</v>
      </c>
      <c r="I85" s="1059"/>
      <c r="J85" s="1059"/>
      <c r="K85" s="1059"/>
      <c r="L85" s="1059"/>
      <c r="M85" s="1059"/>
      <c r="N85" s="1059"/>
      <c r="O85" s="1059"/>
      <c r="P85" s="1059"/>
      <c r="Q85" s="1059"/>
      <c r="R85" s="1059"/>
      <c r="S85" s="1059"/>
      <c r="T85" s="1059"/>
      <c r="U85" s="1059"/>
      <c r="V85" s="1059"/>
      <c r="W85" s="1059"/>
      <c r="X85" s="1059"/>
      <c r="Y85" s="1059"/>
      <c r="Z85" s="1059"/>
    </row>
    <row r="86" spans="1:26" ht="12.75" customHeight="1">
      <c r="A86" s="1090">
        <v>730.1</v>
      </c>
      <c r="B86" s="1091">
        <v>730.1</v>
      </c>
      <c r="C86" s="1091"/>
      <c r="D86" s="1093" t="s">
        <v>899</v>
      </c>
      <c r="E86" s="1093" t="s">
        <v>842</v>
      </c>
      <c r="F86" s="1093">
        <v>60</v>
      </c>
      <c r="G86" s="1095">
        <v>165238.68683211712</v>
      </c>
      <c r="H86" s="1095">
        <f t="shared" si="5"/>
        <v>9914321.209927028</v>
      </c>
      <c r="I86" s="1059"/>
      <c r="J86" s="1059"/>
      <c r="K86" s="1059"/>
      <c r="L86" s="1059"/>
      <c r="M86" s="1059"/>
      <c r="N86" s="1059"/>
      <c r="O86" s="1059"/>
      <c r="P86" s="1059"/>
      <c r="Q86" s="1059"/>
      <c r="R86" s="1059"/>
      <c r="S86" s="1059"/>
      <c r="T86" s="1059"/>
      <c r="U86" s="1059"/>
      <c r="V86" s="1059"/>
      <c r="W86" s="1059"/>
      <c r="X86" s="1059"/>
      <c r="Y86" s="1059"/>
      <c r="Z86" s="1059"/>
    </row>
    <row r="87" spans="1:26" ht="12.75" customHeight="1">
      <c r="A87" s="1105"/>
      <c r="B87" s="1105"/>
      <c r="C87" s="1105"/>
      <c r="D87" s="1106"/>
      <c r="E87" s="1106"/>
      <c r="F87" s="2057" t="s">
        <v>176</v>
      </c>
      <c r="G87" s="2055"/>
      <c r="H87" s="1099">
        <f>+SUM(H80:H86)</f>
        <v>73664026.11548394</v>
      </c>
      <c r="I87" s="1059"/>
      <c r="J87" s="1059"/>
      <c r="K87" s="1059"/>
      <c r="L87" s="1059"/>
      <c r="M87" s="1059"/>
      <c r="N87" s="1059"/>
      <c r="O87" s="1059"/>
      <c r="P87" s="1059"/>
      <c r="Q87" s="1059"/>
      <c r="R87" s="1059"/>
      <c r="S87" s="1059"/>
      <c r="T87" s="1059"/>
      <c r="U87" s="1059"/>
      <c r="V87" s="1059"/>
      <c r="W87" s="1059"/>
      <c r="X87" s="1059"/>
      <c r="Y87" s="1059"/>
      <c r="Z87" s="1059"/>
    </row>
    <row r="88" spans="1:26" ht="12.75" customHeight="1">
      <c r="A88" s="1105"/>
      <c r="B88" s="1105"/>
      <c r="C88" s="1105"/>
      <c r="D88" s="1106"/>
      <c r="E88" s="1106"/>
      <c r="F88" s="2048" t="s">
        <v>1044</v>
      </c>
      <c r="G88" s="2049"/>
      <c r="H88" s="1099">
        <f>+((H87/1.31)*(0.05))*0.19</f>
        <v>534204.76953976904</v>
      </c>
      <c r="I88" s="1059"/>
      <c r="J88" s="1059"/>
      <c r="K88" s="1059"/>
      <c r="L88" s="1059"/>
      <c r="M88" s="1059"/>
      <c r="N88" s="1059"/>
      <c r="O88" s="1059"/>
      <c r="P88" s="1059"/>
      <c r="Q88" s="1059"/>
      <c r="R88" s="1059"/>
      <c r="S88" s="1059"/>
      <c r="T88" s="1059"/>
      <c r="U88" s="1059"/>
      <c r="V88" s="1059"/>
      <c r="W88" s="1059"/>
      <c r="X88" s="1059"/>
      <c r="Y88" s="1059"/>
      <c r="Z88" s="1059"/>
    </row>
    <row r="89" spans="1:26" ht="12.75" customHeight="1">
      <c r="A89" s="1106"/>
      <c r="B89" s="1106"/>
      <c r="C89" s="1106"/>
      <c r="D89" s="1106"/>
      <c r="E89" s="1106"/>
      <c r="F89" s="2048" t="s">
        <v>177</v>
      </c>
      <c r="G89" s="2049"/>
      <c r="H89" s="1459">
        <f>+SUM(H87:H88)</f>
        <v>74198230.885023713</v>
      </c>
      <c r="I89" s="1513" t="s">
        <v>1436</v>
      </c>
      <c r="J89" s="1059"/>
      <c r="K89" s="1059"/>
      <c r="L89" s="1059"/>
      <c r="M89" s="1059"/>
      <c r="N89" s="1059"/>
      <c r="O89" s="1059"/>
      <c r="P89" s="1059"/>
      <c r="Q89" s="1059"/>
      <c r="R89" s="1059"/>
      <c r="S89" s="1059"/>
      <c r="T89" s="1059"/>
      <c r="U89" s="1059"/>
      <c r="V89" s="1059"/>
      <c r="W89" s="1059"/>
      <c r="X89" s="1059"/>
      <c r="Y89" s="1059"/>
      <c r="Z89" s="1059"/>
    </row>
    <row r="90" spans="1:26" ht="12.75" customHeight="1">
      <c r="A90" s="1059"/>
      <c r="B90" s="1059"/>
      <c r="C90" s="1059"/>
      <c r="D90" s="1059"/>
      <c r="E90" s="1059"/>
      <c r="F90" s="1059"/>
      <c r="G90" s="1059"/>
      <c r="H90" s="1100"/>
      <c r="I90" s="1059"/>
      <c r="J90" s="1059"/>
      <c r="K90" s="1059"/>
      <c r="L90" s="1059"/>
      <c r="M90" s="1059"/>
      <c r="N90" s="1059"/>
      <c r="O90" s="1059"/>
      <c r="P90" s="1059"/>
      <c r="Q90" s="1059"/>
      <c r="R90" s="1059"/>
      <c r="S90" s="1059"/>
      <c r="T90" s="1059"/>
      <c r="U90" s="1059"/>
      <c r="V90" s="1059"/>
      <c r="W90" s="1059"/>
      <c r="X90" s="1059"/>
      <c r="Y90" s="1059"/>
      <c r="Z90" s="1059"/>
    </row>
    <row r="91" spans="1:26" ht="12.75" customHeight="1">
      <c r="A91" s="1089" t="s">
        <v>1423</v>
      </c>
      <c r="B91" s="1059"/>
      <c r="C91" s="1059"/>
      <c r="D91" s="1059"/>
      <c r="E91" s="1059"/>
      <c r="F91" s="1059"/>
      <c r="G91" s="1059"/>
      <c r="H91" s="1059"/>
      <c r="I91" s="1059"/>
      <c r="J91" s="1059"/>
      <c r="K91" s="1059"/>
      <c r="L91" s="1059"/>
      <c r="M91" s="1059"/>
      <c r="N91" s="1059"/>
      <c r="O91" s="1059"/>
      <c r="P91" s="1059"/>
      <c r="Q91" s="1059"/>
      <c r="R91" s="1059"/>
      <c r="S91" s="1059"/>
      <c r="T91" s="1059"/>
      <c r="U91" s="1059"/>
      <c r="V91" s="1059"/>
      <c r="W91" s="1059"/>
      <c r="X91" s="1059"/>
      <c r="Y91" s="1059"/>
      <c r="Z91" s="1059"/>
    </row>
    <row r="92" spans="1:26" ht="12.75" customHeight="1">
      <c r="A92" s="1059"/>
      <c r="B92" s="1059"/>
      <c r="C92" s="1059"/>
      <c r="D92" s="1059"/>
      <c r="E92" s="1059"/>
      <c r="F92" s="1059"/>
      <c r="G92" s="1059"/>
      <c r="H92" s="1059"/>
      <c r="I92" s="1059"/>
      <c r="J92" s="1059"/>
      <c r="K92" s="1059"/>
      <c r="L92" s="1059"/>
      <c r="M92" s="1059"/>
      <c r="N92" s="1059"/>
      <c r="O92" s="1059"/>
      <c r="P92" s="1059"/>
      <c r="Q92" s="1059"/>
      <c r="R92" s="1059"/>
      <c r="S92" s="1059"/>
      <c r="T92" s="1059"/>
      <c r="U92" s="1059"/>
      <c r="V92" s="1059"/>
      <c r="W92" s="1059"/>
      <c r="X92" s="1059"/>
      <c r="Y92" s="1059"/>
      <c r="Z92" s="1059"/>
    </row>
    <row r="93" spans="1:26" ht="12.75" customHeight="1">
      <c r="A93" s="1090">
        <v>642</v>
      </c>
      <c r="B93" s="1091">
        <v>642</v>
      </c>
      <c r="C93" s="1091" t="s">
        <v>882</v>
      </c>
      <c r="D93" s="1093" t="s">
        <v>883</v>
      </c>
      <c r="E93" s="1093" t="s">
        <v>677</v>
      </c>
      <c r="F93" s="1094">
        <v>13.25</v>
      </c>
      <c r="G93" s="1095">
        <v>630670.92479999992</v>
      </c>
      <c r="H93" s="1095">
        <f>+F93*G93</f>
        <v>8356389.7535999985</v>
      </c>
      <c r="I93" s="1059"/>
      <c r="J93" s="1059"/>
      <c r="K93" s="1059"/>
      <c r="L93" s="1059"/>
      <c r="M93" s="1059"/>
      <c r="N93" s="1059"/>
      <c r="O93" s="1059"/>
      <c r="P93" s="1059"/>
      <c r="Q93" s="1059"/>
      <c r="R93" s="1059"/>
      <c r="S93" s="1059"/>
      <c r="T93" s="1059"/>
      <c r="U93" s="1059"/>
      <c r="V93" s="1059"/>
      <c r="W93" s="1059"/>
      <c r="X93" s="1059"/>
      <c r="Y93" s="1059"/>
      <c r="Z93" s="1059"/>
    </row>
    <row r="94" spans="1:26" ht="12.75" customHeight="1">
      <c r="A94" s="1090">
        <v>632</v>
      </c>
      <c r="B94" s="1091">
        <v>632</v>
      </c>
      <c r="C94" s="1091" t="s">
        <v>884</v>
      </c>
      <c r="D94" s="1093" t="s">
        <v>885</v>
      </c>
      <c r="E94" s="1090" t="s">
        <v>677</v>
      </c>
      <c r="F94" s="1094">
        <v>25</v>
      </c>
      <c r="G94" s="1098">
        <v>351822.69170699356</v>
      </c>
      <c r="H94" s="1095">
        <f t="shared" ref="H94:H95" si="6">+F94*G94</f>
        <v>8795567.2926748395</v>
      </c>
      <c r="I94" s="1059"/>
      <c r="J94" s="1059"/>
      <c r="K94" s="1059"/>
      <c r="L94" s="1059"/>
      <c r="M94" s="1059"/>
      <c r="N94" s="1059"/>
      <c r="O94" s="1059"/>
      <c r="P94" s="1059"/>
      <c r="Q94" s="1059"/>
      <c r="R94" s="1059"/>
      <c r="S94" s="1059"/>
      <c r="T94" s="1059"/>
      <c r="U94" s="1059"/>
      <c r="V94" s="1059"/>
      <c r="W94" s="1059"/>
      <c r="X94" s="1059"/>
      <c r="Y94" s="1059"/>
      <c r="Z94" s="1059"/>
    </row>
    <row r="95" spans="1:26" ht="12.75" customHeight="1">
      <c r="A95" s="1090" t="s">
        <v>1083</v>
      </c>
      <c r="B95" s="1096">
        <v>700</v>
      </c>
      <c r="C95" s="1091">
        <v>730.1</v>
      </c>
      <c r="D95" s="1097" t="s">
        <v>1186</v>
      </c>
      <c r="E95" s="1097" t="s">
        <v>677</v>
      </c>
      <c r="F95" s="1093">
        <v>45</v>
      </c>
      <c r="G95" s="1097">
        <v>162551.8761254237</v>
      </c>
      <c r="H95" s="1095">
        <f t="shared" si="6"/>
        <v>7314834.4256440662</v>
      </c>
      <c r="I95" s="1059"/>
      <c r="J95" s="1059"/>
      <c r="K95" s="1059"/>
      <c r="L95" s="1059"/>
      <c r="M95" s="1059"/>
      <c r="N95" s="1059"/>
      <c r="O95" s="1059"/>
      <c r="P95" s="1059"/>
      <c r="Q95" s="1059"/>
      <c r="R95" s="1059"/>
      <c r="S95" s="1059"/>
      <c r="T95" s="1059"/>
      <c r="U95" s="1059"/>
      <c r="V95" s="1059"/>
      <c r="W95" s="1059"/>
      <c r="X95" s="1059"/>
      <c r="Y95" s="1059"/>
      <c r="Z95" s="1059"/>
    </row>
    <row r="96" spans="1:26" ht="12.75" customHeight="1">
      <c r="A96" s="1014"/>
      <c r="B96" s="1014"/>
      <c r="C96" s="1014"/>
      <c r="D96" s="1059"/>
      <c r="E96" s="1059"/>
      <c r="F96" s="2054" t="s">
        <v>176</v>
      </c>
      <c r="G96" s="2055"/>
      <c r="H96" s="1099">
        <f>+SUM(H93:H95)</f>
        <v>24466791.471918903</v>
      </c>
      <c r="I96" s="1059"/>
      <c r="J96" s="1059"/>
      <c r="K96" s="1059"/>
      <c r="L96" s="1059"/>
      <c r="M96" s="1059"/>
      <c r="N96" s="1059"/>
      <c r="O96" s="1059"/>
      <c r="P96" s="1059"/>
      <c r="Q96" s="1059"/>
      <c r="R96" s="1059"/>
      <c r="S96" s="1059"/>
      <c r="T96" s="1059"/>
      <c r="U96" s="1059"/>
      <c r="V96" s="1059"/>
      <c r="W96" s="1059"/>
      <c r="X96" s="1059"/>
      <c r="Y96" s="1059"/>
      <c r="Z96" s="1059"/>
    </row>
    <row r="97" spans="1:26" ht="12.75" customHeight="1">
      <c r="A97" s="1014"/>
      <c r="B97" s="1014"/>
      <c r="C97" s="1014"/>
      <c r="D97" s="1059"/>
      <c r="E97" s="1059"/>
      <c r="F97" s="2050" t="s">
        <v>1044</v>
      </c>
      <c r="G97" s="2049"/>
      <c r="H97" s="1099">
        <f>+((H96/1.31)*(0.05))*0.19</f>
        <v>177430.93052154934</v>
      </c>
      <c r="I97" s="1515"/>
      <c r="J97" s="1059"/>
      <c r="K97" s="1059"/>
      <c r="L97" s="1059"/>
      <c r="M97" s="1059"/>
      <c r="N97" s="1059"/>
      <c r="O97" s="1059"/>
      <c r="P97" s="1059"/>
      <c r="Q97" s="1059"/>
      <c r="R97" s="1059"/>
      <c r="S97" s="1059"/>
      <c r="T97" s="1059"/>
      <c r="U97" s="1059"/>
      <c r="V97" s="1059"/>
      <c r="W97" s="1059"/>
      <c r="X97" s="1059"/>
      <c r="Y97" s="1059"/>
      <c r="Z97" s="1059"/>
    </row>
    <row r="98" spans="1:26" ht="12.75" customHeight="1">
      <c r="A98" s="1059"/>
      <c r="B98" s="1059"/>
      <c r="C98" s="1059"/>
      <c r="D98" s="1059"/>
      <c r="E98" s="1059"/>
      <c r="F98" s="2050" t="s">
        <v>177</v>
      </c>
      <c r="G98" s="2049"/>
      <c r="H98" s="1459">
        <f>+SUM(H96:H97)</f>
        <v>24644222.402440451</v>
      </c>
      <c r="I98" s="1513" t="s">
        <v>1436</v>
      </c>
      <c r="J98" s="1059"/>
      <c r="K98" s="1059"/>
      <c r="L98" s="1059"/>
      <c r="M98" s="1059"/>
      <c r="N98" s="1059"/>
      <c r="O98" s="1059"/>
      <c r="P98" s="1059"/>
      <c r="Q98" s="1059"/>
      <c r="R98" s="1059"/>
      <c r="S98" s="1059"/>
      <c r="T98" s="1059"/>
      <c r="U98" s="1059"/>
      <c r="V98" s="1059"/>
      <c r="W98" s="1059"/>
      <c r="X98" s="1059"/>
      <c r="Y98" s="1059"/>
      <c r="Z98" s="1059"/>
    </row>
    <row r="99" spans="1:26" ht="12.75" customHeight="1">
      <c r="A99" s="1059"/>
      <c r="B99" s="1059"/>
      <c r="C99" s="1059"/>
      <c r="D99" s="1059"/>
      <c r="E99" s="1059"/>
      <c r="F99" s="1059"/>
      <c r="G99" s="1059"/>
      <c r="H99" s="1100"/>
      <c r="I99" s="1059"/>
      <c r="J99" s="1059"/>
      <c r="K99" s="1059"/>
      <c r="L99" s="1059"/>
      <c r="M99" s="1059"/>
      <c r="N99" s="1059"/>
      <c r="O99" s="1059"/>
      <c r="P99" s="1059"/>
      <c r="Q99" s="1059"/>
      <c r="R99" s="1059"/>
      <c r="S99" s="1059"/>
      <c r="T99" s="1059"/>
      <c r="U99" s="1059"/>
      <c r="V99" s="1059"/>
      <c r="W99" s="1059"/>
      <c r="X99" s="1059"/>
      <c r="Y99" s="1059"/>
      <c r="Z99" s="1059"/>
    </row>
    <row r="100" spans="1:26" ht="12.75" customHeight="1">
      <c r="A100" s="1089" t="s">
        <v>1187</v>
      </c>
      <c r="B100" s="1059"/>
      <c r="C100" s="1059"/>
      <c r="D100" s="1107" t="s">
        <v>799</v>
      </c>
      <c r="E100" s="1059"/>
      <c r="F100" s="1059"/>
      <c r="G100" s="1059"/>
      <c r="H100" s="1059"/>
      <c r="I100" s="1059"/>
      <c r="J100" s="1059"/>
      <c r="K100" s="1059"/>
      <c r="L100" s="1059"/>
      <c r="M100" s="1059"/>
      <c r="N100" s="1059"/>
      <c r="O100" s="1059"/>
      <c r="P100" s="1059"/>
      <c r="Q100" s="1059"/>
      <c r="R100" s="1059"/>
      <c r="S100" s="1059"/>
      <c r="T100" s="1059"/>
      <c r="U100" s="1059"/>
      <c r="V100" s="1059"/>
      <c r="W100" s="1059"/>
      <c r="X100" s="1059"/>
      <c r="Y100" s="1059"/>
      <c r="Z100" s="1059"/>
    </row>
    <row r="101" spans="1:26" ht="12.75" customHeight="1">
      <c r="A101" s="1059"/>
      <c r="B101" s="1059"/>
      <c r="C101" s="1059"/>
      <c r="D101" s="1059"/>
      <c r="E101" s="1059"/>
      <c r="F101" s="1059"/>
      <c r="G101" s="1059"/>
      <c r="H101" s="1059"/>
      <c r="I101" s="1059"/>
      <c r="J101" s="1059"/>
      <c r="K101" s="1059"/>
      <c r="L101" s="1059"/>
      <c r="M101" s="1059"/>
      <c r="N101" s="1059"/>
      <c r="O101" s="1059"/>
      <c r="P101" s="1059"/>
      <c r="Q101" s="1059"/>
      <c r="R101" s="1059"/>
      <c r="S101" s="1059"/>
      <c r="T101" s="1059"/>
      <c r="U101" s="1059"/>
      <c r="V101" s="1059"/>
      <c r="W101" s="1059"/>
      <c r="X101" s="1059"/>
      <c r="Y101" s="1059"/>
      <c r="Z101" s="1059"/>
    </row>
    <row r="102" spans="1:26" ht="12.75" customHeight="1">
      <c r="A102" s="1052" t="s">
        <v>1080</v>
      </c>
      <c r="B102" s="1108">
        <v>200</v>
      </c>
      <c r="C102" s="1052">
        <v>201.7</v>
      </c>
      <c r="D102" s="1109" t="s">
        <v>1188</v>
      </c>
      <c r="E102" s="1109" t="s">
        <v>842</v>
      </c>
      <c r="F102" s="1110">
        <v>6</v>
      </c>
      <c r="G102" s="1109">
        <v>151709.72597575758</v>
      </c>
      <c r="H102" s="1111">
        <f>+F102*G102</f>
        <v>910258.35585454549</v>
      </c>
      <c r="I102" s="1059"/>
      <c r="J102" s="1059"/>
      <c r="K102" s="1059"/>
      <c r="L102" s="1059"/>
      <c r="M102" s="1059"/>
      <c r="N102" s="1059"/>
      <c r="O102" s="1059"/>
      <c r="P102" s="1059"/>
      <c r="Q102" s="1059"/>
      <c r="R102" s="1059"/>
      <c r="S102" s="1059"/>
      <c r="T102" s="1059"/>
      <c r="U102" s="1059"/>
      <c r="V102" s="1059"/>
      <c r="W102" s="1059"/>
      <c r="X102" s="1059"/>
      <c r="Y102" s="1059"/>
      <c r="Z102" s="1059"/>
    </row>
    <row r="103" spans="1:26" ht="12.75" customHeight="1">
      <c r="A103" s="1090">
        <v>632</v>
      </c>
      <c r="B103" s="1091">
        <v>632</v>
      </c>
      <c r="C103" s="1091" t="s">
        <v>884</v>
      </c>
      <c r="D103" s="1092" t="s">
        <v>885</v>
      </c>
      <c r="E103" s="1090" t="s">
        <v>677</v>
      </c>
      <c r="F103" s="1094">
        <v>55</v>
      </c>
      <c r="G103" s="1112">
        <v>233243.712</v>
      </c>
      <c r="H103" s="1111">
        <f>+F103*G103</f>
        <v>12828404.16</v>
      </c>
      <c r="I103" s="1059"/>
      <c r="J103" s="1059"/>
      <c r="K103" s="1059"/>
      <c r="L103" s="1059"/>
      <c r="M103" s="1059"/>
      <c r="N103" s="1059"/>
      <c r="O103" s="1059"/>
      <c r="P103" s="1059"/>
      <c r="Q103" s="1059"/>
      <c r="R103" s="1059"/>
      <c r="S103" s="1059"/>
      <c r="T103" s="1059"/>
      <c r="U103" s="1059"/>
      <c r="V103" s="1059"/>
      <c r="W103" s="1059"/>
      <c r="X103" s="1059"/>
      <c r="Y103" s="1059"/>
      <c r="Z103" s="1059"/>
    </row>
    <row r="104" spans="1:26" ht="12.75" customHeight="1">
      <c r="A104" s="1090"/>
      <c r="B104" s="1091"/>
      <c r="C104" s="1091"/>
      <c r="D104" s="1093"/>
      <c r="E104" s="1093"/>
      <c r="F104" s="1093"/>
      <c r="G104" s="1093"/>
      <c r="H104" s="1093"/>
      <c r="I104" s="1059"/>
      <c r="J104" s="1059"/>
      <c r="K104" s="1059"/>
      <c r="L104" s="1059"/>
      <c r="M104" s="1059"/>
      <c r="N104" s="1059"/>
      <c r="O104" s="1059"/>
      <c r="P104" s="1059"/>
      <c r="Q104" s="1059"/>
      <c r="R104" s="1059"/>
      <c r="S104" s="1059"/>
      <c r="T104" s="1059"/>
      <c r="U104" s="1059"/>
      <c r="V104" s="1059"/>
      <c r="W104" s="1059"/>
      <c r="X104" s="1059"/>
      <c r="Y104" s="1059"/>
      <c r="Z104" s="1059"/>
    </row>
    <row r="105" spans="1:26" ht="12.75" customHeight="1">
      <c r="A105" s="1052"/>
      <c r="B105" s="1114"/>
      <c r="C105" s="1114"/>
      <c r="D105" s="1050"/>
      <c r="E105" s="1050"/>
      <c r="F105" s="1050"/>
      <c r="G105" s="1115"/>
      <c r="H105" s="1115"/>
      <c r="I105" s="1059"/>
      <c r="J105" s="1059"/>
      <c r="K105" s="1059"/>
      <c r="L105" s="1059"/>
      <c r="M105" s="1059"/>
      <c r="N105" s="1059"/>
      <c r="O105" s="1059"/>
      <c r="P105" s="1059"/>
      <c r="Q105" s="1059"/>
      <c r="R105" s="1059"/>
      <c r="S105" s="1059"/>
      <c r="T105" s="1059"/>
      <c r="U105" s="1059"/>
      <c r="V105" s="1059"/>
      <c r="W105" s="1059"/>
      <c r="X105" s="1059"/>
      <c r="Y105" s="1059"/>
      <c r="Z105" s="1059"/>
    </row>
    <row r="106" spans="1:26" ht="12.75" customHeight="1">
      <c r="A106" s="1014"/>
      <c r="B106" s="1014"/>
      <c r="C106" s="1014"/>
      <c r="D106" s="1059"/>
      <c r="E106" s="1059"/>
      <c r="F106" s="2054" t="s">
        <v>176</v>
      </c>
      <c r="G106" s="2055"/>
      <c r="H106" s="1099">
        <f>+SUM(H102:H105)</f>
        <v>13738662.515854545</v>
      </c>
      <c r="I106" s="1059"/>
      <c r="J106" s="1059"/>
      <c r="K106" s="1059"/>
      <c r="L106" s="1059"/>
      <c r="M106" s="1059"/>
      <c r="N106" s="1059"/>
      <c r="O106" s="1059"/>
      <c r="P106" s="1059"/>
      <c r="Q106" s="1059"/>
      <c r="R106" s="1059"/>
      <c r="S106" s="1059"/>
      <c r="T106" s="1059"/>
      <c r="U106" s="1059"/>
      <c r="V106" s="1059"/>
      <c r="W106" s="1059"/>
      <c r="X106" s="1059"/>
      <c r="Y106" s="1059"/>
      <c r="Z106" s="1059"/>
    </row>
    <row r="107" spans="1:26" ht="12.75" customHeight="1">
      <c r="A107" s="1014"/>
      <c r="B107" s="1014"/>
      <c r="C107" s="1014"/>
      <c r="D107" s="1059"/>
      <c r="E107" s="1059"/>
      <c r="F107" s="2050" t="s">
        <v>1044</v>
      </c>
      <c r="G107" s="2049"/>
      <c r="H107" s="1099">
        <f>+((H106/1.31)*(0.05))*0.19</f>
        <v>99631.5220615406</v>
      </c>
      <c r="I107" s="1059"/>
      <c r="J107" s="1059"/>
      <c r="K107" s="1059"/>
      <c r="L107" s="1059"/>
      <c r="M107" s="1059"/>
      <c r="N107" s="1059"/>
      <c r="O107" s="1059"/>
      <c r="P107" s="1059"/>
      <c r="Q107" s="1059"/>
      <c r="R107" s="1059"/>
      <c r="S107" s="1059"/>
      <c r="T107" s="1059"/>
      <c r="U107" s="1059"/>
      <c r="V107" s="1059"/>
      <c r="W107" s="1059"/>
      <c r="X107" s="1059"/>
      <c r="Y107" s="1059"/>
      <c r="Z107" s="1059"/>
    </row>
    <row r="108" spans="1:26" ht="12.75" customHeight="1">
      <c r="A108" s="1059"/>
      <c r="B108" s="1059"/>
      <c r="C108" s="1059"/>
      <c r="D108" s="1059"/>
      <c r="E108" s="1059"/>
      <c r="F108" s="2050" t="s">
        <v>177</v>
      </c>
      <c r="G108" s="2049"/>
      <c r="H108" s="1459">
        <f>+SUM(H106:H107)</f>
        <v>13838294.037916085</v>
      </c>
      <c r="I108" s="1513" t="s">
        <v>1437</v>
      </c>
      <c r="J108" s="1059"/>
      <c r="K108" s="1059"/>
      <c r="L108" s="1059"/>
      <c r="M108" s="1059"/>
      <c r="N108" s="1059"/>
      <c r="O108" s="1059"/>
      <c r="P108" s="1059"/>
      <c r="Q108" s="1059"/>
      <c r="R108" s="1059"/>
      <c r="S108" s="1059"/>
      <c r="T108" s="1059"/>
      <c r="U108" s="1059"/>
      <c r="V108" s="1059"/>
      <c r="W108" s="1059"/>
      <c r="X108" s="1059"/>
      <c r="Y108" s="1059"/>
      <c r="Z108" s="1059"/>
    </row>
    <row r="109" spans="1:26" ht="12.75" customHeight="1">
      <c r="A109" s="1059"/>
      <c r="B109" s="1059"/>
      <c r="C109" s="1059"/>
      <c r="D109" s="1059"/>
      <c r="E109" s="1059"/>
      <c r="F109" s="1059"/>
      <c r="G109" s="1059"/>
      <c r="H109" s="1103"/>
      <c r="I109" s="1059"/>
      <c r="J109" s="1059"/>
      <c r="K109" s="1059"/>
      <c r="L109" s="1059"/>
      <c r="M109" s="1059"/>
      <c r="N109" s="1059"/>
      <c r="O109" s="1059"/>
      <c r="P109" s="1059"/>
      <c r="Q109" s="1059"/>
      <c r="R109" s="1059"/>
      <c r="S109" s="1059"/>
      <c r="T109" s="1059"/>
      <c r="U109" s="1059"/>
      <c r="V109" s="1059"/>
      <c r="W109" s="1059"/>
      <c r="X109" s="1059"/>
      <c r="Y109" s="1059"/>
      <c r="Z109" s="1059"/>
    </row>
    <row r="110" spans="1:26" ht="12.75" customHeight="1">
      <c r="A110" s="1089" t="s">
        <v>1189</v>
      </c>
      <c r="B110" s="1059"/>
      <c r="C110" s="1059"/>
      <c r="D110" s="1059"/>
      <c r="E110" s="1059"/>
      <c r="F110" s="1059"/>
      <c r="G110" s="1059"/>
      <c r="H110" s="1059"/>
      <c r="I110" s="1059"/>
      <c r="J110" s="1059"/>
      <c r="K110" s="1059"/>
      <c r="L110" s="1059"/>
      <c r="M110" s="1059"/>
      <c r="N110" s="1059"/>
      <c r="O110" s="1059"/>
      <c r="P110" s="1059"/>
      <c r="Q110" s="1059"/>
      <c r="R110" s="1059"/>
      <c r="S110" s="1059"/>
      <c r="T110" s="1059"/>
      <c r="U110" s="1059"/>
      <c r="V110" s="1059"/>
      <c r="W110" s="1059"/>
      <c r="X110" s="1059"/>
      <c r="Y110" s="1059"/>
      <c r="Z110" s="1059"/>
    </row>
    <row r="111" spans="1:26" ht="12.75" customHeight="1">
      <c r="A111" s="1059"/>
      <c r="B111" s="1059"/>
      <c r="C111" s="1059"/>
      <c r="D111" s="1059"/>
      <c r="E111" s="1059"/>
      <c r="F111" s="1059"/>
      <c r="G111" s="1059"/>
      <c r="H111" s="1059"/>
      <c r="I111" s="1059"/>
      <c r="J111" s="1059"/>
      <c r="K111" s="1059"/>
      <c r="L111" s="1059"/>
      <c r="M111" s="1059"/>
      <c r="N111" s="1059"/>
      <c r="O111" s="1059"/>
      <c r="P111" s="1059"/>
      <c r="Q111" s="1059"/>
      <c r="R111" s="1059"/>
      <c r="S111" s="1059"/>
      <c r="T111" s="1059"/>
      <c r="U111" s="1059"/>
      <c r="V111" s="1059"/>
      <c r="W111" s="1059"/>
      <c r="X111" s="1059"/>
      <c r="Y111" s="1059"/>
      <c r="Z111" s="1059"/>
    </row>
    <row r="112" spans="1:26" ht="12.75" customHeight="1">
      <c r="A112" s="1090">
        <v>1</v>
      </c>
      <c r="B112" s="1091"/>
      <c r="C112" s="1091"/>
      <c r="D112" s="1093" t="s">
        <v>684</v>
      </c>
      <c r="E112" s="1093" t="s">
        <v>685</v>
      </c>
      <c r="F112" s="1094">
        <v>1</v>
      </c>
      <c r="G112" s="1095">
        <v>155520000</v>
      </c>
      <c r="H112" s="1095">
        <f>+F112*G112</f>
        <v>155520000</v>
      </c>
      <c r="I112" s="1059"/>
      <c r="J112" s="1059"/>
      <c r="K112" s="1059"/>
      <c r="L112" s="1059"/>
      <c r="M112" s="1059"/>
      <c r="N112" s="1059"/>
      <c r="O112" s="1059"/>
      <c r="P112" s="1059"/>
      <c r="Q112" s="1059"/>
      <c r="R112" s="1059"/>
      <c r="S112" s="1059"/>
      <c r="T112" s="1059"/>
      <c r="U112" s="1059"/>
      <c r="V112" s="1059"/>
      <c r="W112" s="1059"/>
      <c r="X112" s="1059"/>
      <c r="Y112" s="1059"/>
      <c r="Z112" s="1059"/>
    </row>
    <row r="113" spans="1:26" ht="12.75" customHeight="1">
      <c r="A113" s="1090"/>
      <c r="B113" s="1091"/>
      <c r="C113" s="1091"/>
      <c r="D113" s="1116"/>
      <c r="E113" s="1093"/>
      <c r="F113" s="1093"/>
      <c r="G113" s="1095"/>
      <c r="H113" s="1095"/>
      <c r="I113" s="1059"/>
      <c r="J113" s="1059"/>
      <c r="K113" s="1059"/>
      <c r="L113" s="1059"/>
      <c r="M113" s="1059"/>
      <c r="N113" s="1059"/>
      <c r="O113" s="1059"/>
      <c r="P113" s="1059"/>
      <c r="Q113" s="1059"/>
      <c r="R113" s="1059"/>
      <c r="S113" s="1059"/>
      <c r="T113" s="1059"/>
      <c r="U113" s="1059"/>
      <c r="V113" s="1059"/>
      <c r="W113" s="1059"/>
      <c r="X113" s="1059"/>
      <c r="Y113" s="1059"/>
      <c r="Z113" s="1059"/>
    </row>
    <row r="114" spans="1:26" ht="12.75" customHeight="1">
      <c r="A114" s="1014"/>
      <c r="B114" s="1014"/>
      <c r="C114" s="1014"/>
      <c r="D114" s="1059"/>
      <c r="E114" s="1059"/>
      <c r="F114" s="2054" t="s">
        <v>176</v>
      </c>
      <c r="G114" s="2055"/>
      <c r="H114" s="1099">
        <f>+SUM(H112:H113)</f>
        <v>155520000</v>
      </c>
      <c r="I114" s="1059"/>
      <c r="J114" s="1059"/>
      <c r="K114" s="1059"/>
      <c r="L114" s="1059"/>
      <c r="M114" s="1059"/>
      <c r="N114" s="1059"/>
      <c r="O114" s="1059"/>
      <c r="P114" s="1059"/>
      <c r="Q114" s="1059"/>
      <c r="R114" s="1059"/>
      <c r="S114" s="1059"/>
      <c r="T114" s="1059"/>
      <c r="U114" s="1059"/>
      <c r="V114" s="1059"/>
      <c r="W114" s="1059"/>
      <c r="X114" s="1059"/>
      <c r="Y114" s="1059"/>
      <c r="Z114" s="1059"/>
    </row>
    <row r="115" spans="1:26" ht="12.75" customHeight="1">
      <c r="A115" s="1014"/>
      <c r="B115" s="1014"/>
      <c r="C115" s="1014"/>
      <c r="D115" s="1059"/>
      <c r="E115" s="1059"/>
      <c r="F115" s="2050" t="s">
        <v>1044</v>
      </c>
      <c r="G115" s="2049"/>
      <c r="H115" s="1099">
        <f>+((H114/1.31)*(0.05))*0.19</f>
        <v>1127816.7938931298</v>
      </c>
      <c r="I115" s="1059"/>
      <c r="J115" s="1059"/>
      <c r="K115" s="1059"/>
      <c r="L115" s="1059"/>
      <c r="M115" s="1059"/>
      <c r="N115" s="1059"/>
      <c r="O115" s="1059"/>
      <c r="P115" s="1059"/>
      <c r="Q115" s="1059"/>
      <c r="R115" s="1059"/>
      <c r="S115" s="1059"/>
      <c r="T115" s="1059"/>
      <c r="U115" s="1059"/>
      <c r="V115" s="1059"/>
      <c r="W115" s="1059"/>
      <c r="X115" s="1059"/>
      <c r="Y115" s="1059"/>
      <c r="Z115" s="1059"/>
    </row>
    <row r="116" spans="1:26" ht="12.75" customHeight="1">
      <c r="A116" s="1059"/>
      <c r="B116" s="1059"/>
      <c r="C116" s="1059"/>
      <c r="D116" s="1059"/>
      <c r="E116" s="1059"/>
      <c r="F116" s="2050" t="s">
        <v>177</v>
      </c>
      <c r="G116" s="2049"/>
      <c r="H116" s="1459">
        <f>+SUM(H114:H115)</f>
        <v>156647816.79389313</v>
      </c>
      <c r="I116" s="1059"/>
      <c r="J116" s="1059"/>
      <c r="K116" s="1059"/>
      <c r="L116" s="1059"/>
      <c r="M116" s="1059"/>
      <c r="N116" s="1059"/>
      <c r="O116" s="1059"/>
      <c r="P116" s="1059"/>
      <c r="Q116" s="1059"/>
      <c r="R116" s="1059"/>
      <c r="S116" s="1059"/>
      <c r="T116" s="1059"/>
      <c r="U116" s="1059"/>
      <c r="V116" s="1059"/>
      <c r="W116" s="1059"/>
      <c r="X116" s="1059"/>
      <c r="Y116" s="1059"/>
      <c r="Z116" s="1059"/>
    </row>
    <row r="117" spans="1:26" ht="12.75" customHeight="1">
      <c r="A117" s="1059"/>
      <c r="B117" s="1059"/>
      <c r="C117" s="1059"/>
      <c r="D117" s="1059"/>
      <c r="E117" s="1059"/>
      <c r="F117" s="1061" t="s">
        <v>181</v>
      </c>
      <c r="G117" s="1059"/>
      <c r="H117" s="1117"/>
      <c r="I117" s="1059"/>
      <c r="J117" s="1059"/>
      <c r="K117" s="1059"/>
      <c r="L117" s="1059"/>
      <c r="M117" s="1059"/>
      <c r="N117" s="1059"/>
      <c r="O117" s="1059"/>
      <c r="P117" s="1059"/>
      <c r="Q117" s="1059"/>
      <c r="R117" s="1059"/>
      <c r="S117" s="1059"/>
      <c r="T117" s="1059"/>
      <c r="U117" s="1059"/>
      <c r="V117" s="1059"/>
      <c r="W117" s="1059"/>
      <c r="X117" s="1059"/>
      <c r="Y117" s="1059"/>
      <c r="Z117" s="1059"/>
    </row>
    <row r="118" spans="1:26" ht="12.75" customHeight="1">
      <c r="A118" s="1059"/>
      <c r="B118" s="1059"/>
      <c r="C118" s="1059"/>
      <c r="D118" s="1059"/>
      <c r="E118" s="1059"/>
      <c r="F118" s="1061"/>
      <c r="G118" s="1059"/>
      <c r="H118" s="1117"/>
      <c r="I118" s="1059"/>
      <c r="J118" s="1059"/>
      <c r="K118" s="1059"/>
      <c r="L118" s="1059"/>
      <c r="M118" s="1059"/>
      <c r="N118" s="1059"/>
      <c r="O118" s="1059"/>
      <c r="P118" s="1059"/>
      <c r="Q118" s="1059"/>
      <c r="R118" s="1059"/>
      <c r="S118" s="1059"/>
      <c r="T118" s="1059"/>
      <c r="U118" s="1059"/>
      <c r="V118" s="1059"/>
      <c r="W118" s="1059"/>
      <c r="X118" s="1059"/>
      <c r="Y118" s="1059"/>
      <c r="Z118" s="1059"/>
    </row>
    <row r="119" spans="1:26" ht="41.25" customHeight="1">
      <c r="A119" s="2073" t="s">
        <v>1190</v>
      </c>
      <c r="B119" s="2074"/>
      <c r="C119" s="2074"/>
      <c r="D119" s="2074"/>
      <c r="E119" s="2074"/>
      <c r="F119" s="2074"/>
      <c r="G119" s="2074"/>
      <c r="H119" s="2075"/>
      <c r="I119" s="1059"/>
      <c r="J119" s="1059"/>
      <c r="K119" s="1059"/>
      <c r="L119" s="1059"/>
      <c r="M119" s="1059"/>
      <c r="N119" s="1059"/>
      <c r="O119" s="1059"/>
      <c r="P119" s="1059"/>
      <c r="Q119" s="1059"/>
      <c r="R119" s="1059"/>
      <c r="S119" s="1059"/>
      <c r="T119" s="1059"/>
      <c r="U119" s="1059"/>
      <c r="V119" s="1059"/>
      <c r="W119" s="1059"/>
      <c r="X119" s="1059"/>
      <c r="Y119" s="1059"/>
      <c r="Z119" s="1059"/>
    </row>
    <row r="120" spans="1:26" ht="12.75" customHeight="1">
      <c r="A120" s="1059"/>
      <c r="B120" s="1059"/>
      <c r="C120" s="1059"/>
      <c r="D120" s="1059"/>
      <c r="E120" s="1059"/>
      <c r="F120" s="1059"/>
      <c r="G120" s="1059"/>
      <c r="H120" s="1059"/>
      <c r="I120" s="1059"/>
      <c r="J120" s="1059"/>
      <c r="K120" s="1059"/>
      <c r="L120" s="1059"/>
      <c r="M120" s="1059"/>
      <c r="N120" s="1059"/>
      <c r="O120" s="1059"/>
      <c r="P120" s="1059"/>
      <c r="Q120" s="1059"/>
      <c r="R120" s="1059"/>
      <c r="S120" s="1059"/>
      <c r="T120" s="1059"/>
      <c r="U120" s="1059"/>
      <c r="V120" s="1059"/>
      <c r="W120" s="1059"/>
      <c r="X120" s="1059"/>
      <c r="Y120" s="1059"/>
      <c r="Z120" s="1059"/>
    </row>
    <row r="121" spans="1:26" ht="12.75" customHeight="1">
      <c r="A121" s="1090">
        <v>1</v>
      </c>
      <c r="B121" s="1091"/>
      <c r="C121" s="1091"/>
      <c r="D121" s="1093" t="s">
        <v>1040</v>
      </c>
      <c r="E121" s="1093" t="s">
        <v>685</v>
      </c>
      <c r="F121" s="1113">
        <v>1</v>
      </c>
      <c r="G121" s="1095">
        <v>240000000</v>
      </c>
      <c r="H121" s="1095">
        <f>+F121*G121</f>
        <v>240000000</v>
      </c>
      <c r="I121" s="1059"/>
      <c r="J121" s="1059"/>
      <c r="K121" s="1059"/>
      <c r="L121" s="1059"/>
      <c r="M121" s="1059"/>
      <c r="N121" s="1059"/>
      <c r="O121" s="1059"/>
      <c r="P121" s="1059"/>
      <c r="Q121" s="1059"/>
      <c r="R121" s="1059"/>
      <c r="S121" s="1059"/>
      <c r="T121" s="1059"/>
      <c r="U121" s="1059"/>
      <c r="V121" s="1059"/>
      <c r="W121" s="1059"/>
      <c r="X121" s="1059"/>
      <c r="Y121" s="1059"/>
      <c r="Z121" s="1059"/>
    </row>
    <row r="122" spans="1:26" ht="12.75" customHeight="1">
      <c r="A122" s="1090"/>
      <c r="B122" s="1091"/>
      <c r="C122" s="1091"/>
      <c r="D122" s="1116"/>
      <c r="E122" s="1093"/>
      <c r="F122" s="1093"/>
      <c r="G122" s="1095"/>
      <c r="H122" s="1095"/>
      <c r="I122" s="1059"/>
      <c r="J122" s="1059"/>
      <c r="K122" s="1059"/>
      <c r="L122" s="1059"/>
      <c r="M122" s="1059"/>
      <c r="N122" s="1059"/>
      <c r="O122" s="1059"/>
      <c r="P122" s="1059"/>
      <c r="Q122" s="1059"/>
      <c r="R122" s="1059"/>
      <c r="S122" s="1059"/>
      <c r="T122" s="1059"/>
      <c r="U122" s="1059"/>
      <c r="V122" s="1059"/>
      <c r="W122" s="1059"/>
      <c r="X122" s="1059"/>
      <c r="Y122" s="1059"/>
      <c r="Z122" s="1059"/>
    </row>
    <row r="123" spans="1:26" ht="12.75" customHeight="1">
      <c r="A123" s="1014"/>
      <c r="B123" s="1014"/>
      <c r="C123" s="1014"/>
      <c r="D123" s="1059"/>
      <c r="E123" s="1059"/>
      <c r="F123" s="2054" t="s">
        <v>176</v>
      </c>
      <c r="G123" s="2055"/>
      <c r="H123" s="1099">
        <f>+SUM(H121:H122)</f>
        <v>240000000</v>
      </c>
      <c r="I123" s="1059"/>
      <c r="J123" s="1059"/>
      <c r="K123" s="1059"/>
      <c r="L123" s="1059"/>
      <c r="M123" s="1059"/>
      <c r="N123" s="1059"/>
      <c r="O123" s="1059"/>
      <c r="P123" s="1059"/>
      <c r="Q123" s="1059"/>
      <c r="R123" s="1059"/>
      <c r="S123" s="1059"/>
      <c r="T123" s="1059"/>
      <c r="U123" s="1059"/>
      <c r="V123" s="1059"/>
      <c r="W123" s="1059"/>
      <c r="X123" s="1059"/>
      <c r="Y123" s="1059"/>
      <c r="Z123" s="1059"/>
    </row>
    <row r="124" spans="1:26" ht="12.75" customHeight="1">
      <c r="A124" s="1014"/>
      <c r="B124" s="1014"/>
      <c r="C124" s="1014"/>
      <c r="D124" s="1059"/>
      <c r="E124" s="1059"/>
      <c r="F124" s="2050" t="s">
        <v>1044</v>
      </c>
      <c r="G124" s="2049"/>
      <c r="H124" s="1099">
        <f>+((H123/1.31)*(0.05))*0.19</f>
        <v>1740458.0152671756</v>
      </c>
      <c r="I124" s="1059"/>
      <c r="J124" s="1059"/>
      <c r="K124" s="1059"/>
      <c r="L124" s="1059"/>
      <c r="M124" s="1059"/>
      <c r="N124" s="1059"/>
      <c r="O124" s="1059"/>
      <c r="P124" s="1059"/>
      <c r="Q124" s="1059"/>
      <c r="R124" s="1059"/>
      <c r="S124" s="1059"/>
      <c r="T124" s="1059"/>
      <c r="U124" s="1059"/>
      <c r="V124" s="1059"/>
      <c r="W124" s="1059"/>
      <c r="X124" s="1059"/>
      <c r="Y124" s="1059"/>
      <c r="Z124" s="1059"/>
    </row>
    <row r="125" spans="1:26" ht="12.75" customHeight="1">
      <c r="A125" s="1059"/>
      <c r="B125" s="1059"/>
      <c r="C125" s="1059"/>
      <c r="D125" s="1059"/>
      <c r="E125" s="1059"/>
      <c r="F125" s="2050" t="s">
        <v>177</v>
      </c>
      <c r="G125" s="2049"/>
      <c r="H125" s="1459">
        <f>+H123+H124</f>
        <v>241740458.01526716</v>
      </c>
      <c r="I125" s="1059"/>
      <c r="J125" s="1059"/>
      <c r="K125" s="1059"/>
      <c r="L125" s="1059"/>
      <c r="M125" s="1059"/>
      <c r="N125" s="1059"/>
      <c r="O125" s="1059"/>
      <c r="P125" s="1059"/>
      <c r="Q125" s="1059"/>
      <c r="R125" s="1059"/>
      <c r="S125" s="1059"/>
      <c r="T125" s="1059"/>
      <c r="U125" s="1059"/>
      <c r="V125" s="1059"/>
      <c r="W125" s="1059"/>
      <c r="X125" s="1059"/>
      <c r="Y125" s="1059"/>
      <c r="Z125" s="1059"/>
    </row>
    <row r="126" spans="1:26" ht="12.75" customHeight="1">
      <c r="A126" s="1059"/>
      <c r="B126" s="1059"/>
      <c r="C126" s="1059"/>
      <c r="D126" s="1059"/>
      <c r="E126" s="1059"/>
      <c r="F126" s="1061"/>
      <c r="G126" s="1061"/>
      <c r="H126" s="1118"/>
      <c r="I126" s="1059"/>
      <c r="J126" s="1059"/>
      <c r="K126" s="1059"/>
      <c r="L126" s="1059"/>
      <c r="M126" s="1059"/>
      <c r="N126" s="1059"/>
      <c r="O126" s="1059"/>
      <c r="P126" s="1059"/>
      <c r="Q126" s="1059"/>
      <c r="R126" s="1059"/>
      <c r="S126" s="1059"/>
      <c r="T126" s="1059"/>
      <c r="U126" s="1059"/>
      <c r="V126" s="1059"/>
      <c r="W126" s="1059"/>
      <c r="X126" s="1059"/>
      <c r="Y126" s="1059"/>
      <c r="Z126" s="1059"/>
    </row>
    <row r="127" spans="1:26" ht="12.75" customHeight="1">
      <c r="A127" s="1059"/>
      <c r="B127" s="1059"/>
      <c r="C127" s="1059"/>
      <c r="D127" s="1059"/>
      <c r="E127" s="1059"/>
      <c r="F127" s="1061"/>
      <c r="G127" s="1061"/>
      <c r="H127" s="1118"/>
      <c r="I127" s="1059"/>
      <c r="J127" s="1059"/>
      <c r="K127" s="1059"/>
      <c r="L127" s="1059"/>
      <c r="M127" s="1059"/>
      <c r="N127" s="1059"/>
      <c r="O127" s="1059"/>
      <c r="P127" s="1059"/>
      <c r="Q127" s="1059"/>
      <c r="R127" s="1059"/>
      <c r="S127" s="1059"/>
      <c r="T127" s="1059"/>
      <c r="U127" s="1059"/>
      <c r="V127" s="1059"/>
      <c r="W127" s="1059"/>
      <c r="X127" s="1059"/>
      <c r="Y127" s="1059"/>
      <c r="Z127" s="1059"/>
    </row>
    <row r="128" spans="1:26" ht="31.5" customHeight="1">
      <c r="A128" s="2076" t="s">
        <v>1381</v>
      </c>
      <c r="B128" s="2052"/>
      <c r="C128" s="2052"/>
      <c r="D128" s="2052"/>
      <c r="E128" s="2052"/>
      <c r="F128" s="2052"/>
      <c r="G128" s="2052"/>
      <c r="H128" s="2053"/>
      <c r="I128" s="1059"/>
      <c r="J128" s="1059"/>
      <c r="K128" s="1059"/>
      <c r="L128" s="1059"/>
      <c r="M128" s="1059"/>
      <c r="N128" s="1059"/>
      <c r="O128" s="1059"/>
      <c r="P128" s="1059"/>
      <c r="Q128" s="1059"/>
      <c r="R128" s="1059"/>
      <c r="S128" s="1059"/>
      <c r="T128" s="1059"/>
      <c r="U128" s="1059"/>
      <c r="V128" s="1059"/>
      <c r="W128" s="1059"/>
      <c r="X128" s="1059"/>
      <c r="Y128" s="1059"/>
      <c r="Z128" s="1059"/>
    </row>
    <row r="129" spans="1:26" ht="12.75" customHeight="1">
      <c r="A129" s="1119" t="s">
        <v>1080</v>
      </c>
      <c r="B129" s="1108">
        <v>200</v>
      </c>
      <c r="C129" s="1119">
        <v>201.7</v>
      </c>
      <c r="D129" s="1109" t="s">
        <v>1188</v>
      </c>
      <c r="E129" s="1109" t="s">
        <v>842</v>
      </c>
      <c r="F129" s="1120">
        <v>45.08</v>
      </c>
      <c r="G129" s="1109">
        <v>152165.26950814403</v>
      </c>
      <c r="H129" s="1121">
        <f>+F129*G129</f>
        <v>6859610.3494271329</v>
      </c>
      <c r="I129" s="1059"/>
      <c r="J129" s="1059"/>
      <c r="K129" s="1059"/>
      <c r="L129" s="1059"/>
      <c r="M129" s="1059"/>
      <c r="N129" s="1059"/>
      <c r="O129" s="1059"/>
      <c r="P129" s="1059"/>
      <c r="Q129" s="1059"/>
      <c r="R129" s="1059"/>
      <c r="S129" s="1059"/>
      <c r="T129" s="1059"/>
      <c r="U129" s="1059"/>
      <c r="V129" s="1059"/>
      <c r="W129" s="1059"/>
      <c r="X129" s="1059"/>
      <c r="Y129" s="1059"/>
      <c r="Z129" s="1059"/>
    </row>
    <row r="130" spans="1:26" ht="12.75" customHeight="1">
      <c r="A130" s="1122" t="s">
        <v>1058</v>
      </c>
      <c r="B130" s="1108">
        <v>600</v>
      </c>
      <c r="C130" s="1122" t="s">
        <v>1058</v>
      </c>
      <c r="D130" s="1109" t="s">
        <v>1169</v>
      </c>
      <c r="E130" s="1109" t="s">
        <v>842</v>
      </c>
      <c r="F130" s="1120">
        <v>44</v>
      </c>
      <c r="G130" s="1109">
        <v>18256.2843138065</v>
      </c>
      <c r="H130" s="1121">
        <f t="shared" ref="H130:H135" si="7">+F130*G130</f>
        <v>803276.50980748597</v>
      </c>
      <c r="I130" s="1059"/>
      <c r="J130" s="1059"/>
      <c r="K130" s="1059"/>
      <c r="L130" s="1059"/>
      <c r="M130" s="1059"/>
      <c r="N130" s="1059"/>
      <c r="O130" s="1059"/>
      <c r="P130" s="1059"/>
      <c r="Q130" s="1059"/>
      <c r="R130" s="1059"/>
      <c r="S130" s="1059"/>
      <c r="T130" s="1059"/>
      <c r="U130" s="1059"/>
      <c r="V130" s="1059"/>
      <c r="W130" s="1059"/>
      <c r="X130" s="1059"/>
      <c r="Y130" s="1059"/>
      <c r="Z130" s="1059"/>
    </row>
    <row r="131" spans="1:26" ht="25.5" customHeight="1">
      <c r="A131" s="1119" t="s">
        <v>1084</v>
      </c>
      <c r="B131" s="1108">
        <v>600</v>
      </c>
      <c r="C131" s="1119">
        <v>601.20000000000005</v>
      </c>
      <c r="D131" s="1109" t="s">
        <v>1191</v>
      </c>
      <c r="E131" s="1109" t="s">
        <v>842</v>
      </c>
      <c r="F131" s="1120">
        <v>8.8000000000000007</v>
      </c>
      <c r="G131" s="1109">
        <v>58585.887391868338</v>
      </c>
      <c r="H131" s="1121">
        <f t="shared" si="7"/>
        <v>515555.80904844141</v>
      </c>
      <c r="I131" s="1059"/>
      <c r="J131" s="1059"/>
      <c r="K131" s="1059"/>
      <c r="L131" s="1059"/>
      <c r="M131" s="1059"/>
      <c r="N131" s="1059"/>
      <c r="O131" s="1059"/>
      <c r="P131" s="1059"/>
      <c r="Q131" s="1059"/>
      <c r="R131" s="1059"/>
      <c r="S131" s="1059"/>
      <c r="T131" s="1059"/>
      <c r="U131" s="1059"/>
      <c r="V131" s="1059"/>
      <c r="W131" s="1059"/>
      <c r="X131" s="1059"/>
      <c r="Y131" s="1059"/>
      <c r="Z131" s="1059"/>
    </row>
    <row r="132" spans="1:26" ht="12.75" customHeight="1">
      <c r="A132" s="1108" t="s">
        <v>1059</v>
      </c>
      <c r="B132" s="1108">
        <v>600</v>
      </c>
      <c r="C132" s="1119">
        <v>630.4</v>
      </c>
      <c r="D132" s="1109" t="s">
        <v>1192</v>
      </c>
      <c r="E132" s="1109" t="s">
        <v>842</v>
      </c>
      <c r="F132" s="1120">
        <v>39.423999999999999</v>
      </c>
      <c r="G132" s="1109">
        <v>622014.53060732794</v>
      </c>
      <c r="H132" s="1121">
        <f t="shared" si="7"/>
        <v>24522300.854663298</v>
      </c>
      <c r="I132" s="1059"/>
      <c r="J132" s="1059"/>
      <c r="K132" s="1059"/>
      <c r="L132" s="1059"/>
      <c r="M132" s="1059"/>
      <c r="N132" s="1059"/>
      <c r="O132" s="1059"/>
      <c r="P132" s="1059"/>
      <c r="Q132" s="1059"/>
      <c r="R132" s="1059"/>
      <c r="S132" s="1059"/>
      <c r="T132" s="1059"/>
      <c r="U132" s="1059"/>
      <c r="V132" s="1059"/>
      <c r="W132" s="1059"/>
      <c r="X132" s="1059"/>
      <c r="Y132" s="1059"/>
      <c r="Z132" s="1059"/>
    </row>
    <row r="133" spans="1:26" ht="12.75" customHeight="1">
      <c r="A133" s="1108" t="s">
        <v>1060</v>
      </c>
      <c r="B133" s="1108">
        <v>600</v>
      </c>
      <c r="C133" s="1119">
        <v>630.6</v>
      </c>
      <c r="D133" s="1109" t="s">
        <v>1193</v>
      </c>
      <c r="E133" s="1109" t="s">
        <v>842</v>
      </c>
      <c r="F133" s="1120">
        <v>6</v>
      </c>
      <c r="G133" s="1109">
        <v>393443.95038921852</v>
      </c>
      <c r="H133" s="1121">
        <f t="shared" si="7"/>
        <v>2360663.7023353111</v>
      </c>
      <c r="I133" s="1059"/>
      <c r="J133" s="1059"/>
      <c r="K133" s="1059"/>
      <c r="L133" s="1059"/>
      <c r="M133" s="1059"/>
      <c r="N133" s="1059"/>
      <c r="O133" s="1059"/>
      <c r="P133" s="1059"/>
      <c r="Q133" s="1059"/>
      <c r="R133" s="1059"/>
      <c r="S133" s="1059"/>
      <c r="T133" s="1059"/>
      <c r="U133" s="1059"/>
      <c r="V133" s="1059"/>
      <c r="W133" s="1059"/>
      <c r="X133" s="1059"/>
      <c r="Y133" s="1059"/>
      <c r="Z133" s="1059"/>
    </row>
    <row r="134" spans="1:26" ht="12.75" customHeight="1">
      <c r="A134" s="1108" t="s">
        <v>1061</v>
      </c>
      <c r="B134" s="1108">
        <v>600</v>
      </c>
      <c r="C134" s="1119">
        <v>640.1</v>
      </c>
      <c r="D134" s="1109" t="s">
        <v>1194</v>
      </c>
      <c r="E134" s="1109" t="s">
        <v>1229</v>
      </c>
      <c r="F134" s="1120">
        <v>1614.8000000000002</v>
      </c>
      <c r="G134" s="1109">
        <v>7046.2212770172646</v>
      </c>
      <c r="H134" s="1121">
        <f t="shared" si="7"/>
        <v>11378238.11812748</v>
      </c>
      <c r="I134" s="1059"/>
      <c r="J134" s="1059"/>
      <c r="K134" s="1059"/>
      <c r="L134" s="1059"/>
      <c r="M134" s="1059"/>
      <c r="N134" s="1059"/>
      <c r="O134" s="1059"/>
      <c r="P134" s="1059"/>
      <c r="Q134" s="1059"/>
      <c r="R134" s="1059"/>
      <c r="S134" s="1059"/>
      <c r="T134" s="1059"/>
      <c r="U134" s="1059"/>
      <c r="V134" s="1059"/>
      <c r="W134" s="1059"/>
      <c r="X134" s="1059"/>
      <c r="Y134" s="1059"/>
      <c r="Z134" s="1059"/>
    </row>
    <row r="135" spans="1:26" ht="51" customHeight="1">
      <c r="A135" s="1119" t="s">
        <v>1085</v>
      </c>
      <c r="B135" s="1108">
        <v>600</v>
      </c>
      <c r="C135" s="1119">
        <v>670.1</v>
      </c>
      <c r="D135" s="1109" t="s">
        <v>1196</v>
      </c>
      <c r="E135" s="1109" t="s">
        <v>842</v>
      </c>
      <c r="F135" s="1120">
        <v>16</v>
      </c>
      <c r="G135" s="1109">
        <v>248696.691377957</v>
      </c>
      <c r="H135" s="1121">
        <f t="shared" si="7"/>
        <v>3979147.062047312</v>
      </c>
      <c r="I135" s="1059"/>
      <c r="J135" s="1059"/>
      <c r="K135" s="1059"/>
      <c r="L135" s="1059"/>
      <c r="M135" s="1059"/>
      <c r="N135" s="1059"/>
      <c r="O135" s="1059"/>
      <c r="P135" s="1059"/>
      <c r="Q135" s="1059"/>
      <c r="R135" s="1059"/>
      <c r="S135" s="1059"/>
      <c r="T135" s="1059"/>
      <c r="U135" s="1059"/>
      <c r="V135" s="1059"/>
      <c r="W135" s="1059"/>
      <c r="X135" s="1059"/>
      <c r="Y135" s="1059"/>
      <c r="Z135" s="1059"/>
    </row>
    <row r="136" spans="1:26" ht="12.75" customHeight="1">
      <c r="A136" s="1014"/>
      <c r="B136" s="1014"/>
      <c r="C136" s="1014"/>
      <c r="D136" s="1059"/>
      <c r="E136" s="1059"/>
      <c r="F136" s="2054" t="s">
        <v>176</v>
      </c>
      <c r="G136" s="2055"/>
      <c r="H136" s="1099">
        <f>+SUM(H129:H135)</f>
        <v>50418792.405456461</v>
      </c>
      <c r="I136" s="1059"/>
      <c r="J136" s="1059"/>
      <c r="K136" s="1059"/>
      <c r="L136" s="1059"/>
      <c r="M136" s="1059"/>
      <c r="N136" s="1059"/>
      <c r="O136" s="1059"/>
      <c r="P136" s="1059"/>
      <c r="Q136" s="1059"/>
      <c r="R136" s="1059"/>
      <c r="S136" s="1059"/>
      <c r="T136" s="1059"/>
      <c r="U136" s="1059"/>
      <c r="V136" s="1059"/>
      <c r="W136" s="1059"/>
      <c r="X136" s="1059"/>
      <c r="Y136" s="1059"/>
      <c r="Z136" s="1059"/>
    </row>
    <row r="137" spans="1:26" ht="12.75" customHeight="1">
      <c r="A137" s="1014"/>
      <c r="B137" s="1014"/>
      <c r="C137" s="1014"/>
      <c r="D137" s="1059"/>
      <c r="E137" s="1059"/>
      <c r="F137" s="2050" t="s">
        <v>1044</v>
      </c>
      <c r="G137" s="2049"/>
      <c r="H137" s="1099">
        <f>+((H136/1.31)*(0.05))*0.19</f>
        <v>365632.46400903544</v>
      </c>
      <c r="I137" s="1059"/>
      <c r="J137" s="1059"/>
      <c r="K137" s="1059"/>
      <c r="L137" s="1059"/>
      <c r="M137" s="1059"/>
      <c r="N137" s="1059"/>
      <c r="O137" s="1059"/>
      <c r="P137" s="1059"/>
      <c r="Q137" s="1059"/>
      <c r="R137" s="1059"/>
      <c r="S137" s="1059"/>
      <c r="T137" s="1059"/>
      <c r="U137" s="1059"/>
      <c r="V137" s="1059"/>
      <c r="W137" s="1059"/>
      <c r="X137" s="1059"/>
      <c r="Y137" s="1059"/>
      <c r="Z137" s="1059"/>
    </row>
    <row r="138" spans="1:26" ht="12.75" customHeight="1">
      <c r="A138" s="1059"/>
      <c r="B138" s="1059"/>
      <c r="C138" s="1059"/>
      <c r="D138" s="1059"/>
      <c r="E138" s="1059"/>
      <c r="F138" s="2050" t="s">
        <v>177</v>
      </c>
      <c r="G138" s="2049"/>
      <c r="H138" s="1459">
        <f>+SUM(H136:H137)</f>
        <v>50784424.8694655</v>
      </c>
      <c r="I138" s="1059"/>
      <c r="J138" s="1059"/>
      <c r="K138" s="1059"/>
      <c r="L138" s="1059"/>
      <c r="M138" s="1059"/>
      <c r="N138" s="1059"/>
      <c r="O138" s="1059"/>
      <c r="P138" s="1059"/>
      <c r="Q138" s="1059"/>
      <c r="R138" s="1059"/>
      <c r="S138" s="1059"/>
      <c r="T138" s="1059"/>
      <c r="U138" s="1059"/>
      <c r="V138" s="1059"/>
      <c r="W138" s="1059"/>
      <c r="X138" s="1059"/>
      <c r="Y138" s="1059"/>
      <c r="Z138" s="1059"/>
    </row>
    <row r="139" spans="1:26" ht="12.75" customHeight="1">
      <c r="A139" s="1059"/>
      <c r="B139" s="1059"/>
      <c r="C139" s="1059"/>
      <c r="D139" s="1059"/>
      <c r="E139" s="1059"/>
      <c r="F139" s="1061"/>
      <c r="G139" s="1061"/>
      <c r="H139" s="1118"/>
      <c r="I139" s="1059"/>
      <c r="J139" s="1059"/>
      <c r="K139" s="1059"/>
      <c r="L139" s="1059"/>
      <c r="M139" s="1059"/>
      <c r="N139" s="1059"/>
      <c r="O139" s="1059"/>
      <c r="P139" s="1059"/>
      <c r="Q139" s="1059"/>
      <c r="R139" s="1059"/>
      <c r="S139" s="1059"/>
      <c r="T139" s="1059"/>
      <c r="U139" s="1059"/>
      <c r="V139" s="1059"/>
      <c r="W139" s="1059"/>
      <c r="X139" s="1059"/>
      <c r="Y139" s="1059"/>
      <c r="Z139" s="1059"/>
    </row>
    <row r="140" spans="1:26" ht="12.75" customHeight="1">
      <c r="A140" s="1059"/>
      <c r="B140" s="1059"/>
      <c r="C140" s="1059"/>
      <c r="D140" s="1059"/>
      <c r="E140" s="1059"/>
      <c r="F140" s="1061"/>
      <c r="G140" s="1061"/>
      <c r="H140" s="1118"/>
      <c r="I140" s="1059"/>
      <c r="J140" s="1059"/>
      <c r="K140" s="1059"/>
      <c r="L140" s="1059"/>
      <c r="M140" s="1059"/>
      <c r="N140" s="1059"/>
      <c r="O140" s="1059"/>
      <c r="P140" s="1059"/>
      <c r="Q140" s="1059"/>
      <c r="R140" s="1059"/>
      <c r="S140" s="1059"/>
      <c r="T140" s="1059"/>
      <c r="U140" s="1059"/>
      <c r="V140" s="1059"/>
      <c r="W140" s="1059"/>
      <c r="X140" s="1059"/>
      <c r="Y140" s="1059"/>
      <c r="Z140" s="1059"/>
    </row>
    <row r="141" spans="1:26" ht="35.25" customHeight="1">
      <c r="A141" s="2076" t="s">
        <v>1197</v>
      </c>
      <c r="B141" s="2052"/>
      <c r="C141" s="2052"/>
      <c r="D141" s="2052"/>
      <c r="E141" s="2052"/>
      <c r="F141" s="2052"/>
      <c r="G141" s="2052"/>
      <c r="H141" s="2053"/>
      <c r="I141" s="1059"/>
      <c r="J141" s="1059"/>
      <c r="K141" s="1059"/>
      <c r="L141" s="1059"/>
      <c r="M141" s="1059"/>
      <c r="N141" s="1059"/>
      <c r="O141" s="1059"/>
      <c r="P141" s="1059"/>
      <c r="Q141" s="1059"/>
      <c r="R141" s="1059"/>
      <c r="S141" s="1059"/>
      <c r="T141" s="1059"/>
      <c r="U141" s="1059"/>
      <c r="V141" s="1059"/>
      <c r="W141" s="1059"/>
      <c r="X141" s="1059"/>
      <c r="Y141" s="1059"/>
      <c r="Z141" s="1059"/>
    </row>
    <row r="142" spans="1:26" ht="12.75" customHeight="1">
      <c r="A142" s="1122" t="s">
        <v>1058</v>
      </c>
      <c r="B142" s="1108">
        <v>600</v>
      </c>
      <c r="C142" s="1122" t="s">
        <v>1058</v>
      </c>
      <c r="D142" s="1109" t="s">
        <v>1169</v>
      </c>
      <c r="E142" s="1109" t="s">
        <v>842</v>
      </c>
      <c r="F142" s="1123">
        <v>26.5</v>
      </c>
      <c r="G142" s="1109">
        <v>18256.2843138065</v>
      </c>
      <c r="H142" s="1121">
        <f>+F142*G142</f>
        <v>483791.53431587224</v>
      </c>
      <c r="I142" s="1059"/>
      <c r="J142" s="1059"/>
      <c r="K142" s="1059"/>
      <c r="L142" s="1059"/>
      <c r="M142" s="1059"/>
      <c r="N142" s="1059"/>
      <c r="O142" s="1059"/>
      <c r="P142" s="1059"/>
      <c r="Q142" s="1059"/>
      <c r="R142" s="1059"/>
      <c r="S142" s="1059"/>
      <c r="T142" s="1059"/>
      <c r="U142" s="1059"/>
      <c r="V142" s="1059"/>
      <c r="W142" s="1059"/>
      <c r="X142" s="1059"/>
      <c r="Y142" s="1059"/>
      <c r="Z142" s="1059"/>
    </row>
    <row r="143" spans="1:26" ht="12.75" customHeight="1">
      <c r="A143" s="1119" t="s">
        <v>1080</v>
      </c>
      <c r="B143" s="1108">
        <v>200</v>
      </c>
      <c r="C143" s="1119">
        <v>201.7</v>
      </c>
      <c r="D143" s="1109" t="s">
        <v>1188</v>
      </c>
      <c r="E143" s="1109" t="s">
        <v>842</v>
      </c>
      <c r="F143" s="1123">
        <v>10</v>
      </c>
      <c r="G143" s="1109">
        <v>152165.26950814403</v>
      </c>
      <c r="H143" s="1121">
        <f t="shared" ref="H143:H145" si="8">+F143*G143</f>
        <v>1521652.6950814403</v>
      </c>
      <c r="I143" s="1059"/>
      <c r="J143" s="1059"/>
      <c r="K143" s="1059"/>
      <c r="L143" s="1059"/>
      <c r="M143" s="1059"/>
      <c r="N143" s="1059"/>
      <c r="O143" s="1059"/>
      <c r="P143" s="1059"/>
      <c r="Q143" s="1059"/>
      <c r="R143" s="1059"/>
      <c r="S143" s="1059"/>
      <c r="T143" s="1059"/>
      <c r="U143" s="1059"/>
      <c r="V143" s="1059"/>
      <c r="W143" s="1059"/>
      <c r="X143" s="1059"/>
      <c r="Y143" s="1059"/>
      <c r="Z143" s="1059"/>
    </row>
    <row r="144" spans="1:26" ht="38.25" customHeight="1">
      <c r="A144" s="1119" t="s">
        <v>1086</v>
      </c>
      <c r="B144" s="1108">
        <v>600</v>
      </c>
      <c r="C144" s="1119">
        <v>671.3</v>
      </c>
      <c r="D144" s="1109" t="s">
        <v>1198</v>
      </c>
      <c r="E144" s="1109" t="s">
        <v>842</v>
      </c>
      <c r="F144" s="1123">
        <v>39.75</v>
      </c>
      <c r="G144" s="1109">
        <v>546536.61098199466</v>
      </c>
      <c r="H144" s="1121">
        <f t="shared" si="8"/>
        <v>21724830.286534287</v>
      </c>
      <c r="I144" s="1059"/>
      <c r="J144" s="1059"/>
      <c r="K144" s="1059"/>
      <c r="L144" s="1059"/>
      <c r="M144" s="1059"/>
      <c r="N144" s="1059"/>
      <c r="O144" s="1059"/>
      <c r="P144" s="1059"/>
      <c r="Q144" s="1059"/>
      <c r="R144" s="1059"/>
      <c r="S144" s="1059"/>
      <c r="T144" s="1059"/>
      <c r="U144" s="1059"/>
      <c r="V144" s="1059"/>
      <c r="W144" s="1059"/>
      <c r="X144" s="1059"/>
      <c r="Y144" s="1059"/>
      <c r="Z144" s="1059"/>
    </row>
    <row r="145" spans="1:26" ht="12.75" customHeight="1">
      <c r="A145" s="1108" t="s">
        <v>1061</v>
      </c>
      <c r="B145" s="1108">
        <v>600</v>
      </c>
      <c r="C145" s="1119">
        <v>640.1</v>
      </c>
      <c r="D145" s="1109" t="s">
        <v>1194</v>
      </c>
      <c r="E145" s="1109" t="s">
        <v>1229</v>
      </c>
      <c r="F145" s="1120">
        <v>2800</v>
      </c>
      <c r="G145" s="1109">
        <v>7046.2212770172646</v>
      </c>
      <c r="H145" s="1121">
        <f t="shared" si="8"/>
        <v>19729419.575648341</v>
      </c>
      <c r="I145" s="1059"/>
      <c r="J145" s="1059"/>
      <c r="K145" s="1059"/>
      <c r="L145" s="1059"/>
      <c r="M145" s="1059"/>
      <c r="N145" s="1059"/>
      <c r="O145" s="1059"/>
      <c r="P145" s="1059"/>
      <c r="Q145" s="1059"/>
      <c r="R145" s="1059"/>
      <c r="S145" s="1059"/>
      <c r="T145" s="1059"/>
      <c r="U145" s="1059"/>
      <c r="V145" s="1059"/>
      <c r="W145" s="1059"/>
      <c r="X145" s="1059"/>
      <c r="Y145" s="1059"/>
      <c r="Z145" s="1059"/>
    </row>
    <row r="146" spans="1:26" ht="12.75" customHeight="1">
      <c r="A146" s="1014"/>
      <c r="B146" s="1014"/>
      <c r="C146" s="1014"/>
      <c r="D146" s="1059"/>
      <c r="E146" s="1059"/>
      <c r="F146" s="2054" t="s">
        <v>176</v>
      </c>
      <c r="G146" s="2055"/>
      <c r="H146" s="1099">
        <f>+SUM(H142:H145)</f>
        <v>43459694.091579944</v>
      </c>
      <c r="I146" s="1059"/>
      <c r="J146" s="1059"/>
      <c r="K146" s="1059"/>
      <c r="L146" s="1059"/>
      <c r="M146" s="1059"/>
      <c r="N146" s="1059"/>
      <c r="O146" s="1059"/>
      <c r="P146" s="1059"/>
      <c r="Q146" s="1059"/>
      <c r="R146" s="1059"/>
      <c r="S146" s="1059"/>
      <c r="T146" s="1059"/>
      <c r="U146" s="1059"/>
      <c r="V146" s="1059"/>
      <c r="W146" s="1059"/>
      <c r="X146" s="1059"/>
      <c r="Y146" s="1059"/>
      <c r="Z146" s="1059"/>
    </row>
    <row r="147" spans="1:26" ht="12.75" customHeight="1">
      <c r="A147" s="1014"/>
      <c r="B147" s="1014"/>
      <c r="C147" s="1014"/>
      <c r="D147" s="1059"/>
      <c r="E147" s="1059"/>
      <c r="F147" s="2050" t="s">
        <v>1044</v>
      </c>
      <c r="G147" s="2049"/>
      <c r="H147" s="1099">
        <f>+((H146/1.31)*(0.05))*0.19</f>
        <v>315165.72051145765</v>
      </c>
      <c r="I147" s="1059"/>
      <c r="J147" s="1059"/>
      <c r="K147" s="1059"/>
      <c r="L147" s="1059"/>
      <c r="M147" s="1059"/>
      <c r="N147" s="1059"/>
      <c r="O147" s="1059"/>
      <c r="P147" s="1059"/>
      <c r="Q147" s="1059"/>
      <c r="R147" s="1059"/>
      <c r="S147" s="1059"/>
      <c r="T147" s="1059"/>
      <c r="U147" s="1059"/>
      <c r="V147" s="1059"/>
      <c r="W147" s="1059"/>
      <c r="X147" s="1059"/>
      <c r="Y147" s="1059"/>
      <c r="Z147" s="1059"/>
    </row>
    <row r="148" spans="1:26" ht="12.75" customHeight="1">
      <c r="A148" s="1059"/>
      <c r="B148" s="1059"/>
      <c r="C148" s="1059"/>
      <c r="D148" s="1059"/>
      <c r="E148" s="1059"/>
      <c r="F148" s="2050" t="s">
        <v>177</v>
      </c>
      <c r="G148" s="2049"/>
      <c r="H148" s="1459">
        <f>+SUM(H146:H147)</f>
        <v>43774859.812091403</v>
      </c>
      <c r="I148" s="1059"/>
      <c r="J148" s="1059"/>
      <c r="K148" s="1059"/>
      <c r="L148" s="1059"/>
      <c r="M148" s="1059"/>
      <c r="N148" s="1059"/>
      <c r="O148" s="1059"/>
      <c r="P148" s="1059"/>
      <c r="Q148" s="1059"/>
      <c r="R148" s="1059"/>
      <c r="S148" s="1059"/>
      <c r="T148" s="1059"/>
      <c r="U148" s="1059"/>
      <c r="V148" s="1059"/>
      <c r="W148" s="1059"/>
      <c r="X148" s="1059"/>
      <c r="Y148" s="1059"/>
      <c r="Z148" s="1059"/>
    </row>
    <row r="149" spans="1:26" ht="12.75" customHeight="1">
      <c r="A149" s="1059"/>
      <c r="B149" s="1059"/>
      <c r="C149" s="1059"/>
      <c r="D149" s="1059"/>
      <c r="E149" s="1059"/>
      <c r="F149" s="1061"/>
      <c r="G149" s="1061"/>
      <c r="H149" s="1118"/>
      <c r="I149" s="1059"/>
      <c r="J149" s="1059"/>
      <c r="K149" s="1059"/>
      <c r="L149" s="1059"/>
      <c r="M149" s="1059"/>
      <c r="N149" s="1059"/>
      <c r="O149" s="1059"/>
      <c r="P149" s="1059"/>
      <c r="Q149" s="1059"/>
      <c r="R149" s="1059"/>
      <c r="S149" s="1059"/>
      <c r="T149" s="1059"/>
      <c r="U149" s="1059"/>
      <c r="V149" s="1059"/>
      <c r="W149" s="1059"/>
      <c r="X149" s="1059"/>
      <c r="Y149" s="1059"/>
      <c r="Z149" s="1059"/>
    </row>
    <row r="150" spans="1:26" ht="12.75" customHeight="1">
      <c r="A150" s="1059"/>
      <c r="B150" s="1059"/>
      <c r="C150" s="1059"/>
      <c r="D150" s="1059"/>
      <c r="E150" s="1059"/>
      <c r="F150" s="1061"/>
      <c r="G150" s="1061"/>
      <c r="H150" s="1118"/>
      <c r="I150" s="1059"/>
      <c r="J150" s="1059"/>
      <c r="K150" s="1059"/>
      <c r="L150" s="1059"/>
      <c r="M150" s="1059"/>
      <c r="N150" s="1059"/>
      <c r="O150" s="1059"/>
      <c r="P150" s="1059"/>
      <c r="Q150" s="1059"/>
      <c r="R150" s="1059"/>
      <c r="S150" s="1059"/>
      <c r="T150" s="1059"/>
      <c r="U150" s="1059"/>
      <c r="V150" s="1059"/>
      <c r="W150" s="1059"/>
      <c r="X150" s="1059"/>
      <c r="Y150" s="1059"/>
      <c r="Z150" s="1059"/>
    </row>
    <row r="151" spans="1:26" ht="28.5" customHeight="1">
      <c r="A151" s="2076" t="s">
        <v>1199</v>
      </c>
      <c r="B151" s="2052"/>
      <c r="C151" s="2052"/>
      <c r="D151" s="2052"/>
      <c r="E151" s="2052"/>
      <c r="F151" s="2052"/>
      <c r="G151" s="2052"/>
      <c r="H151" s="2053"/>
      <c r="I151" s="1059"/>
      <c r="J151" s="1059"/>
      <c r="K151" s="1059"/>
      <c r="L151" s="1059"/>
      <c r="M151" s="1059"/>
      <c r="N151" s="1059"/>
      <c r="O151" s="1059"/>
      <c r="P151" s="1059"/>
      <c r="Q151" s="1059"/>
      <c r="R151" s="1059"/>
      <c r="S151" s="1059"/>
      <c r="T151" s="1059"/>
      <c r="U151" s="1059"/>
      <c r="V151" s="1059"/>
      <c r="W151" s="1059"/>
      <c r="X151" s="1059"/>
      <c r="Y151" s="1059"/>
      <c r="Z151" s="1059"/>
    </row>
    <row r="152" spans="1:26" ht="12.75" customHeight="1">
      <c r="A152" s="1052" t="s">
        <v>1080</v>
      </c>
      <c r="B152" s="1108">
        <v>200</v>
      </c>
      <c r="C152" s="1119">
        <v>201.7</v>
      </c>
      <c r="D152" s="1109" t="s">
        <v>1188</v>
      </c>
      <c r="E152" s="1109" t="s">
        <v>842</v>
      </c>
      <c r="F152" s="1123">
        <v>5.04</v>
      </c>
      <c r="G152" s="1109">
        <v>152165.26950814403</v>
      </c>
      <c r="H152" s="1121">
        <f>+F152*G152</f>
        <v>766912.95832104597</v>
      </c>
      <c r="I152" s="1059"/>
      <c r="J152" s="1059"/>
      <c r="K152" s="1059"/>
      <c r="L152" s="1059"/>
      <c r="M152" s="1059"/>
      <c r="N152" s="1059"/>
      <c r="O152" s="1059"/>
      <c r="P152" s="1059"/>
      <c r="Q152" s="1059"/>
      <c r="R152" s="1059"/>
      <c r="S152" s="1059"/>
      <c r="T152" s="1059"/>
      <c r="U152" s="1059"/>
      <c r="V152" s="1059"/>
      <c r="W152" s="1059"/>
      <c r="X152" s="1059"/>
      <c r="Y152" s="1059"/>
      <c r="Z152" s="1059"/>
    </row>
    <row r="153" spans="1:26" ht="12.75" customHeight="1">
      <c r="A153" s="1052" t="s">
        <v>1058</v>
      </c>
      <c r="B153" s="1108">
        <v>600</v>
      </c>
      <c r="C153" s="1119" t="s">
        <v>1058</v>
      </c>
      <c r="D153" s="1109" t="s">
        <v>1169</v>
      </c>
      <c r="E153" s="1109" t="s">
        <v>842</v>
      </c>
      <c r="F153" s="1123">
        <v>16.8</v>
      </c>
      <c r="G153" s="1109">
        <v>18256.2843138065</v>
      </c>
      <c r="H153" s="1121">
        <f t="shared" ref="H153:H156" si="9">+F153*G153</f>
        <v>306705.57647194923</v>
      </c>
      <c r="I153" s="1059"/>
      <c r="J153" s="1059"/>
      <c r="K153" s="1059"/>
      <c r="L153" s="1059"/>
      <c r="M153" s="1059"/>
      <c r="N153" s="1059"/>
      <c r="O153" s="1059"/>
      <c r="P153" s="1059"/>
      <c r="Q153" s="1059"/>
      <c r="R153" s="1059"/>
      <c r="S153" s="1059"/>
      <c r="T153" s="1059"/>
      <c r="U153" s="1059"/>
      <c r="V153" s="1059"/>
      <c r="W153" s="1059"/>
      <c r="X153" s="1059"/>
      <c r="Y153" s="1059"/>
      <c r="Z153" s="1059"/>
    </row>
    <row r="154" spans="1:26" ht="25.5" customHeight="1">
      <c r="A154" s="1122" t="s">
        <v>1084</v>
      </c>
      <c r="B154" s="1108">
        <v>600</v>
      </c>
      <c r="C154" s="1119">
        <v>610.1</v>
      </c>
      <c r="D154" s="1109" t="s">
        <v>1191</v>
      </c>
      <c r="E154" s="1109" t="s">
        <v>842</v>
      </c>
      <c r="F154" s="1123">
        <v>10.08</v>
      </c>
      <c r="G154" s="1109">
        <v>58585.887391868338</v>
      </c>
      <c r="H154" s="1121">
        <f t="shared" si="9"/>
        <v>590545.74491003284</v>
      </c>
      <c r="I154" s="1059"/>
      <c r="J154" s="1059"/>
      <c r="K154" s="1059"/>
      <c r="L154" s="1059"/>
      <c r="M154" s="1059"/>
      <c r="N154" s="1059"/>
      <c r="O154" s="1059"/>
      <c r="P154" s="1059"/>
      <c r="Q154" s="1059"/>
      <c r="R154" s="1059"/>
      <c r="S154" s="1059"/>
      <c r="T154" s="1059"/>
      <c r="U154" s="1059"/>
      <c r="V154" s="1059"/>
      <c r="W154" s="1059"/>
      <c r="X154" s="1059"/>
      <c r="Y154" s="1059"/>
      <c r="Z154" s="1059"/>
    </row>
    <row r="155" spans="1:26" ht="12.75" customHeight="1">
      <c r="A155" s="1052" t="s">
        <v>1061</v>
      </c>
      <c r="B155" s="1108">
        <v>600</v>
      </c>
      <c r="C155" s="1119">
        <v>640.1</v>
      </c>
      <c r="D155" s="1109" t="s">
        <v>1194</v>
      </c>
      <c r="E155" s="1109" t="s">
        <v>1229</v>
      </c>
      <c r="F155" s="1123">
        <v>161.6</v>
      </c>
      <c r="G155" s="1109">
        <v>7046.2212770172646</v>
      </c>
      <c r="H155" s="1121">
        <f t="shared" si="9"/>
        <v>1138669.35836599</v>
      </c>
      <c r="I155" s="1059"/>
      <c r="J155" s="1059"/>
      <c r="K155" s="1059"/>
      <c r="L155" s="1059"/>
      <c r="M155" s="1059"/>
      <c r="N155" s="1059"/>
      <c r="O155" s="1059"/>
      <c r="P155" s="1059"/>
      <c r="Q155" s="1059"/>
      <c r="R155" s="1059"/>
      <c r="S155" s="1059"/>
      <c r="T155" s="1059"/>
      <c r="U155" s="1059"/>
      <c r="V155" s="1059"/>
      <c r="W155" s="1059"/>
      <c r="X155" s="1059"/>
      <c r="Y155" s="1059"/>
      <c r="Z155" s="1059"/>
    </row>
    <row r="156" spans="1:26" ht="38.25" customHeight="1">
      <c r="A156" s="1052" t="s">
        <v>1086</v>
      </c>
      <c r="B156" s="1108">
        <v>600</v>
      </c>
      <c r="C156" s="1119">
        <v>671.3</v>
      </c>
      <c r="D156" s="1109" t="s">
        <v>1198</v>
      </c>
      <c r="E156" s="1109" t="s">
        <v>842</v>
      </c>
      <c r="F156" s="1120">
        <v>12.6</v>
      </c>
      <c r="G156" s="1109">
        <v>546536.61098199466</v>
      </c>
      <c r="H156" s="1121">
        <f t="shared" si="9"/>
        <v>6886361.2983731329</v>
      </c>
      <c r="I156" s="1059"/>
      <c r="J156" s="1059"/>
      <c r="K156" s="1059"/>
      <c r="L156" s="1059"/>
      <c r="M156" s="1059"/>
      <c r="N156" s="1059"/>
      <c r="O156" s="1059"/>
      <c r="P156" s="1059"/>
      <c r="Q156" s="1059"/>
      <c r="R156" s="1059"/>
      <c r="S156" s="1059"/>
      <c r="T156" s="1059"/>
      <c r="U156" s="1059"/>
      <c r="V156" s="1059"/>
      <c r="W156" s="1059"/>
      <c r="X156" s="1059"/>
      <c r="Y156" s="1059"/>
      <c r="Z156" s="1059"/>
    </row>
    <row r="157" spans="1:26" ht="12.75" customHeight="1">
      <c r="A157" s="1014"/>
      <c r="B157" s="1014"/>
      <c r="C157" s="1014"/>
      <c r="D157" s="1059"/>
      <c r="E157" s="1059"/>
      <c r="F157" s="2054" t="s">
        <v>176</v>
      </c>
      <c r="G157" s="2055"/>
      <c r="H157" s="1099">
        <f>+SUM(H152:H156)</f>
        <v>9689194.9364421517</v>
      </c>
      <c r="I157" s="1059"/>
      <c r="J157" s="1059"/>
      <c r="K157" s="1059"/>
      <c r="L157" s="1059"/>
      <c r="M157" s="1059"/>
      <c r="N157" s="1059"/>
      <c r="O157" s="1059"/>
      <c r="P157" s="1059"/>
      <c r="Q157" s="1059"/>
      <c r="R157" s="1059"/>
      <c r="S157" s="1059"/>
      <c r="T157" s="1059"/>
      <c r="U157" s="1059"/>
      <c r="V157" s="1059"/>
      <c r="W157" s="1059"/>
      <c r="X157" s="1059"/>
      <c r="Y157" s="1059"/>
      <c r="Z157" s="1059"/>
    </row>
    <row r="158" spans="1:26" ht="12.75" customHeight="1">
      <c r="A158" s="1014"/>
      <c r="B158" s="1014"/>
      <c r="C158" s="1014"/>
      <c r="D158" s="1059"/>
      <c r="E158" s="1059"/>
      <c r="F158" s="2050" t="s">
        <v>1044</v>
      </c>
      <c r="G158" s="2049"/>
      <c r="H158" s="1099">
        <f>+((H157/1.31)*(0.05))*0.19</f>
        <v>70265.154119236977</v>
      </c>
      <c r="I158" s="1059"/>
      <c r="J158" s="1059"/>
      <c r="K158" s="1059"/>
      <c r="L158" s="1059"/>
      <c r="M158" s="1059"/>
      <c r="N158" s="1059"/>
      <c r="O158" s="1059"/>
      <c r="P158" s="1059"/>
      <c r="Q158" s="1059"/>
      <c r="R158" s="1059"/>
      <c r="S158" s="1059"/>
      <c r="T158" s="1059"/>
      <c r="U158" s="1059"/>
      <c r="V158" s="1059"/>
      <c r="W158" s="1059"/>
      <c r="X158" s="1059"/>
      <c r="Y158" s="1059"/>
      <c r="Z158" s="1059"/>
    </row>
    <row r="159" spans="1:26" ht="12.75" customHeight="1">
      <c r="A159" s="1059"/>
      <c r="B159" s="1059"/>
      <c r="C159" s="1059"/>
      <c r="D159" s="1059"/>
      <c r="E159" s="1059"/>
      <c r="F159" s="2050" t="s">
        <v>177</v>
      </c>
      <c r="G159" s="2049"/>
      <c r="H159" s="1459">
        <f>+SUM(H157:H158)</f>
        <v>9759460.0905613881</v>
      </c>
      <c r="I159" s="1059"/>
      <c r="J159" s="1059"/>
      <c r="K159" s="1059"/>
      <c r="L159" s="1059"/>
      <c r="M159" s="1059"/>
      <c r="N159" s="1059"/>
      <c r="O159" s="1059"/>
      <c r="P159" s="1059"/>
      <c r="Q159" s="1059"/>
      <c r="R159" s="1059"/>
      <c r="S159" s="1059"/>
      <c r="T159" s="1059"/>
      <c r="U159" s="1059"/>
      <c r="V159" s="1059"/>
      <c r="W159" s="1059"/>
      <c r="X159" s="1059"/>
      <c r="Y159" s="1059"/>
      <c r="Z159" s="1059"/>
    </row>
    <row r="160" spans="1:26" ht="12.75" customHeight="1">
      <c r="A160" s="1059"/>
      <c r="B160" s="1059"/>
      <c r="C160" s="1059"/>
      <c r="D160" s="1059"/>
      <c r="E160" s="1059"/>
      <c r="F160" s="1061"/>
      <c r="G160" s="1061"/>
      <c r="H160" s="1118"/>
      <c r="I160" s="1059"/>
      <c r="J160" s="1059"/>
      <c r="K160" s="1059"/>
      <c r="L160" s="1059"/>
      <c r="M160" s="1059"/>
      <c r="N160" s="1059"/>
      <c r="O160" s="1059"/>
      <c r="P160" s="1059"/>
      <c r="Q160" s="1059"/>
      <c r="R160" s="1059"/>
      <c r="S160" s="1059"/>
      <c r="T160" s="1059"/>
      <c r="U160" s="1059"/>
      <c r="V160" s="1059"/>
      <c r="W160" s="1059"/>
      <c r="X160" s="1059"/>
      <c r="Y160" s="1059"/>
      <c r="Z160" s="1059"/>
    </row>
    <row r="161" spans="1:26" ht="25.5" customHeight="1">
      <c r="A161" s="2073" t="s">
        <v>1200</v>
      </c>
      <c r="B161" s="2052"/>
      <c r="C161" s="2052"/>
      <c r="D161" s="2052"/>
      <c r="E161" s="2052"/>
      <c r="F161" s="2052"/>
      <c r="G161" s="2052"/>
      <c r="H161" s="2053"/>
      <c r="I161" s="1059"/>
      <c r="J161" s="1059"/>
      <c r="K161" s="1059"/>
      <c r="L161" s="1059"/>
      <c r="M161" s="1059"/>
      <c r="N161" s="1059"/>
      <c r="O161" s="1059"/>
      <c r="P161" s="1059"/>
      <c r="Q161" s="1059"/>
      <c r="R161" s="1059"/>
      <c r="S161" s="1059"/>
      <c r="T161" s="1059"/>
      <c r="U161" s="1059"/>
      <c r="V161" s="1059"/>
      <c r="W161" s="1059"/>
      <c r="X161" s="1059"/>
      <c r="Y161" s="1059"/>
      <c r="Z161" s="1059"/>
    </row>
    <row r="162" spans="1:26" ht="12.75" customHeight="1">
      <c r="A162" s="1124" t="s">
        <v>1080</v>
      </c>
      <c r="B162" s="1125">
        <v>200</v>
      </c>
      <c r="C162" s="1124" t="s">
        <v>1080</v>
      </c>
      <c r="D162" s="1109" t="s">
        <v>1188</v>
      </c>
      <c r="E162" s="1109" t="s">
        <v>842</v>
      </c>
      <c r="F162" s="1126">
        <v>6.3000000000000007</v>
      </c>
      <c r="G162" s="1109">
        <v>152165.26950814403</v>
      </c>
      <c r="H162" s="1098">
        <f>+F162*G162</f>
        <v>958641.19790130749</v>
      </c>
      <c r="I162" s="1059"/>
      <c r="J162" s="1059"/>
      <c r="K162" s="1059"/>
      <c r="L162" s="1059"/>
      <c r="M162" s="1059"/>
      <c r="N162" s="1059"/>
      <c r="O162" s="1059"/>
      <c r="P162" s="1059"/>
      <c r="Q162" s="1059"/>
      <c r="R162" s="1059"/>
      <c r="S162" s="1059"/>
      <c r="T162" s="1059"/>
      <c r="U162" s="1059"/>
      <c r="V162" s="1059"/>
      <c r="W162" s="1059"/>
      <c r="X162" s="1059"/>
      <c r="Y162" s="1059"/>
      <c r="Z162" s="1059"/>
    </row>
    <row r="163" spans="1:26" ht="12.75" customHeight="1">
      <c r="A163" s="1127" t="s">
        <v>1058</v>
      </c>
      <c r="B163" s="1125">
        <v>600</v>
      </c>
      <c r="C163" s="1124" t="s">
        <v>1058</v>
      </c>
      <c r="D163" s="1109" t="s">
        <v>1169</v>
      </c>
      <c r="E163" s="1109" t="s">
        <v>842</v>
      </c>
      <c r="F163" s="1126">
        <v>52.5</v>
      </c>
      <c r="G163" s="1109">
        <v>18256.2843138065</v>
      </c>
      <c r="H163" s="1098">
        <f t="shared" ref="H163:H170" si="10">+F163*G163</f>
        <v>958454.9264748412</v>
      </c>
      <c r="I163" s="1059"/>
      <c r="J163" s="1059"/>
      <c r="K163" s="1059"/>
      <c r="L163" s="1059"/>
      <c r="M163" s="1059"/>
      <c r="N163" s="1059"/>
      <c r="O163" s="1059"/>
      <c r="P163" s="1059"/>
      <c r="Q163" s="1059"/>
      <c r="R163" s="1059"/>
      <c r="S163" s="1059"/>
      <c r="T163" s="1059"/>
      <c r="U163" s="1059"/>
      <c r="V163" s="1059"/>
      <c r="W163" s="1059"/>
      <c r="X163" s="1059"/>
      <c r="Y163" s="1059"/>
      <c r="Z163" s="1059"/>
    </row>
    <row r="164" spans="1:26" ht="25.5" customHeight="1">
      <c r="A164" s="1127" t="s">
        <v>1084</v>
      </c>
      <c r="B164" s="1125">
        <v>600</v>
      </c>
      <c r="C164" s="1124" t="s">
        <v>1084</v>
      </c>
      <c r="D164" s="1109" t="s">
        <v>1191</v>
      </c>
      <c r="E164" s="1109" t="s">
        <v>842</v>
      </c>
      <c r="F164" s="1126">
        <v>55.5</v>
      </c>
      <c r="G164" s="1109">
        <v>58585.887391868338</v>
      </c>
      <c r="H164" s="1098">
        <f t="shared" si="10"/>
        <v>3251516.7502486929</v>
      </c>
      <c r="I164" s="1059"/>
      <c r="J164" s="1059"/>
      <c r="K164" s="1059"/>
      <c r="L164" s="1059"/>
      <c r="M164" s="1059"/>
      <c r="N164" s="1059"/>
      <c r="O164" s="1059"/>
      <c r="P164" s="1059"/>
      <c r="Q164" s="1059"/>
      <c r="R164" s="1059"/>
      <c r="S164" s="1059"/>
      <c r="T164" s="1059"/>
      <c r="U164" s="1059"/>
      <c r="V164" s="1059"/>
      <c r="W164" s="1059"/>
      <c r="X164" s="1059"/>
      <c r="Y164" s="1059"/>
      <c r="Z164" s="1059"/>
    </row>
    <row r="165" spans="1:26" ht="12.75" customHeight="1">
      <c r="A165" s="1127" t="s">
        <v>1088</v>
      </c>
      <c r="B165" s="1125">
        <v>600</v>
      </c>
      <c r="C165" s="1124" t="s">
        <v>1088</v>
      </c>
      <c r="D165" s="1109" t="s">
        <v>1201</v>
      </c>
      <c r="E165" s="1109" t="s">
        <v>842</v>
      </c>
      <c r="F165" s="1126">
        <v>6.3</v>
      </c>
      <c r="G165" s="1109">
        <v>94217.052678434964</v>
      </c>
      <c r="H165" s="1098">
        <f t="shared" si="10"/>
        <v>593567.43187414028</v>
      </c>
      <c r="I165" s="1059"/>
      <c r="J165" s="1059"/>
      <c r="K165" s="1059"/>
      <c r="L165" s="1059"/>
      <c r="M165" s="1059"/>
      <c r="N165" s="1059"/>
      <c r="O165" s="1059"/>
      <c r="P165" s="1059"/>
      <c r="Q165" s="1059"/>
      <c r="R165" s="1059"/>
      <c r="S165" s="1059"/>
      <c r="T165" s="1059"/>
      <c r="U165" s="1059"/>
      <c r="V165" s="1059"/>
      <c r="W165" s="1059"/>
      <c r="X165" s="1059"/>
      <c r="Y165" s="1059"/>
      <c r="Z165" s="1059"/>
    </row>
    <row r="166" spans="1:26" ht="25.5" customHeight="1">
      <c r="A166" s="1127" t="s">
        <v>1089</v>
      </c>
      <c r="B166" s="1125">
        <v>600</v>
      </c>
      <c r="C166" s="1124" t="s">
        <v>1089</v>
      </c>
      <c r="D166" s="1109" t="s">
        <v>1202</v>
      </c>
      <c r="E166" s="1109" t="s">
        <v>842</v>
      </c>
      <c r="F166" s="1126">
        <v>21</v>
      </c>
      <c r="G166" s="1109">
        <v>6913.4783381621764</v>
      </c>
      <c r="H166" s="1098">
        <f t="shared" si="10"/>
        <v>145183.0451014057</v>
      </c>
      <c r="I166" s="1059"/>
      <c r="J166" s="1059"/>
      <c r="K166" s="1059"/>
      <c r="L166" s="1059"/>
      <c r="M166" s="1059"/>
      <c r="N166" s="1059"/>
      <c r="O166" s="1059"/>
      <c r="P166" s="1059"/>
      <c r="Q166" s="1059"/>
      <c r="R166" s="1059"/>
      <c r="S166" s="1059"/>
      <c r="T166" s="1059"/>
      <c r="U166" s="1059"/>
      <c r="V166" s="1059"/>
      <c r="W166" s="1059"/>
      <c r="X166" s="1059"/>
      <c r="Y166" s="1059"/>
      <c r="Z166" s="1059"/>
    </row>
    <row r="167" spans="1:26" ht="25.5" customHeight="1">
      <c r="A167" s="1127" t="s">
        <v>1090</v>
      </c>
      <c r="B167" s="1125">
        <v>600</v>
      </c>
      <c r="C167" s="1124" t="s">
        <v>1090</v>
      </c>
      <c r="D167" s="1109" t="s">
        <v>1203</v>
      </c>
      <c r="E167" s="1109" t="s">
        <v>677</v>
      </c>
      <c r="F167" s="1126">
        <v>3</v>
      </c>
      <c r="G167" s="1109">
        <v>106416.01040062762</v>
      </c>
      <c r="H167" s="1098">
        <f t="shared" si="10"/>
        <v>319248.03120188287</v>
      </c>
      <c r="I167" s="1059"/>
      <c r="J167" s="1059"/>
      <c r="K167" s="1059"/>
      <c r="L167" s="1059"/>
      <c r="M167" s="1059"/>
      <c r="N167" s="1059"/>
      <c r="O167" s="1059"/>
      <c r="P167" s="1059"/>
      <c r="Q167" s="1059"/>
      <c r="R167" s="1059"/>
      <c r="S167" s="1059"/>
      <c r="T167" s="1059"/>
      <c r="U167" s="1059"/>
      <c r="V167" s="1059"/>
      <c r="W167" s="1059"/>
      <c r="X167" s="1059"/>
      <c r="Y167" s="1059"/>
      <c r="Z167" s="1059"/>
    </row>
    <row r="168" spans="1:26" ht="12.75" customHeight="1">
      <c r="A168" s="1125" t="s">
        <v>1059</v>
      </c>
      <c r="B168" s="1125">
        <v>600</v>
      </c>
      <c r="C168" s="1124" t="s">
        <v>1059</v>
      </c>
      <c r="D168" s="1109" t="s">
        <v>1192</v>
      </c>
      <c r="E168" s="1109" t="s">
        <v>842</v>
      </c>
      <c r="F168" s="1126">
        <v>7.05</v>
      </c>
      <c r="G168" s="1109">
        <v>622014.53060732794</v>
      </c>
      <c r="H168" s="1098">
        <f t="shared" si="10"/>
        <v>4385202.4407816622</v>
      </c>
      <c r="I168" s="1059"/>
      <c r="J168" s="1059"/>
      <c r="K168" s="1059"/>
      <c r="L168" s="1059"/>
      <c r="M168" s="1059"/>
      <c r="N168" s="1059"/>
      <c r="O168" s="1059"/>
      <c r="P168" s="1059"/>
      <c r="Q168" s="1059"/>
      <c r="R168" s="1059"/>
      <c r="S168" s="1059"/>
      <c r="T168" s="1059"/>
      <c r="U168" s="1059"/>
      <c r="V168" s="1059"/>
      <c r="W168" s="1059"/>
      <c r="X168" s="1059"/>
      <c r="Y168" s="1059"/>
      <c r="Z168" s="1059"/>
    </row>
    <row r="169" spans="1:26" ht="12.75" customHeight="1">
      <c r="A169" s="1125" t="s">
        <v>1060</v>
      </c>
      <c r="B169" s="1125">
        <v>600</v>
      </c>
      <c r="C169" s="1124" t="s">
        <v>1060</v>
      </c>
      <c r="D169" s="1109" t="s">
        <v>1193</v>
      </c>
      <c r="E169" s="1109" t="s">
        <v>842</v>
      </c>
      <c r="F169" s="1126">
        <v>1.3619999999999999</v>
      </c>
      <c r="G169" s="1109">
        <v>393443.95038921852</v>
      </c>
      <c r="H169" s="1098">
        <f t="shared" si="10"/>
        <v>535870.66043011553</v>
      </c>
      <c r="I169" s="1059"/>
      <c r="J169" s="1059"/>
      <c r="K169" s="1059"/>
      <c r="L169" s="1059"/>
      <c r="M169" s="1059"/>
      <c r="N169" s="1059"/>
      <c r="O169" s="1059"/>
      <c r="P169" s="1059"/>
      <c r="Q169" s="1059"/>
      <c r="R169" s="1059"/>
      <c r="S169" s="1059"/>
      <c r="T169" s="1059"/>
      <c r="U169" s="1059"/>
      <c r="V169" s="1059"/>
      <c r="W169" s="1059"/>
      <c r="X169" s="1059"/>
      <c r="Y169" s="1059"/>
      <c r="Z169" s="1059"/>
    </row>
    <row r="170" spans="1:26" ht="12.75" customHeight="1">
      <c r="A170" s="1125" t="s">
        <v>1061</v>
      </c>
      <c r="B170" s="1125">
        <v>600</v>
      </c>
      <c r="C170" s="1124" t="s">
        <v>1061</v>
      </c>
      <c r="D170" s="1109" t="s">
        <v>1194</v>
      </c>
      <c r="E170" s="1109" t="s">
        <v>1229</v>
      </c>
      <c r="F170" s="1126">
        <v>562</v>
      </c>
      <c r="G170" s="1109">
        <v>7046.2212770172646</v>
      </c>
      <c r="H170" s="1098">
        <f t="shared" si="10"/>
        <v>3959976.3576837028</v>
      </c>
      <c r="I170" s="1059"/>
      <c r="J170" s="1059"/>
      <c r="K170" s="1059"/>
      <c r="L170" s="1059"/>
      <c r="M170" s="1059"/>
      <c r="N170" s="1059"/>
      <c r="O170" s="1059"/>
      <c r="P170" s="1059"/>
      <c r="Q170" s="1059"/>
      <c r="R170" s="1059"/>
      <c r="S170" s="1059"/>
      <c r="T170" s="1059"/>
      <c r="U170" s="1059"/>
      <c r="V170" s="1059"/>
      <c r="W170" s="1059"/>
      <c r="X170" s="1059"/>
      <c r="Y170" s="1059"/>
      <c r="Z170" s="1059"/>
    </row>
    <row r="171" spans="1:26" ht="12.75" customHeight="1">
      <c r="A171" s="1014"/>
      <c r="B171" s="1014"/>
      <c r="C171" s="1014"/>
      <c r="D171" s="1014"/>
      <c r="E171" s="1014"/>
      <c r="F171" s="2077" t="s">
        <v>176</v>
      </c>
      <c r="G171" s="2055"/>
      <c r="H171" s="1128">
        <f>+SUM(H162:H170)</f>
        <v>15107660.841697752</v>
      </c>
      <c r="I171" s="1059"/>
      <c r="J171" s="1059"/>
      <c r="K171" s="1059"/>
      <c r="L171" s="1059"/>
      <c r="M171" s="1059"/>
      <c r="N171" s="1059"/>
      <c r="O171" s="1059"/>
      <c r="P171" s="1059"/>
      <c r="Q171" s="1059"/>
      <c r="R171" s="1059"/>
      <c r="S171" s="1059"/>
      <c r="T171" s="1059"/>
      <c r="U171" s="1059"/>
      <c r="V171" s="1059"/>
      <c r="W171" s="1059"/>
      <c r="X171" s="1059"/>
      <c r="Y171" s="1059"/>
      <c r="Z171" s="1059"/>
    </row>
    <row r="172" spans="1:26" ht="12.75" customHeight="1">
      <c r="A172" s="1014"/>
      <c r="B172" s="1014"/>
      <c r="C172" s="1014"/>
      <c r="D172" s="1014"/>
      <c r="E172" s="1014"/>
      <c r="F172" s="2063" t="s">
        <v>1044</v>
      </c>
      <c r="G172" s="2049"/>
      <c r="H172" s="1128">
        <f>+((H171/1.31)*(0.05))*0.19</f>
        <v>109559.37251612874</v>
      </c>
      <c r="I172" s="1059"/>
      <c r="J172" s="1059"/>
      <c r="K172" s="1059"/>
      <c r="L172" s="1059"/>
      <c r="M172" s="1059"/>
      <c r="N172" s="1059"/>
      <c r="O172" s="1059"/>
      <c r="P172" s="1059"/>
      <c r="Q172" s="1059"/>
      <c r="R172" s="1059"/>
      <c r="S172" s="1059"/>
      <c r="T172" s="1059"/>
      <c r="U172" s="1059"/>
      <c r="V172" s="1059"/>
      <c r="W172" s="1059"/>
      <c r="X172" s="1059"/>
      <c r="Y172" s="1059"/>
      <c r="Z172" s="1059"/>
    </row>
    <row r="173" spans="1:26" ht="12.75" customHeight="1">
      <c r="A173" s="2063"/>
      <c r="B173" s="2060"/>
      <c r="C173" s="2060"/>
      <c r="D173" s="1014"/>
      <c r="E173" s="1014"/>
      <c r="F173" s="2063" t="s">
        <v>177</v>
      </c>
      <c r="G173" s="2049"/>
      <c r="H173" s="1458">
        <f>+SUM(H171:H172)</f>
        <v>15217220.214213882</v>
      </c>
      <c r="I173" s="1059"/>
      <c r="J173" s="1059"/>
      <c r="K173" s="1059"/>
      <c r="L173" s="1059"/>
      <c r="M173" s="1059"/>
      <c r="N173" s="1059"/>
      <c r="O173" s="1059"/>
      <c r="P173" s="1059"/>
      <c r="Q173" s="1059"/>
      <c r="R173" s="1059"/>
      <c r="S173" s="1059"/>
      <c r="T173" s="1059"/>
      <c r="U173" s="1059"/>
      <c r="V173" s="1059"/>
      <c r="W173" s="1059"/>
      <c r="X173" s="1059"/>
      <c r="Y173" s="1059"/>
      <c r="Z173" s="1059"/>
    </row>
    <row r="174" spans="1:26" ht="12.75" customHeight="1">
      <c r="A174" s="1059"/>
      <c r="B174" s="1059"/>
      <c r="C174" s="1059"/>
      <c r="D174" s="1059"/>
      <c r="E174" s="1059"/>
      <c r="F174" s="1061"/>
      <c r="G174" s="1061"/>
      <c r="H174" s="1118"/>
      <c r="I174" s="1059"/>
      <c r="J174" s="1059"/>
      <c r="K174" s="1059"/>
      <c r="L174" s="1059"/>
      <c r="M174" s="1059"/>
      <c r="N174" s="1059"/>
      <c r="O174" s="1059"/>
      <c r="P174" s="1059"/>
      <c r="Q174" s="1059"/>
      <c r="R174" s="1059"/>
      <c r="S174" s="1059"/>
      <c r="T174" s="1059"/>
      <c r="U174" s="1059"/>
      <c r="V174" s="1059"/>
      <c r="W174" s="1059"/>
      <c r="X174" s="1059"/>
      <c r="Y174" s="1059"/>
      <c r="Z174" s="1059"/>
    </row>
    <row r="175" spans="1:26" ht="12.75" customHeight="1">
      <c r="A175" s="1059"/>
      <c r="B175" s="1059"/>
      <c r="C175" s="1059"/>
      <c r="D175" s="1059"/>
      <c r="E175" s="1059"/>
      <c r="F175" s="1061"/>
      <c r="G175" s="1061"/>
      <c r="H175" s="1129"/>
      <c r="I175" s="1059"/>
      <c r="J175" s="1059"/>
      <c r="K175" s="1059"/>
      <c r="L175" s="1059"/>
      <c r="M175" s="1059"/>
      <c r="N175" s="1059"/>
      <c r="O175" s="1059"/>
      <c r="P175" s="1059"/>
      <c r="Q175" s="1059"/>
      <c r="R175" s="1059"/>
      <c r="S175" s="1059"/>
      <c r="T175" s="1059"/>
      <c r="U175" s="1059"/>
      <c r="V175" s="1059"/>
      <c r="W175" s="1059"/>
      <c r="X175" s="1059"/>
      <c r="Y175" s="1059"/>
      <c r="Z175" s="1059"/>
    </row>
    <row r="176" spans="1:26" ht="25.5" customHeight="1">
      <c r="A176" s="2073" t="s">
        <v>1204</v>
      </c>
      <c r="B176" s="2052"/>
      <c r="C176" s="2052"/>
      <c r="D176" s="2052"/>
      <c r="E176" s="2052"/>
      <c r="F176" s="2052"/>
      <c r="G176" s="2052"/>
      <c r="H176" s="2053"/>
      <c r="I176" s="1059"/>
      <c r="J176" s="1059"/>
      <c r="K176" s="1059"/>
      <c r="L176" s="1059"/>
      <c r="M176" s="1059"/>
      <c r="N176" s="1059"/>
      <c r="O176" s="1059"/>
      <c r="P176" s="1059"/>
      <c r="Q176" s="1059"/>
      <c r="R176" s="1059"/>
      <c r="S176" s="1059"/>
      <c r="T176" s="1059"/>
      <c r="U176" s="1059"/>
      <c r="V176" s="1059"/>
      <c r="W176" s="1059"/>
      <c r="X176" s="1059"/>
      <c r="Y176" s="1059"/>
      <c r="Z176" s="1059"/>
    </row>
    <row r="177" spans="1:26" ht="12.75" customHeight="1">
      <c r="A177" s="1124" t="s">
        <v>1080</v>
      </c>
      <c r="B177" s="1125">
        <v>200</v>
      </c>
      <c r="C177" s="1124" t="s">
        <v>1080</v>
      </c>
      <c r="D177" s="1109" t="s">
        <v>1188</v>
      </c>
      <c r="E177" s="1109" t="s">
        <v>842</v>
      </c>
      <c r="F177" s="1126">
        <v>6.3000000000000007</v>
      </c>
      <c r="G177" s="1109">
        <v>152165.26950814403</v>
      </c>
      <c r="H177" s="1098">
        <f>+F177*G177</f>
        <v>958641.19790130749</v>
      </c>
      <c r="I177" s="1059"/>
      <c r="J177" s="1059"/>
      <c r="K177" s="1059"/>
      <c r="L177" s="1059"/>
      <c r="M177" s="1059"/>
      <c r="N177" s="1059"/>
      <c r="O177" s="1059"/>
      <c r="P177" s="1059"/>
      <c r="Q177" s="1059"/>
      <c r="R177" s="1059"/>
      <c r="S177" s="1059"/>
      <c r="T177" s="1059"/>
      <c r="U177" s="1059"/>
      <c r="V177" s="1059"/>
      <c r="W177" s="1059"/>
      <c r="X177" s="1059"/>
      <c r="Y177" s="1059"/>
      <c r="Z177" s="1059"/>
    </row>
    <row r="178" spans="1:26" ht="12.75" customHeight="1">
      <c r="A178" s="1127" t="s">
        <v>1058</v>
      </c>
      <c r="B178" s="1125">
        <v>600</v>
      </c>
      <c r="C178" s="1124" t="s">
        <v>1058</v>
      </c>
      <c r="D178" s="1109" t="s">
        <v>1169</v>
      </c>
      <c r="E178" s="1109" t="s">
        <v>842</v>
      </c>
      <c r="F178" s="1126">
        <v>52.5</v>
      </c>
      <c r="G178" s="1109">
        <v>18256.2843138065</v>
      </c>
      <c r="H178" s="1098">
        <f t="shared" ref="H178:H185" si="11">+F178*G178</f>
        <v>958454.9264748412</v>
      </c>
      <c r="I178" s="1059"/>
      <c r="J178" s="1059"/>
      <c r="K178" s="1059"/>
      <c r="L178" s="1059"/>
      <c r="M178" s="1059"/>
      <c r="N178" s="1059"/>
      <c r="O178" s="1059"/>
      <c r="P178" s="1059"/>
      <c r="Q178" s="1059"/>
      <c r="R178" s="1059"/>
      <c r="S178" s="1059"/>
      <c r="T178" s="1059"/>
      <c r="U178" s="1059"/>
      <c r="V178" s="1059"/>
      <c r="W178" s="1059"/>
      <c r="X178" s="1059"/>
      <c r="Y178" s="1059"/>
      <c r="Z178" s="1059"/>
    </row>
    <row r="179" spans="1:26" ht="25.5" customHeight="1">
      <c r="A179" s="1127" t="s">
        <v>1084</v>
      </c>
      <c r="B179" s="1125">
        <v>600</v>
      </c>
      <c r="C179" s="1124" t="s">
        <v>1084</v>
      </c>
      <c r="D179" s="1109" t="s">
        <v>1191</v>
      </c>
      <c r="E179" s="1109" t="s">
        <v>842</v>
      </c>
      <c r="F179" s="1126">
        <v>55.5</v>
      </c>
      <c r="G179" s="1109">
        <v>58585.887391868338</v>
      </c>
      <c r="H179" s="1098">
        <f t="shared" si="11"/>
        <v>3251516.7502486929</v>
      </c>
      <c r="I179" s="1059"/>
      <c r="J179" s="1059"/>
      <c r="K179" s="1059"/>
      <c r="L179" s="1059"/>
      <c r="M179" s="1059"/>
      <c r="N179" s="1059"/>
      <c r="O179" s="1059"/>
      <c r="P179" s="1059"/>
      <c r="Q179" s="1059"/>
      <c r="R179" s="1059"/>
      <c r="S179" s="1059"/>
      <c r="T179" s="1059"/>
      <c r="U179" s="1059"/>
      <c r="V179" s="1059"/>
      <c r="W179" s="1059"/>
      <c r="X179" s="1059"/>
      <c r="Y179" s="1059"/>
      <c r="Z179" s="1059"/>
    </row>
    <row r="180" spans="1:26" ht="12.75" customHeight="1">
      <c r="A180" s="1127" t="s">
        <v>1088</v>
      </c>
      <c r="B180" s="1125">
        <v>600</v>
      </c>
      <c r="C180" s="1124" t="s">
        <v>1088</v>
      </c>
      <c r="D180" s="1109" t="s">
        <v>1201</v>
      </c>
      <c r="E180" s="1109" t="s">
        <v>842</v>
      </c>
      <c r="F180" s="1126">
        <v>6.3</v>
      </c>
      <c r="G180" s="1109">
        <v>94217.052678434964</v>
      </c>
      <c r="H180" s="1098">
        <f t="shared" si="11"/>
        <v>593567.43187414028</v>
      </c>
      <c r="I180" s="1059"/>
      <c r="J180" s="1059"/>
      <c r="K180" s="1059"/>
      <c r="L180" s="1059"/>
      <c r="M180" s="1059"/>
      <c r="N180" s="1059"/>
      <c r="O180" s="1059"/>
      <c r="P180" s="1059"/>
      <c r="Q180" s="1059"/>
      <c r="R180" s="1059"/>
      <c r="S180" s="1059"/>
      <c r="T180" s="1059"/>
      <c r="U180" s="1059"/>
      <c r="V180" s="1059"/>
      <c r="W180" s="1059"/>
      <c r="X180" s="1059"/>
      <c r="Y180" s="1059"/>
      <c r="Z180" s="1059"/>
    </row>
    <row r="181" spans="1:26" ht="25.5" customHeight="1">
      <c r="A181" s="1127" t="s">
        <v>1089</v>
      </c>
      <c r="B181" s="1125">
        <v>600</v>
      </c>
      <c r="C181" s="1124" t="s">
        <v>1089</v>
      </c>
      <c r="D181" s="1109" t="s">
        <v>1202</v>
      </c>
      <c r="E181" s="1109" t="s">
        <v>673</v>
      </c>
      <c r="F181" s="1126">
        <v>21</v>
      </c>
      <c r="G181" s="1109">
        <v>6913.4783381621764</v>
      </c>
      <c r="H181" s="1098">
        <f t="shared" si="11"/>
        <v>145183.0451014057</v>
      </c>
      <c r="I181" s="1059"/>
      <c r="J181" s="1059"/>
      <c r="K181" s="1059"/>
      <c r="L181" s="1059"/>
      <c r="M181" s="1059"/>
      <c r="N181" s="1059"/>
      <c r="O181" s="1059"/>
      <c r="P181" s="1059"/>
      <c r="Q181" s="1059"/>
      <c r="R181" s="1059"/>
      <c r="S181" s="1059"/>
      <c r="T181" s="1059"/>
      <c r="U181" s="1059"/>
      <c r="V181" s="1059"/>
      <c r="W181" s="1059"/>
      <c r="X181" s="1059"/>
      <c r="Y181" s="1059"/>
      <c r="Z181" s="1059"/>
    </row>
    <row r="182" spans="1:26" ht="25.5" customHeight="1">
      <c r="A182" s="1127" t="s">
        <v>1090</v>
      </c>
      <c r="B182" s="1125">
        <v>600</v>
      </c>
      <c r="C182" s="1124" t="s">
        <v>1090</v>
      </c>
      <c r="D182" s="1109" t="s">
        <v>1203</v>
      </c>
      <c r="E182" s="1109" t="s">
        <v>677</v>
      </c>
      <c r="F182" s="1126">
        <v>3</v>
      </c>
      <c r="G182" s="1109">
        <v>106416.01040062762</v>
      </c>
      <c r="H182" s="1098">
        <f t="shared" si="11"/>
        <v>319248.03120188287</v>
      </c>
      <c r="I182" s="1059"/>
      <c r="J182" s="1059"/>
      <c r="K182" s="1059"/>
      <c r="L182" s="1059"/>
      <c r="M182" s="1059"/>
      <c r="N182" s="1059"/>
      <c r="O182" s="1059"/>
      <c r="P182" s="1059"/>
      <c r="Q182" s="1059"/>
      <c r="R182" s="1059"/>
      <c r="S182" s="1059"/>
      <c r="T182" s="1059"/>
      <c r="U182" s="1059"/>
      <c r="V182" s="1059"/>
      <c r="W182" s="1059"/>
      <c r="X182" s="1059"/>
      <c r="Y182" s="1059"/>
      <c r="Z182" s="1059"/>
    </row>
    <row r="183" spans="1:26" ht="12.75" customHeight="1">
      <c r="A183" s="1125" t="s">
        <v>1059</v>
      </c>
      <c r="B183" s="1125">
        <v>600</v>
      </c>
      <c r="C183" s="1124" t="s">
        <v>1059</v>
      </c>
      <c r="D183" s="1109" t="s">
        <v>1192</v>
      </c>
      <c r="E183" s="1109" t="s">
        <v>842</v>
      </c>
      <c r="F183" s="1126">
        <v>7.05</v>
      </c>
      <c r="G183" s="1109">
        <v>622014.53060732794</v>
      </c>
      <c r="H183" s="1098">
        <f t="shared" si="11"/>
        <v>4385202.4407816622</v>
      </c>
      <c r="I183" s="1059"/>
      <c r="J183" s="1059"/>
      <c r="K183" s="1059"/>
      <c r="L183" s="1059"/>
      <c r="M183" s="1059"/>
      <c r="N183" s="1059"/>
      <c r="O183" s="1059"/>
      <c r="P183" s="1059"/>
      <c r="Q183" s="1059"/>
      <c r="R183" s="1059"/>
      <c r="S183" s="1059"/>
      <c r="T183" s="1059"/>
      <c r="U183" s="1059"/>
      <c r="V183" s="1059"/>
      <c r="W183" s="1059"/>
      <c r="X183" s="1059"/>
      <c r="Y183" s="1059"/>
      <c r="Z183" s="1059"/>
    </row>
    <row r="184" spans="1:26" ht="12.75" customHeight="1">
      <c r="A184" s="1125" t="s">
        <v>1060</v>
      </c>
      <c r="B184" s="1125">
        <v>600</v>
      </c>
      <c r="C184" s="1124" t="s">
        <v>1060</v>
      </c>
      <c r="D184" s="1109" t="s">
        <v>1193</v>
      </c>
      <c r="E184" s="1109" t="s">
        <v>842</v>
      </c>
      <c r="F184" s="1126">
        <v>1.3619999999999999</v>
      </c>
      <c r="G184" s="1109">
        <v>393443.95038921852</v>
      </c>
      <c r="H184" s="1098">
        <f t="shared" si="11"/>
        <v>535870.66043011553</v>
      </c>
      <c r="I184" s="1059"/>
      <c r="J184" s="1059"/>
      <c r="K184" s="1059"/>
      <c r="L184" s="1059"/>
      <c r="M184" s="1059"/>
      <c r="N184" s="1059"/>
      <c r="O184" s="1059"/>
      <c r="P184" s="1059"/>
      <c r="Q184" s="1059"/>
      <c r="R184" s="1059"/>
      <c r="S184" s="1059"/>
      <c r="T184" s="1059"/>
      <c r="U184" s="1059"/>
      <c r="V184" s="1059"/>
      <c r="W184" s="1059"/>
      <c r="X184" s="1059"/>
      <c r="Y184" s="1059"/>
      <c r="Z184" s="1059"/>
    </row>
    <row r="185" spans="1:26" ht="12.75" customHeight="1">
      <c r="A185" s="1125" t="s">
        <v>1061</v>
      </c>
      <c r="B185" s="1125">
        <v>600</v>
      </c>
      <c r="C185" s="1124" t="s">
        <v>1061</v>
      </c>
      <c r="D185" s="1109" t="s">
        <v>1194</v>
      </c>
      <c r="E185" s="1109" t="s">
        <v>1229</v>
      </c>
      <c r="F185" s="1126">
        <v>562</v>
      </c>
      <c r="G185" s="1109">
        <v>7046.2212770172646</v>
      </c>
      <c r="H185" s="1098">
        <f t="shared" si="11"/>
        <v>3959976.3576837028</v>
      </c>
      <c r="I185" s="1059"/>
      <c r="J185" s="1059"/>
      <c r="K185" s="1059"/>
      <c r="L185" s="1059"/>
      <c r="M185" s="1059"/>
      <c r="N185" s="1059"/>
      <c r="O185" s="1059"/>
      <c r="P185" s="1059"/>
      <c r="Q185" s="1059"/>
      <c r="R185" s="1059"/>
      <c r="S185" s="1059"/>
      <c r="T185" s="1059"/>
      <c r="U185" s="1059"/>
      <c r="V185" s="1059"/>
      <c r="W185" s="1059"/>
      <c r="X185" s="1059"/>
      <c r="Y185" s="1059"/>
      <c r="Z185" s="1059"/>
    </row>
    <row r="186" spans="1:26" ht="12.75" customHeight="1">
      <c r="A186" s="1014"/>
      <c r="B186" s="1014"/>
      <c r="C186" s="1014"/>
      <c r="D186" s="1014"/>
      <c r="E186" s="1014"/>
      <c r="F186" s="2077" t="s">
        <v>176</v>
      </c>
      <c r="G186" s="2055"/>
      <c r="H186" s="1128">
        <f>+SUM(H177:H185)</f>
        <v>15107660.841697752</v>
      </c>
      <c r="I186" s="1059"/>
      <c r="J186" s="1059"/>
      <c r="K186" s="1059"/>
      <c r="L186" s="1059"/>
      <c r="M186" s="1059"/>
      <c r="N186" s="1059"/>
      <c r="O186" s="1059"/>
      <c r="P186" s="1059"/>
      <c r="Q186" s="1059"/>
      <c r="R186" s="1059"/>
      <c r="S186" s="1059"/>
      <c r="T186" s="1059"/>
      <c r="U186" s="1059"/>
      <c r="V186" s="1059"/>
      <c r="W186" s="1059"/>
      <c r="X186" s="1059"/>
      <c r="Y186" s="1059"/>
      <c r="Z186" s="1059"/>
    </row>
    <row r="187" spans="1:26" ht="12.75" customHeight="1">
      <c r="A187" s="1014"/>
      <c r="B187" s="1014"/>
      <c r="C187" s="1014"/>
      <c r="D187" s="1014"/>
      <c r="E187" s="1014"/>
      <c r="F187" s="2063" t="s">
        <v>1044</v>
      </c>
      <c r="G187" s="2049"/>
      <c r="H187" s="1128">
        <f>+((H186/1.31)*(0.05))*0.19</f>
        <v>109559.37251612874</v>
      </c>
      <c r="I187" s="1059"/>
      <c r="J187" s="1059"/>
      <c r="K187" s="1059"/>
      <c r="L187" s="1059"/>
      <c r="M187" s="1059"/>
      <c r="N187" s="1059"/>
      <c r="O187" s="1059"/>
      <c r="P187" s="1059"/>
      <c r="Q187" s="1059"/>
      <c r="R187" s="1059"/>
      <c r="S187" s="1059"/>
      <c r="T187" s="1059"/>
      <c r="U187" s="1059"/>
      <c r="V187" s="1059"/>
      <c r="W187" s="1059"/>
      <c r="X187" s="1059"/>
      <c r="Y187" s="1059"/>
      <c r="Z187" s="1059"/>
    </row>
    <row r="188" spans="1:26" ht="12.75" customHeight="1">
      <c r="A188" s="2063"/>
      <c r="B188" s="2060"/>
      <c r="C188" s="2060"/>
      <c r="D188" s="1014"/>
      <c r="E188" s="1014"/>
      <c r="F188" s="2063" t="s">
        <v>177</v>
      </c>
      <c r="G188" s="2049"/>
      <c r="H188" s="1458">
        <f>+SUM(H186:H187)</f>
        <v>15217220.214213882</v>
      </c>
      <c r="I188" s="1059"/>
      <c r="J188" s="1059"/>
      <c r="K188" s="1059"/>
      <c r="L188" s="1059"/>
      <c r="M188" s="1059"/>
      <c r="N188" s="1059"/>
      <c r="O188" s="1059"/>
      <c r="P188" s="1059"/>
      <c r="Q188" s="1059"/>
      <c r="R188" s="1059"/>
      <c r="S188" s="1059"/>
      <c r="T188" s="1059"/>
      <c r="U188" s="1059"/>
      <c r="V188" s="1059"/>
      <c r="W188" s="1059"/>
      <c r="X188" s="1059"/>
      <c r="Y188" s="1059"/>
      <c r="Z188" s="1059"/>
    </row>
    <row r="189" spans="1:26" ht="12.75" customHeight="1">
      <c r="A189" s="1059"/>
      <c r="B189" s="1059"/>
      <c r="C189" s="1059"/>
      <c r="D189" s="1059"/>
      <c r="E189" s="1059"/>
      <c r="F189" s="2050"/>
      <c r="G189" s="2060"/>
      <c r="H189" s="1118"/>
      <c r="I189" s="1059"/>
      <c r="J189" s="1059"/>
      <c r="K189" s="1059"/>
      <c r="L189" s="1059"/>
      <c r="M189" s="1059"/>
      <c r="N189" s="1059"/>
      <c r="O189" s="1059"/>
      <c r="P189" s="1059"/>
      <c r="Q189" s="1059"/>
      <c r="R189" s="1059"/>
      <c r="S189" s="1059"/>
      <c r="T189" s="1059"/>
      <c r="U189" s="1059"/>
      <c r="V189" s="1059"/>
      <c r="W189" s="1059"/>
      <c r="X189" s="1059"/>
      <c r="Y189" s="1059"/>
      <c r="Z189" s="1059"/>
    </row>
    <row r="190" spans="1:26" ht="12.75" customHeight="1">
      <c r="A190" s="1059"/>
      <c r="B190" s="1059"/>
      <c r="C190" s="1059"/>
      <c r="D190" s="1059"/>
      <c r="E190" s="1059"/>
      <c r="F190" s="1061"/>
      <c r="G190" s="1061"/>
      <c r="H190" s="1118"/>
      <c r="I190" s="1059"/>
      <c r="J190" s="1059"/>
      <c r="K190" s="1059"/>
      <c r="L190" s="1059"/>
      <c r="M190" s="1059"/>
      <c r="N190" s="1059"/>
      <c r="O190" s="1059"/>
      <c r="P190" s="1059"/>
      <c r="Q190" s="1059"/>
      <c r="R190" s="1059"/>
      <c r="S190" s="1059"/>
      <c r="T190" s="1059"/>
      <c r="U190" s="1059"/>
      <c r="V190" s="1059"/>
      <c r="W190" s="1059"/>
      <c r="X190" s="1059"/>
      <c r="Y190" s="1059"/>
      <c r="Z190" s="1059"/>
    </row>
    <row r="191" spans="1:26" ht="40.5" customHeight="1">
      <c r="A191" s="2076" t="s">
        <v>1205</v>
      </c>
      <c r="B191" s="2052"/>
      <c r="C191" s="2052"/>
      <c r="D191" s="2052"/>
      <c r="E191" s="2052"/>
      <c r="F191" s="2052"/>
      <c r="G191" s="2052"/>
      <c r="H191" s="2053"/>
      <c r="I191" s="1059"/>
      <c r="J191" s="1059"/>
      <c r="K191" s="1059"/>
      <c r="L191" s="1059"/>
      <c r="M191" s="1059"/>
      <c r="N191" s="1059"/>
      <c r="O191" s="1059"/>
      <c r="P191" s="1059"/>
      <c r="Q191" s="1059"/>
      <c r="R191" s="1059"/>
      <c r="S191" s="1059"/>
      <c r="T191" s="1059"/>
      <c r="U191" s="1059"/>
      <c r="V191" s="1059"/>
      <c r="W191" s="1059"/>
      <c r="X191" s="1059"/>
      <c r="Y191" s="1059"/>
      <c r="Z191" s="1059"/>
    </row>
    <row r="192" spans="1:26" ht="12.75" customHeight="1">
      <c r="A192" s="1048" t="s">
        <v>1062</v>
      </c>
      <c r="B192" s="1108">
        <v>200</v>
      </c>
      <c r="C192" s="1048">
        <v>211.1</v>
      </c>
      <c r="D192" s="1109" t="s">
        <v>1206</v>
      </c>
      <c r="E192" s="1109" t="s">
        <v>1170</v>
      </c>
      <c r="F192" s="1120">
        <v>180</v>
      </c>
      <c r="G192" s="1109">
        <v>7743.7296703985176</v>
      </c>
      <c r="H192" s="1121">
        <f>+F192*G192</f>
        <v>1393871.3406717333</v>
      </c>
      <c r="I192" s="1059"/>
      <c r="J192" s="1059"/>
      <c r="K192" s="1059"/>
      <c r="L192" s="1059"/>
      <c r="M192" s="1059"/>
      <c r="N192" s="1059"/>
      <c r="O192" s="1059"/>
      <c r="P192" s="1059"/>
      <c r="Q192" s="1059"/>
      <c r="R192" s="1059"/>
      <c r="S192" s="1059"/>
      <c r="T192" s="1059"/>
      <c r="U192" s="1059"/>
      <c r="V192" s="1059"/>
      <c r="W192" s="1059"/>
      <c r="X192" s="1059"/>
      <c r="Y192" s="1059"/>
      <c r="Z192" s="1059"/>
    </row>
    <row r="193" spans="1:26" ht="38.25" customHeight="1">
      <c r="A193" s="1048" t="s">
        <v>1063</v>
      </c>
      <c r="B193" s="1108">
        <v>900</v>
      </c>
      <c r="C193" s="1048">
        <v>900.3</v>
      </c>
      <c r="D193" s="1109" t="s">
        <v>1207</v>
      </c>
      <c r="E193" s="1109" t="s">
        <v>1208</v>
      </c>
      <c r="F193" s="1120">
        <v>900</v>
      </c>
      <c r="G193" s="1109">
        <v>1171.969696969697</v>
      </c>
      <c r="H193" s="1121">
        <f t="shared" ref="H193:H197" si="12">+F193*G193</f>
        <v>1054772.7272727273</v>
      </c>
      <c r="I193" s="1059"/>
      <c r="J193" s="1059"/>
      <c r="K193" s="1059"/>
      <c r="L193" s="1059"/>
      <c r="M193" s="1059"/>
      <c r="N193" s="1059"/>
      <c r="O193" s="1059"/>
      <c r="P193" s="1059"/>
      <c r="Q193" s="1059"/>
      <c r="R193" s="1059"/>
      <c r="S193" s="1059"/>
      <c r="T193" s="1059"/>
      <c r="U193" s="1059"/>
      <c r="V193" s="1059"/>
      <c r="W193" s="1059"/>
      <c r="X193" s="1059"/>
      <c r="Y193" s="1059"/>
      <c r="Z193" s="1059"/>
    </row>
    <row r="194" spans="1:26" ht="12.75" customHeight="1">
      <c r="A194" s="1122" t="s">
        <v>1058</v>
      </c>
      <c r="B194" s="1108">
        <v>600</v>
      </c>
      <c r="C194" s="1122" t="s">
        <v>1058</v>
      </c>
      <c r="D194" s="1109" t="s">
        <v>1169</v>
      </c>
      <c r="E194" s="1109" t="s">
        <v>842</v>
      </c>
      <c r="F194" s="1120">
        <v>76.5</v>
      </c>
      <c r="G194" s="1109">
        <v>18256.2843138065</v>
      </c>
      <c r="H194" s="1121">
        <f t="shared" si="12"/>
        <v>1396605.7500061973</v>
      </c>
      <c r="I194" s="1059"/>
      <c r="J194" s="1059"/>
      <c r="K194" s="1059"/>
      <c r="L194" s="1059"/>
      <c r="M194" s="1059"/>
      <c r="N194" s="1059"/>
      <c r="O194" s="1059"/>
      <c r="P194" s="1059"/>
      <c r="Q194" s="1059"/>
      <c r="R194" s="1059"/>
      <c r="S194" s="1059"/>
      <c r="T194" s="1059"/>
      <c r="U194" s="1059"/>
      <c r="V194" s="1059"/>
      <c r="W194" s="1059"/>
      <c r="X194" s="1059"/>
      <c r="Y194" s="1059"/>
      <c r="Z194" s="1059"/>
    </row>
    <row r="195" spans="1:26" ht="25.5" customHeight="1">
      <c r="A195" s="1048" t="s">
        <v>1087</v>
      </c>
      <c r="B195" s="1108">
        <v>600</v>
      </c>
      <c r="C195" s="1048">
        <v>610.1</v>
      </c>
      <c r="D195" s="1109" t="s">
        <v>1209</v>
      </c>
      <c r="E195" s="1109" t="s">
        <v>842</v>
      </c>
      <c r="F195" s="1120">
        <v>9</v>
      </c>
      <c r="G195" s="1109">
        <v>58585.887391868338</v>
      </c>
      <c r="H195" s="1121">
        <f t="shared" si="12"/>
        <v>527272.98652681499</v>
      </c>
      <c r="I195" s="1059"/>
      <c r="J195" s="1059"/>
      <c r="K195" s="1059"/>
      <c r="L195" s="1059"/>
      <c r="M195" s="1059"/>
      <c r="N195" s="1059"/>
      <c r="O195" s="1059"/>
      <c r="P195" s="1059"/>
      <c r="Q195" s="1059"/>
      <c r="R195" s="1059"/>
      <c r="S195" s="1059"/>
      <c r="T195" s="1059"/>
      <c r="U195" s="1059"/>
      <c r="V195" s="1059"/>
      <c r="W195" s="1059"/>
      <c r="X195" s="1059"/>
      <c r="Y195" s="1059"/>
      <c r="Z195" s="1059"/>
    </row>
    <row r="196" spans="1:26" ht="12.75" customHeight="1">
      <c r="A196" s="1048" t="s">
        <v>1059</v>
      </c>
      <c r="B196" s="1108">
        <v>600</v>
      </c>
      <c r="C196" s="1048">
        <v>630.4</v>
      </c>
      <c r="D196" s="1109" t="s">
        <v>1192</v>
      </c>
      <c r="E196" s="1109" t="s">
        <v>842</v>
      </c>
      <c r="F196" s="1120">
        <v>73.125</v>
      </c>
      <c r="G196" s="1109">
        <v>622014.53060732794</v>
      </c>
      <c r="H196" s="1121">
        <f t="shared" si="12"/>
        <v>45484812.550660856</v>
      </c>
      <c r="I196" s="1059"/>
      <c r="J196" s="1059"/>
      <c r="K196" s="1059"/>
      <c r="L196" s="1059"/>
      <c r="M196" s="1059"/>
      <c r="N196" s="1059"/>
      <c r="O196" s="1059"/>
      <c r="P196" s="1059"/>
      <c r="Q196" s="1059"/>
      <c r="R196" s="1059"/>
      <c r="S196" s="1059"/>
      <c r="T196" s="1059"/>
      <c r="U196" s="1059"/>
      <c r="V196" s="1059"/>
      <c r="W196" s="1059"/>
      <c r="X196" s="1059"/>
      <c r="Y196" s="1059"/>
      <c r="Z196" s="1059"/>
    </row>
    <row r="197" spans="1:26" ht="12.75" customHeight="1">
      <c r="A197" s="1048" t="s">
        <v>1061</v>
      </c>
      <c r="B197" s="1108">
        <v>600</v>
      </c>
      <c r="C197" s="1048">
        <v>640.1</v>
      </c>
      <c r="D197" s="1109" t="s">
        <v>1194</v>
      </c>
      <c r="E197" s="1109" t="s">
        <v>1229</v>
      </c>
      <c r="F197" s="1120">
        <v>3285.75</v>
      </c>
      <c r="G197" s="1109">
        <v>7046.2212770172646</v>
      </c>
      <c r="H197" s="1121">
        <f t="shared" si="12"/>
        <v>23152121.560959477</v>
      </c>
      <c r="I197" s="1059"/>
      <c r="J197" s="1059"/>
      <c r="K197" s="1059"/>
      <c r="L197" s="1059"/>
      <c r="M197" s="1059"/>
      <c r="N197" s="1059"/>
      <c r="O197" s="1059"/>
      <c r="P197" s="1059"/>
      <c r="Q197" s="1059"/>
      <c r="R197" s="1059"/>
      <c r="S197" s="1059"/>
      <c r="T197" s="1059"/>
      <c r="U197" s="1059"/>
      <c r="V197" s="1059"/>
      <c r="W197" s="1059"/>
      <c r="X197" s="1059"/>
      <c r="Y197" s="1059"/>
      <c r="Z197" s="1059"/>
    </row>
    <row r="198" spans="1:26" ht="12.75" customHeight="1">
      <c r="A198" s="1014"/>
      <c r="B198" s="1014"/>
      <c r="C198" s="1014"/>
      <c r="D198" s="1059"/>
      <c r="E198" s="1059"/>
      <c r="F198" s="2050" t="s">
        <v>176</v>
      </c>
      <c r="G198" s="2049"/>
      <c r="H198" s="1130">
        <f>+SUM(H192:H197)</f>
        <v>73009456.916097805</v>
      </c>
      <c r="I198" s="1059"/>
      <c r="J198" s="1059"/>
      <c r="K198" s="1059"/>
      <c r="L198" s="1059"/>
      <c r="M198" s="1059"/>
      <c r="N198" s="1059"/>
      <c r="O198" s="1059"/>
      <c r="P198" s="1059"/>
      <c r="Q198" s="1059"/>
      <c r="R198" s="1059"/>
      <c r="S198" s="1059"/>
      <c r="T198" s="1059"/>
      <c r="U198" s="1059"/>
      <c r="V198" s="1059"/>
      <c r="W198" s="1059"/>
      <c r="X198" s="1059"/>
      <c r="Y198" s="1059"/>
      <c r="Z198" s="1059"/>
    </row>
    <row r="199" spans="1:26" ht="12.75" customHeight="1">
      <c r="A199" s="1014"/>
      <c r="B199" s="1014"/>
      <c r="C199" s="1014"/>
      <c r="D199" s="1059"/>
      <c r="E199" s="1059"/>
      <c r="F199" s="2050" t="s">
        <v>1044</v>
      </c>
      <c r="G199" s="2049"/>
      <c r="H199" s="1099">
        <f>+((H198/1.31)*(0.05))*0.19</f>
        <v>529457.89366635808</v>
      </c>
      <c r="I199" s="1059"/>
      <c r="J199" s="1059"/>
      <c r="K199" s="1059"/>
      <c r="L199" s="1059"/>
      <c r="M199" s="1059"/>
      <c r="N199" s="1059"/>
      <c r="O199" s="1059"/>
      <c r="P199" s="1059"/>
      <c r="Q199" s="1059"/>
      <c r="R199" s="1059"/>
      <c r="S199" s="1059"/>
      <c r="T199" s="1059"/>
      <c r="U199" s="1059"/>
      <c r="V199" s="1059"/>
      <c r="W199" s="1059"/>
      <c r="X199" s="1059"/>
      <c r="Y199" s="1059"/>
      <c r="Z199" s="1059"/>
    </row>
    <row r="200" spans="1:26" ht="12.75" customHeight="1">
      <c r="A200" s="1059"/>
      <c r="B200" s="1059"/>
      <c r="C200" s="1059"/>
      <c r="D200" s="1059"/>
      <c r="E200" s="1059"/>
      <c r="F200" s="2050" t="s">
        <v>177</v>
      </c>
      <c r="G200" s="2049"/>
      <c r="H200" s="1459">
        <f>+SUM(H198:H199)</f>
        <v>73538914.809764162</v>
      </c>
      <c r="I200" s="1059"/>
      <c r="J200" s="1059"/>
      <c r="K200" s="1059"/>
      <c r="L200" s="1059"/>
      <c r="M200" s="1059"/>
      <c r="N200" s="1059"/>
      <c r="O200" s="1059"/>
      <c r="P200" s="1059"/>
      <c r="Q200" s="1059"/>
      <c r="R200" s="1059"/>
      <c r="S200" s="1059"/>
      <c r="T200" s="1059"/>
      <c r="U200" s="1059"/>
      <c r="V200" s="1059"/>
      <c r="W200" s="1059"/>
      <c r="X200" s="1059"/>
      <c r="Y200" s="1059"/>
      <c r="Z200" s="1059"/>
    </row>
    <row r="201" spans="1:26" ht="12.75" customHeight="1">
      <c r="A201" s="1059"/>
      <c r="B201" s="1059"/>
      <c r="C201" s="1059"/>
      <c r="D201" s="1059"/>
      <c r="E201" s="1059"/>
      <c r="F201" s="1061"/>
      <c r="G201" s="1061"/>
      <c r="H201" s="1118"/>
      <c r="I201" s="1059"/>
      <c r="J201" s="1059"/>
      <c r="K201" s="1059"/>
      <c r="L201" s="1059"/>
      <c r="M201" s="1059"/>
      <c r="N201" s="1059"/>
      <c r="O201" s="1059"/>
      <c r="P201" s="1059"/>
      <c r="Q201" s="1059"/>
      <c r="R201" s="1059"/>
      <c r="S201" s="1059"/>
      <c r="T201" s="1059"/>
      <c r="U201" s="1059"/>
      <c r="V201" s="1059"/>
      <c r="W201" s="1059"/>
      <c r="X201" s="1059"/>
      <c r="Y201" s="1059"/>
      <c r="Z201" s="1059"/>
    </row>
    <row r="202" spans="1:26" ht="12.75" customHeight="1">
      <c r="A202" s="1059"/>
      <c r="B202" s="1059"/>
      <c r="C202" s="1059"/>
      <c r="D202" s="1059"/>
      <c r="E202" s="1059"/>
      <c r="F202" s="1061"/>
      <c r="G202" s="1061"/>
      <c r="H202" s="1118"/>
      <c r="I202" s="1059"/>
      <c r="J202" s="1059"/>
      <c r="K202" s="1059"/>
      <c r="L202" s="1059"/>
      <c r="M202" s="1059"/>
      <c r="N202" s="1059"/>
      <c r="O202" s="1059"/>
      <c r="P202" s="1059"/>
      <c r="Q202" s="1059"/>
      <c r="R202" s="1059"/>
      <c r="S202" s="1059"/>
      <c r="T202" s="1059"/>
      <c r="U202" s="1059"/>
      <c r="V202" s="1059"/>
      <c r="W202" s="1059"/>
      <c r="X202" s="1059"/>
      <c r="Y202" s="1059"/>
      <c r="Z202" s="1059"/>
    </row>
    <row r="203" spans="1:26" ht="27" customHeight="1">
      <c r="A203" s="2076" t="s">
        <v>1210</v>
      </c>
      <c r="B203" s="2052"/>
      <c r="C203" s="2052"/>
      <c r="D203" s="2052"/>
      <c r="E203" s="2052"/>
      <c r="F203" s="2052"/>
      <c r="G203" s="2052"/>
      <c r="H203" s="2053"/>
      <c r="I203" s="1059"/>
      <c r="J203" s="1059"/>
      <c r="K203" s="1059"/>
      <c r="L203" s="1059"/>
      <c r="M203" s="1059"/>
      <c r="N203" s="1059"/>
      <c r="O203" s="1059"/>
      <c r="P203" s="1059"/>
      <c r="Q203" s="1059"/>
      <c r="R203" s="1059"/>
      <c r="S203" s="1059"/>
      <c r="T203" s="1059"/>
      <c r="U203" s="1059"/>
      <c r="V203" s="1059"/>
      <c r="W203" s="1059"/>
      <c r="X203" s="1059"/>
      <c r="Y203" s="1059"/>
      <c r="Z203" s="1059"/>
    </row>
    <row r="204" spans="1:26" ht="12.75" customHeight="1">
      <c r="A204" s="1119" t="s">
        <v>1062</v>
      </c>
      <c r="B204" s="1108">
        <v>200</v>
      </c>
      <c r="C204" s="1119">
        <v>211.1</v>
      </c>
      <c r="D204" s="1109" t="s">
        <v>1206</v>
      </c>
      <c r="E204" s="1109" t="s">
        <v>842</v>
      </c>
      <c r="F204" s="1120">
        <v>180</v>
      </c>
      <c r="G204" s="1109">
        <v>7743.7296703985176</v>
      </c>
      <c r="H204" s="1131">
        <f>+F204*G204</f>
        <v>1393871.3406717333</v>
      </c>
      <c r="I204" s="1059"/>
      <c r="J204" s="1059"/>
      <c r="K204" s="1059"/>
      <c r="L204" s="1059"/>
      <c r="M204" s="1059"/>
      <c r="N204" s="1059"/>
      <c r="O204" s="1059"/>
      <c r="P204" s="1059"/>
      <c r="Q204" s="1059"/>
      <c r="R204" s="1059"/>
      <c r="S204" s="1059"/>
      <c r="T204" s="1059"/>
      <c r="U204" s="1059"/>
      <c r="V204" s="1059"/>
      <c r="W204" s="1059"/>
      <c r="X204" s="1059"/>
      <c r="Y204" s="1059"/>
      <c r="Z204" s="1059"/>
    </row>
    <row r="205" spans="1:26" ht="12.75" customHeight="1">
      <c r="A205" s="1122" t="s">
        <v>1058</v>
      </c>
      <c r="B205" s="1108">
        <v>600</v>
      </c>
      <c r="C205" s="1119" t="s">
        <v>1058</v>
      </c>
      <c r="D205" s="1109" t="s">
        <v>1169</v>
      </c>
      <c r="E205" s="1109" t="s">
        <v>842</v>
      </c>
      <c r="F205" s="1120">
        <v>60</v>
      </c>
      <c r="G205" s="1109">
        <v>18256.2843138065</v>
      </c>
      <c r="H205" s="1131">
        <f t="shared" ref="H205:H210" si="13">+F205*G205</f>
        <v>1095377.05882839</v>
      </c>
      <c r="I205" s="1059"/>
      <c r="J205" s="1059"/>
      <c r="K205" s="1059"/>
      <c r="L205" s="1059"/>
      <c r="M205" s="1059"/>
      <c r="N205" s="1059"/>
      <c r="O205" s="1059"/>
      <c r="P205" s="1059"/>
      <c r="Q205" s="1059"/>
      <c r="R205" s="1059"/>
      <c r="S205" s="1059"/>
      <c r="T205" s="1059"/>
      <c r="U205" s="1059"/>
      <c r="V205" s="1059"/>
      <c r="W205" s="1059"/>
      <c r="X205" s="1059"/>
      <c r="Y205" s="1059"/>
      <c r="Z205" s="1059"/>
    </row>
    <row r="206" spans="1:26" ht="25.5" customHeight="1">
      <c r="A206" s="1122" t="s">
        <v>1084</v>
      </c>
      <c r="B206" s="1108">
        <v>600</v>
      </c>
      <c r="C206" s="1119">
        <v>610.1</v>
      </c>
      <c r="D206" s="1109" t="s">
        <v>1191</v>
      </c>
      <c r="E206" s="1109" t="s">
        <v>842</v>
      </c>
      <c r="F206" s="1120">
        <v>45</v>
      </c>
      <c r="G206" s="1109">
        <v>58585.887391868338</v>
      </c>
      <c r="H206" s="1131">
        <f t="shared" si="13"/>
        <v>2636364.9326340752</v>
      </c>
      <c r="I206" s="1059"/>
      <c r="J206" s="1059"/>
      <c r="K206" s="1059"/>
      <c r="L206" s="1059"/>
      <c r="M206" s="1059"/>
      <c r="N206" s="1059"/>
      <c r="O206" s="1059"/>
      <c r="P206" s="1059"/>
      <c r="Q206" s="1059"/>
      <c r="R206" s="1059"/>
      <c r="S206" s="1059"/>
      <c r="T206" s="1059"/>
      <c r="U206" s="1059"/>
      <c r="V206" s="1059"/>
      <c r="W206" s="1059"/>
      <c r="X206" s="1059"/>
      <c r="Y206" s="1059"/>
      <c r="Z206" s="1059"/>
    </row>
    <row r="207" spans="1:26" ht="12.75" customHeight="1">
      <c r="A207" s="1108" t="s">
        <v>1060</v>
      </c>
      <c r="B207" s="1108">
        <v>600</v>
      </c>
      <c r="C207" s="1119">
        <v>630.6</v>
      </c>
      <c r="D207" s="1109" t="s">
        <v>1193</v>
      </c>
      <c r="E207" s="1109" t="s">
        <v>842</v>
      </c>
      <c r="F207" s="1120">
        <v>27.54</v>
      </c>
      <c r="G207" s="1109">
        <v>393443.95038921852</v>
      </c>
      <c r="H207" s="1131">
        <f t="shared" si="13"/>
        <v>10835446.393719077</v>
      </c>
      <c r="I207" s="1059"/>
      <c r="J207" s="1059"/>
      <c r="K207" s="1059"/>
      <c r="L207" s="1059"/>
      <c r="M207" s="1059"/>
      <c r="N207" s="1059"/>
      <c r="O207" s="1059"/>
      <c r="P207" s="1059"/>
      <c r="Q207" s="1059"/>
      <c r="R207" s="1059"/>
      <c r="S207" s="1059"/>
      <c r="T207" s="1059"/>
      <c r="U207" s="1059"/>
      <c r="V207" s="1059"/>
      <c r="W207" s="1059"/>
      <c r="X207" s="1059"/>
      <c r="Y207" s="1059"/>
      <c r="Z207" s="1059"/>
    </row>
    <row r="208" spans="1:26" ht="51" customHeight="1">
      <c r="A208" s="1119" t="s">
        <v>1085</v>
      </c>
      <c r="B208" s="1108">
        <v>600</v>
      </c>
      <c r="C208" s="1119">
        <v>670.1</v>
      </c>
      <c r="D208" s="1109" t="s">
        <v>1196</v>
      </c>
      <c r="E208" s="1109" t="s">
        <v>842</v>
      </c>
      <c r="F208" s="1120">
        <v>90</v>
      </c>
      <c r="G208" s="1109">
        <v>248696.691377957</v>
      </c>
      <c r="H208" s="1131">
        <f t="shared" si="13"/>
        <v>22382702.22401613</v>
      </c>
      <c r="I208" s="1059"/>
      <c r="J208" s="1059"/>
      <c r="K208" s="1059"/>
      <c r="L208" s="1059"/>
      <c r="M208" s="1059"/>
      <c r="N208" s="1059"/>
      <c r="O208" s="1059"/>
      <c r="P208" s="1059"/>
      <c r="Q208" s="1059"/>
      <c r="R208" s="1059"/>
      <c r="S208" s="1059"/>
      <c r="T208" s="1059"/>
      <c r="U208" s="1059"/>
      <c r="V208" s="1059"/>
      <c r="W208" s="1059"/>
      <c r="X208" s="1059"/>
      <c r="Y208" s="1059"/>
      <c r="Z208" s="1059"/>
    </row>
    <row r="209" spans="1:26" ht="38.25" customHeight="1">
      <c r="A209" s="1108" t="s">
        <v>1086</v>
      </c>
      <c r="B209" s="1108">
        <v>600</v>
      </c>
      <c r="C209" s="1119">
        <v>671.3</v>
      </c>
      <c r="D209" s="1109" t="s">
        <v>1198</v>
      </c>
      <c r="E209" s="1109" t="s">
        <v>842</v>
      </c>
      <c r="F209" s="1120">
        <v>3.5999999999999996</v>
      </c>
      <c r="G209" s="1109">
        <v>546536.61098199466</v>
      </c>
      <c r="H209" s="1131">
        <f t="shared" si="13"/>
        <v>1967531.7995351807</v>
      </c>
      <c r="I209" s="1059"/>
      <c r="J209" s="1059"/>
      <c r="K209" s="1059"/>
      <c r="L209" s="1059"/>
      <c r="M209" s="1059"/>
      <c r="N209" s="1059"/>
      <c r="O209" s="1059"/>
      <c r="P209" s="1059"/>
      <c r="Q209" s="1059"/>
      <c r="R209" s="1059"/>
      <c r="S209" s="1059"/>
      <c r="T209" s="1059"/>
      <c r="U209" s="1059"/>
      <c r="V209" s="1059"/>
      <c r="W209" s="1059"/>
      <c r="X209" s="1059"/>
      <c r="Y209" s="1059"/>
      <c r="Z209" s="1059"/>
    </row>
    <row r="210" spans="1:26" ht="38.25" customHeight="1">
      <c r="A210" s="1119" t="s">
        <v>1063</v>
      </c>
      <c r="B210" s="1108">
        <v>900</v>
      </c>
      <c r="C210" s="1119">
        <v>900.3</v>
      </c>
      <c r="D210" s="1109" t="s">
        <v>1207</v>
      </c>
      <c r="E210" s="1109" t="s">
        <v>1340</v>
      </c>
      <c r="F210" s="1120">
        <v>1200</v>
      </c>
      <c r="G210" s="1109">
        <v>1171.969696969697</v>
      </c>
      <c r="H210" s="1131">
        <f t="shared" si="13"/>
        <v>1406363.6363636365</v>
      </c>
      <c r="I210" s="1059"/>
      <c r="J210" s="1059"/>
      <c r="K210" s="1059"/>
      <c r="L210" s="1059"/>
      <c r="M210" s="1059"/>
      <c r="N210" s="1059"/>
      <c r="O210" s="1059"/>
      <c r="P210" s="1059"/>
      <c r="Q210" s="1059"/>
      <c r="R210" s="1059"/>
      <c r="S210" s="1059"/>
      <c r="T210" s="1059"/>
      <c r="U210" s="1059"/>
      <c r="V210" s="1059"/>
      <c r="W210" s="1059"/>
      <c r="X210" s="1059"/>
      <c r="Y210" s="1059"/>
      <c r="Z210" s="1059"/>
    </row>
    <row r="211" spans="1:26" ht="12.75" customHeight="1">
      <c r="A211" s="1014"/>
      <c r="B211" s="1014"/>
      <c r="C211" s="1014"/>
      <c r="D211" s="1059"/>
      <c r="E211" s="1059"/>
      <c r="F211" s="2054" t="s">
        <v>176</v>
      </c>
      <c r="G211" s="2055"/>
      <c r="H211" s="1099">
        <f>+SUM(H204:H210)</f>
        <v>41717657.38576822</v>
      </c>
      <c r="I211" s="1059"/>
      <c r="J211" s="1059"/>
      <c r="K211" s="1059"/>
      <c r="L211" s="1059"/>
      <c r="M211" s="1059"/>
      <c r="N211" s="1059"/>
      <c r="O211" s="1059"/>
      <c r="P211" s="1059"/>
      <c r="Q211" s="1059"/>
      <c r="R211" s="1059"/>
      <c r="S211" s="1059"/>
      <c r="T211" s="1059"/>
      <c r="U211" s="1059"/>
      <c r="V211" s="1059"/>
      <c r="W211" s="1059"/>
      <c r="X211" s="1059"/>
      <c r="Y211" s="1059"/>
      <c r="Z211" s="1059"/>
    </row>
    <row r="212" spans="1:26" ht="12.75" customHeight="1">
      <c r="A212" s="1014"/>
      <c r="B212" s="1014"/>
      <c r="C212" s="1014"/>
      <c r="D212" s="1059"/>
      <c r="E212" s="1059"/>
      <c r="F212" s="2050" t="s">
        <v>1044</v>
      </c>
      <c r="G212" s="2049"/>
      <c r="H212" s="1099">
        <f>++((H211/1.31)*(0.05))*0.19</f>
        <v>302532.62989679247</v>
      </c>
      <c r="I212" s="1059"/>
      <c r="J212" s="1059"/>
      <c r="K212" s="1059"/>
      <c r="L212" s="1059"/>
      <c r="M212" s="1059"/>
      <c r="N212" s="1059"/>
      <c r="O212" s="1059"/>
      <c r="P212" s="1059"/>
      <c r="Q212" s="1059"/>
      <c r="R212" s="1059"/>
      <c r="S212" s="1059"/>
      <c r="T212" s="1059"/>
      <c r="U212" s="1059"/>
      <c r="V212" s="1059"/>
      <c r="W212" s="1059"/>
      <c r="X212" s="1059"/>
      <c r="Y212" s="1059"/>
      <c r="Z212" s="1059"/>
    </row>
    <row r="213" spans="1:26" ht="12.75" customHeight="1">
      <c r="A213" s="1059"/>
      <c r="B213" s="1059"/>
      <c r="C213" s="1059"/>
      <c r="D213" s="1059"/>
      <c r="E213" s="1059"/>
      <c r="F213" s="2050" t="s">
        <v>177</v>
      </c>
      <c r="G213" s="2049"/>
      <c r="H213" s="1099">
        <f>+SUM(H211:H212)</f>
        <v>42020190.01566501</v>
      </c>
      <c r="I213" s="1059"/>
      <c r="J213" s="1059"/>
      <c r="K213" s="1059"/>
      <c r="L213" s="1059"/>
      <c r="M213" s="1059"/>
      <c r="N213" s="1059"/>
      <c r="O213" s="1059"/>
      <c r="P213" s="1059"/>
      <c r="Q213" s="1059"/>
      <c r="R213" s="1059"/>
      <c r="S213" s="1059"/>
      <c r="T213" s="1059"/>
      <c r="U213" s="1059"/>
      <c r="V213" s="1059"/>
      <c r="W213" s="1059"/>
      <c r="X213" s="1059"/>
      <c r="Y213" s="1059"/>
      <c r="Z213" s="1059"/>
    </row>
    <row r="214" spans="1:26" ht="12.75" customHeight="1">
      <c r="A214" s="1059"/>
      <c r="B214" s="1059"/>
      <c r="C214" s="1059"/>
      <c r="D214" s="1059"/>
      <c r="E214" s="1059"/>
      <c r="F214" s="1061"/>
      <c r="G214" s="1061"/>
      <c r="H214" s="1497"/>
      <c r="I214" s="1059"/>
      <c r="J214" s="1059"/>
      <c r="K214" s="1059"/>
      <c r="L214" s="1059"/>
      <c r="M214" s="1059"/>
      <c r="N214" s="1059"/>
      <c r="O214" s="1059"/>
      <c r="P214" s="1059"/>
      <c r="Q214" s="1059"/>
      <c r="R214" s="1059"/>
      <c r="S214" s="1059"/>
      <c r="T214" s="1059"/>
      <c r="U214" s="1059"/>
      <c r="V214" s="1059"/>
      <c r="W214" s="1059"/>
      <c r="X214" s="1059"/>
      <c r="Y214" s="1059"/>
      <c r="Z214" s="1059"/>
    </row>
    <row r="215" spans="1:26" ht="24.75" customHeight="1">
      <c r="A215" s="2078" t="s">
        <v>1211</v>
      </c>
      <c r="B215" s="2052"/>
      <c r="C215" s="2052"/>
      <c r="D215" s="2052"/>
      <c r="E215" s="2052"/>
      <c r="F215" s="2052"/>
      <c r="G215" s="2052"/>
      <c r="H215" s="2053"/>
      <c r="I215" s="1059"/>
      <c r="J215" s="1059"/>
      <c r="K215" s="1059"/>
      <c r="L215" s="1059"/>
      <c r="M215" s="1059"/>
      <c r="N215" s="1059"/>
      <c r="O215" s="1059"/>
      <c r="P215" s="1059"/>
      <c r="Q215" s="1059"/>
      <c r="R215" s="1059"/>
      <c r="S215" s="1059"/>
      <c r="T215" s="1059"/>
      <c r="U215" s="1059"/>
      <c r="V215" s="1059"/>
      <c r="W215" s="1059"/>
      <c r="X215" s="1059"/>
      <c r="Y215" s="1059"/>
      <c r="Z215" s="1059"/>
    </row>
    <row r="216" spans="1:26" ht="24.75" customHeight="1">
      <c r="A216" s="1132"/>
      <c r="B216" s="1132"/>
      <c r="C216" s="1133"/>
      <c r="D216" s="1134" t="s">
        <v>1212</v>
      </c>
      <c r="E216" s="1132"/>
      <c r="F216" s="1132"/>
      <c r="G216" s="1132"/>
      <c r="H216" s="1135"/>
      <c r="I216" s="1059"/>
      <c r="J216" s="1059"/>
      <c r="K216" s="1059"/>
      <c r="L216" s="1059"/>
      <c r="M216" s="1059"/>
      <c r="N216" s="1059"/>
      <c r="O216" s="1059"/>
      <c r="P216" s="1059"/>
      <c r="Q216" s="1059"/>
      <c r="R216" s="1059"/>
      <c r="S216" s="1059"/>
      <c r="T216" s="1059"/>
      <c r="U216" s="1059"/>
      <c r="V216" s="1059"/>
      <c r="W216" s="1059"/>
      <c r="X216" s="1059"/>
      <c r="Y216" s="1059"/>
      <c r="Z216" s="1059"/>
    </row>
    <row r="217" spans="1:26" ht="24.75" customHeight="1">
      <c r="A217" s="1069"/>
      <c r="B217" s="1069"/>
      <c r="C217" s="1083"/>
      <c r="D217" s="1072" t="s">
        <v>1213</v>
      </c>
      <c r="E217" s="1050" t="s">
        <v>673</v>
      </c>
      <c r="F217" s="1110">
        <v>1004</v>
      </c>
      <c r="G217" s="1136">
        <v>8215.01</v>
      </c>
      <c r="H217" s="1136">
        <f>+F217*G217</f>
        <v>8247870.04</v>
      </c>
      <c r="I217" s="1059"/>
      <c r="J217" s="1059"/>
      <c r="K217" s="1059"/>
      <c r="L217" s="1059"/>
      <c r="M217" s="1059"/>
      <c r="N217" s="1059"/>
      <c r="O217" s="1059"/>
      <c r="P217" s="1059"/>
      <c r="Q217" s="1059"/>
      <c r="R217" s="1059"/>
      <c r="S217" s="1059"/>
      <c r="T217" s="1059"/>
      <c r="U217" s="1059"/>
      <c r="V217" s="1059"/>
      <c r="W217" s="1059"/>
      <c r="X217" s="1059"/>
      <c r="Y217" s="1059"/>
      <c r="Z217" s="1059"/>
    </row>
    <row r="218" spans="1:26" ht="24.75" customHeight="1">
      <c r="A218" s="1132"/>
      <c r="B218" s="1132"/>
      <c r="C218" s="1133"/>
      <c r="D218" s="1134" t="s">
        <v>1214</v>
      </c>
      <c r="E218" s="1132"/>
      <c r="F218" s="1137"/>
      <c r="G218" s="1138"/>
      <c r="H218" s="1139"/>
      <c r="I218" s="1059"/>
      <c r="J218" s="1059"/>
      <c r="K218" s="1059"/>
      <c r="L218" s="1059"/>
      <c r="M218" s="1059"/>
      <c r="N218" s="1059"/>
      <c r="O218" s="1059"/>
      <c r="P218" s="1059"/>
      <c r="Q218" s="1059"/>
      <c r="R218" s="1059"/>
      <c r="S218" s="1059"/>
      <c r="T218" s="1059"/>
      <c r="U218" s="1059"/>
      <c r="V218" s="1059"/>
      <c r="W218" s="1059"/>
      <c r="X218" s="1059"/>
      <c r="Y218" s="1059"/>
      <c r="Z218" s="1059"/>
    </row>
    <row r="219" spans="1:26" ht="24.75" customHeight="1">
      <c r="A219" s="1140"/>
      <c r="B219" s="1140"/>
      <c r="C219" s="1140"/>
      <c r="D219" s="1072" t="s">
        <v>1215</v>
      </c>
      <c r="E219" s="1050" t="s">
        <v>842</v>
      </c>
      <c r="F219" s="1110">
        <v>558.25</v>
      </c>
      <c r="G219" s="1136">
        <v>28180.720000000001</v>
      </c>
      <c r="H219" s="1136">
        <f t="shared" ref="H219:H224" si="14">+F219*G219</f>
        <v>15731886.940000001</v>
      </c>
      <c r="I219" s="1059"/>
      <c r="J219" s="1059"/>
      <c r="K219" s="1059"/>
      <c r="L219" s="1059"/>
      <c r="M219" s="1059"/>
      <c r="N219" s="1059"/>
      <c r="O219" s="1059"/>
      <c r="P219" s="1059"/>
      <c r="Q219" s="1059"/>
      <c r="R219" s="1059"/>
      <c r="S219" s="1059"/>
      <c r="T219" s="1059"/>
      <c r="U219" s="1059"/>
      <c r="V219" s="1059"/>
      <c r="W219" s="1059"/>
      <c r="X219" s="1059"/>
      <c r="Y219" s="1059"/>
      <c r="Z219" s="1059"/>
    </row>
    <row r="220" spans="1:26" ht="24.75" customHeight="1">
      <c r="A220" s="1140"/>
      <c r="B220" s="1140"/>
      <c r="C220" s="1140"/>
      <c r="D220" s="1072" t="s">
        <v>1216</v>
      </c>
      <c r="E220" s="1050" t="s">
        <v>842</v>
      </c>
      <c r="F220" s="1110">
        <v>470</v>
      </c>
      <c r="G220" s="1136">
        <v>56623.44</v>
      </c>
      <c r="H220" s="1136">
        <f t="shared" si="14"/>
        <v>26613016.800000001</v>
      </c>
      <c r="I220" s="1059"/>
      <c r="J220" s="1059"/>
      <c r="K220" s="1059"/>
      <c r="L220" s="1059"/>
      <c r="M220" s="1059"/>
      <c r="N220" s="1059"/>
      <c r="O220" s="1059"/>
      <c r="P220" s="1059"/>
      <c r="Q220" s="1059"/>
      <c r="R220" s="1059"/>
      <c r="S220" s="1059"/>
      <c r="T220" s="1059"/>
      <c r="U220" s="1059"/>
      <c r="V220" s="1059"/>
      <c r="W220" s="1059"/>
      <c r="X220" s="1059"/>
      <c r="Y220" s="1059"/>
      <c r="Z220" s="1059"/>
    </row>
    <row r="221" spans="1:26" ht="24.75" customHeight="1">
      <c r="A221" s="1140"/>
      <c r="B221" s="1140"/>
      <c r="C221" s="1140"/>
      <c r="D221" s="1075" t="s">
        <v>1217</v>
      </c>
      <c r="E221" s="1050" t="s">
        <v>842</v>
      </c>
      <c r="F221" s="1110">
        <v>210</v>
      </c>
      <c r="G221" s="1136">
        <v>27736.63</v>
      </c>
      <c r="H221" s="1136">
        <f t="shared" si="14"/>
        <v>5824692.2999999998</v>
      </c>
      <c r="I221" s="1059"/>
      <c r="J221" s="1059"/>
      <c r="K221" s="1059"/>
      <c r="L221" s="1059"/>
      <c r="M221" s="1059"/>
      <c r="N221" s="1059"/>
      <c r="O221" s="1059"/>
      <c r="P221" s="1059"/>
      <c r="Q221" s="1059"/>
      <c r="R221" s="1059"/>
      <c r="S221" s="1059"/>
      <c r="T221" s="1059"/>
      <c r="U221" s="1059"/>
      <c r="V221" s="1059"/>
      <c r="W221" s="1059"/>
      <c r="X221" s="1059"/>
      <c r="Y221" s="1059"/>
      <c r="Z221" s="1059"/>
    </row>
    <row r="222" spans="1:26" ht="24.75" customHeight="1">
      <c r="A222" s="1140"/>
      <c r="B222" s="1140"/>
      <c r="C222" s="1140"/>
      <c r="D222" s="1072" t="s">
        <v>1218</v>
      </c>
      <c r="E222" s="1050" t="s">
        <v>842</v>
      </c>
      <c r="F222" s="1110">
        <v>140</v>
      </c>
      <c r="G222" s="1136">
        <v>96933.45</v>
      </c>
      <c r="H222" s="1136">
        <f t="shared" si="14"/>
        <v>13570683</v>
      </c>
      <c r="I222" s="1059"/>
      <c r="J222" s="1059"/>
      <c r="K222" s="1059"/>
      <c r="L222" s="1059"/>
      <c r="M222" s="1059"/>
      <c r="N222" s="1059"/>
      <c r="O222" s="1059"/>
      <c r="P222" s="1059"/>
      <c r="Q222" s="1059"/>
      <c r="R222" s="1059"/>
      <c r="S222" s="1059"/>
      <c r="T222" s="1059"/>
      <c r="U222" s="1059"/>
      <c r="V222" s="1059"/>
      <c r="W222" s="1059"/>
      <c r="X222" s="1059"/>
      <c r="Y222" s="1059"/>
      <c r="Z222" s="1059"/>
    </row>
    <row r="223" spans="1:26" ht="24.75" customHeight="1">
      <c r="A223" s="1140"/>
      <c r="B223" s="1140"/>
      <c r="C223" s="1140"/>
      <c r="D223" s="1072" t="s">
        <v>1219</v>
      </c>
      <c r="E223" s="1050" t="s">
        <v>842</v>
      </c>
      <c r="F223" s="1110">
        <v>1194.44</v>
      </c>
      <c r="G223" s="1136">
        <v>35370</v>
      </c>
      <c r="H223" s="1136">
        <f t="shared" si="14"/>
        <v>42247342.800000004</v>
      </c>
      <c r="I223" s="1059"/>
      <c r="J223" s="1059"/>
      <c r="K223" s="1059"/>
      <c r="L223" s="1059"/>
      <c r="M223" s="1059"/>
      <c r="N223" s="1059"/>
      <c r="O223" s="1059"/>
      <c r="P223" s="1059"/>
      <c r="Q223" s="1059"/>
      <c r="R223" s="1059"/>
      <c r="S223" s="1059"/>
      <c r="T223" s="1059"/>
      <c r="U223" s="1059"/>
      <c r="V223" s="1059"/>
      <c r="W223" s="1059"/>
      <c r="X223" s="1059"/>
      <c r="Y223" s="1059"/>
      <c r="Z223" s="1059"/>
    </row>
    <row r="224" spans="1:26" ht="24.75" customHeight="1">
      <c r="A224" s="1140"/>
      <c r="B224" s="1140"/>
      <c r="C224" s="1140"/>
      <c r="D224" s="1072" t="s">
        <v>1220</v>
      </c>
      <c r="E224" s="1050" t="s">
        <v>842</v>
      </c>
      <c r="F224" s="1110">
        <v>298.89999999999998</v>
      </c>
      <c r="G224" s="1136">
        <v>160534</v>
      </c>
      <c r="H224" s="1136">
        <f t="shared" si="14"/>
        <v>47983612.599999994</v>
      </c>
      <c r="I224" s="1059"/>
      <c r="J224" s="1059"/>
      <c r="K224" s="1059"/>
      <c r="L224" s="1059"/>
      <c r="M224" s="1059"/>
      <c r="N224" s="1059"/>
      <c r="O224" s="1059"/>
      <c r="P224" s="1059"/>
      <c r="Q224" s="1059"/>
      <c r="R224" s="1059"/>
      <c r="S224" s="1059"/>
      <c r="T224" s="1059"/>
      <c r="U224" s="1059"/>
      <c r="V224" s="1059"/>
      <c r="W224" s="1059"/>
      <c r="X224" s="1059"/>
      <c r="Y224" s="1059"/>
      <c r="Z224" s="1059"/>
    </row>
    <row r="225" spans="1:26" ht="24.75" customHeight="1">
      <c r="A225" s="1132"/>
      <c r="B225" s="1132"/>
      <c r="C225" s="1133"/>
      <c r="D225" s="1134" t="s">
        <v>1221</v>
      </c>
      <c r="E225" s="1132"/>
      <c r="F225" s="1137"/>
      <c r="G225" s="1138"/>
      <c r="H225" s="1139"/>
      <c r="I225" s="1059"/>
      <c r="J225" s="1059"/>
      <c r="K225" s="1059"/>
      <c r="L225" s="1059"/>
      <c r="M225" s="1059"/>
      <c r="N225" s="1059"/>
      <c r="O225" s="1059"/>
      <c r="P225" s="1059"/>
      <c r="Q225" s="1059"/>
      <c r="R225" s="1059"/>
      <c r="S225" s="1059"/>
      <c r="T225" s="1059"/>
      <c r="U225" s="1059"/>
      <c r="V225" s="1059"/>
      <c r="W225" s="1059"/>
      <c r="X225" s="1059"/>
      <c r="Y225" s="1059"/>
      <c r="Z225" s="1059"/>
    </row>
    <row r="226" spans="1:26" ht="24.75" customHeight="1">
      <c r="A226" s="1140"/>
      <c r="B226" s="1140"/>
      <c r="C226" s="1140"/>
      <c r="D226" s="1072" t="s">
        <v>1222</v>
      </c>
      <c r="E226" s="1050" t="s">
        <v>677</v>
      </c>
      <c r="F226" s="1110">
        <v>25</v>
      </c>
      <c r="G226" s="1136">
        <v>2720159.98</v>
      </c>
      <c r="H226" s="1136">
        <f t="shared" ref="H226:H230" si="15">+F226*G226</f>
        <v>68003999.5</v>
      </c>
      <c r="I226" s="1059"/>
      <c r="J226" s="1059"/>
      <c r="K226" s="1059"/>
      <c r="L226" s="1059"/>
      <c r="M226" s="1059"/>
      <c r="N226" s="1059"/>
      <c r="O226" s="1059"/>
      <c r="P226" s="1059"/>
      <c r="Q226" s="1059"/>
      <c r="R226" s="1059"/>
      <c r="S226" s="1059"/>
      <c r="T226" s="1059"/>
      <c r="U226" s="1059"/>
      <c r="V226" s="1059"/>
      <c r="W226" s="1059"/>
      <c r="X226" s="1059"/>
      <c r="Y226" s="1059"/>
      <c r="Z226" s="1059"/>
    </row>
    <row r="227" spans="1:26" ht="24.75" customHeight="1">
      <c r="A227" s="1140"/>
      <c r="B227" s="1140"/>
      <c r="C227" s="1140"/>
      <c r="D227" s="1072" t="s">
        <v>1223</v>
      </c>
      <c r="E227" s="1050" t="s">
        <v>842</v>
      </c>
      <c r="F227" s="1110">
        <v>698.7</v>
      </c>
      <c r="G227" s="1136">
        <v>839863.27</v>
      </c>
      <c r="H227" s="1136">
        <f t="shared" si="15"/>
        <v>586812466.74900007</v>
      </c>
      <c r="I227" s="1059"/>
      <c r="J227" s="1059"/>
      <c r="K227" s="1059"/>
      <c r="L227" s="1059"/>
      <c r="M227" s="1059"/>
      <c r="N227" s="1059"/>
      <c r="O227" s="1059"/>
      <c r="P227" s="1059"/>
      <c r="Q227" s="1059"/>
      <c r="R227" s="1059"/>
      <c r="S227" s="1059"/>
      <c r="T227" s="1059"/>
      <c r="U227" s="1059"/>
      <c r="V227" s="1059"/>
      <c r="W227" s="1059"/>
      <c r="X227" s="1059"/>
      <c r="Y227" s="1059"/>
      <c r="Z227" s="1059"/>
    </row>
    <row r="228" spans="1:26" ht="24.75" customHeight="1">
      <c r="A228" s="1140"/>
      <c r="B228" s="1140"/>
      <c r="C228" s="1140"/>
      <c r="D228" s="1072" t="s">
        <v>1224</v>
      </c>
      <c r="E228" s="1050" t="s">
        <v>842</v>
      </c>
      <c r="F228" s="1110">
        <v>357.27</v>
      </c>
      <c r="G228" s="1136">
        <v>860562.58000000007</v>
      </c>
      <c r="H228" s="1136">
        <f t="shared" si="15"/>
        <v>307453192.95660001</v>
      </c>
      <c r="I228" s="1059"/>
      <c r="J228" s="1059"/>
      <c r="K228" s="1059"/>
      <c r="L228" s="1059"/>
      <c r="M228" s="1059"/>
      <c r="N228" s="1059"/>
      <c r="O228" s="1059"/>
      <c r="P228" s="1059"/>
      <c r="Q228" s="1059"/>
      <c r="R228" s="1059"/>
      <c r="S228" s="1059"/>
      <c r="T228" s="1059"/>
      <c r="U228" s="1059"/>
      <c r="V228" s="1059"/>
      <c r="W228" s="1059"/>
      <c r="X228" s="1059"/>
      <c r="Y228" s="1059"/>
      <c r="Z228" s="1059"/>
    </row>
    <row r="229" spans="1:26" ht="24.75" customHeight="1">
      <c r="A229" s="1140"/>
      <c r="B229" s="1140"/>
      <c r="C229" s="1140"/>
      <c r="D229" s="1072" t="s">
        <v>1225</v>
      </c>
      <c r="E229" s="1050" t="s">
        <v>1195</v>
      </c>
      <c r="F229" s="1110">
        <v>140450.68</v>
      </c>
      <c r="G229" s="1136">
        <v>4618</v>
      </c>
      <c r="H229" s="1136">
        <f t="shared" si="15"/>
        <v>648601240.24000001</v>
      </c>
      <c r="I229" s="1059"/>
      <c r="J229" s="1059"/>
      <c r="K229" s="1059"/>
      <c r="L229" s="1059"/>
      <c r="M229" s="1059"/>
      <c r="N229" s="1059"/>
      <c r="O229" s="1059"/>
      <c r="P229" s="1059"/>
      <c r="Q229" s="1059"/>
      <c r="R229" s="1059"/>
      <c r="S229" s="1059"/>
      <c r="T229" s="1059"/>
      <c r="U229" s="1059"/>
      <c r="V229" s="1059"/>
      <c r="W229" s="1059"/>
      <c r="X229" s="1059"/>
      <c r="Y229" s="1059"/>
      <c r="Z229" s="1059"/>
    </row>
    <row r="230" spans="1:26" ht="24.75" customHeight="1">
      <c r="A230" s="1140"/>
      <c r="B230" s="1140"/>
      <c r="C230" s="1140"/>
      <c r="D230" s="1072" t="s">
        <v>1226</v>
      </c>
      <c r="E230" s="1050" t="s">
        <v>842</v>
      </c>
      <c r="F230" s="1110">
        <v>195</v>
      </c>
      <c r="G230" s="1136">
        <v>245503</v>
      </c>
      <c r="H230" s="1136">
        <f t="shared" si="15"/>
        <v>47873085</v>
      </c>
      <c r="I230" s="1059"/>
      <c r="J230" s="1059"/>
      <c r="K230" s="1059"/>
      <c r="L230" s="1059"/>
      <c r="M230" s="1059"/>
      <c r="N230" s="1059"/>
      <c r="O230" s="1059"/>
      <c r="P230" s="1059"/>
      <c r="Q230" s="1059"/>
      <c r="R230" s="1059"/>
      <c r="S230" s="1059"/>
      <c r="T230" s="1059"/>
      <c r="U230" s="1059"/>
      <c r="V230" s="1059"/>
      <c r="W230" s="1059"/>
      <c r="X230" s="1059"/>
      <c r="Y230" s="1059"/>
      <c r="Z230" s="1059"/>
    </row>
    <row r="231" spans="1:26" ht="24.75" customHeight="1">
      <c r="A231" s="1132"/>
      <c r="B231" s="1132"/>
      <c r="C231" s="1133"/>
      <c r="D231" s="1134" t="s">
        <v>1227</v>
      </c>
      <c r="E231" s="1132"/>
      <c r="F231" s="1137"/>
      <c r="G231" s="1138"/>
      <c r="H231" s="1139"/>
      <c r="I231" s="1059"/>
      <c r="J231" s="1059"/>
      <c r="K231" s="1059"/>
      <c r="L231" s="1059"/>
      <c r="M231" s="1059"/>
      <c r="N231" s="1059"/>
      <c r="O231" s="1059"/>
      <c r="P231" s="1059"/>
      <c r="Q231" s="1059"/>
      <c r="R231" s="1059"/>
      <c r="S231" s="1059"/>
      <c r="T231" s="1059"/>
      <c r="U231" s="1059"/>
      <c r="V231" s="1059"/>
      <c r="W231" s="1059"/>
      <c r="X231" s="1059"/>
      <c r="Y231" s="1059"/>
      <c r="Z231" s="1059"/>
    </row>
    <row r="232" spans="1:26" ht="24.75" customHeight="1">
      <c r="A232" s="1140"/>
      <c r="B232" s="1140"/>
      <c r="C232" s="1140"/>
      <c r="D232" s="1072" t="s">
        <v>1228</v>
      </c>
      <c r="E232" s="1050" t="s">
        <v>1229</v>
      </c>
      <c r="F232" s="1110">
        <v>9928.4599999999991</v>
      </c>
      <c r="G232" s="1136">
        <v>19593.670000000002</v>
      </c>
      <c r="H232" s="1136">
        <f t="shared" ref="H232:H245" si="16">+F232*G232</f>
        <v>194534968.84819999</v>
      </c>
      <c r="I232" s="1059"/>
      <c r="J232" s="1059"/>
      <c r="K232" s="1059"/>
      <c r="L232" s="1059"/>
      <c r="M232" s="1059"/>
      <c r="N232" s="1059"/>
      <c r="O232" s="1059"/>
      <c r="P232" s="1059"/>
      <c r="Q232" s="1059"/>
      <c r="R232" s="1059"/>
      <c r="S232" s="1059"/>
      <c r="T232" s="1059"/>
      <c r="U232" s="1059"/>
      <c r="V232" s="1059"/>
      <c r="W232" s="1059"/>
      <c r="X232" s="1059"/>
      <c r="Y232" s="1059"/>
      <c r="Z232" s="1059"/>
    </row>
    <row r="233" spans="1:26" ht="24.75" customHeight="1">
      <c r="A233" s="1140"/>
      <c r="B233" s="1140"/>
      <c r="C233" s="1140"/>
      <c r="D233" s="1072" t="s">
        <v>1230</v>
      </c>
      <c r="E233" s="1050" t="s">
        <v>1229</v>
      </c>
      <c r="F233" s="1110">
        <v>6285.78</v>
      </c>
      <c r="G233" s="1136">
        <v>19593.670000000002</v>
      </c>
      <c r="H233" s="1136">
        <f t="shared" si="16"/>
        <v>123161499.0126</v>
      </c>
      <c r="I233" s="1059"/>
      <c r="J233" s="1059"/>
      <c r="K233" s="1059"/>
      <c r="L233" s="1059"/>
      <c r="M233" s="1059"/>
      <c r="N233" s="1059"/>
      <c r="O233" s="1059"/>
      <c r="P233" s="1059"/>
      <c r="Q233" s="1059"/>
      <c r="R233" s="1059"/>
      <c r="S233" s="1059"/>
      <c r="T233" s="1059"/>
      <c r="U233" s="1059"/>
      <c r="V233" s="1059"/>
      <c r="W233" s="1059"/>
      <c r="X233" s="1059"/>
      <c r="Y233" s="1059"/>
      <c r="Z233" s="1059"/>
    </row>
    <row r="234" spans="1:26" ht="24.75" customHeight="1">
      <c r="A234" s="1140"/>
      <c r="B234" s="1140"/>
      <c r="C234" s="1140"/>
      <c r="D234" s="1072" t="s">
        <v>1231</v>
      </c>
      <c r="E234" s="1050" t="s">
        <v>1229</v>
      </c>
      <c r="F234" s="1110">
        <v>24213.22</v>
      </c>
      <c r="G234" s="1136">
        <v>19593.670000000002</v>
      </c>
      <c r="H234" s="1136">
        <f t="shared" si="16"/>
        <v>474425842.3174001</v>
      </c>
      <c r="I234" s="1059"/>
      <c r="J234" s="1059"/>
      <c r="K234" s="1059"/>
      <c r="L234" s="1059"/>
      <c r="M234" s="1059"/>
      <c r="N234" s="1059"/>
      <c r="O234" s="1059"/>
      <c r="P234" s="1059"/>
      <c r="Q234" s="1059"/>
      <c r="R234" s="1059"/>
      <c r="S234" s="1059"/>
      <c r="T234" s="1059"/>
      <c r="U234" s="1059"/>
      <c r="V234" s="1059"/>
      <c r="W234" s="1059"/>
      <c r="X234" s="1059"/>
      <c r="Y234" s="1059"/>
      <c r="Z234" s="1059"/>
    </row>
    <row r="235" spans="1:26" ht="24.75" customHeight="1">
      <c r="A235" s="1140"/>
      <c r="B235" s="1140"/>
      <c r="C235" s="1140"/>
      <c r="D235" s="1072" t="s">
        <v>1232</v>
      </c>
      <c r="E235" s="1050" t="s">
        <v>1229</v>
      </c>
      <c r="F235" s="1110">
        <v>25523.22</v>
      </c>
      <c r="G235" s="1136">
        <v>19593.670000000002</v>
      </c>
      <c r="H235" s="1136">
        <f t="shared" si="16"/>
        <v>500093550.01740009</v>
      </c>
      <c r="I235" s="1059"/>
      <c r="J235" s="1059"/>
      <c r="K235" s="1059"/>
      <c r="L235" s="1059"/>
      <c r="M235" s="1059"/>
      <c r="N235" s="1059"/>
      <c r="O235" s="1059"/>
      <c r="P235" s="1059"/>
      <c r="Q235" s="1059"/>
      <c r="R235" s="1059"/>
      <c r="S235" s="1059"/>
      <c r="T235" s="1059"/>
      <c r="U235" s="1059"/>
      <c r="V235" s="1059"/>
      <c r="W235" s="1059"/>
      <c r="X235" s="1059"/>
      <c r="Y235" s="1059"/>
      <c r="Z235" s="1059"/>
    </row>
    <row r="236" spans="1:26" ht="24.75" customHeight="1">
      <c r="A236" s="1140"/>
      <c r="B236" s="1140"/>
      <c r="C236" s="1140"/>
      <c r="D236" s="1072" t="s">
        <v>1233</v>
      </c>
      <c r="E236" s="1050" t="s">
        <v>1229</v>
      </c>
      <c r="F236" s="1110">
        <v>7642.37</v>
      </c>
      <c r="G236" s="1136">
        <v>19593.670000000002</v>
      </c>
      <c r="H236" s="1136">
        <f t="shared" si="16"/>
        <v>149742075.79790002</v>
      </c>
      <c r="I236" s="1059"/>
      <c r="J236" s="1059"/>
      <c r="K236" s="1059"/>
      <c r="L236" s="1059"/>
      <c r="M236" s="1059"/>
      <c r="N236" s="1059"/>
      <c r="O236" s="1059"/>
      <c r="P236" s="1059"/>
      <c r="Q236" s="1059"/>
      <c r="R236" s="1059"/>
      <c r="S236" s="1059"/>
      <c r="T236" s="1059"/>
      <c r="U236" s="1059"/>
      <c r="V236" s="1059"/>
      <c r="W236" s="1059"/>
      <c r="X236" s="1059"/>
      <c r="Y236" s="1059"/>
      <c r="Z236" s="1059"/>
    </row>
    <row r="237" spans="1:26" ht="24.75" customHeight="1">
      <c r="A237" s="1140"/>
      <c r="B237" s="1140"/>
      <c r="C237" s="1140"/>
      <c r="D237" s="1072" t="s">
        <v>1234</v>
      </c>
      <c r="E237" s="1050" t="s">
        <v>1229</v>
      </c>
      <c r="F237" s="1110">
        <v>2836.68</v>
      </c>
      <c r="G237" s="1136">
        <v>19593.670000000002</v>
      </c>
      <c r="H237" s="1136">
        <f t="shared" si="16"/>
        <v>55580971.8156</v>
      </c>
      <c r="I237" s="1059"/>
      <c r="J237" s="1059"/>
      <c r="K237" s="1059"/>
      <c r="L237" s="1059"/>
      <c r="M237" s="1059"/>
      <c r="N237" s="1059"/>
      <c r="O237" s="1059"/>
      <c r="P237" s="1059"/>
      <c r="Q237" s="1059"/>
      <c r="R237" s="1059"/>
      <c r="S237" s="1059"/>
      <c r="T237" s="1059"/>
      <c r="U237" s="1059"/>
      <c r="V237" s="1059"/>
      <c r="W237" s="1059"/>
      <c r="X237" s="1059"/>
      <c r="Y237" s="1059"/>
      <c r="Z237" s="1059"/>
    </row>
    <row r="238" spans="1:26" ht="24.75" customHeight="1">
      <c r="A238" s="1140"/>
      <c r="B238" s="1140"/>
      <c r="C238" s="1140"/>
      <c r="D238" s="1072" t="s">
        <v>1235</v>
      </c>
      <c r="E238" s="1050" t="s">
        <v>1229</v>
      </c>
      <c r="F238" s="1110">
        <v>18288.39</v>
      </c>
      <c r="G238" s="1136">
        <v>19593.670000000002</v>
      </c>
      <c r="H238" s="1136">
        <f t="shared" si="16"/>
        <v>358336678.49130005</v>
      </c>
      <c r="I238" s="1059"/>
      <c r="J238" s="1059"/>
      <c r="K238" s="1059"/>
      <c r="L238" s="1059"/>
      <c r="M238" s="1059"/>
      <c r="N238" s="1059"/>
      <c r="O238" s="1059"/>
      <c r="P238" s="1059"/>
      <c r="Q238" s="1059"/>
      <c r="R238" s="1059"/>
      <c r="S238" s="1059"/>
      <c r="T238" s="1059"/>
      <c r="U238" s="1059"/>
      <c r="V238" s="1059"/>
      <c r="W238" s="1059"/>
      <c r="X238" s="1059"/>
      <c r="Y238" s="1059"/>
      <c r="Z238" s="1059"/>
    </row>
    <row r="239" spans="1:26" ht="24.75" customHeight="1">
      <c r="A239" s="1140"/>
      <c r="B239" s="1140"/>
      <c r="C239" s="1140"/>
      <c r="D239" s="1072" t="s">
        <v>1236</v>
      </c>
      <c r="E239" s="1050" t="s">
        <v>1229</v>
      </c>
      <c r="F239" s="1110">
        <v>22542</v>
      </c>
      <c r="G239" s="1136">
        <v>19593.670000000002</v>
      </c>
      <c r="H239" s="1136">
        <f t="shared" si="16"/>
        <v>441680509.14000005</v>
      </c>
      <c r="I239" s="1059"/>
      <c r="J239" s="1059"/>
      <c r="K239" s="1059"/>
      <c r="L239" s="1059"/>
      <c r="M239" s="1059"/>
      <c r="N239" s="1059"/>
      <c r="O239" s="1059"/>
      <c r="P239" s="1059"/>
      <c r="Q239" s="1059"/>
      <c r="R239" s="1059"/>
      <c r="S239" s="1059"/>
      <c r="T239" s="1059"/>
      <c r="U239" s="1059"/>
      <c r="V239" s="1059"/>
      <c r="W239" s="1059"/>
      <c r="X239" s="1059"/>
      <c r="Y239" s="1059"/>
      <c r="Z239" s="1059"/>
    </row>
    <row r="240" spans="1:26" ht="24.75" customHeight="1">
      <c r="A240" s="1140"/>
      <c r="B240" s="1140"/>
      <c r="C240" s="1140"/>
      <c r="D240" s="1072" t="s">
        <v>1237</v>
      </c>
      <c r="E240" s="1050" t="s">
        <v>677</v>
      </c>
      <c r="F240" s="1110">
        <v>2250</v>
      </c>
      <c r="G240" s="1136">
        <v>95730.87000000001</v>
      </c>
      <c r="H240" s="1136">
        <f t="shared" si="16"/>
        <v>215394457.50000003</v>
      </c>
      <c r="I240" s="1059"/>
      <c r="J240" s="1059"/>
      <c r="K240" s="1059"/>
      <c r="L240" s="1059"/>
      <c r="M240" s="1059"/>
      <c r="N240" s="1059"/>
      <c r="O240" s="1059"/>
      <c r="P240" s="1059"/>
      <c r="Q240" s="1059"/>
      <c r="R240" s="1059"/>
      <c r="S240" s="1059"/>
      <c r="T240" s="1059"/>
      <c r="U240" s="1059"/>
      <c r="V240" s="1059"/>
      <c r="W240" s="1059"/>
      <c r="X240" s="1059"/>
      <c r="Y240" s="1059"/>
      <c r="Z240" s="1059"/>
    </row>
    <row r="241" spans="1:26" ht="24.75" customHeight="1">
      <c r="A241" s="1140"/>
      <c r="B241" s="1140"/>
      <c r="C241" s="1140"/>
      <c r="D241" s="1075" t="s">
        <v>1238</v>
      </c>
      <c r="E241" s="1050" t="s">
        <v>677</v>
      </c>
      <c r="F241" s="1110">
        <v>121</v>
      </c>
      <c r="G241" s="1136">
        <v>226730.87</v>
      </c>
      <c r="H241" s="1136">
        <f t="shared" si="16"/>
        <v>27434435.27</v>
      </c>
      <c r="I241" s="1059"/>
      <c r="J241" s="1059"/>
      <c r="K241" s="1059"/>
      <c r="L241" s="1059"/>
      <c r="M241" s="1059"/>
      <c r="N241" s="1059"/>
      <c r="O241" s="1059"/>
      <c r="P241" s="1059"/>
      <c r="Q241" s="1059"/>
      <c r="R241" s="1059"/>
      <c r="S241" s="1059"/>
      <c r="T241" s="1059"/>
      <c r="U241" s="1059"/>
      <c r="V241" s="1059"/>
      <c r="W241" s="1059"/>
      <c r="X241" s="1059"/>
      <c r="Y241" s="1059"/>
      <c r="Z241" s="1059"/>
    </row>
    <row r="242" spans="1:26" ht="24.75" customHeight="1">
      <c r="A242" s="1140"/>
      <c r="B242" s="1140"/>
      <c r="C242" s="1140"/>
      <c r="D242" s="1072" t="s">
        <v>1239</v>
      </c>
      <c r="E242" s="1050" t="s">
        <v>1229</v>
      </c>
      <c r="F242" s="1110">
        <v>1506.6</v>
      </c>
      <c r="G242" s="1136">
        <v>19593.670000000002</v>
      </c>
      <c r="H242" s="1136">
        <f t="shared" si="16"/>
        <v>29519823.222000003</v>
      </c>
      <c r="I242" s="1059"/>
      <c r="J242" s="1059"/>
      <c r="K242" s="1059"/>
      <c r="L242" s="1059"/>
      <c r="M242" s="1059"/>
      <c r="N242" s="1059"/>
      <c r="O242" s="1059"/>
      <c r="P242" s="1059"/>
      <c r="Q242" s="1059"/>
      <c r="R242" s="1059"/>
      <c r="S242" s="1059"/>
      <c r="T242" s="1059"/>
      <c r="U242" s="1059"/>
      <c r="V242" s="1059"/>
      <c r="W242" s="1059"/>
      <c r="X242" s="1059"/>
      <c r="Y242" s="1059"/>
      <c r="Z242" s="1059"/>
    </row>
    <row r="243" spans="1:26" ht="24.75" customHeight="1">
      <c r="A243" s="1140"/>
      <c r="B243" s="1140"/>
      <c r="C243" s="1140"/>
      <c r="D243" s="1072" t="s">
        <v>1240</v>
      </c>
      <c r="E243" s="1050" t="s">
        <v>1229</v>
      </c>
      <c r="F243" s="1110">
        <v>6822.95</v>
      </c>
      <c r="G243" s="1136">
        <v>19593.670000000002</v>
      </c>
      <c r="H243" s="1136">
        <f t="shared" si="16"/>
        <v>133686630.7265</v>
      </c>
      <c r="I243" s="1059"/>
      <c r="J243" s="1059"/>
      <c r="K243" s="1059"/>
      <c r="L243" s="1059"/>
      <c r="M243" s="1059"/>
      <c r="N243" s="1059"/>
      <c r="O243" s="1059"/>
      <c r="P243" s="1059"/>
      <c r="Q243" s="1059"/>
      <c r="R243" s="1059"/>
      <c r="S243" s="1059"/>
      <c r="T243" s="1059"/>
      <c r="U243" s="1059"/>
      <c r="V243" s="1059"/>
      <c r="W243" s="1059"/>
      <c r="X243" s="1059"/>
      <c r="Y243" s="1059"/>
      <c r="Z243" s="1059"/>
    </row>
    <row r="244" spans="1:26" ht="24.75" customHeight="1">
      <c r="A244" s="1140"/>
      <c r="B244" s="1140"/>
      <c r="C244" s="1140"/>
      <c r="D244" s="1141" t="s">
        <v>1241</v>
      </c>
      <c r="E244" s="1050" t="s">
        <v>1242</v>
      </c>
      <c r="F244" s="1110">
        <v>8</v>
      </c>
      <c r="G244" s="1136">
        <v>16209805.07</v>
      </c>
      <c r="H244" s="1136">
        <f t="shared" si="16"/>
        <v>129678440.56</v>
      </c>
      <c r="I244" s="1059"/>
      <c r="J244" s="1059"/>
      <c r="K244" s="1059"/>
      <c r="L244" s="1059"/>
      <c r="M244" s="1059"/>
      <c r="N244" s="1059"/>
      <c r="O244" s="1059"/>
      <c r="P244" s="1059"/>
      <c r="Q244" s="1059"/>
      <c r="R244" s="1059"/>
      <c r="S244" s="1059"/>
      <c r="T244" s="1059"/>
      <c r="U244" s="1059"/>
      <c r="V244" s="1059"/>
      <c r="W244" s="1059"/>
      <c r="X244" s="1059"/>
      <c r="Y244" s="1059"/>
      <c r="Z244" s="1059"/>
    </row>
    <row r="245" spans="1:26" ht="24.75" customHeight="1">
      <c r="A245" s="1140"/>
      <c r="B245" s="1140"/>
      <c r="C245" s="1140"/>
      <c r="D245" s="1072" t="s">
        <v>1243</v>
      </c>
      <c r="E245" s="1050" t="s">
        <v>677</v>
      </c>
      <c r="F245" s="1110">
        <v>1643</v>
      </c>
      <c r="G245" s="1136">
        <v>36873.880000000005</v>
      </c>
      <c r="H245" s="1136">
        <f t="shared" si="16"/>
        <v>60583784.840000011</v>
      </c>
      <c r="I245" s="1059"/>
      <c r="J245" s="1059"/>
      <c r="K245" s="1059"/>
      <c r="L245" s="1059"/>
      <c r="M245" s="1059"/>
      <c r="N245" s="1059"/>
      <c r="O245" s="1059"/>
      <c r="P245" s="1059"/>
      <c r="Q245" s="1059"/>
      <c r="R245" s="1059"/>
      <c r="S245" s="1059"/>
      <c r="T245" s="1059"/>
      <c r="U245" s="1059"/>
      <c r="V245" s="1059"/>
      <c r="W245" s="1059"/>
      <c r="X245" s="1059"/>
      <c r="Y245" s="1059"/>
      <c r="Z245" s="1059"/>
    </row>
    <row r="246" spans="1:26" ht="24.75" customHeight="1">
      <c r="A246" s="1132"/>
      <c r="B246" s="1132"/>
      <c r="C246" s="1133"/>
      <c r="D246" s="1134" t="s">
        <v>1244</v>
      </c>
      <c r="E246" s="1132"/>
      <c r="F246" s="1137"/>
      <c r="G246" s="1138"/>
      <c r="H246" s="1139"/>
      <c r="I246" s="1059"/>
      <c r="J246" s="1059"/>
      <c r="K246" s="1059"/>
      <c r="L246" s="1059"/>
      <c r="M246" s="1059"/>
      <c r="N246" s="1059"/>
      <c r="O246" s="1059"/>
      <c r="P246" s="1059"/>
      <c r="Q246" s="1059"/>
      <c r="R246" s="1059"/>
      <c r="S246" s="1059"/>
      <c r="T246" s="1059"/>
      <c r="U246" s="1059"/>
      <c r="V246" s="1059"/>
      <c r="W246" s="1059"/>
      <c r="X246" s="1059"/>
      <c r="Y246" s="1059"/>
      <c r="Z246" s="1059"/>
    </row>
    <row r="247" spans="1:26" ht="24.75" customHeight="1">
      <c r="A247" s="1140"/>
      <c r="B247" s="1140"/>
      <c r="C247" s="1140"/>
      <c r="D247" s="1072" t="s">
        <v>1245</v>
      </c>
      <c r="E247" s="1050" t="s">
        <v>677</v>
      </c>
      <c r="F247" s="1110">
        <v>121</v>
      </c>
      <c r="G247" s="1136">
        <v>516214.67000000004</v>
      </c>
      <c r="H247" s="1136">
        <f t="shared" ref="H247:H262" si="17">+F247*G247</f>
        <v>62461975.070000008</v>
      </c>
      <c r="I247" s="1059"/>
      <c r="J247" s="1059"/>
      <c r="K247" s="1059"/>
      <c r="L247" s="1059"/>
      <c r="M247" s="1059"/>
      <c r="N247" s="1059"/>
      <c r="O247" s="1059"/>
      <c r="P247" s="1059"/>
      <c r="Q247" s="1059"/>
      <c r="R247" s="1059"/>
      <c r="S247" s="1059"/>
      <c r="T247" s="1059"/>
      <c r="U247" s="1059"/>
      <c r="V247" s="1059"/>
      <c r="W247" s="1059"/>
      <c r="X247" s="1059"/>
      <c r="Y247" s="1059"/>
      <c r="Z247" s="1059"/>
    </row>
    <row r="248" spans="1:26" ht="24.75" customHeight="1">
      <c r="A248" s="1140"/>
      <c r="B248" s="1140"/>
      <c r="C248" s="1140"/>
      <c r="D248" s="1072" t="s">
        <v>1246</v>
      </c>
      <c r="E248" s="1050" t="s">
        <v>677</v>
      </c>
      <c r="F248" s="1110">
        <v>20</v>
      </c>
      <c r="G248" s="1136">
        <v>262381.21000000002</v>
      </c>
      <c r="H248" s="1136">
        <f t="shared" si="17"/>
        <v>5247624.2</v>
      </c>
      <c r="I248" s="1059"/>
      <c r="J248" s="1059"/>
      <c r="K248" s="1059"/>
      <c r="L248" s="1059"/>
      <c r="M248" s="1059"/>
      <c r="N248" s="1059"/>
      <c r="O248" s="1059"/>
      <c r="P248" s="1059"/>
      <c r="Q248" s="1059"/>
      <c r="R248" s="1059"/>
      <c r="S248" s="1059"/>
      <c r="T248" s="1059"/>
      <c r="U248" s="1059"/>
      <c r="V248" s="1059"/>
      <c r="W248" s="1059"/>
      <c r="X248" s="1059"/>
      <c r="Y248" s="1059"/>
      <c r="Z248" s="1059"/>
    </row>
    <row r="249" spans="1:26" ht="24.75" customHeight="1">
      <c r="A249" s="1083"/>
      <c r="B249" s="1083"/>
      <c r="C249" s="1083"/>
      <c r="D249" s="1072" t="s">
        <v>1247</v>
      </c>
      <c r="E249" s="1050" t="s">
        <v>1242</v>
      </c>
      <c r="F249" s="1110">
        <v>6</v>
      </c>
      <c r="G249" s="1136">
        <v>556750</v>
      </c>
      <c r="H249" s="1136">
        <f t="shared" si="17"/>
        <v>3340500</v>
      </c>
      <c r="I249" s="1059"/>
      <c r="J249" s="1059"/>
      <c r="K249" s="1059"/>
      <c r="L249" s="1059"/>
      <c r="M249" s="1059"/>
      <c r="N249" s="1059"/>
      <c r="O249" s="1059"/>
      <c r="P249" s="1059"/>
      <c r="Q249" s="1059"/>
      <c r="R249" s="1059"/>
      <c r="S249" s="1059"/>
      <c r="T249" s="1059"/>
      <c r="U249" s="1059"/>
      <c r="V249" s="1059"/>
      <c r="W249" s="1059"/>
      <c r="X249" s="1059"/>
      <c r="Y249" s="1059"/>
      <c r="Z249" s="1059"/>
    </row>
    <row r="250" spans="1:26" ht="24.75" customHeight="1">
      <c r="A250" s="1083"/>
      <c r="B250" s="1083"/>
      <c r="C250" s="1083"/>
      <c r="D250" s="1072" t="s">
        <v>1248</v>
      </c>
      <c r="E250" s="1050" t="s">
        <v>842</v>
      </c>
      <c r="F250" s="1110">
        <v>15</v>
      </c>
      <c r="G250" s="1136">
        <v>822871.26</v>
      </c>
      <c r="H250" s="1136">
        <f t="shared" si="17"/>
        <v>12343068.9</v>
      </c>
      <c r="I250" s="1059"/>
      <c r="J250" s="1059"/>
      <c r="K250" s="1059"/>
      <c r="L250" s="1059"/>
      <c r="M250" s="1059"/>
      <c r="N250" s="1059"/>
      <c r="O250" s="1059"/>
      <c r="P250" s="1059"/>
      <c r="Q250" s="1059"/>
      <c r="R250" s="1059"/>
      <c r="S250" s="1059"/>
      <c r="T250" s="1059"/>
      <c r="U250" s="1059"/>
      <c r="V250" s="1059"/>
      <c r="W250" s="1059"/>
      <c r="X250" s="1059"/>
      <c r="Y250" s="1059"/>
      <c r="Z250" s="1059"/>
    </row>
    <row r="251" spans="1:26" ht="24.75" customHeight="1">
      <c r="A251" s="1083"/>
      <c r="B251" s="1083"/>
      <c r="C251" s="1083"/>
      <c r="D251" s="1072" t="s">
        <v>1249</v>
      </c>
      <c r="E251" s="1050" t="s">
        <v>842</v>
      </c>
      <c r="F251" s="1110">
        <f>18+45</f>
        <v>63</v>
      </c>
      <c r="G251" s="1136">
        <v>741742.96000000008</v>
      </c>
      <c r="H251" s="1136">
        <f t="shared" si="17"/>
        <v>46729806.480000004</v>
      </c>
      <c r="I251" s="1059"/>
      <c r="J251" s="1059"/>
      <c r="K251" s="1059"/>
      <c r="L251" s="1059"/>
      <c r="M251" s="1059"/>
      <c r="N251" s="1059"/>
      <c r="O251" s="1059"/>
      <c r="P251" s="1059"/>
      <c r="Q251" s="1059"/>
      <c r="R251" s="1059"/>
      <c r="S251" s="1059"/>
      <c r="T251" s="1059"/>
      <c r="U251" s="1059"/>
      <c r="V251" s="1059"/>
      <c r="W251" s="1059"/>
      <c r="X251" s="1059"/>
      <c r="Y251" s="1059"/>
      <c r="Z251" s="1059"/>
    </row>
    <row r="252" spans="1:26" ht="24.75" customHeight="1">
      <c r="A252" s="1142"/>
      <c r="B252" s="1142"/>
      <c r="C252" s="1142"/>
      <c r="D252" s="1141" t="s">
        <v>1250</v>
      </c>
      <c r="E252" s="1050" t="s">
        <v>677</v>
      </c>
      <c r="F252" s="1110">
        <v>25</v>
      </c>
      <c r="G252" s="1136">
        <v>688167.89</v>
      </c>
      <c r="H252" s="1136">
        <f t="shared" si="17"/>
        <v>17204197.25</v>
      </c>
      <c r="I252" s="1059"/>
      <c r="J252" s="1059"/>
      <c r="K252" s="1059"/>
      <c r="L252" s="1059"/>
      <c r="M252" s="1059"/>
      <c r="N252" s="1059"/>
      <c r="O252" s="1059"/>
      <c r="P252" s="1059"/>
      <c r="Q252" s="1059"/>
      <c r="R252" s="1059"/>
      <c r="S252" s="1059"/>
      <c r="T252" s="1059"/>
      <c r="U252" s="1059"/>
      <c r="V252" s="1059"/>
      <c r="W252" s="1059"/>
      <c r="X252" s="1059"/>
      <c r="Y252" s="1059"/>
      <c r="Z252" s="1059"/>
    </row>
    <row r="253" spans="1:26" ht="24.75" customHeight="1">
      <c r="A253" s="1069"/>
      <c r="B253" s="1069"/>
      <c r="C253" s="1083"/>
      <c r="D253" s="1072" t="s">
        <v>1251</v>
      </c>
      <c r="E253" s="1050" t="s">
        <v>677</v>
      </c>
      <c r="F253" s="1110">
        <v>61</v>
      </c>
      <c r="G253" s="1136">
        <v>3000000</v>
      </c>
      <c r="H253" s="1136">
        <f t="shared" si="17"/>
        <v>183000000</v>
      </c>
      <c r="I253" s="1059"/>
      <c r="J253" s="1059"/>
      <c r="K253" s="1059"/>
      <c r="L253" s="1059"/>
      <c r="M253" s="1059"/>
      <c r="N253" s="1059"/>
      <c r="O253" s="1059"/>
      <c r="P253" s="1059"/>
      <c r="Q253" s="1059"/>
      <c r="R253" s="1059"/>
      <c r="S253" s="1059"/>
      <c r="T253" s="1059"/>
      <c r="U253" s="1059"/>
      <c r="V253" s="1059"/>
      <c r="W253" s="1059"/>
      <c r="X253" s="1059"/>
      <c r="Y253" s="1059"/>
      <c r="Z253" s="1059"/>
    </row>
    <row r="254" spans="1:26" ht="24.75" customHeight="1">
      <c r="A254" s="1069"/>
      <c r="B254" s="1069"/>
      <c r="C254" s="1083"/>
      <c r="D254" s="1072" t="s">
        <v>1252</v>
      </c>
      <c r="E254" s="1050" t="s">
        <v>1174</v>
      </c>
      <c r="F254" s="1110">
        <v>1</v>
      </c>
      <c r="G254" s="1136">
        <v>78600000</v>
      </c>
      <c r="H254" s="1136">
        <f t="shared" si="17"/>
        <v>78600000</v>
      </c>
      <c r="I254" s="1059"/>
      <c r="J254" s="1059"/>
      <c r="K254" s="1059"/>
      <c r="L254" s="1059"/>
      <c r="M254" s="1059"/>
      <c r="N254" s="1059"/>
      <c r="O254" s="1059"/>
      <c r="P254" s="1059"/>
      <c r="Q254" s="1059"/>
      <c r="R254" s="1059"/>
      <c r="S254" s="1059"/>
      <c r="T254" s="1059"/>
      <c r="U254" s="1059"/>
      <c r="V254" s="1059"/>
      <c r="W254" s="1059"/>
      <c r="X254" s="1059"/>
      <c r="Y254" s="1059"/>
      <c r="Z254" s="1059"/>
    </row>
    <row r="255" spans="1:26" ht="24.75" customHeight="1">
      <c r="A255" s="1143"/>
      <c r="B255" s="1143"/>
      <c r="C255" s="1143"/>
      <c r="D255" s="1141" t="s">
        <v>1253</v>
      </c>
      <c r="E255" s="1050" t="s">
        <v>842</v>
      </c>
      <c r="F255" s="1110">
        <f>66.09+(500*8*0.07)</f>
        <v>346.09000000000003</v>
      </c>
      <c r="G255" s="1136">
        <v>765040</v>
      </c>
      <c r="H255" s="1136">
        <f t="shared" si="17"/>
        <v>264772693.60000002</v>
      </c>
      <c r="I255" s="1059"/>
      <c r="J255" s="1059"/>
      <c r="K255" s="1059"/>
      <c r="L255" s="1059"/>
      <c r="M255" s="1059"/>
      <c r="N255" s="1059"/>
      <c r="O255" s="1059"/>
      <c r="P255" s="1059"/>
      <c r="Q255" s="1059"/>
      <c r="R255" s="1059"/>
      <c r="S255" s="1059"/>
      <c r="T255" s="1059"/>
      <c r="U255" s="1059"/>
      <c r="V255" s="1059"/>
      <c r="W255" s="1059"/>
      <c r="X255" s="1059"/>
      <c r="Y255" s="1059"/>
      <c r="Z255" s="1059"/>
    </row>
    <row r="256" spans="1:26" ht="24.75" customHeight="1">
      <c r="A256" s="1069"/>
      <c r="B256" s="1069"/>
      <c r="C256" s="1083"/>
      <c r="D256" s="1072" t="s">
        <v>1254</v>
      </c>
      <c r="E256" s="1050" t="s">
        <v>1242</v>
      </c>
      <c r="F256" s="1110">
        <v>12</v>
      </c>
      <c r="G256" s="1136">
        <v>227928.21000000002</v>
      </c>
      <c r="H256" s="1136">
        <f t="shared" si="17"/>
        <v>2735138.5200000005</v>
      </c>
      <c r="I256" s="1059"/>
      <c r="J256" s="1059"/>
      <c r="K256" s="1059"/>
      <c r="L256" s="1059"/>
      <c r="M256" s="1059"/>
      <c r="N256" s="1059"/>
      <c r="O256" s="1059"/>
      <c r="P256" s="1059"/>
      <c r="Q256" s="1059"/>
      <c r="R256" s="1059"/>
      <c r="S256" s="1059"/>
      <c r="T256" s="1059"/>
      <c r="U256" s="1059"/>
      <c r="V256" s="1059"/>
      <c r="W256" s="1059"/>
      <c r="X256" s="1059"/>
      <c r="Y256" s="1059"/>
      <c r="Z256" s="1059"/>
    </row>
    <row r="257" spans="1:26" ht="24.75" customHeight="1">
      <c r="A257" s="1069"/>
      <c r="B257" s="1069"/>
      <c r="C257" s="1083"/>
      <c r="D257" s="1072" t="s">
        <v>1255</v>
      </c>
      <c r="E257" s="1050" t="s">
        <v>677</v>
      </c>
      <c r="F257" s="1110">
        <v>300</v>
      </c>
      <c r="G257" s="1136">
        <v>36833.270000000004</v>
      </c>
      <c r="H257" s="1136">
        <f t="shared" si="17"/>
        <v>11049981.000000002</v>
      </c>
      <c r="I257" s="1059"/>
      <c r="J257" s="1059"/>
      <c r="K257" s="1059"/>
      <c r="L257" s="1059"/>
      <c r="M257" s="1059"/>
      <c r="N257" s="1059"/>
      <c r="O257" s="1059"/>
      <c r="P257" s="1059"/>
      <c r="Q257" s="1059"/>
      <c r="R257" s="1059"/>
      <c r="S257" s="1059"/>
      <c r="T257" s="1059"/>
      <c r="U257" s="1059"/>
      <c r="V257" s="1059"/>
      <c r="W257" s="1059"/>
      <c r="X257" s="1059"/>
      <c r="Y257" s="1059"/>
      <c r="Z257" s="1059"/>
    </row>
    <row r="258" spans="1:26" ht="39" customHeight="1">
      <c r="A258" s="1142"/>
      <c r="B258" s="1142"/>
      <c r="C258" s="1142"/>
      <c r="D258" s="1075" t="s">
        <v>1256</v>
      </c>
      <c r="E258" s="1050" t="s">
        <v>1174</v>
      </c>
      <c r="F258" s="1110">
        <v>1</v>
      </c>
      <c r="G258" s="1136">
        <v>100503200</v>
      </c>
      <c r="H258" s="1136">
        <f t="shared" si="17"/>
        <v>100503200</v>
      </c>
      <c r="I258" s="1059"/>
      <c r="J258" s="1059"/>
      <c r="K258" s="1059"/>
      <c r="L258" s="1059"/>
      <c r="M258" s="1059"/>
      <c r="N258" s="1059"/>
      <c r="O258" s="1059"/>
      <c r="P258" s="1059"/>
      <c r="Q258" s="1059"/>
      <c r="R258" s="1059"/>
      <c r="S258" s="1059"/>
      <c r="T258" s="1059"/>
      <c r="U258" s="1059"/>
      <c r="V258" s="1059"/>
      <c r="W258" s="1059"/>
      <c r="X258" s="1059"/>
      <c r="Y258" s="1059"/>
      <c r="Z258" s="1059"/>
    </row>
    <row r="259" spans="1:26" ht="14.25" customHeight="1">
      <c r="A259" s="1069"/>
      <c r="B259" s="1069"/>
      <c r="C259" s="1083"/>
      <c r="D259" s="1072" t="s">
        <v>1257</v>
      </c>
      <c r="E259" s="1050" t="s">
        <v>1174</v>
      </c>
      <c r="F259" s="1110">
        <v>1</v>
      </c>
      <c r="G259" s="1136">
        <v>45015262.760000005</v>
      </c>
      <c r="H259" s="1136">
        <f t="shared" si="17"/>
        <v>45015262.760000005</v>
      </c>
      <c r="I259" s="1059"/>
      <c r="J259" s="1059"/>
      <c r="K259" s="1059"/>
      <c r="L259" s="1059"/>
      <c r="M259" s="1059"/>
      <c r="N259" s="1059"/>
      <c r="O259" s="1059"/>
      <c r="P259" s="1059"/>
      <c r="Q259" s="1059"/>
      <c r="R259" s="1059"/>
      <c r="S259" s="1059"/>
      <c r="T259" s="1059"/>
      <c r="U259" s="1059"/>
      <c r="V259" s="1059"/>
      <c r="W259" s="1059"/>
      <c r="X259" s="1059"/>
      <c r="Y259" s="1059"/>
      <c r="Z259" s="1059"/>
    </row>
    <row r="260" spans="1:26" ht="14.25" customHeight="1">
      <c r="A260" s="1069"/>
      <c r="B260" s="1069"/>
      <c r="C260" s="1083"/>
      <c r="D260" s="1072" t="s">
        <v>1258</v>
      </c>
      <c r="E260" s="1050" t="s">
        <v>1174</v>
      </c>
      <c r="F260" s="1110">
        <v>1</v>
      </c>
      <c r="G260" s="1136">
        <v>25000000</v>
      </c>
      <c r="H260" s="1136">
        <f t="shared" si="17"/>
        <v>25000000</v>
      </c>
      <c r="I260" s="1059"/>
      <c r="J260" s="1059"/>
      <c r="K260" s="1059"/>
      <c r="L260" s="1059"/>
      <c r="M260" s="1059"/>
      <c r="N260" s="1059"/>
      <c r="O260" s="1059"/>
      <c r="P260" s="1059"/>
      <c r="Q260" s="1059"/>
      <c r="R260" s="1059"/>
      <c r="S260" s="1059"/>
      <c r="T260" s="1059"/>
      <c r="U260" s="1059"/>
      <c r="V260" s="1059"/>
      <c r="W260" s="1059"/>
      <c r="X260" s="1059"/>
      <c r="Y260" s="1059"/>
      <c r="Z260" s="1059"/>
    </row>
    <row r="261" spans="1:26" ht="25.5" customHeight="1">
      <c r="A261" s="1069"/>
      <c r="B261" s="1069"/>
      <c r="C261" s="1083"/>
      <c r="D261" s="1144" t="s">
        <v>1259</v>
      </c>
      <c r="E261" s="1050" t="s">
        <v>842</v>
      </c>
      <c r="F261" s="1110">
        <f>500*8*0.2</f>
        <v>800</v>
      </c>
      <c r="G261" s="1136">
        <v>96287</v>
      </c>
      <c r="H261" s="1136">
        <f t="shared" si="17"/>
        <v>77029600</v>
      </c>
      <c r="I261" s="1059"/>
      <c r="J261" s="1059"/>
      <c r="K261" s="1059"/>
      <c r="L261" s="1059"/>
      <c r="M261" s="1059"/>
      <c r="N261" s="1059"/>
      <c r="O261" s="1059"/>
      <c r="P261" s="1059"/>
      <c r="Q261" s="1059"/>
      <c r="R261" s="1059"/>
      <c r="S261" s="1059"/>
      <c r="T261" s="1059"/>
      <c r="U261" s="1059"/>
      <c r="V261" s="1059"/>
      <c r="W261" s="1059"/>
      <c r="X261" s="1059"/>
      <c r="Y261" s="1059"/>
      <c r="Z261" s="1059"/>
    </row>
    <row r="262" spans="1:26" ht="14.25" customHeight="1">
      <c r="A262" s="1069"/>
      <c r="B262" s="1069"/>
      <c r="C262" s="1083"/>
      <c r="D262" s="1072" t="s">
        <v>1260</v>
      </c>
      <c r="E262" s="1050" t="s">
        <v>842</v>
      </c>
      <c r="F262" s="1110">
        <f>+F261</f>
        <v>800</v>
      </c>
      <c r="G262" s="1136">
        <v>79251</v>
      </c>
      <c r="H262" s="1136">
        <f t="shared" si="17"/>
        <v>63400800</v>
      </c>
      <c r="I262" s="1059"/>
      <c r="J262" s="1059"/>
      <c r="K262" s="1059"/>
      <c r="L262" s="1059"/>
      <c r="M262" s="1059"/>
      <c r="N262" s="1059"/>
      <c r="O262" s="1059"/>
      <c r="P262" s="1059"/>
      <c r="Q262" s="1059"/>
      <c r="R262" s="1059"/>
      <c r="S262" s="1059"/>
      <c r="T262" s="1059"/>
      <c r="U262" s="1059"/>
      <c r="V262" s="1059"/>
      <c r="W262" s="1059"/>
      <c r="X262" s="1059"/>
      <c r="Y262" s="1059"/>
      <c r="Z262" s="1059"/>
    </row>
    <row r="263" spans="1:26" ht="14.25" customHeight="1">
      <c r="A263" s="1069"/>
      <c r="B263" s="1069"/>
      <c r="C263" s="1083"/>
      <c r="D263" s="1050"/>
      <c r="E263" s="1050"/>
      <c r="F263" s="1050"/>
      <c r="G263" s="1136"/>
      <c r="H263" s="1136"/>
      <c r="I263" s="1059"/>
      <c r="J263" s="1059"/>
      <c r="K263" s="1059"/>
      <c r="L263" s="1059"/>
      <c r="M263" s="1059"/>
      <c r="N263" s="1059"/>
      <c r="O263" s="1059"/>
      <c r="P263" s="1059"/>
      <c r="Q263" s="1059"/>
      <c r="R263" s="1059"/>
      <c r="S263" s="1059"/>
      <c r="T263" s="1059"/>
      <c r="U263" s="1059"/>
      <c r="V263" s="1059"/>
      <c r="W263" s="1059"/>
      <c r="X263" s="1059"/>
      <c r="Y263" s="1059"/>
      <c r="Z263" s="1059"/>
    </row>
    <row r="264" spans="1:26" ht="15" customHeight="1">
      <c r="A264" s="1145"/>
      <c r="B264" s="1145"/>
      <c r="C264" s="1146"/>
      <c r="D264" s="1147"/>
      <c r="E264" s="1147"/>
      <c r="F264" s="1147"/>
      <c r="G264" s="1148" t="s">
        <v>1173</v>
      </c>
      <c r="H264" s="1149">
        <f>SUM(H216:H262)</f>
        <v>5711250604.2645016</v>
      </c>
      <c r="I264" s="1059"/>
      <c r="J264" s="1059"/>
      <c r="K264" s="1059"/>
      <c r="L264" s="1059"/>
      <c r="M264" s="1059"/>
      <c r="N264" s="1059"/>
      <c r="O264" s="1059"/>
      <c r="P264" s="1059"/>
      <c r="Q264" s="1059"/>
      <c r="R264" s="1059"/>
      <c r="S264" s="1059"/>
      <c r="T264" s="1059"/>
      <c r="U264" s="1059"/>
      <c r="V264" s="1059"/>
      <c r="W264" s="1059"/>
      <c r="X264" s="1059"/>
      <c r="Y264" s="1059"/>
      <c r="Z264" s="1059"/>
    </row>
    <row r="265" spans="1:26" ht="12.75" customHeight="1">
      <c r="A265" s="2079" t="s">
        <v>1261</v>
      </c>
      <c r="B265" s="2052"/>
      <c r="C265" s="2052"/>
      <c r="D265" s="2052"/>
      <c r="E265" s="2052"/>
      <c r="F265" s="2052"/>
      <c r="G265" s="2053"/>
      <c r="H265" s="1150">
        <f>+H264*0.09</f>
        <v>514012554.3838051</v>
      </c>
      <c r="I265" s="1059"/>
      <c r="J265" s="1059"/>
      <c r="K265" s="1059"/>
      <c r="L265" s="1059"/>
      <c r="M265" s="1059"/>
      <c r="N265" s="1059"/>
      <c r="O265" s="1059"/>
      <c r="P265" s="1059"/>
      <c r="Q265" s="1059"/>
      <c r="R265" s="1059"/>
      <c r="S265" s="1059"/>
      <c r="T265" s="1059"/>
      <c r="U265" s="1059"/>
      <c r="V265" s="1059"/>
      <c r="W265" s="1059"/>
      <c r="X265" s="1059"/>
      <c r="Y265" s="1059"/>
      <c r="Z265" s="1059"/>
    </row>
    <row r="266" spans="1:26" ht="12.75" customHeight="1">
      <c r="A266" s="2079" t="s">
        <v>948</v>
      </c>
      <c r="B266" s="2052"/>
      <c r="C266" s="2052"/>
      <c r="D266" s="2052"/>
      <c r="E266" s="2052"/>
      <c r="F266" s="2052"/>
      <c r="G266" s="2053"/>
      <c r="H266" s="1150">
        <f>+H265+H264</f>
        <v>6225263158.6483068</v>
      </c>
      <c r="I266" s="1059"/>
      <c r="J266" s="1059"/>
      <c r="K266" s="1059"/>
      <c r="L266" s="1059"/>
      <c r="M266" s="1059"/>
      <c r="N266" s="1059"/>
      <c r="O266" s="1059"/>
      <c r="P266" s="1059"/>
      <c r="Q266" s="1059"/>
      <c r="R266" s="1059"/>
      <c r="S266" s="1059"/>
      <c r="T266" s="1059"/>
      <c r="U266" s="1059"/>
      <c r="V266" s="1059"/>
      <c r="W266" s="1059"/>
      <c r="X266" s="1059"/>
      <c r="Y266" s="1059"/>
      <c r="Z266" s="1059"/>
    </row>
    <row r="267" spans="1:26" ht="12.75" customHeight="1">
      <c r="A267" s="2079" t="s">
        <v>949</v>
      </c>
      <c r="B267" s="2052"/>
      <c r="C267" s="2052"/>
      <c r="D267" s="2052"/>
      <c r="E267" s="2052"/>
      <c r="F267" s="2052"/>
      <c r="G267" s="2053"/>
      <c r="H267" s="1150">
        <f>+((H266/1.31)*(0.05))*0.19</f>
        <v>45145038.173403755</v>
      </c>
      <c r="I267" s="1059"/>
      <c r="J267" s="1059"/>
      <c r="K267" s="1059"/>
      <c r="L267" s="1059"/>
      <c r="M267" s="1059"/>
      <c r="N267" s="1059"/>
      <c r="O267" s="1059"/>
      <c r="P267" s="1059"/>
      <c r="Q267" s="1059"/>
      <c r="R267" s="1059"/>
      <c r="S267" s="1059"/>
      <c r="T267" s="1059"/>
      <c r="U267" s="1059"/>
      <c r="V267" s="1059"/>
      <c r="W267" s="1059"/>
      <c r="X267" s="1059"/>
      <c r="Y267" s="1059"/>
      <c r="Z267" s="1059"/>
    </row>
    <row r="268" spans="1:26" ht="12.75" customHeight="1">
      <c r="A268" s="2079" t="s">
        <v>950</v>
      </c>
      <c r="B268" s="2052"/>
      <c r="C268" s="2052"/>
      <c r="D268" s="2052"/>
      <c r="E268" s="2052"/>
      <c r="F268" s="2052"/>
      <c r="G268" s="2053"/>
      <c r="H268" s="1151">
        <f>+H266+H267</f>
        <v>6270408196.8217106</v>
      </c>
      <c r="I268" s="1059"/>
      <c r="J268" s="1059"/>
      <c r="K268" s="1059"/>
      <c r="L268" s="1059"/>
      <c r="M268" s="1059"/>
      <c r="N268" s="1059"/>
      <c r="O268" s="1059"/>
      <c r="P268" s="1059"/>
      <c r="Q268" s="1059"/>
      <c r="R268" s="1059"/>
      <c r="S268" s="1059"/>
      <c r="T268" s="1059"/>
      <c r="U268" s="1059"/>
      <c r="V268" s="1059"/>
      <c r="W268" s="1059"/>
      <c r="X268" s="1059"/>
      <c r="Y268" s="1059"/>
      <c r="Z268" s="1059"/>
    </row>
    <row r="269" spans="1:26" ht="14.25" customHeight="1">
      <c r="A269" s="1152"/>
      <c r="B269" s="1152"/>
      <c r="C269" s="1153"/>
      <c r="D269" s="1154" t="s">
        <v>1262</v>
      </c>
      <c r="E269" s="1155" t="s">
        <v>1174</v>
      </c>
      <c r="F269" s="1156">
        <v>1</v>
      </c>
      <c r="G269" s="1157">
        <f>+H268*0.04</f>
        <v>250816327.87286842</v>
      </c>
      <c r="H269" s="1150">
        <f>+F269*G269</f>
        <v>250816327.87286842</v>
      </c>
      <c r="I269" s="1059"/>
      <c r="J269" s="1059"/>
      <c r="K269" s="1059"/>
      <c r="L269" s="1059"/>
      <c r="M269" s="1059"/>
      <c r="N269" s="1059"/>
      <c r="O269" s="1059"/>
      <c r="P269" s="1059"/>
      <c r="Q269" s="1059"/>
      <c r="R269" s="1059"/>
      <c r="S269" s="1059"/>
      <c r="T269" s="1059"/>
      <c r="U269" s="1059"/>
      <c r="V269" s="1059"/>
      <c r="W269" s="1059"/>
      <c r="X269" s="1059"/>
      <c r="Y269" s="1059"/>
      <c r="Z269" s="1059"/>
    </row>
    <row r="270" spans="1:26" ht="14.25" customHeight="1">
      <c r="A270" s="2080" t="s">
        <v>955</v>
      </c>
      <c r="B270" s="2056"/>
      <c r="C270" s="2056"/>
      <c r="D270" s="2056"/>
      <c r="E270" s="2056"/>
      <c r="F270" s="2056"/>
      <c r="G270" s="2056"/>
      <c r="H270" s="1150">
        <f>+H269*0.19</f>
        <v>47655102.295845002</v>
      </c>
      <c r="I270" s="1059"/>
      <c r="J270" s="1059"/>
      <c r="K270" s="1059"/>
      <c r="L270" s="1059"/>
      <c r="M270" s="1059"/>
      <c r="N270" s="1059"/>
      <c r="O270" s="1059"/>
      <c r="P270" s="1059"/>
      <c r="Q270" s="1059"/>
      <c r="R270" s="1059"/>
      <c r="S270" s="1059"/>
      <c r="T270" s="1059"/>
      <c r="U270" s="1059"/>
      <c r="V270" s="1059"/>
      <c r="W270" s="1059"/>
      <c r="X270" s="1059"/>
      <c r="Y270" s="1059"/>
      <c r="Z270" s="1059"/>
    </row>
    <row r="271" spans="1:26" ht="14.25" customHeight="1">
      <c r="A271" s="2081" t="s">
        <v>956</v>
      </c>
      <c r="B271" s="2062"/>
      <c r="C271" s="2062"/>
      <c r="D271" s="2062"/>
      <c r="E271" s="2062"/>
      <c r="F271" s="2062"/>
      <c r="G271" s="2062"/>
      <c r="H271" s="1151">
        <f>+H270+H269</f>
        <v>298471430.16871345</v>
      </c>
      <c r="I271" s="1059"/>
      <c r="J271" s="1059"/>
      <c r="K271" s="1059"/>
      <c r="L271" s="1059"/>
      <c r="M271" s="1059"/>
      <c r="N271" s="1059"/>
      <c r="O271" s="1059"/>
      <c r="P271" s="1059"/>
      <c r="Q271" s="1059"/>
      <c r="R271" s="1059"/>
      <c r="S271" s="1059"/>
      <c r="T271" s="1059"/>
      <c r="U271" s="1059"/>
      <c r="V271" s="1059"/>
      <c r="W271" s="1059"/>
      <c r="X271" s="1059"/>
      <c r="Y271" s="1059"/>
      <c r="Z271" s="1059"/>
    </row>
    <row r="272" spans="1:26" ht="12.75" customHeight="1">
      <c r="A272" s="2082" t="s">
        <v>957</v>
      </c>
      <c r="B272" s="2062"/>
      <c r="C272" s="2062"/>
      <c r="D272" s="2062"/>
      <c r="E272" s="2062"/>
      <c r="F272" s="2062"/>
      <c r="G272" s="2062"/>
      <c r="H272" s="1498">
        <f>+H268+H269+H270</f>
        <v>6568879626.9904242</v>
      </c>
      <c r="I272" s="1513" t="s">
        <v>1436</v>
      </c>
      <c r="J272" s="1059"/>
      <c r="K272" s="1059"/>
      <c r="L272" s="1059"/>
      <c r="M272" s="1059"/>
      <c r="N272" s="1059"/>
      <c r="O272" s="1059"/>
      <c r="P272" s="1059"/>
      <c r="Q272" s="1059"/>
      <c r="R272" s="1059"/>
      <c r="S272" s="1059"/>
      <c r="T272" s="1059"/>
      <c r="U272" s="1059"/>
      <c r="V272" s="1059"/>
      <c r="W272" s="1059"/>
      <c r="X272" s="1059"/>
      <c r="Y272" s="1059"/>
      <c r="Z272" s="1059"/>
    </row>
    <row r="273" spans="1:26" ht="12.75" customHeight="1">
      <c r="A273" s="1059"/>
      <c r="B273" s="1059"/>
      <c r="C273" s="1059"/>
      <c r="D273" s="1059"/>
      <c r="E273" s="1059"/>
      <c r="F273" s="1061"/>
      <c r="G273" s="1061"/>
      <c r="H273" s="1129"/>
      <c r="I273" s="1059"/>
      <c r="J273" s="1059"/>
      <c r="K273" s="1059"/>
      <c r="L273" s="1059"/>
      <c r="M273" s="1059"/>
      <c r="N273" s="1059"/>
      <c r="O273" s="1059"/>
      <c r="P273" s="1059"/>
      <c r="Q273" s="1059"/>
      <c r="R273" s="1059"/>
      <c r="S273" s="1059"/>
      <c r="T273" s="1059"/>
      <c r="U273" s="1059"/>
      <c r="V273" s="1059"/>
      <c r="W273" s="1059"/>
      <c r="X273" s="1059"/>
      <c r="Y273" s="1059"/>
      <c r="Z273" s="1059"/>
    </row>
    <row r="274" spans="1:26" ht="12.75" customHeight="1">
      <c r="A274" s="2073" t="s">
        <v>1263</v>
      </c>
      <c r="B274" s="2052"/>
      <c r="C274" s="2052"/>
      <c r="D274" s="2052"/>
      <c r="E274" s="2052"/>
      <c r="F274" s="2052"/>
      <c r="G274" s="2052"/>
      <c r="H274" s="2053"/>
      <c r="I274" s="1059"/>
      <c r="J274" s="1059"/>
      <c r="K274" s="1059"/>
      <c r="L274" s="1059"/>
      <c r="M274" s="1059"/>
      <c r="N274" s="1059"/>
      <c r="O274" s="1059"/>
      <c r="P274" s="1059"/>
      <c r="Q274" s="1059"/>
      <c r="R274" s="1059"/>
      <c r="S274" s="1059"/>
      <c r="T274" s="1059"/>
      <c r="U274" s="1059"/>
      <c r="V274" s="1059"/>
      <c r="W274" s="1059"/>
      <c r="X274" s="1059"/>
      <c r="Y274" s="1059"/>
      <c r="Z274" s="1059"/>
    </row>
    <row r="275" spans="1:26" ht="12.75" customHeight="1">
      <c r="A275" s="1158" t="s">
        <v>1080</v>
      </c>
      <c r="B275" s="1096">
        <v>200</v>
      </c>
      <c r="C275" s="1158" t="s">
        <v>1080</v>
      </c>
      <c r="D275" s="1109" t="s">
        <v>1188</v>
      </c>
      <c r="E275" s="1109" t="s">
        <v>842</v>
      </c>
      <c r="F275" s="1120">
        <v>4.41</v>
      </c>
      <c r="G275" s="1109">
        <v>152165.26950814403</v>
      </c>
      <c r="H275" s="1098">
        <f>+F275*G275</f>
        <v>671048.83853091521</v>
      </c>
      <c r="I275" s="1059"/>
      <c r="J275" s="1059"/>
      <c r="K275" s="1059"/>
      <c r="L275" s="1059"/>
      <c r="M275" s="1059"/>
      <c r="N275" s="1059"/>
      <c r="O275" s="1059"/>
      <c r="P275" s="1059"/>
      <c r="Q275" s="1059"/>
      <c r="R275" s="1059"/>
      <c r="S275" s="1059"/>
      <c r="T275" s="1059"/>
      <c r="U275" s="1059"/>
      <c r="V275" s="1059"/>
      <c r="W275" s="1059"/>
      <c r="X275" s="1059"/>
      <c r="Y275" s="1059"/>
      <c r="Z275" s="1059"/>
    </row>
    <row r="276" spans="1:26" ht="12.75" customHeight="1">
      <c r="A276" s="1159" t="s">
        <v>1058</v>
      </c>
      <c r="B276" s="1096">
        <v>600</v>
      </c>
      <c r="C276" s="1158" t="s">
        <v>1058</v>
      </c>
      <c r="D276" s="1109" t="s">
        <v>1169</v>
      </c>
      <c r="E276" s="1109" t="s">
        <v>842</v>
      </c>
      <c r="F276" s="1120">
        <v>9.3795000000000019</v>
      </c>
      <c r="G276" s="1109">
        <v>18256.2843138065</v>
      </c>
      <c r="H276" s="1098">
        <f t="shared" ref="H276:H283" si="18">+F276*G276</f>
        <v>171234.8187213481</v>
      </c>
      <c r="I276" s="1059"/>
      <c r="J276" s="1059"/>
      <c r="K276" s="1059"/>
      <c r="L276" s="1059"/>
      <c r="M276" s="1059"/>
      <c r="N276" s="1059"/>
      <c r="O276" s="1059"/>
      <c r="P276" s="1059"/>
      <c r="Q276" s="1059"/>
      <c r="R276" s="1059"/>
      <c r="S276" s="1059"/>
      <c r="T276" s="1059"/>
      <c r="U276" s="1059"/>
      <c r="V276" s="1059"/>
      <c r="W276" s="1059"/>
      <c r="X276" s="1059"/>
      <c r="Y276" s="1059"/>
      <c r="Z276" s="1059"/>
    </row>
    <row r="277" spans="1:26" ht="25.5" customHeight="1">
      <c r="A277" s="1159" t="s">
        <v>1084</v>
      </c>
      <c r="B277" s="1096">
        <v>600</v>
      </c>
      <c r="C277" s="1158" t="s">
        <v>1084</v>
      </c>
      <c r="D277" s="1109" t="s">
        <v>1191</v>
      </c>
      <c r="E277" s="1109" t="s">
        <v>842</v>
      </c>
      <c r="F277" s="1120">
        <v>12.254500000000002</v>
      </c>
      <c r="G277" s="1109">
        <v>58585.887391868338</v>
      </c>
      <c r="H277" s="1098">
        <f t="shared" si="18"/>
        <v>717940.75704365072</v>
      </c>
      <c r="I277" s="1059"/>
      <c r="J277" s="1059"/>
      <c r="K277" s="1059"/>
      <c r="L277" s="1059"/>
      <c r="M277" s="1059"/>
      <c r="N277" s="1059"/>
      <c r="O277" s="1059"/>
      <c r="P277" s="1059"/>
      <c r="Q277" s="1059"/>
      <c r="R277" s="1059"/>
      <c r="S277" s="1059"/>
      <c r="T277" s="1059"/>
      <c r="U277" s="1059"/>
      <c r="V277" s="1059"/>
      <c r="W277" s="1059"/>
      <c r="X277" s="1059"/>
      <c r="Y277" s="1059"/>
      <c r="Z277" s="1059"/>
    </row>
    <row r="278" spans="1:26" ht="12.75" customHeight="1">
      <c r="A278" s="1159" t="s">
        <v>1088</v>
      </c>
      <c r="B278" s="1096">
        <v>600</v>
      </c>
      <c r="C278" s="1158" t="s">
        <v>1088</v>
      </c>
      <c r="D278" s="1109" t="s">
        <v>1201</v>
      </c>
      <c r="E278" s="1109" t="s">
        <v>842</v>
      </c>
      <c r="F278" s="1120">
        <v>1.05</v>
      </c>
      <c r="G278" s="1109">
        <v>94217.052678434964</v>
      </c>
      <c r="H278" s="1098">
        <f t="shared" si="18"/>
        <v>98927.905312356714</v>
      </c>
      <c r="I278" s="1059"/>
      <c r="J278" s="1059"/>
      <c r="K278" s="1059"/>
      <c r="L278" s="1059"/>
      <c r="M278" s="1059"/>
      <c r="N278" s="1059"/>
      <c r="O278" s="1059"/>
      <c r="P278" s="1059"/>
      <c r="Q278" s="1059"/>
      <c r="R278" s="1059"/>
      <c r="S278" s="1059"/>
      <c r="T278" s="1059"/>
      <c r="U278" s="1059"/>
      <c r="V278" s="1059"/>
      <c r="W278" s="1059"/>
      <c r="X278" s="1059"/>
      <c r="Y278" s="1059"/>
      <c r="Z278" s="1059"/>
    </row>
    <row r="279" spans="1:26" ht="25.5" customHeight="1">
      <c r="A279" s="1159" t="s">
        <v>1089</v>
      </c>
      <c r="B279" s="1096">
        <v>600</v>
      </c>
      <c r="C279" s="1158" t="s">
        <v>1089</v>
      </c>
      <c r="D279" s="1109" t="s">
        <v>1202</v>
      </c>
      <c r="E279" s="1109" t="s">
        <v>673</v>
      </c>
      <c r="F279" s="1120">
        <v>7.3500000000000005</v>
      </c>
      <c r="G279" s="1109">
        <v>6913.4783381621764</v>
      </c>
      <c r="H279" s="1098">
        <f t="shared" si="18"/>
        <v>50814.065785491999</v>
      </c>
      <c r="I279" s="1059"/>
      <c r="J279" s="1059"/>
      <c r="K279" s="1059"/>
      <c r="L279" s="1059"/>
      <c r="M279" s="1059"/>
      <c r="N279" s="1059"/>
      <c r="O279" s="1059"/>
      <c r="P279" s="1059"/>
      <c r="Q279" s="1059"/>
      <c r="R279" s="1059"/>
      <c r="S279" s="1059"/>
      <c r="T279" s="1059"/>
      <c r="U279" s="1059"/>
      <c r="V279" s="1059"/>
      <c r="W279" s="1059"/>
      <c r="X279" s="1059"/>
      <c r="Y279" s="1059"/>
      <c r="Z279" s="1059"/>
    </row>
    <row r="280" spans="1:26" ht="25.5" customHeight="1">
      <c r="A280" s="1159" t="s">
        <v>1090</v>
      </c>
      <c r="B280" s="1096">
        <v>600</v>
      </c>
      <c r="C280" s="1158" t="s">
        <v>1090</v>
      </c>
      <c r="D280" s="1109" t="s">
        <v>1203</v>
      </c>
      <c r="E280" s="1109" t="s">
        <v>677</v>
      </c>
      <c r="F280" s="1120">
        <v>1</v>
      </c>
      <c r="G280" s="1109">
        <v>106416.01040062762</v>
      </c>
      <c r="H280" s="1098">
        <f t="shared" si="18"/>
        <v>106416.01040062762</v>
      </c>
      <c r="I280" s="1059"/>
      <c r="J280" s="1059"/>
      <c r="K280" s="1059"/>
      <c r="L280" s="1059"/>
      <c r="M280" s="1059"/>
      <c r="N280" s="1059"/>
      <c r="O280" s="1059"/>
      <c r="P280" s="1059"/>
      <c r="Q280" s="1059"/>
      <c r="R280" s="1059"/>
      <c r="S280" s="1059"/>
      <c r="T280" s="1059"/>
      <c r="U280" s="1059"/>
      <c r="V280" s="1059"/>
      <c r="W280" s="1059"/>
      <c r="X280" s="1059"/>
      <c r="Y280" s="1059"/>
      <c r="Z280" s="1059"/>
    </row>
    <row r="281" spans="1:26" ht="12.75" customHeight="1">
      <c r="A281" s="1096" t="s">
        <v>1059</v>
      </c>
      <c r="B281" s="1096">
        <v>600</v>
      </c>
      <c r="C281" s="1158" t="s">
        <v>1059</v>
      </c>
      <c r="D281" s="1109" t="s">
        <v>1192</v>
      </c>
      <c r="E281" s="1109" t="s">
        <v>842</v>
      </c>
      <c r="F281" s="1120">
        <v>1.9425000000000001</v>
      </c>
      <c r="G281" s="1109">
        <v>622014.53060732794</v>
      </c>
      <c r="H281" s="1098">
        <f t="shared" si="18"/>
        <v>1208263.2257047347</v>
      </c>
      <c r="I281" s="1059"/>
      <c r="J281" s="1059"/>
      <c r="K281" s="1059"/>
      <c r="L281" s="1059"/>
      <c r="M281" s="1059"/>
      <c r="N281" s="1059"/>
      <c r="O281" s="1059"/>
      <c r="P281" s="1059"/>
      <c r="Q281" s="1059"/>
      <c r="R281" s="1059"/>
      <c r="S281" s="1059"/>
      <c r="T281" s="1059"/>
      <c r="U281" s="1059"/>
      <c r="V281" s="1059"/>
      <c r="W281" s="1059"/>
      <c r="X281" s="1059"/>
      <c r="Y281" s="1059"/>
      <c r="Z281" s="1059"/>
    </row>
    <row r="282" spans="1:26" ht="12.75" customHeight="1">
      <c r="A282" s="1096" t="s">
        <v>1060</v>
      </c>
      <c r="B282" s="1096">
        <v>600</v>
      </c>
      <c r="C282" s="1158" t="s">
        <v>1060</v>
      </c>
      <c r="D282" s="1109" t="s">
        <v>1193</v>
      </c>
      <c r="E282" s="1109" t="s">
        <v>842</v>
      </c>
      <c r="F282" s="1120">
        <v>0.21000000000000002</v>
      </c>
      <c r="G282" s="1109">
        <v>393443.95038921852</v>
      </c>
      <c r="H282" s="1098">
        <f t="shared" si="18"/>
        <v>82623.229581735897</v>
      </c>
      <c r="I282" s="1059"/>
      <c r="J282" s="1059"/>
      <c r="K282" s="1059"/>
      <c r="L282" s="1059"/>
      <c r="M282" s="1059"/>
      <c r="N282" s="1059"/>
      <c r="O282" s="1059"/>
      <c r="P282" s="1059"/>
      <c r="Q282" s="1059"/>
      <c r="R282" s="1059"/>
      <c r="S282" s="1059"/>
      <c r="T282" s="1059"/>
      <c r="U282" s="1059"/>
      <c r="V282" s="1059"/>
      <c r="W282" s="1059"/>
      <c r="X282" s="1059"/>
      <c r="Y282" s="1059"/>
      <c r="Z282" s="1059"/>
    </row>
    <row r="283" spans="1:26" ht="12.75" customHeight="1">
      <c r="A283" s="1096" t="s">
        <v>1061</v>
      </c>
      <c r="B283" s="1096">
        <v>600</v>
      </c>
      <c r="C283" s="1158" t="s">
        <v>1061</v>
      </c>
      <c r="D283" s="1109" t="s">
        <v>1194</v>
      </c>
      <c r="E283" s="1109" t="s">
        <v>1229</v>
      </c>
      <c r="F283" s="1120">
        <v>135.97499999999999</v>
      </c>
      <c r="G283" s="1109">
        <v>7046.2212770172646</v>
      </c>
      <c r="H283" s="1098">
        <f t="shared" si="18"/>
        <v>958109.93814242247</v>
      </c>
      <c r="I283" s="1059"/>
      <c r="J283" s="1059"/>
      <c r="K283" s="1059"/>
      <c r="L283" s="1059"/>
      <c r="M283" s="1059"/>
      <c r="N283" s="1059"/>
      <c r="O283" s="1059"/>
      <c r="P283" s="1059"/>
      <c r="Q283" s="1059"/>
      <c r="R283" s="1059"/>
      <c r="S283" s="1059"/>
      <c r="T283" s="1059"/>
      <c r="U283" s="1059"/>
      <c r="V283" s="1059"/>
      <c r="W283" s="1059"/>
      <c r="X283" s="1059"/>
      <c r="Y283" s="1059"/>
      <c r="Z283" s="1059"/>
    </row>
    <row r="284" spans="1:26" ht="12.75" customHeight="1">
      <c r="A284" s="1014"/>
      <c r="B284" s="1014"/>
      <c r="C284" s="1014"/>
      <c r="D284" s="1014"/>
      <c r="E284" s="1014"/>
      <c r="F284" s="2077" t="s">
        <v>176</v>
      </c>
      <c r="G284" s="2055"/>
      <c r="H284" s="1128">
        <f>+SUM(H275:H283)</f>
        <v>4065378.789223284</v>
      </c>
      <c r="I284" s="1059"/>
      <c r="J284" s="1059"/>
      <c r="K284" s="1059"/>
      <c r="L284" s="1059"/>
      <c r="M284" s="1059"/>
      <c r="N284" s="1059"/>
      <c r="O284" s="1059"/>
      <c r="P284" s="1059"/>
      <c r="Q284" s="1059"/>
      <c r="R284" s="1059"/>
      <c r="S284" s="1059"/>
      <c r="T284" s="1059"/>
      <c r="U284" s="1059"/>
      <c r="V284" s="1059"/>
      <c r="W284" s="1059"/>
      <c r="X284" s="1059"/>
      <c r="Y284" s="1059"/>
      <c r="Z284" s="1059"/>
    </row>
    <row r="285" spans="1:26" ht="12.75" customHeight="1">
      <c r="A285" s="1014"/>
      <c r="B285" s="1014"/>
      <c r="C285" s="1014"/>
      <c r="D285" s="1014"/>
      <c r="E285" s="1014"/>
      <c r="F285" s="2063" t="s">
        <v>1044</v>
      </c>
      <c r="G285" s="2049"/>
      <c r="H285" s="1128">
        <f>+((H284/1.31)*(0.05))*0.19</f>
        <v>29481.754578336793</v>
      </c>
      <c r="I285" s="1059"/>
      <c r="J285" s="1059"/>
      <c r="K285" s="1059"/>
      <c r="L285" s="1059"/>
      <c r="M285" s="1059"/>
      <c r="N285" s="1059"/>
      <c r="O285" s="1059"/>
      <c r="P285" s="1059"/>
      <c r="Q285" s="1059"/>
      <c r="R285" s="1059"/>
      <c r="S285" s="1059"/>
      <c r="T285" s="1059"/>
      <c r="U285" s="1059"/>
      <c r="V285" s="1059"/>
      <c r="W285" s="1059"/>
      <c r="X285" s="1059"/>
      <c r="Y285" s="1059"/>
      <c r="Z285" s="1059"/>
    </row>
    <row r="286" spans="1:26" ht="12.75" customHeight="1">
      <c r="A286" s="2063"/>
      <c r="B286" s="2060"/>
      <c r="C286" s="2060"/>
      <c r="D286" s="1014"/>
      <c r="E286" s="1014"/>
      <c r="F286" s="2063" t="s">
        <v>177</v>
      </c>
      <c r="G286" s="2049"/>
      <c r="H286" s="1458">
        <f>+SUM(H284:H285)</f>
        <v>4094860.5438016206</v>
      </c>
      <c r="I286" s="1059"/>
      <c r="J286" s="1059"/>
      <c r="K286" s="1059"/>
      <c r="L286" s="1059"/>
      <c r="M286" s="1059"/>
      <c r="N286" s="1059"/>
      <c r="O286" s="1059"/>
      <c r="P286" s="1059"/>
      <c r="Q286" s="1059"/>
      <c r="R286" s="1059"/>
      <c r="S286" s="1059"/>
      <c r="T286" s="1059"/>
      <c r="U286" s="1059"/>
      <c r="V286" s="1059"/>
      <c r="W286" s="1059"/>
      <c r="X286" s="1059"/>
      <c r="Y286" s="1059"/>
      <c r="Z286" s="1059"/>
    </row>
    <row r="287" spans="1:26" ht="12.75" customHeight="1">
      <c r="A287" s="1059"/>
      <c r="B287" s="1059"/>
      <c r="C287" s="1059"/>
      <c r="D287" s="1059"/>
      <c r="E287" s="1059"/>
      <c r="F287" s="1059"/>
      <c r="G287" s="1059"/>
      <c r="H287" s="1059"/>
      <c r="I287" s="1059"/>
      <c r="J287" s="1059"/>
      <c r="K287" s="1059"/>
      <c r="L287" s="1059"/>
      <c r="M287" s="1059"/>
      <c r="N287" s="1059"/>
      <c r="O287" s="1059"/>
      <c r="P287" s="1059"/>
      <c r="Q287" s="1059"/>
      <c r="R287" s="1059"/>
      <c r="S287" s="1059"/>
      <c r="T287" s="1059"/>
      <c r="U287" s="1059"/>
      <c r="V287" s="1059"/>
      <c r="W287" s="1059"/>
      <c r="X287" s="1059"/>
      <c r="Y287" s="1059"/>
      <c r="Z287" s="1059"/>
    </row>
    <row r="288" spans="1:26" ht="12.75" customHeight="1">
      <c r="A288" s="1059"/>
      <c r="B288" s="1059"/>
      <c r="C288" s="1059"/>
      <c r="D288" s="1059"/>
      <c r="E288" s="1059"/>
      <c r="F288" s="1061"/>
      <c r="G288" s="1061"/>
      <c r="H288" s="1118"/>
      <c r="I288" s="1059"/>
      <c r="J288" s="1059"/>
      <c r="K288" s="1059"/>
      <c r="L288" s="1059"/>
      <c r="M288" s="1059"/>
      <c r="N288" s="1059"/>
      <c r="O288" s="1059"/>
      <c r="P288" s="1059"/>
      <c r="Q288" s="1059"/>
      <c r="R288" s="1059"/>
      <c r="S288" s="1059"/>
      <c r="T288" s="1059"/>
      <c r="U288" s="1059"/>
      <c r="V288" s="1059"/>
      <c r="W288" s="1059"/>
      <c r="X288" s="1059"/>
      <c r="Y288" s="1059"/>
      <c r="Z288" s="1059"/>
    </row>
    <row r="289" spans="1:26" ht="12.75" customHeight="1">
      <c r="A289" s="2073" t="s">
        <v>1264</v>
      </c>
      <c r="B289" s="2052"/>
      <c r="C289" s="2052"/>
      <c r="D289" s="2052"/>
      <c r="E289" s="2052"/>
      <c r="F289" s="2052"/>
      <c r="G289" s="2052"/>
      <c r="H289" s="2053"/>
      <c r="I289" s="1059"/>
      <c r="J289" s="1059"/>
      <c r="K289" s="1059"/>
      <c r="L289" s="1059"/>
      <c r="M289" s="1059"/>
      <c r="N289" s="1059"/>
      <c r="O289" s="1059"/>
      <c r="P289" s="1059"/>
      <c r="Q289" s="1059"/>
      <c r="R289" s="1059"/>
      <c r="S289" s="1059"/>
      <c r="T289" s="1059"/>
      <c r="U289" s="1059"/>
      <c r="V289" s="1059"/>
      <c r="W289" s="1059"/>
      <c r="X289" s="1059"/>
      <c r="Y289" s="1059"/>
      <c r="Z289" s="1059"/>
    </row>
    <row r="290" spans="1:26" ht="12.75" customHeight="1">
      <c r="A290" s="2083" t="s">
        <v>390</v>
      </c>
      <c r="B290" s="2085" t="s">
        <v>391</v>
      </c>
      <c r="C290" s="2052"/>
      <c r="D290" s="2052"/>
      <c r="E290" s="2052"/>
      <c r="F290" s="2052"/>
      <c r="G290" s="2052"/>
      <c r="H290" s="2053"/>
      <c r="I290" s="1059"/>
      <c r="J290" s="1059"/>
      <c r="K290" s="1059"/>
      <c r="L290" s="1059"/>
      <c r="M290" s="1059"/>
      <c r="N290" s="1059"/>
      <c r="O290" s="1059"/>
      <c r="P290" s="1059"/>
      <c r="Q290" s="1059"/>
      <c r="R290" s="1059"/>
      <c r="S290" s="1059"/>
      <c r="T290" s="1059"/>
      <c r="U290" s="1059"/>
      <c r="V290" s="1059"/>
      <c r="W290" s="1059"/>
      <c r="X290" s="1059"/>
      <c r="Y290" s="1059"/>
      <c r="Z290" s="1059"/>
    </row>
    <row r="291" spans="1:26" ht="25.5" customHeight="1">
      <c r="A291" s="2084"/>
      <c r="B291" s="1160" t="s">
        <v>500</v>
      </c>
      <c r="C291" s="1160" t="s">
        <v>501</v>
      </c>
      <c r="D291" s="1160" t="s">
        <v>80</v>
      </c>
      <c r="E291" s="1160" t="s">
        <v>61</v>
      </c>
      <c r="F291" s="1160" t="s">
        <v>62</v>
      </c>
      <c r="G291" s="1161" t="s">
        <v>63</v>
      </c>
      <c r="H291" s="1161" t="s">
        <v>1048</v>
      </c>
      <c r="I291" s="1059"/>
      <c r="J291" s="1059"/>
      <c r="K291" s="1059"/>
      <c r="L291" s="1059"/>
      <c r="M291" s="1059"/>
      <c r="N291" s="1059"/>
      <c r="O291" s="1059"/>
      <c r="P291" s="1059"/>
      <c r="Q291" s="1059"/>
      <c r="R291" s="1059"/>
      <c r="S291" s="1059"/>
      <c r="T291" s="1059"/>
      <c r="U291" s="1059"/>
      <c r="V291" s="1059"/>
      <c r="W291" s="1059"/>
      <c r="X291" s="1059"/>
      <c r="Y291" s="1059"/>
      <c r="Z291" s="1059"/>
    </row>
    <row r="292" spans="1:26" ht="12.75" customHeight="1">
      <c r="A292" s="1158" t="s">
        <v>670</v>
      </c>
      <c r="B292" s="1096">
        <v>200</v>
      </c>
      <c r="C292" s="1158">
        <v>700.3</v>
      </c>
      <c r="D292" s="1109" t="s">
        <v>1265</v>
      </c>
      <c r="E292" s="1109" t="s">
        <v>673</v>
      </c>
      <c r="F292" s="1120">
        <v>120</v>
      </c>
      <c r="G292" s="1109">
        <v>45053.749553338501</v>
      </c>
      <c r="H292" s="1098">
        <f>+F292*G292</f>
        <v>5406449.94640062</v>
      </c>
      <c r="I292" s="1059"/>
      <c r="J292" s="1059"/>
      <c r="K292" s="1059"/>
      <c r="L292" s="1059"/>
      <c r="M292" s="1059"/>
      <c r="N292" s="1059"/>
      <c r="O292" s="1059"/>
      <c r="P292" s="1059"/>
      <c r="Q292" s="1059"/>
      <c r="R292" s="1059"/>
      <c r="S292" s="1059"/>
      <c r="T292" s="1059"/>
      <c r="U292" s="1059"/>
      <c r="V292" s="1059"/>
      <c r="W292" s="1059"/>
      <c r="X292" s="1059"/>
      <c r="Y292" s="1059"/>
      <c r="Z292" s="1059"/>
    </row>
    <row r="293" spans="1:26" ht="25.5" customHeight="1">
      <c r="A293" s="1159" t="s">
        <v>1082</v>
      </c>
      <c r="B293" s="1096">
        <v>600</v>
      </c>
      <c r="C293" s="1158">
        <v>700.1</v>
      </c>
      <c r="D293" s="1109" t="s">
        <v>1182</v>
      </c>
      <c r="E293" s="1109" t="s">
        <v>677</v>
      </c>
      <c r="F293" s="1120">
        <v>9500</v>
      </c>
      <c r="G293" s="1109">
        <v>2650.3065319915022</v>
      </c>
      <c r="H293" s="1098">
        <f>+F293*G293</f>
        <v>25177912.053919271</v>
      </c>
      <c r="I293" s="1059"/>
      <c r="J293" s="1059"/>
      <c r="K293" s="1059"/>
      <c r="L293" s="1059"/>
      <c r="M293" s="1059"/>
      <c r="N293" s="1059"/>
      <c r="O293" s="1059"/>
      <c r="P293" s="1059"/>
      <c r="Q293" s="1059"/>
      <c r="R293" s="1059"/>
      <c r="S293" s="1059"/>
      <c r="T293" s="1059"/>
      <c r="U293" s="1059"/>
      <c r="V293" s="1059"/>
      <c r="W293" s="1059"/>
      <c r="X293" s="1059"/>
      <c r="Y293" s="1059"/>
      <c r="Z293" s="1059"/>
    </row>
    <row r="294" spans="1:26" ht="12.75" customHeight="1">
      <c r="A294" s="1159" t="s">
        <v>672</v>
      </c>
      <c r="B294" s="1096">
        <v>600</v>
      </c>
      <c r="C294" s="1158">
        <v>701.1</v>
      </c>
      <c r="D294" s="1109" t="s">
        <v>1183</v>
      </c>
      <c r="E294" s="1109" t="s">
        <v>61</v>
      </c>
      <c r="F294" s="1120">
        <v>1200</v>
      </c>
      <c r="G294" s="1109">
        <v>12075.925668628786</v>
      </c>
      <c r="H294" s="1098">
        <f>+F294*G294</f>
        <v>14491110.802354544</v>
      </c>
      <c r="I294" s="1059"/>
      <c r="J294" s="1059"/>
      <c r="K294" s="1059"/>
      <c r="L294" s="1059"/>
      <c r="M294" s="1059"/>
      <c r="N294" s="1059"/>
      <c r="O294" s="1059"/>
      <c r="P294" s="1059"/>
      <c r="Q294" s="1059"/>
      <c r="R294" s="1059"/>
      <c r="S294" s="1059"/>
      <c r="T294" s="1059"/>
      <c r="U294" s="1059"/>
      <c r="V294" s="1059"/>
      <c r="W294" s="1059"/>
      <c r="X294" s="1059"/>
      <c r="Y294" s="1059"/>
      <c r="Z294" s="1059"/>
    </row>
    <row r="295" spans="1:26" ht="38.25" customHeight="1">
      <c r="A295" s="1159" t="s">
        <v>671</v>
      </c>
      <c r="B295" s="1096">
        <v>600</v>
      </c>
      <c r="C295" s="1158">
        <v>710.1</v>
      </c>
      <c r="D295" s="1109" t="s">
        <v>1266</v>
      </c>
      <c r="E295" s="1109" t="s">
        <v>61</v>
      </c>
      <c r="F295" s="1120">
        <v>45</v>
      </c>
      <c r="G295" s="1109">
        <v>589369.88711541437</v>
      </c>
      <c r="H295" s="1098">
        <f>+F295*G295</f>
        <v>26521644.920193646</v>
      </c>
      <c r="I295" s="1059"/>
      <c r="J295" s="1059"/>
      <c r="K295" s="1059"/>
      <c r="L295" s="1059"/>
      <c r="M295" s="1059"/>
      <c r="N295" s="1059"/>
      <c r="O295" s="1059"/>
      <c r="P295" s="1059"/>
      <c r="Q295" s="1059"/>
      <c r="R295" s="1059"/>
      <c r="S295" s="1059"/>
      <c r="T295" s="1059"/>
      <c r="U295" s="1059"/>
      <c r="V295" s="1059"/>
      <c r="W295" s="1059"/>
      <c r="X295" s="1059"/>
      <c r="Y295" s="1059"/>
      <c r="Z295" s="1059"/>
    </row>
    <row r="296" spans="1:26" ht="12.75" customHeight="1">
      <c r="A296" s="1014"/>
      <c r="B296" s="1014"/>
      <c r="C296" s="1014"/>
      <c r="D296" s="1014"/>
      <c r="E296" s="1014"/>
      <c r="F296" s="2077" t="s">
        <v>176</v>
      </c>
      <c r="G296" s="2055"/>
      <c r="H296" s="1128">
        <f>+SUM(H292:H295)</f>
        <v>71597117.722868085</v>
      </c>
      <c r="I296" s="1059"/>
      <c r="J296" s="1059"/>
      <c r="K296" s="1059"/>
      <c r="L296" s="1059"/>
      <c r="M296" s="1059"/>
      <c r="N296" s="1059"/>
      <c r="O296" s="1059"/>
      <c r="P296" s="1059"/>
      <c r="Q296" s="1059"/>
      <c r="R296" s="1059"/>
      <c r="S296" s="1059"/>
      <c r="T296" s="1059"/>
      <c r="U296" s="1059"/>
      <c r="V296" s="1059"/>
      <c r="W296" s="1059"/>
      <c r="X296" s="1059"/>
      <c r="Y296" s="1059"/>
      <c r="Z296" s="1059"/>
    </row>
    <row r="297" spans="1:26" ht="12.75" customHeight="1">
      <c r="A297" s="1014"/>
      <c r="B297" s="1014"/>
      <c r="C297" s="1014"/>
      <c r="D297" s="1014"/>
      <c r="E297" s="1014"/>
      <c r="F297" s="2063" t="s">
        <v>1044</v>
      </c>
      <c r="G297" s="2049"/>
      <c r="H297" s="1499">
        <f>+((H296/1.3)*(0.05))*0.19</f>
        <v>523209.70643634378</v>
      </c>
      <c r="I297" s="1059"/>
      <c r="J297" s="1059"/>
      <c r="K297" s="1059"/>
      <c r="L297" s="1059"/>
      <c r="M297" s="1059"/>
      <c r="N297" s="1059"/>
      <c r="O297" s="1059"/>
      <c r="P297" s="1059"/>
      <c r="Q297" s="1059"/>
      <c r="R297" s="1059"/>
      <c r="S297" s="1059"/>
      <c r="T297" s="1059"/>
      <c r="U297" s="1059"/>
      <c r="V297" s="1059"/>
      <c r="W297" s="1059"/>
      <c r="X297" s="1059"/>
      <c r="Y297" s="1059"/>
      <c r="Z297" s="1059"/>
    </row>
    <row r="298" spans="1:26" ht="12.75" customHeight="1">
      <c r="A298" s="2063"/>
      <c r="B298" s="2060"/>
      <c r="C298" s="2060"/>
      <c r="D298" s="1014"/>
      <c r="E298" s="1014"/>
      <c r="F298" s="2063" t="s">
        <v>177</v>
      </c>
      <c r="G298" s="2086"/>
      <c r="H298" s="1500">
        <f>+SUM(H296:H297)</f>
        <v>72120327.429304436</v>
      </c>
      <c r="I298" s="1059"/>
      <c r="J298" s="1059"/>
      <c r="K298" s="1059"/>
      <c r="L298" s="1059"/>
      <c r="M298" s="1059"/>
      <c r="N298" s="1059"/>
      <c r="O298" s="1059"/>
      <c r="P298" s="1059"/>
      <c r="Q298" s="1059"/>
      <c r="R298" s="1059"/>
      <c r="S298" s="1059"/>
      <c r="T298" s="1059"/>
      <c r="U298" s="1059"/>
      <c r="V298" s="1059"/>
      <c r="W298" s="1059"/>
      <c r="X298" s="1059"/>
      <c r="Y298" s="1059"/>
      <c r="Z298" s="1059"/>
    </row>
    <row r="299" spans="1:26" ht="12.75" customHeight="1">
      <c r="A299" s="1059"/>
      <c r="B299" s="1059"/>
      <c r="C299" s="1059"/>
      <c r="D299" s="1059"/>
      <c r="E299" s="1059"/>
      <c r="F299" s="1061"/>
      <c r="G299" s="1061"/>
      <c r="H299" s="1118"/>
      <c r="I299" s="1059"/>
      <c r="J299" s="1059"/>
      <c r="K299" s="1059"/>
      <c r="L299" s="1059"/>
      <c r="M299" s="1059"/>
      <c r="N299" s="1059"/>
      <c r="O299" s="1059"/>
      <c r="P299" s="1059"/>
      <c r="Q299" s="1059"/>
      <c r="R299" s="1059"/>
      <c r="S299" s="1059"/>
      <c r="T299" s="1059"/>
      <c r="U299" s="1059"/>
      <c r="V299" s="1059"/>
      <c r="W299" s="1059"/>
      <c r="X299" s="1059"/>
      <c r="Y299" s="1059"/>
      <c r="Z299" s="1059"/>
    </row>
    <row r="300" spans="1:26" ht="12.75" customHeight="1">
      <c r="A300" s="1059"/>
      <c r="B300" s="1059"/>
      <c r="C300" s="1059"/>
      <c r="D300" s="1059"/>
      <c r="E300" s="1059"/>
      <c r="F300" s="1061"/>
      <c r="G300" s="1061"/>
      <c r="H300" s="1118"/>
      <c r="I300" s="1059"/>
      <c r="J300" s="1059"/>
      <c r="K300" s="1059"/>
      <c r="L300" s="1059"/>
      <c r="M300" s="1059"/>
      <c r="N300" s="1059"/>
      <c r="O300" s="1059"/>
      <c r="P300" s="1059"/>
      <c r="Q300" s="1059"/>
      <c r="R300" s="1059"/>
      <c r="S300" s="1059"/>
      <c r="T300" s="1059"/>
      <c r="U300" s="1059"/>
      <c r="V300" s="1059"/>
      <c r="W300" s="1059"/>
      <c r="X300" s="1059"/>
      <c r="Y300" s="1059"/>
      <c r="Z300" s="1059"/>
    </row>
    <row r="301" spans="1:26" ht="12.75" customHeight="1">
      <c r="A301" s="2073" t="s">
        <v>1267</v>
      </c>
      <c r="B301" s="2052"/>
      <c r="C301" s="2052"/>
      <c r="D301" s="2052"/>
      <c r="E301" s="2052"/>
      <c r="F301" s="2052"/>
      <c r="G301" s="2052"/>
      <c r="H301" s="2053"/>
      <c r="I301" s="1059"/>
      <c r="J301" s="1059"/>
      <c r="K301" s="1059"/>
      <c r="L301" s="1059"/>
      <c r="M301" s="1059"/>
      <c r="N301" s="1059"/>
      <c r="O301" s="1059"/>
      <c r="P301" s="1059"/>
      <c r="Q301" s="1059"/>
      <c r="R301" s="1059"/>
      <c r="S301" s="1059"/>
      <c r="T301" s="1059"/>
      <c r="U301" s="1059"/>
      <c r="V301" s="1059"/>
      <c r="W301" s="1059"/>
      <c r="X301" s="1059"/>
      <c r="Y301" s="1059"/>
      <c r="Z301" s="1059"/>
    </row>
    <row r="302" spans="1:26" ht="12.75" customHeight="1">
      <c r="A302" s="2083" t="s">
        <v>390</v>
      </c>
      <c r="B302" s="2085" t="s">
        <v>391</v>
      </c>
      <c r="C302" s="2052"/>
      <c r="D302" s="2052"/>
      <c r="E302" s="2052"/>
      <c r="F302" s="2052"/>
      <c r="G302" s="2052"/>
      <c r="H302" s="2053"/>
      <c r="I302" s="1059"/>
      <c r="J302" s="1059"/>
      <c r="K302" s="1059"/>
      <c r="L302" s="1059"/>
      <c r="M302" s="1059"/>
      <c r="N302" s="1059"/>
      <c r="O302" s="1059"/>
      <c r="P302" s="1059"/>
      <c r="Q302" s="1059"/>
      <c r="R302" s="1059"/>
      <c r="S302" s="1059"/>
      <c r="T302" s="1059"/>
      <c r="U302" s="1059"/>
      <c r="V302" s="1059"/>
      <c r="W302" s="1059"/>
      <c r="X302" s="1059"/>
      <c r="Y302" s="1059"/>
      <c r="Z302" s="1059"/>
    </row>
    <row r="303" spans="1:26" ht="25.5" customHeight="1">
      <c r="A303" s="2084"/>
      <c r="B303" s="1160" t="s">
        <v>500</v>
      </c>
      <c r="C303" s="1160" t="s">
        <v>501</v>
      </c>
      <c r="D303" s="1160" t="s">
        <v>80</v>
      </c>
      <c r="E303" s="1160" t="s">
        <v>61</v>
      </c>
      <c r="F303" s="1160" t="s">
        <v>62</v>
      </c>
      <c r="G303" s="1161" t="s">
        <v>63</v>
      </c>
      <c r="H303" s="1161" t="s">
        <v>1048</v>
      </c>
      <c r="I303" s="1059"/>
      <c r="J303" s="1059"/>
      <c r="K303" s="1059"/>
      <c r="L303" s="1059"/>
      <c r="M303" s="1059"/>
      <c r="N303" s="1059"/>
      <c r="O303" s="1059"/>
      <c r="P303" s="1059"/>
      <c r="Q303" s="1059"/>
      <c r="R303" s="1059"/>
      <c r="S303" s="1059"/>
      <c r="T303" s="1059"/>
      <c r="U303" s="1059"/>
      <c r="V303" s="1059"/>
      <c r="W303" s="1059"/>
      <c r="X303" s="1059"/>
      <c r="Y303" s="1059"/>
      <c r="Z303" s="1059"/>
    </row>
    <row r="304" spans="1:26" ht="38.25" customHeight="1">
      <c r="A304" s="1159" t="s">
        <v>671</v>
      </c>
      <c r="B304" s="1096">
        <v>600</v>
      </c>
      <c r="C304" s="1158">
        <v>710.1</v>
      </c>
      <c r="D304" s="1109" t="s">
        <v>1266</v>
      </c>
      <c r="E304" s="1109" t="s">
        <v>61</v>
      </c>
      <c r="F304" s="1120">
        <v>45</v>
      </c>
      <c r="G304" s="1109">
        <v>589369.88711541437</v>
      </c>
      <c r="H304" s="1098">
        <f>+F304*G304</f>
        <v>26521644.920193646</v>
      </c>
      <c r="I304" s="1059"/>
      <c r="J304" s="1059"/>
      <c r="K304" s="1059"/>
      <c r="L304" s="1059"/>
      <c r="M304" s="1059"/>
      <c r="N304" s="1059"/>
      <c r="O304" s="1059"/>
      <c r="P304" s="1059"/>
      <c r="Q304" s="1059"/>
      <c r="R304" s="1059"/>
      <c r="S304" s="1059"/>
      <c r="T304" s="1059"/>
      <c r="U304" s="1059"/>
      <c r="V304" s="1059"/>
      <c r="W304" s="1059"/>
      <c r="X304" s="1059"/>
      <c r="Y304" s="1059"/>
      <c r="Z304" s="1059"/>
    </row>
    <row r="305" spans="1:26" ht="12.75" customHeight="1">
      <c r="A305" s="1014"/>
      <c r="B305" s="1014"/>
      <c r="C305" s="1014"/>
      <c r="D305" s="1014"/>
      <c r="E305" s="1014"/>
      <c r="F305" s="2077" t="s">
        <v>176</v>
      </c>
      <c r="G305" s="2055"/>
      <c r="H305" s="1128">
        <f>+SUM(H304)</f>
        <v>26521644.920193646</v>
      </c>
      <c r="I305" s="1059"/>
      <c r="J305" s="1059"/>
      <c r="K305" s="1059"/>
      <c r="L305" s="1059"/>
      <c r="M305" s="1059"/>
      <c r="N305" s="1059"/>
      <c r="O305" s="1059"/>
      <c r="P305" s="1059"/>
      <c r="Q305" s="1059"/>
      <c r="R305" s="1059"/>
      <c r="S305" s="1059"/>
      <c r="T305" s="1059"/>
      <c r="U305" s="1059"/>
      <c r="V305" s="1059"/>
      <c r="W305" s="1059"/>
      <c r="X305" s="1059"/>
      <c r="Y305" s="1059"/>
      <c r="Z305" s="1059"/>
    </row>
    <row r="306" spans="1:26" ht="12.75" customHeight="1">
      <c r="A306" s="1014"/>
      <c r="B306" s="1014"/>
      <c r="C306" s="1014"/>
      <c r="D306" s="1014"/>
      <c r="E306" s="1014"/>
      <c r="F306" s="2063" t="s">
        <v>1044</v>
      </c>
      <c r="G306" s="2049"/>
      <c r="H306" s="1128">
        <f>+((H305/1.31)*(0.05))*0.19</f>
        <v>192332.53949758754</v>
      </c>
      <c r="I306" s="1059"/>
      <c r="J306" s="1059"/>
      <c r="K306" s="1059"/>
      <c r="L306" s="1059"/>
      <c r="M306" s="1059"/>
      <c r="N306" s="1059"/>
      <c r="O306" s="1059"/>
      <c r="P306" s="1059"/>
      <c r="Q306" s="1059"/>
      <c r="R306" s="1059"/>
      <c r="S306" s="1059"/>
      <c r="T306" s="1059"/>
      <c r="U306" s="1059"/>
      <c r="V306" s="1059"/>
      <c r="W306" s="1059"/>
      <c r="X306" s="1059"/>
      <c r="Y306" s="1059"/>
      <c r="Z306" s="1059"/>
    </row>
    <row r="307" spans="1:26" ht="12.75" customHeight="1">
      <c r="A307" s="2063"/>
      <c r="B307" s="2060"/>
      <c r="C307" s="2060"/>
      <c r="D307" s="1014"/>
      <c r="E307" s="1014"/>
      <c r="F307" s="2063" t="s">
        <v>177</v>
      </c>
      <c r="G307" s="2049"/>
      <c r="H307" s="1458">
        <f>+SUM(H305:H306)</f>
        <v>26713977.459691234</v>
      </c>
      <c r="I307" s="1059"/>
      <c r="J307" s="1059"/>
      <c r="K307" s="1059"/>
      <c r="L307" s="1059"/>
      <c r="M307" s="1059"/>
      <c r="N307" s="1059"/>
      <c r="O307" s="1059"/>
      <c r="P307" s="1059"/>
      <c r="Q307" s="1059"/>
      <c r="R307" s="1059"/>
      <c r="S307" s="1059"/>
      <c r="T307" s="1059"/>
      <c r="U307" s="1059"/>
      <c r="V307" s="1059"/>
      <c r="W307" s="1059"/>
      <c r="X307" s="1059"/>
      <c r="Y307" s="1059"/>
      <c r="Z307" s="1059"/>
    </row>
    <row r="308" spans="1:26" ht="12.75" customHeight="1">
      <c r="A308" s="1059"/>
      <c r="B308" s="1059"/>
      <c r="C308" s="1059"/>
      <c r="D308" s="1059"/>
      <c r="E308" s="1059"/>
      <c r="F308" s="1061"/>
      <c r="G308" s="1061"/>
      <c r="H308" s="1118"/>
      <c r="I308" s="1059"/>
      <c r="J308" s="1059"/>
      <c r="K308" s="1059"/>
      <c r="L308" s="1059"/>
      <c r="M308" s="1059"/>
      <c r="N308" s="1059"/>
      <c r="O308" s="1059"/>
      <c r="P308" s="1059"/>
      <c r="Q308" s="1059"/>
      <c r="R308" s="1059"/>
      <c r="S308" s="1059"/>
      <c r="T308" s="1059"/>
      <c r="U308" s="1059"/>
      <c r="V308" s="1059"/>
      <c r="W308" s="1059"/>
      <c r="X308" s="1059"/>
      <c r="Y308" s="1059"/>
      <c r="Z308" s="1059"/>
    </row>
    <row r="309" spans="1:26" ht="12.75" customHeight="1">
      <c r="A309" s="1059"/>
      <c r="B309" s="1059"/>
      <c r="C309" s="1059"/>
      <c r="D309" s="1059"/>
      <c r="E309" s="1059"/>
      <c r="F309" s="1061"/>
      <c r="G309" s="1061"/>
      <c r="H309" s="1118"/>
      <c r="I309" s="1059"/>
      <c r="J309" s="1059"/>
      <c r="K309" s="1059"/>
      <c r="L309" s="1059"/>
      <c r="M309" s="1059"/>
      <c r="N309" s="1059"/>
      <c r="O309" s="1059"/>
      <c r="P309" s="1059"/>
      <c r="Q309" s="1059"/>
      <c r="R309" s="1059"/>
      <c r="S309" s="1059"/>
      <c r="T309" s="1059"/>
      <c r="U309" s="1059"/>
      <c r="V309" s="1059"/>
      <c r="W309" s="1059"/>
      <c r="X309" s="1059"/>
      <c r="Y309" s="1059"/>
      <c r="Z309" s="1059"/>
    </row>
    <row r="310" spans="1:26" ht="24" customHeight="1">
      <c r="A310" s="2073" t="s">
        <v>1123</v>
      </c>
      <c r="B310" s="2052"/>
      <c r="C310" s="2052"/>
      <c r="D310" s="2052"/>
      <c r="E310" s="2052"/>
      <c r="F310" s="2052"/>
      <c r="G310" s="2052"/>
      <c r="H310" s="2053"/>
      <c r="I310" s="1059"/>
      <c r="J310" s="1059"/>
      <c r="K310" s="1059"/>
      <c r="L310" s="1059"/>
      <c r="M310" s="1059"/>
      <c r="N310" s="1059"/>
      <c r="O310" s="1059"/>
      <c r="P310" s="1059"/>
      <c r="Q310" s="1059"/>
      <c r="R310" s="1059"/>
      <c r="S310" s="1059"/>
      <c r="T310" s="1059"/>
      <c r="U310" s="1059"/>
      <c r="V310" s="1059"/>
      <c r="W310" s="1059"/>
      <c r="X310" s="1059"/>
      <c r="Y310" s="1059"/>
      <c r="Z310" s="1059"/>
    </row>
    <row r="311" spans="1:26" ht="12.75" customHeight="1">
      <c r="A311" s="2083" t="s">
        <v>390</v>
      </c>
      <c r="B311" s="2085" t="s">
        <v>391</v>
      </c>
      <c r="C311" s="2052"/>
      <c r="D311" s="2052"/>
      <c r="E311" s="2052"/>
      <c r="F311" s="2052"/>
      <c r="G311" s="2052"/>
      <c r="H311" s="2053"/>
      <c r="I311" s="1059"/>
      <c r="J311" s="1059"/>
      <c r="K311" s="1059"/>
      <c r="L311" s="1059"/>
      <c r="M311" s="1059"/>
      <c r="N311" s="1059"/>
      <c r="O311" s="1059"/>
      <c r="P311" s="1059"/>
      <c r="Q311" s="1059"/>
      <c r="R311" s="1059"/>
      <c r="S311" s="1059"/>
      <c r="T311" s="1059"/>
      <c r="U311" s="1059"/>
      <c r="V311" s="1059"/>
      <c r="W311" s="1059"/>
      <c r="X311" s="1059"/>
      <c r="Y311" s="1059"/>
      <c r="Z311" s="1059"/>
    </row>
    <row r="312" spans="1:26" ht="25.5" customHeight="1">
      <c r="A312" s="2084"/>
      <c r="B312" s="1160" t="s">
        <v>500</v>
      </c>
      <c r="C312" s="1160" t="s">
        <v>501</v>
      </c>
      <c r="D312" s="1160" t="s">
        <v>80</v>
      </c>
      <c r="E312" s="1160" t="s">
        <v>61</v>
      </c>
      <c r="F312" s="1160" t="s">
        <v>62</v>
      </c>
      <c r="G312" s="1161" t="s">
        <v>63</v>
      </c>
      <c r="H312" s="1161" t="s">
        <v>1048</v>
      </c>
      <c r="I312" s="1059"/>
      <c r="J312" s="1059"/>
      <c r="K312" s="1059"/>
      <c r="L312" s="1059"/>
      <c r="M312" s="1059"/>
      <c r="N312" s="1059"/>
      <c r="O312" s="1059"/>
      <c r="P312" s="1059"/>
      <c r="Q312" s="1059"/>
      <c r="R312" s="1059"/>
      <c r="S312" s="1059"/>
      <c r="T312" s="1059"/>
      <c r="U312" s="1059"/>
      <c r="V312" s="1059"/>
      <c r="W312" s="1059"/>
      <c r="X312" s="1059"/>
      <c r="Y312" s="1059"/>
      <c r="Z312" s="1059"/>
    </row>
    <row r="313" spans="1:26" ht="12.75" customHeight="1">
      <c r="A313" s="1162" t="s">
        <v>1062</v>
      </c>
      <c r="B313" s="1163">
        <v>200</v>
      </c>
      <c r="C313" s="1162" t="s">
        <v>1062</v>
      </c>
      <c r="D313" s="1109" t="s">
        <v>1206</v>
      </c>
      <c r="E313" s="1109" t="s">
        <v>1208</v>
      </c>
      <c r="F313" s="1120">
        <v>300</v>
      </c>
      <c r="G313" s="1109">
        <v>7743.7296703985176</v>
      </c>
      <c r="H313" s="1098">
        <f>+F313*G313</f>
        <v>2323118.9011195553</v>
      </c>
      <c r="I313" s="1059"/>
      <c r="J313" s="1059"/>
      <c r="K313" s="1059"/>
      <c r="L313" s="1059"/>
      <c r="M313" s="1059"/>
      <c r="N313" s="1059"/>
      <c r="O313" s="1059"/>
      <c r="P313" s="1059"/>
      <c r="Q313" s="1059"/>
      <c r="R313" s="1059"/>
      <c r="S313" s="1059"/>
      <c r="T313" s="1059"/>
      <c r="U313" s="1059"/>
      <c r="V313" s="1059"/>
      <c r="W313" s="1059"/>
      <c r="X313" s="1059"/>
      <c r="Y313" s="1059"/>
      <c r="Z313" s="1059"/>
    </row>
    <row r="314" spans="1:26" ht="38.25" customHeight="1">
      <c r="A314" s="1162" t="s">
        <v>1063</v>
      </c>
      <c r="B314" s="1163">
        <v>900</v>
      </c>
      <c r="C314" s="1162" t="s">
        <v>1063</v>
      </c>
      <c r="D314" s="1109" t="s">
        <v>1207</v>
      </c>
      <c r="E314" s="1109" t="s">
        <v>1340</v>
      </c>
      <c r="F314" s="1120">
        <v>1680</v>
      </c>
      <c r="G314" s="1109">
        <v>1171.969696969697</v>
      </c>
      <c r="H314" s="1098">
        <f>+F314*G314</f>
        <v>1968909.0909090911</v>
      </c>
      <c r="I314" s="1059"/>
      <c r="J314" s="1059"/>
      <c r="K314" s="1059"/>
      <c r="L314" s="1059"/>
      <c r="M314" s="1059"/>
      <c r="N314" s="1059"/>
      <c r="O314" s="1059"/>
      <c r="P314" s="1059"/>
      <c r="Q314" s="1059"/>
      <c r="R314" s="1059"/>
      <c r="S314" s="1059"/>
      <c r="T314" s="1059"/>
      <c r="U314" s="1059"/>
      <c r="V314" s="1059"/>
      <c r="W314" s="1059"/>
      <c r="X314" s="1059"/>
      <c r="Y314" s="1059"/>
      <c r="Z314" s="1059"/>
    </row>
    <row r="315" spans="1:26" ht="12.75" customHeight="1">
      <c r="A315" s="1059"/>
      <c r="B315" s="1059"/>
      <c r="C315" s="1059"/>
      <c r="D315" s="1014"/>
      <c r="E315" s="1014"/>
      <c r="F315" s="2077" t="s">
        <v>176</v>
      </c>
      <c r="G315" s="2055"/>
      <c r="H315" s="1128">
        <f>+SUM(H313:H314)</f>
        <v>4292027.9920286462</v>
      </c>
      <c r="I315" s="1059"/>
      <c r="J315" s="1059"/>
      <c r="K315" s="1059"/>
      <c r="L315" s="1059"/>
      <c r="M315" s="1059"/>
      <c r="N315" s="1059"/>
      <c r="O315" s="1059"/>
      <c r="P315" s="1059"/>
      <c r="Q315" s="1059"/>
      <c r="R315" s="1059"/>
      <c r="S315" s="1059"/>
      <c r="T315" s="1059"/>
      <c r="U315" s="1059"/>
      <c r="V315" s="1059"/>
      <c r="W315" s="1059"/>
      <c r="X315" s="1059"/>
      <c r="Y315" s="1059"/>
      <c r="Z315" s="1059"/>
    </row>
    <row r="316" spans="1:26" ht="12.75" customHeight="1">
      <c r="A316" s="1014"/>
      <c r="B316" s="1014"/>
      <c r="C316" s="1014"/>
      <c r="D316" s="1014"/>
      <c r="E316" s="1014"/>
      <c r="F316" s="2063" t="s">
        <v>1044</v>
      </c>
      <c r="G316" s="2049"/>
      <c r="H316" s="1128">
        <f>+((H315/1.31)*(0.05))*0.19</f>
        <v>31125.393835322244</v>
      </c>
      <c r="I316" s="1059"/>
      <c r="J316" s="1059"/>
      <c r="K316" s="1059"/>
      <c r="L316" s="1059"/>
      <c r="M316" s="1059"/>
      <c r="N316" s="1059"/>
      <c r="O316" s="1059"/>
      <c r="P316" s="1059"/>
      <c r="Q316" s="1059"/>
      <c r="R316" s="1059"/>
      <c r="S316" s="1059"/>
      <c r="T316" s="1059"/>
      <c r="U316" s="1059"/>
      <c r="V316" s="1059"/>
      <c r="W316" s="1059"/>
      <c r="X316" s="1059"/>
      <c r="Y316" s="1059"/>
      <c r="Z316" s="1059"/>
    </row>
    <row r="317" spans="1:26" ht="12.75" customHeight="1">
      <c r="A317" s="2063"/>
      <c r="B317" s="2060"/>
      <c r="C317" s="2060"/>
      <c r="D317" s="1014"/>
      <c r="E317" s="1014"/>
      <c r="F317" s="2063" t="s">
        <v>177</v>
      </c>
      <c r="G317" s="2049"/>
      <c r="H317" s="1458">
        <f>+SUM(H315:H316)</f>
        <v>4323153.3858639682</v>
      </c>
      <c r="I317" s="1059"/>
      <c r="J317" s="1059"/>
      <c r="K317" s="1059"/>
      <c r="L317" s="1059"/>
      <c r="M317" s="1059"/>
      <c r="N317" s="1059"/>
      <c r="O317" s="1059"/>
      <c r="P317" s="1059"/>
      <c r="Q317" s="1059"/>
      <c r="R317" s="1059"/>
      <c r="S317" s="1059"/>
      <c r="T317" s="1059"/>
      <c r="U317" s="1059"/>
      <c r="V317" s="1059"/>
      <c r="W317" s="1059"/>
      <c r="X317" s="1059"/>
      <c r="Y317" s="1059"/>
      <c r="Z317" s="1059"/>
    </row>
    <row r="318" spans="1:26" ht="12.75" customHeight="1">
      <c r="A318" s="1059"/>
      <c r="B318" s="1059"/>
      <c r="C318" s="1059"/>
      <c r="D318" s="1059"/>
      <c r="E318" s="1059"/>
      <c r="F318" s="1061"/>
      <c r="G318" s="1061"/>
      <c r="H318" s="1118"/>
      <c r="I318" s="1059"/>
      <c r="J318" s="1059"/>
      <c r="K318" s="1059"/>
      <c r="L318" s="1059"/>
      <c r="M318" s="1059"/>
      <c r="N318" s="1059"/>
      <c r="O318" s="1059"/>
      <c r="P318" s="1059"/>
      <c r="Q318" s="1059"/>
      <c r="R318" s="1059"/>
      <c r="S318" s="1059"/>
      <c r="T318" s="1059"/>
      <c r="U318" s="1059"/>
      <c r="V318" s="1059"/>
      <c r="W318" s="1059"/>
      <c r="X318" s="1059"/>
      <c r="Y318" s="1059"/>
      <c r="Z318" s="1059"/>
    </row>
    <row r="319" spans="1:26" ht="12.75" customHeight="1">
      <c r="A319" s="2087" t="s">
        <v>1268</v>
      </c>
      <c r="B319" s="2056"/>
      <c r="C319" s="2056"/>
      <c r="D319" s="2056"/>
      <c r="E319" s="2056"/>
      <c r="F319" s="2056"/>
      <c r="G319" s="2056"/>
      <c r="H319" s="2055"/>
      <c r="I319" s="1059"/>
      <c r="J319" s="1059"/>
      <c r="K319" s="1059"/>
      <c r="L319" s="1059"/>
      <c r="M319" s="1059"/>
      <c r="N319" s="1059"/>
      <c r="O319" s="1059"/>
      <c r="P319" s="1059"/>
      <c r="Q319" s="1059"/>
      <c r="R319" s="1059"/>
      <c r="S319" s="1059"/>
      <c r="T319" s="1059"/>
      <c r="U319" s="1059"/>
      <c r="V319" s="1059"/>
      <c r="W319" s="1059"/>
      <c r="X319" s="1059"/>
      <c r="Y319" s="1059"/>
      <c r="Z319" s="1059"/>
    </row>
    <row r="320" spans="1:26" ht="12.75" customHeight="1">
      <c r="A320" s="2088"/>
      <c r="B320" s="2070"/>
      <c r="C320" s="2070"/>
      <c r="D320" s="2070"/>
      <c r="E320" s="2070"/>
      <c r="F320" s="2070"/>
      <c r="G320" s="2070"/>
      <c r="H320" s="2089"/>
      <c r="I320" s="1059"/>
      <c r="J320" s="1059"/>
      <c r="K320" s="1059"/>
      <c r="L320" s="1059"/>
      <c r="M320" s="1059"/>
      <c r="N320" s="1059"/>
      <c r="O320" s="1059"/>
      <c r="P320" s="1059"/>
      <c r="Q320" s="1059"/>
      <c r="R320" s="1059"/>
      <c r="S320" s="1059"/>
      <c r="T320" s="1059"/>
      <c r="U320" s="1059"/>
      <c r="V320" s="1059"/>
      <c r="W320" s="1059"/>
      <c r="X320" s="1059"/>
      <c r="Y320" s="1059"/>
      <c r="Z320" s="1059"/>
    </row>
    <row r="321" spans="1:26" ht="13.5" customHeight="1">
      <c r="A321" s="2090" t="s">
        <v>390</v>
      </c>
      <c r="B321" s="2092" t="s">
        <v>391</v>
      </c>
      <c r="C321" s="2053"/>
      <c r="D321" s="2093" t="s">
        <v>80</v>
      </c>
      <c r="E321" s="2093" t="s">
        <v>1269</v>
      </c>
      <c r="F321" s="2094" t="s">
        <v>62</v>
      </c>
      <c r="G321" s="2094" t="s">
        <v>1270</v>
      </c>
      <c r="H321" s="2095" t="s">
        <v>268</v>
      </c>
      <c r="I321" s="1059"/>
      <c r="J321" s="1059"/>
      <c r="K321" s="1059"/>
      <c r="L321" s="1059"/>
      <c r="M321" s="1059"/>
      <c r="N321" s="1059"/>
      <c r="O321" s="1059"/>
      <c r="P321" s="1059"/>
      <c r="Q321" s="1059"/>
      <c r="R321" s="1059"/>
      <c r="S321" s="1059"/>
      <c r="T321" s="1059"/>
      <c r="U321" s="1059"/>
      <c r="V321" s="1059"/>
      <c r="W321" s="1059"/>
      <c r="X321" s="1059"/>
      <c r="Y321" s="1059"/>
      <c r="Z321" s="1059"/>
    </row>
    <row r="322" spans="1:26" ht="12.75" customHeight="1">
      <c r="A322" s="2091"/>
      <c r="B322" s="2096" t="s">
        <v>1271</v>
      </c>
      <c r="C322" s="2096" t="s">
        <v>1272</v>
      </c>
      <c r="D322" s="2091"/>
      <c r="E322" s="2091"/>
      <c r="F322" s="2091"/>
      <c r="G322" s="2091"/>
      <c r="H322" s="2091"/>
      <c r="I322" s="1059"/>
      <c r="J322" s="1059"/>
      <c r="K322" s="1059"/>
      <c r="L322" s="1059"/>
      <c r="M322" s="1059"/>
      <c r="N322" s="1059"/>
      <c r="O322" s="1059"/>
      <c r="P322" s="1059"/>
      <c r="Q322" s="1059"/>
      <c r="R322" s="1059"/>
      <c r="S322" s="1059"/>
      <c r="T322" s="1059"/>
      <c r="U322" s="1059"/>
      <c r="V322" s="1059"/>
      <c r="W322" s="1059"/>
      <c r="X322" s="1059"/>
      <c r="Y322" s="1059"/>
      <c r="Z322" s="1059"/>
    </row>
    <row r="323" spans="1:26" ht="12.75" customHeight="1">
      <c r="A323" s="2084"/>
      <c r="B323" s="2084"/>
      <c r="C323" s="2084"/>
      <c r="D323" s="2084"/>
      <c r="E323" s="2084"/>
      <c r="F323" s="2084"/>
      <c r="G323" s="2084"/>
      <c r="H323" s="2084"/>
      <c r="I323" s="1059"/>
      <c r="J323" s="1059"/>
      <c r="K323" s="1059"/>
      <c r="L323" s="1059"/>
      <c r="M323" s="1059"/>
      <c r="N323" s="1059"/>
      <c r="O323" s="1059"/>
      <c r="P323" s="1059"/>
      <c r="Q323" s="1059"/>
      <c r="R323" s="1059"/>
      <c r="S323" s="1059"/>
      <c r="T323" s="1059"/>
      <c r="U323" s="1059"/>
      <c r="V323" s="1059"/>
      <c r="W323" s="1059"/>
      <c r="X323" s="1059"/>
      <c r="Y323" s="1059"/>
      <c r="Z323" s="1059"/>
    </row>
    <row r="324" spans="1:26" ht="15" customHeight="1">
      <c r="A324" s="1164"/>
      <c r="B324" s="1164"/>
      <c r="C324" s="1164"/>
      <c r="D324" s="1164" t="s">
        <v>1212</v>
      </c>
      <c r="E324" s="1164"/>
      <c r="F324" s="1164"/>
      <c r="G324" s="1164"/>
      <c r="H324" s="1164"/>
      <c r="I324" s="1059"/>
      <c r="J324" s="1059"/>
      <c r="K324" s="1059"/>
      <c r="L324" s="1059"/>
      <c r="M324" s="1059"/>
      <c r="N324" s="1059"/>
      <c r="O324" s="1059"/>
      <c r="P324" s="1059"/>
      <c r="Q324" s="1059"/>
      <c r="R324" s="1059"/>
      <c r="S324" s="1059"/>
      <c r="T324" s="1059"/>
      <c r="U324" s="1059"/>
      <c r="V324" s="1059"/>
      <c r="W324" s="1059"/>
      <c r="X324" s="1059"/>
      <c r="Y324" s="1059"/>
      <c r="Z324" s="1059"/>
    </row>
    <row r="325" spans="1:26" ht="14.25" customHeight="1">
      <c r="A325" s="1069"/>
      <c r="B325" s="1069"/>
      <c r="C325" s="1083"/>
      <c r="D325" s="1072" t="s">
        <v>1273</v>
      </c>
      <c r="E325" s="1050" t="s">
        <v>677</v>
      </c>
      <c r="F325" s="1073">
        <v>3000</v>
      </c>
      <c r="G325" s="1073">
        <v>48037.700000000004</v>
      </c>
      <c r="H325" s="1074">
        <f>F325*G325</f>
        <v>144113100</v>
      </c>
      <c r="I325" s="1059"/>
      <c r="J325" s="1059"/>
      <c r="K325" s="1059"/>
      <c r="L325" s="1059"/>
      <c r="M325" s="1059"/>
      <c r="N325" s="1059"/>
      <c r="O325" s="1059"/>
      <c r="P325" s="1059"/>
      <c r="Q325" s="1059"/>
      <c r="R325" s="1059"/>
      <c r="S325" s="1059"/>
      <c r="T325" s="1059"/>
      <c r="U325" s="1059"/>
      <c r="V325" s="1059"/>
      <c r="W325" s="1059"/>
      <c r="X325" s="1059"/>
      <c r="Y325" s="1059"/>
      <c r="Z325" s="1059"/>
    </row>
    <row r="326" spans="1:26" ht="14.25" customHeight="1">
      <c r="A326" s="1069"/>
      <c r="B326" s="1069"/>
      <c r="C326" s="1083"/>
      <c r="D326" s="1072" t="s">
        <v>1274</v>
      </c>
      <c r="E326" s="1050" t="s">
        <v>1341</v>
      </c>
      <c r="F326" s="1073">
        <v>2</v>
      </c>
      <c r="G326" s="1073">
        <v>775806.89</v>
      </c>
      <c r="H326" s="1074">
        <f t="shared" ref="H326" si="19">F326*G326</f>
        <v>1551613.78</v>
      </c>
      <c r="I326" s="1059"/>
      <c r="J326" s="1059"/>
      <c r="K326" s="1059"/>
      <c r="L326" s="1059"/>
      <c r="M326" s="1059"/>
      <c r="N326" s="1059"/>
      <c r="O326" s="1059"/>
      <c r="P326" s="1059"/>
      <c r="Q326" s="1059"/>
      <c r="R326" s="1059"/>
      <c r="S326" s="1059"/>
      <c r="T326" s="1059"/>
      <c r="U326" s="1059"/>
      <c r="V326" s="1059"/>
      <c r="W326" s="1059"/>
      <c r="X326" s="1059"/>
      <c r="Y326" s="1059"/>
      <c r="Z326" s="1059"/>
    </row>
    <row r="327" spans="1:26" ht="15" customHeight="1">
      <c r="A327" s="1164"/>
      <c r="B327" s="1164"/>
      <c r="C327" s="1164"/>
      <c r="D327" s="1164" t="s">
        <v>1275</v>
      </c>
      <c r="E327" s="1164"/>
      <c r="F327" s="1165"/>
      <c r="G327" s="1164"/>
      <c r="H327" s="1164"/>
      <c r="I327" s="1059"/>
      <c r="J327" s="1059"/>
      <c r="K327" s="1059"/>
      <c r="L327" s="1059"/>
      <c r="M327" s="1059"/>
      <c r="N327" s="1059"/>
      <c r="O327" s="1059"/>
      <c r="P327" s="1059"/>
      <c r="Q327" s="1059"/>
      <c r="R327" s="1059"/>
      <c r="S327" s="1059"/>
      <c r="T327" s="1059"/>
      <c r="U327" s="1059"/>
      <c r="V327" s="1059"/>
      <c r="W327" s="1059"/>
      <c r="X327" s="1059"/>
      <c r="Y327" s="1059"/>
      <c r="Z327" s="1059"/>
    </row>
    <row r="328" spans="1:26" ht="14.25" customHeight="1">
      <c r="A328" s="1166"/>
      <c r="B328" s="1083"/>
      <c r="C328" s="1083"/>
      <c r="D328" s="1072" t="s">
        <v>1276</v>
      </c>
      <c r="E328" s="1050" t="s">
        <v>842</v>
      </c>
      <c r="F328" s="1050">
        <f>1000*3.5*1.5+500</f>
        <v>5750</v>
      </c>
      <c r="G328" s="1073">
        <v>16260</v>
      </c>
      <c r="H328" s="1074">
        <f t="shared" ref="H328:H330" si="20">F328*G328</f>
        <v>93495000</v>
      </c>
      <c r="I328" s="1059"/>
      <c r="J328" s="1059"/>
      <c r="K328" s="1059"/>
      <c r="L328" s="1059"/>
      <c r="M328" s="1059"/>
      <c r="N328" s="1059"/>
      <c r="O328" s="1059"/>
      <c r="P328" s="1059"/>
      <c r="Q328" s="1059"/>
      <c r="R328" s="1059"/>
      <c r="S328" s="1059"/>
      <c r="T328" s="1059"/>
      <c r="U328" s="1059"/>
      <c r="V328" s="1059"/>
      <c r="W328" s="1059"/>
      <c r="X328" s="1059"/>
      <c r="Y328" s="1059"/>
      <c r="Z328" s="1059"/>
    </row>
    <row r="329" spans="1:26" ht="14.25" customHeight="1">
      <c r="A329" s="1166"/>
      <c r="B329" s="1083"/>
      <c r="C329" s="1083"/>
      <c r="D329" s="1072" t="s">
        <v>1277</v>
      </c>
      <c r="E329" s="1050" t="s">
        <v>842</v>
      </c>
      <c r="F329" s="1050">
        <f>F328*20%</f>
        <v>1150</v>
      </c>
      <c r="G329" s="1073">
        <v>50212.3</v>
      </c>
      <c r="H329" s="1074">
        <f t="shared" si="20"/>
        <v>57744145</v>
      </c>
      <c r="I329" s="1059"/>
      <c r="J329" s="1059"/>
      <c r="K329" s="1059"/>
      <c r="L329" s="1059"/>
      <c r="M329" s="1059"/>
      <c r="N329" s="1059"/>
      <c r="O329" s="1059"/>
      <c r="P329" s="1059"/>
      <c r="Q329" s="1059"/>
      <c r="R329" s="1059"/>
      <c r="S329" s="1059"/>
      <c r="T329" s="1059"/>
      <c r="U329" s="1059"/>
      <c r="V329" s="1059"/>
      <c r="W329" s="1059"/>
      <c r="X329" s="1059"/>
      <c r="Y329" s="1059"/>
      <c r="Z329" s="1059"/>
    </row>
    <row r="330" spans="1:26" ht="14.25" customHeight="1">
      <c r="A330" s="1166"/>
      <c r="B330" s="1083"/>
      <c r="C330" s="1083"/>
      <c r="D330" s="1072" t="s">
        <v>1278</v>
      </c>
      <c r="E330" s="1050" t="s">
        <v>842</v>
      </c>
      <c r="F330" s="1050">
        <f>F328*10%</f>
        <v>575</v>
      </c>
      <c r="G330" s="1073">
        <v>52162.89</v>
      </c>
      <c r="H330" s="1074">
        <f t="shared" si="20"/>
        <v>29993661.75</v>
      </c>
      <c r="I330" s="1059"/>
      <c r="J330" s="1059"/>
      <c r="K330" s="1059"/>
      <c r="L330" s="1059"/>
      <c r="M330" s="1059"/>
      <c r="N330" s="1059"/>
      <c r="O330" s="1059"/>
      <c r="P330" s="1059"/>
      <c r="Q330" s="1059"/>
      <c r="R330" s="1059"/>
      <c r="S330" s="1059"/>
      <c r="T330" s="1059"/>
      <c r="U330" s="1059"/>
      <c r="V330" s="1059"/>
      <c r="W330" s="1059"/>
      <c r="X330" s="1059"/>
      <c r="Y330" s="1059"/>
      <c r="Z330" s="1059"/>
    </row>
    <row r="331" spans="1:26" ht="15" customHeight="1">
      <c r="A331" s="1164"/>
      <c r="B331" s="1164"/>
      <c r="C331" s="1164"/>
      <c r="D331" s="1164" t="s">
        <v>1279</v>
      </c>
      <c r="E331" s="1164"/>
      <c r="F331" s="1165"/>
      <c r="G331" s="1164"/>
      <c r="H331" s="1164"/>
      <c r="I331" s="1059"/>
      <c r="J331" s="1059"/>
      <c r="K331" s="1059"/>
      <c r="L331" s="1059"/>
      <c r="M331" s="1059"/>
      <c r="N331" s="1059"/>
      <c r="O331" s="1059"/>
      <c r="P331" s="1059"/>
      <c r="Q331" s="1059"/>
      <c r="R331" s="1059"/>
      <c r="S331" s="1059"/>
      <c r="T331" s="1059"/>
      <c r="U331" s="1059"/>
      <c r="V331" s="1059"/>
      <c r="W331" s="1059"/>
      <c r="X331" s="1059"/>
      <c r="Y331" s="1059"/>
      <c r="Z331" s="1059"/>
    </row>
    <row r="332" spans="1:26" ht="14.25" customHeight="1">
      <c r="A332" s="1069"/>
      <c r="B332" s="1069"/>
      <c r="C332" s="1083"/>
      <c r="D332" s="1072" t="s">
        <v>1280</v>
      </c>
      <c r="E332" s="1050" t="s">
        <v>842</v>
      </c>
      <c r="F332" s="1050">
        <f>(1*3*0.25*800)+(1*2*0.4*800)+(1*2*0.2*800)+800</f>
        <v>2360</v>
      </c>
      <c r="G332" s="1073">
        <v>658360</v>
      </c>
      <c r="H332" s="1074">
        <f t="shared" ref="H332:H334" si="21">F332*G332</f>
        <v>1553729600</v>
      </c>
      <c r="I332" s="1059"/>
      <c r="J332" s="1059"/>
      <c r="K332" s="1059"/>
      <c r="L332" s="1059"/>
      <c r="M332" s="1059"/>
      <c r="N332" s="1059"/>
      <c r="O332" s="1059"/>
      <c r="P332" s="1059"/>
      <c r="Q332" s="1059"/>
      <c r="R332" s="1059"/>
      <c r="S332" s="1059"/>
      <c r="T332" s="1059"/>
      <c r="U332" s="1059"/>
      <c r="V332" s="1059"/>
      <c r="W332" s="1059"/>
      <c r="X332" s="1059"/>
      <c r="Y332" s="1059"/>
      <c r="Z332" s="1059"/>
    </row>
    <row r="333" spans="1:26" ht="14.25" customHeight="1">
      <c r="A333" s="1069"/>
      <c r="B333" s="1069"/>
      <c r="C333" s="1083"/>
      <c r="D333" s="1072" t="s">
        <v>1281</v>
      </c>
      <c r="E333" s="1050" t="s">
        <v>842</v>
      </c>
      <c r="F333" s="1050">
        <f>(1*3.5*0.05*800)+100</f>
        <v>240</v>
      </c>
      <c r="G333" s="1073">
        <v>344872</v>
      </c>
      <c r="H333" s="1074">
        <f t="shared" si="21"/>
        <v>82769280</v>
      </c>
      <c r="I333" s="1059"/>
      <c r="J333" s="1059"/>
      <c r="K333" s="1059"/>
      <c r="L333" s="1059"/>
      <c r="M333" s="1059"/>
      <c r="N333" s="1059"/>
      <c r="O333" s="1059"/>
      <c r="P333" s="1059"/>
      <c r="Q333" s="1059"/>
      <c r="R333" s="1059"/>
      <c r="S333" s="1059"/>
      <c r="T333" s="1059"/>
      <c r="U333" s="1059"/>
      <c r="V333" s="1059"/>
      <c r="W333" s="1059"/>
      <c r="X333" s="1059"/>
      <c r="Y333" s="1059"/>
      <c r="Z333" s="1059"/>
    </row>
    <row r="334" spans="1:26" ht="15" customHeight="1">
      <c r="A334" s="1143"/>
      <c r="B334" s="1143"/>
      <c r="C334" s="1143"/>
      <c r="D334" s="1072" t="s">
        <v>1282</v>
      </c>
      <c r="E334" s="1050" t="s">
        <v>842</v>
      </c>
      <c r="F334" s="1050">
        <v>200</v>
      </c>
      <c r="G334" s="1073">
        <v>245503</v>
      </c>
      <c r="H334" s="1074">
        <f t="shared" si="21"/>
        <v>49100600</v>
      </c>
      <c r="I334" s="1059"/>
      <c r="J334" s="1059"/>
      <c r="K334" s="1059"/>
      <c r="L334" s="1059"/>
      <c r="M334" s="1059"/>
      <c r="N334" s="1059"/>
      <c r="O334" s="1059"/>
      <c r="P334" s="1059"/>
      <c r="Q334" s="1059"/>
      <c r="R334" s="1059"/>
      <c r="S334" s="1059"/>
      <c r="T334" s="1059"/>
      <c r="U334" s="1059"/>
      <c r="V334" s="1059"/>
      <c r="W334" s="1059"/>
      <c r="X334" s="1059"/>
      <c r="Y334" s="1059"/>
      <c r="Z334" s="1059"/>
    </row>
    <row r="335" spans="1:26" ht="15" customHeight="1">
      <c r="A335" s="1152"/>
      <c r="B335" s="1152"/>
      <c r="C335" s="1153"/>
      <c r="D335" s="1164" t="s">
        <v>1283</v>
      </c>
      <c r="E335" s="1164"/>
      <c r="F335" s="1165"/>
      <c r="G335" s="1164"/>
      <c r="H335" s="1164"/>
      <c r="I335" s="1059"/>
      <c r="J335" s="1059"/>
      <c r="K335" s="1059"/>
      <c r="L335" s="1059"/>
      <c r="M335" s="1059"/>
      <c r="N335" s="1059"/>
      <c r="O335" s="1059"/>
      <c r="P335" s="1059"/>
      <c r="Q335" s="1059"/>
      <c r="R335" s="1059"/>
      <c r="S335" s="1059"/>
      <c r="T335" s="1059"/>
      <c r="U335" s="1059"/>
      <c r="V335" s="1059"/>
      <c r="W335" s="1059"/>
      <c r="X335" s="1059"/>
      <c r="Y335" s="1059"/>
      <c r="Z335" s="1059"/>
    </row>
    <row r="336" spans="1:26" ht="14.25" customHeight="1">
      <c r="A336" s="1069"/>
      <c r="B336" s="1069"/>
      <c r="C336" s="1083"/>
      <c r="D336" s="1072" t="s">
        <v>1284</v>
      </c>
      <c r="E336" s="1050" t="s">
        <v>1229</v>
      </c>
      <c r="F336" s="1050">
        <v>100152</v>
      </c>
      <c r="G336" s="1073">
        <v>4618</v>
      </c>
      <c r="H336" s="1074">
        <f>F336*G336</f>
        <v>462501936</v>
      </c>
      <c r="I336" s="1059"/>
      <c r="J336" s="1059"/>
      <c r="K336" s="1059"/>
      <c r="L336" s="1059"/>
      <c r="M336" s="1059"/>
      <c r="N336" s="1059"/>
      <c r="O336" s="1059"/>
      <c r="P336" s="1059"/>
      <c r="Q336" s="1059"/>
      <c r="R336" s="1059"/>
      <c r="S336" s="1059"/>
      <c r="T336" s="1059"/>
      <c r="U336" s="1059"/>
      <c r="V336" s="1059"/>
      <c r="W336" s="1059"/>
      <c r="X336" s="1059"/>
      <c r="Y336" s="1059"/>
      <c r="Z336" s="1059"/>
    </row>
    <row r="337" spans="1:26" ht="15" customHeight="1">
      <c r="A337" s="1164"/>
      <c r="B337" s="1164"/>
      <c r="C337" s="1164"/>
      <c r="D337" s="1164" t="s">
        <v>1285</v>
      </c>
      <c r="E337" s="1164"/>
      <c r="F337" s="1164"/>
      <c r="G337" s="1164"/>
      <c r="H337" s="1164"/>
      <c r="I337" s="1059"/>
      <c r="J337" s="1059"/>
      <c r="K337" s="1059"/>
      <c r="L337" s="1059"/>
      <c r="M337" s="1059"/>
      <c r="N337" s="1059"/>
      <c r="O337" s="1059"/>
      <c r="P337" s="1059"/>
      <c r="Q337" s="1059"/>
      <c r="R337" s="1059"/>
      <c r="S337" s="1059"/>
      <c r="T337" s="1059"/>
      <c r="U337" s="1059"/>
      <c r="V337" s="1059"/>
      <c r="W337" s="1059"/>
      <c r="X337" s="1059"/>
      <c r="Y337" s="1059"/>
      <c r="Z337" s="1059"/>
    </row>
    <row r="338" spans="1:26" ht="14.25" customHeight="1">
      <c r="A338" s="1069"/>
      <c r="B338" s="1069"/>
      <c r="C338" s="1083"/>
      <c r="D338" s="1072" t="s">
        <v>88</v>
      </c>
      <c r="E338" s="1050" t="s">
        <v>842</v>
      </c>
      <c r="F338" s="1050">
        <v>1500</v>
      </c>
      <c r="G338" s="1073">
        <v>34059</v>
      </c>
      <c r="H338" s="1074">
        <f t="shared" ref="H338:H341" si="22">F338*G338</f>
        <v>51088500</v>
      </c>
      <c r="I338" s="1059"/>
      <c r="J338" s="1059"/>
      <c r="K338" s="1059"/>
      <c r="L338" s="1059"/>
      <c r="M338" s="1059"/>
      <c r="N338" s="1059"/>
      <c r="O338" s="1059"/>
      <c r="P338" s="1059"/>
      <c r="Q338" s="1059"/>
      <c r="R338" s="1059"/>
      <c r="S338" s="1059"/>
      <c r="T338" s="1059"/>
      <c r="U338" s="1059"/>
      <c r="V338" s="1059"/>
      <c r="W338" s="1059"/>
      <c r="X338" s="1059"/>
      <c r="Y338" s="1059"/>
      <c r="Z338" s="1059"/>
    </row>
    <row r="339" spans="1:26" ht="14.25" customHeight="1">
      <c r="A339" s="1069"/>
      <c r="B339" s="1069"/>
      <c r="C339" s="1083"/>
      <c r="D339" s="1072" t="s">
        <v>1286</v>
      </c>
      <c r="E339" s="1050" t="s">
        <v>677</v>
      </c>
      <c r="F339" s="1050">
        <v>1600</v>
      </c>
      <c r="G339" s="1073">
        <v>152618</v>
      </c>
      <c r="H339" s="1074">
        <f t="shared" si="22"/>
        <v>244188800</v>
      </c>
      <c r="I339" s="1059"/>
      <c r="J339" s="1059"/>
      <c r="K339" s="1059"/>
      <c r="L339" s="1059"/>
      <c r="M339" s="1059"/>
      <c r="N339" s="1059"/>
      <c r="O339" s="1059"/>
      <c r="P339" s="1059"/>
      <c r="Q339" s="1059"/>
      <c r="R339" s="1059"/>
      <c r="S339" s="1059"/>
      <c r="T339" s="1059"/>
      <c r="U339" s="1059"/>
      <c r="V339" s="1059"/>
      <c r="W339" s="1059"/>
      <c r="X339" s="1059"/>
      <c r="Y339" s="1059"/>
      <c r="Z339" s="1059"/>
    </row>
    <row r="340" spans="1:26" ht="14.25" customHeight="1">
      <c r="A340" s="1069"/>
      <c r="B340" s="1069"/>
      <c r="C340" s="1083"/>
      <c r="D340" s="1072" t="s">
        <v>1287</v>
      </c>
      <c r="E340" s="1050" t="s">
        <v>842</v>
      </c>
      <c r="F340" s="1050">
        <v>2000</v>
      </c>
      <c r="G340" s="1073">
        <v>6976</v>
      </c>
      <c r="H340" s="1074">
        <f t="shared" si="22"/>
        <v>13952000</v>
      </c>
      <c r="I340" s="1059"/>
      <c r="J340" s="1059"/>
      <c r="K340" s="1059"/>
      <c r="L340" s="1059"/>
      <c r="M340" s="1059"/>
      <c r="N340" s="1059"/>
      <c r="O340" s="1059"/>
      <c r="P340" s="1059"/>
      <c r="Q340" s="1059"/>
      <c r="R340" s="1059"/>
      <c r="S340" s="1059"/>
      <c r="T340" s="1059"/>
      <c r="U340" s="1059"/>
      <c r="V340" s="1059"/>
      <c r="W340" s="1059"/>
      <c r="X340" s="1059"/>
      <c r="Y340" s="1059"/>
      <c r="Z340" s="1059"/>
    </row>
    <row r="341" spans="1:26" ht="14.25" customHeight="1">
      <c r="A341" s="1069"/>
      <c r="B341" s="1069"/>
      <c r="C341" s="1083"/>
      <c r="D341" s="1072" t="s">
        <v>1288</v>
      </c>
      <c r="E341" s="1050" t="s">
        <v>1289</v>
      </c>
      <c r="F341" s="1050">
        <f>F340*6</f>
        <v>12000</v>
      </c>
      <c r="G341" s="1073">
        <v>1044</v>
      </c>
      <c r="H341" s="1074">
        <f t="shared" si="22"/>
        <v>12528000</v>
      </c>
      <c r="I341" s="1059"/>
      <c r="J341" s="1059"/>
      <c r="K341" s="1059"/>
      <c r="L341" s="1059"/>
      <c r="M341" s="1059"/>
      <c r="N341" s="1059"/>
      <c r="O341" s="1059"/>
      <c r="P341" s="1059"/>
      <c r="Q341" s="1059"/>
      <c r="R341" s="1059"/>
      <c r="S341" s="1059"/>
      <c r="T341" s="1059"/>
      <c r="U341" s="1059"/>
      <c r="V341" s="1059"/>
      <c r="W341" s="1059"/>
      <c r="X341" s="1059"/>
      <c r="Y341" s="1059"/>
      <c r="Z341" s="1059"/>
    </row>
    <row r="342" spans="1:26" ht="14.25" customHeight="1">
      <c r="A342" s="1069"/>
      <c r="B342" s="1069"/>
      <c r="C342" s="1083"/>
      <c r="D342" s="1050"/>
      <c r="E342" s="1050"/>
      <c r="F342" s="1050"/>
      <c r="G342" s="1050"/>
      <c r="H342" s="1049"/>
      <c r="I342" s="1059"/>
      <c r="J342" s="1059"/>
      <c r="K342" s="1059"/>
      <c r="L342" s="1059"/>
      <c r="M342" s="1059"/>
      <c r="N342" s="1059"/>
      <c r="O342" s="1059"/>
      <c r="P342" s="1059"/>
      <c r="Q342" s="1059"/>
      <c r="R342" s="1059"/>
      <c r="S342" s="1059"/>
      <c r="T342" s="1059"/>
      <c r="U342" s="1059"/>
      <c r="V342" s="1059"/>
      <c r="W342" s="1059"/>
      <c r="X342" s="1059"/>
      <c r="Y342" s="1059"/>
      <c r="Z342" s="1059"/>
    </row>
    <row r="343" spans="1:26" ht="15" customHeight="1">
      <c r="A343" s="1069"/>
      <c r="B343" s="1069"/>
      <c r="C343" s="1083"/>
      <c r="D343" s="1050"/>
      <c r="E343" s="1050"/>
      <c r="F343" s="1050"/>
      <c r="G343" s="1084" t="s">
        <v>1173</v>
      </c>
      <c r="H343" s="1085">
        <f>SUM(H325:H341)</f>
        <v>2796756236.5299997</v>
      </c>
      <c r="I343" s="1059"/>
      <c r="J343" s="1059"/>
      <c r="K343" s="1059"/>
      <c r="L343" s="1059"/>
      <c r="M343" s="1059"/>
      <c r="N343" s="1059"/>
      <c r="O343" s="1059"/>
      <c r="P343" s="1059"/>
      <c r="Q343" s="1059"/>
      <c r="R343" s="1059"/>
      <c r="S343" s="1059"/>
      <c r="T343" s="1059"/>
      <c r="U343" s="1059"/>
      <c r="V343" s="1059"/>
      <c r="W343" s="1059"/>
      <c r="X343" s="1059"/>
      <c r="Y343" s="1059"/>
      <c r="Z343" s="1059"/>
    </row>
    <row r="344" spans="1:26" ht="12.75" customHeight="1">
      <c r="A344" s="2097" t="s">
        <v>947</v>
      </c>
      <c r="B344" s="2052"/>
      <c r="C344" s="2052"/>
      <c r="D344" s="2052"/>
      <c r="E344" s="2052"/>
      <c r="F344" s="2052"/>
      <c r="G344" s="2053"/>
      <c r="H344" s="1167">
        <v>205396825</v>
      </c>
      <c r="I344" s="1059"/>
      <c r="J344" s="1059"/>
      <c r="K344" s="1059"/>
      <c r="L344" s="1059"/>
      <c r="M344" s="1059"/>
      <c r="N344" s="1059"/>
      <c r="O344" s="1059"/>
      <c r="P344" s="1059"/>
      <c r="Q344" s="1059"/>
      <c r="R344" s="1059"/>
      <c r="S344" s="1059"/>
      <c r="T344" s="1059"/>
      <c r="U344" s="1059"/>
      <c r="V344" s="1059"/>
      <c r="W344" s="1059"/>
      <c r="X344" s="1059"/>
      <c r="Y344" s="1059"/>
      <c r="Z344" s="1059"/>
    </row>
    <row r="345" spans="1:26" ht="12.75" customHeight="1">
      <c r="A345" s="2097" t="s">
        <v>948</v>
      </c>
      <c r="B345" s="2052"/>
      <c r="C345" s="2052"/>
      <c r="D345" s="2052"/>
      <c r="E345" s="2052"/>
      <c r="F345" s="2052"/>
      <c r="G345" s="2053"/>
      <c r="H345" s="1168">
        <f>+H344+H343</f>
        <v>3002153061.5299997</v>
      </c>
      <c r="I345" s="1059"/>
      <c r="J345" s="1059"/>
      <c r="K345" s="1059"/>
      <c r="L345" s="1059"/>
      <c r="M345" s="1059"/>
      <c r="N345" s="1059"/>
      <c r="O345" s="1059"/>
      <c r="P345" s="1059"/>
      <c r="Q345" s="1059"/>
      <c r="R345" s="1059"/>
      <c r="S345" s="1059"/>
      <c r="T345" s="1059"/>
      <c r="U345" s="1059"/>
      <c r="V345" s="1059"/>
      <c r="W345" s="1059"/>
      <c r="X345" s="1059"/>
      <c r="Y345" s="1059"/>
      <c r="Z345" s="1059"/>
    </row>
    <row r="346" spans="1:26" ht="12.75" customHeight="1">
      <c r="A346" s="2097" t="s">
        <v>949</v>
      </c>
      <c r="B346" s="2052"/>
      <c r="C346" s="2052"/>
      <c r="D346" s="2052"/>
      <c r="E346" s="2052"/>
      <c r="F346" s="2052"/>
      <c r="G346" s="2053"/>
      <c r="H346" s="1168">
        <f>+((H345/1.31)*(0.05))*0.19</f>
        <v>21771338.995828241</v>
      </c>
      <c r="I346" s="1059"/>
      <c r="J346" s="1059"/>
      <c r="K346" s="1059"/>
      <c r="L346" s="1059"/>
      <c r="M346" s="1059"/>
      <c r="N346" s="1059"/>
      <c r="O346" s="1059"/>
      <c r="P346" s="1059"/>
      <c r="Q346" s="1059"/>
      <c r="R346" s="1059"/>
      <c r="S346" s="1059"/>
      <c r="T346" s="1059"/>
      <c r="U346" s="1059"/>
      <c r="V346" s="1059"/>
      <c r="W346" s="1059"/>
      <c r="X346" s="1059"/>
      <c r="Y346" s="1059"/>
      <c r="Z346" s="1059"/>
    </row>
    <row r="347" spans="1:26" ht="30" customHeight="1">
      <c r="A347" s="1069"/>
      <c r="B347" s="1069"/>
      <c r="C347" s="1083"/>
      <c r="D347" s="1169" t="s">
        <v>1290</v>
      </c>
      <c r="E347" s="1070" t="s">
        <v>1174</v>
      </c>
      <c r="F347" s="1170">
        <v>1</v>
      </c>
      <c r="G347" s="1157">
        <v>282500000</v>
      </c>
      <c r="H347" s="1168">
        <f>+F347*G347</f>
        <v>282500000</v>
      </c>
      <c r="I347" s="1059"/>
      <c r="J347" s="1059"/>
      <c r="K347" s="1059"/>
      <c r="L347" s="1059"/>
      <c r="M347" s="1059"/>
      <c r="N347" s="1059"/>
      <c r="O347" s="1059"/>
      <c r="P347" s="1059"/>
      <c r="Q347" s="1059"/>
      <c r="R347" s="1059"/>
      <c r="S347" s="1059"/>
      <c r="T347" s="1059"/>
      <c r="U347" s="1059"/>
      <c r="V347" s="1059"/>
      <c r="W347" s="1059"/>
      <c r="X347" s="1059"/>
      <c r="Y347" s="1059"/>
      <c r="Z347" s="1059"/>
    </row>
    <row r="348" spans="1:26" ht="12.75" customHeight="1">
      <c r="A348" s="2097" t="s">
        <v>955</v>
      </c>
      <c r="B348" s="2052"/>
      <c r="C348" s="2052"/>
      <c r="D348" s="2052"/>
      <c r="E348" s="2052"/>
      <c r="F348" s="2052"/>
      <c r="G348" s="2053"/>
      <c r="H348" s="1171">
        <f>+H347*0.19</f>
        <v>53675000</v>
      </c>
      <c r="I348" s="1059"/>
      <c r="J348" s="1059"/>
      <c r="K348" s="1059"/>
      <c r="L348" s="1059"/>
      <c r="M348" s="1059"/>
      <c r="N348" s="1059"/>
      <c r="O348" s="1059"/>
      <c r="P348" s="1059"/>
      <c r="Q348" s="1059"/>
      <c r="R348" s="1059"/>
      <c r="S348" s="1059"/>
      <c r="T348" s="1059"/>
      <c r="U348" s="1059"/>
      <c r="V348" s="1059"/>
      <c r="W348" s="1059"/>
      <c r="X348" s="1059"/>
      <c r="Y348" s="1059"/>
      <c r="Z348" s="1059"/>
    </row>
    <row r="349" spans="1:26" ht="12.75" customHeight="1">
      <c r="A349" s="2098" t="s">
        <v>956</v>
      </c>
      <c r="B349" s="2052"/>
      <c r="C349" s="2052"/>
      <c r="D349" s="2052"/>
      <c r="E349" s="2052"/>
      <c r="F349" s="2052"/>
      <c r="G349" s="2053"/>
      <c r="H349" s="1171">
        <f>+H347+H348</f>
        <v>336175000</v>
      </c>
      <c r="I349" s="1059"/>
      <c r="J349" s="1059"/>
      <c r="K349" s="1059"/>
      <c r="L349" s="1059"/>
      <c r="M349" s="1059"/>
      <c r="N349" s="1059"/>
      <c r="O349" s="1059"/>
      <c r="P349" s="1059"/>
      <c r="Q349" s="1059"/>
      <c r="R349" s="1059"/>
      <c r="S349" s="1059"/>
      <c r="T349" s="1059"/>
      <c r="U349" s="1059"/>
      <c r="V349" s="1059"/>
      <c r="W349" s="1059"/>
      <c r="X349" s="1059"/>
      <c r="Y349" s="1059"/>
      <c r="Z349" s="1059"/>
    </row>
    <row r="350" spans="1:26" ht="12.75" customHeight="1">
      <c r="A350" s="2098" t="s">
        <v>957</v>
      </c>
      <c r="B350" s="2052"/>
      <c r="C350" s="2052"/>
      <c r="D350" s="2052"/>
      <c r="E350" s="2052"/>
      <c r="F350" s="2052"/>
      <c r="G350" s="2053"/>
      <c r="H350" s="1508">
        <f>+H345+H346+H347+H348</f>
        <v>3360099400.5258279</v>
      </c>
      <c r="I350" s="1059"/>
      <c r="J350" s="1059"/>
      <c r="K350" s="1059"/>
      <c r="L350" s="1059"/>
      <c r="M350" s="1059"/>
      <c r="N350" s="1059"/>
      <c r="O350" s="1059"/>
      <c r="P350" s="1059"/>
      <c r="Q350" s="1059"/>
      <c r="R350" s="1059"/>
      <c r="S350" s="1059"/>
      <c r="T350" s="1059"/>
      <c r="U350" s="1059"/>
      <c r="V350" s="1059"/>
      <c r="W350" s="1059"/>
      <c r="X350" s="1059"/>
      <c r="Y350" s="1059"/>
      <c r="Z350" s="1059"/>
    </row>
    <row r="351" spans="1:26" ht="12.75" customHeight="1">
      <c r="A351" s="1059"/>
      <c r="B351" s="1059"/>
      <c r="C351" s="1059"/>
      <c r="D351" s="1059"/>
      <c r="E351" s="1059"/>
      <c r="F351" s="1061"/>
      <c r="G351" s="1061"/>
      <c r="H351" s="1118"/>
      <c r="I351" s="1059"/>
      <c r="J351" s="1059"/>
      <c r="K351" s="1059"/>
      <c r="L351" s="1059"/>
      <c r="M351" s="1059"/>
      <c r="N351" s="1059"/>
      <c r="O351" s="1059"/>
      <c r="P351" s="1059"/>
      <c r="Q351" s="1059"/>
      <c r="R351" s="1059"/>
      <c r="S351" s="1059"/>
      <c r="T351" s="1059"/>
      <c r="U351" s="1059"/>
      <c r="V351" s="1059"/>
      <c r="W351" s="1059"/>
      <c r="X351" s="1059"/>
      <c r="Y351" s="1059"/>
      <c r="Z351" s="1059"/>
    </row>
    <row r="352" spans="1:26" ht="12.75" customHeight="1">
      <c r="A352" s="1059"/>
      <c r="B352" s="1059"/>
      <c r="C352" s="1059"/>
      <c r="D352" s="1059"/>
      <c r="E352" s="1059"/>
      <c r="F352" s="1061"/>
      <c r="G352" s="1061"/>
      <c r="H352" s="1118"/>
      <c r="I352" s="1059"/>
      <c r="J352" s="1059"/>
      <c r="K352" s="1059"/>
      <c r="L352" s="1059"/>
      <c r="M352" s="1059"/>
      <c r="N352" s="1059"/>
      <c r="O352" s="1059"/>
      <c r="P352" s="1059"/>
      <c r="Q352" s="1059"/>
      <c r="R352" s="1059"/>
      <c r="S352" s="1059"/>
      <c r="T352" s="1059"/>
      <c r="U352" s="1059"/>
      <c r="V352" s="1059"/>
      <c r="W352" s="1059"/>
      <c r="X352" s="1059"/>
      <c r="Y352" s="1059"/>
      <c r="Z352" s="1059"/>
    </row>
    <row r="353" spans="1:26" ht="12.75" customHeight="1">
      <c r="A353" s="1059"/>
      <c r="B353" s="1059"/>
      <c r="C353" s="1059"/>
      <c r="D353" s="1059"/>
      <c r="E353" s="1059"/>
      <c r="F353" s="1061"/>
      <c r="G353" s="1061"/>
      <c r="H353" s="1118"/>
      <c r="I353" s="1059"/>
      <c r="J353" s="1059"/>
      <c r="K353" s="1059"/>
      <c r="L353" s="1059"/>
      <c r="M353" s="1059"/>
      <c r="N353" s="1059"/>
      <c r="O353" s="1059"/>
      <c r="P353" s="1059"/>
      <c r="Q353" s="1059"/>
      <c r="R353" s="1059"/>
      <c r="S353" s="1059"/>
      <c r="T353" s="1059"/>
      <c r="U353" s="1059"/>
      <c r="V353" s="1059"/>
      <c r="W353" s="1059"/>
      <c r="X353" s="1059"/>
      <c r="Y353" s="1059"/>
      <c r="Z353" s="1059"/>
    </row>
    <row r="354" spans="1:26" ht="12.75" customHeight="1">
      <c r="A354" s="1059"/>
      <c r="B354" s="1059"/>
      <c r="C354" s="1059"/>
      <c r="D354" s="1059"/>
      <c r="E354" s="1059"/>
      <c r="F354" s="1061"/>
      <c r="G354" s="1061"/>
      <c r="H354" s="1118"/>
      <c r="I354" s="1059"/>
      <c r="J354" s="1059"/>
      <c r="K354" s="1059"/>
      <c r="L354" s="1059"/>
      <c r="M354" s="1059"/>
      <c r="N354" s="1059"/>
      <c r="O354" s="1059"/>
      <c r="P354" s="1059"/>
      <c r="Q354" s="1059"/>
      <c r="R354" s="1059"/>
      <c r="S354" s="1059"/>
      <c r="T354" s="1059"/>
      <c r="U354" s="1059"/>
      <c r="V354" s="1059"/>
      <c r="W354" s="1059"/>
      <c r="X354" s="1059"/>
      <c r="Y354" s="1059"/>
      <c r="Z354" s="1059"/>
    </row>
    <row r="355" spans="1:26" ht="12.75" customHeight="1">
      <c r="A355" s="1059"/>
      <c r="B355" s="1059"/>
      <c r="C355" s="1059"/>
      <c r="D355" s="1059"/>
      <c r="E355" s="1059"/>
      <c r="F355" s="1061"/>
      <c r="G355" s="1061"/>
      <c r="H355" s="1118"/>
      <c r="I355" s="1059"/>
      <c r="J355" s="1059"/>
      <c r="K355" s="1059"/>
      <c r="L355" s="1059"/>
      <c r="M355" s="1059"/>
      <c r="N355" s="1059"/>
      <c r="O355" s="1059"/>
      <c r="P355" s="1059"/>
      <c r="Q355" s="1059"/>
      <c r="R355" s="1059"/>
      <c r="S355" s="1059"/>
      <c r="T355" s="1059"/>
      <c r="U355" s="1059"/>
      <c r="V355" s="1059"/>
      <c r="W355" s="1059"/>
      <c r="X355" s="1059"/>
      <c r="Y355" s="1059"/>
      <c r="Z355" s="1059"/>
    </row>
    <row r="356" spans="1:26" ht="12.75" customHeight="1">
      <c r="A356" s="1059"/>
      <c r="B356" s="1059"/>
      <c r="C356" s="1059"/>
      <c r="D356" s="1059"/>
      <c r="E356" s="1059"/>
      <c r="F356" s="1061"/>
      <c r="G356" s="1061"/>
      <c r="H356" s="1118"/>
      <c r="I356" s="1059"/>
      <c r="J356" s="1059"/>
      <c r="K356" s="1059"/>
      <c r="L356" s="1059"/>
      <c r="M356" s="1059"/>
      <c r="N356" s="1059"/>
      <c r="O356" s="1059"/>
      <c r="P356" s="1059"/>
      <c r="Q356" s="1059"/>
      <c r="R356" s="1059"/>
      <c r="S356" s="1059"/>
      <c r="T356" s="1059"/>
      <c r="U356" s="1059"/>
      <c r="V356" s="1059"/>
      <c r="W356" s="1059"/>
      <c r="X356" s="1059"/>
      <c r="Y356" s="1059"/>
      <c r="Z356" s="1059"/>
    </row>
    <row r="357" spans="1:26" ht="12.75" customHeight="1">
      <c r="A357" s="1059"/>
      <c r="B357" s="1059"/>
      <c r="C357" s="1059"/>
      <c r="D357" s="1059"/>
      <c r="E357" s="1059"/>
      <c r="F357" s="1061"/>
      <c r="G357" s="1061"/>
      <c r="H357" s="1118"/>
      <c r="I357" s="1059"/>
      <c r="J357" s="1059"/>
      <c r="K357" s="1059"/>
      <c r="L357" s="1059"/>
      <c r="M357" s="1059"/>
      <c r="N357" s="1059"/>
      <c r="O357" s="1059"/>
      <c r="P357" s="1059"/>
      <c r="Q357" s="1059"/>
      <c r="R357" s="1059"/>
      <c r="S357" s="1059"/>
      <c r="T357" s="1059"/>
      <c r="U357" s="1059"/>
      <c r="V357" s="1059"/>
      <c r="W357" s="1059"/>
      <c r="X357" s="1059"/>
      <c r="Y357" s="1059"/>
      <c r="Z357" s="1059"/>
    </row>
    <row r="358" spans="1:26" ht="12.75" customHeight="1">
      <c r="A358" s="1059"/>
      <c r="B358" s="1059"/>
      <c r="C358" s="1059"/>
      <c r="D358" s="1059"/>
      <c r="E358" s="1059"/>
      <c r="F358" s="1061"/>
      <c r="G358" s="1061"/>
      <c r="H358" s="1118"/>
      <c r="I358" s="1059"/>
      <c r="J358" s="1059"/>
      <c r="K358" s="1059"/>
      <c r="L358" s="1059"/>
      <c r="M358" s="1059"/>
      <c r="N358" s="1059"/>
      <c r="O358" s="1059"/>
      <c r="P358" s="1059"/>
      <c r="Q358" s="1059"/>
      <c r="R358" s="1059"/>
      <c r="S358" s="1059"/>
      <c r="T358" s="1059"/>
      <c r="U358" s="1059"/>
      <c r="V358" s="1059"/>
      <c r="W358" s="1059"/>
      <c r="X358" s="1059"/>
      <c r="Y358" s="1059"/>
      <c r="Z358" s="1059"/>
    </row>
    <row r="359" spans="1:26" ht="12.75" customHeight="1">
      <c r="A359" s="1059"/>
      <c r="B359" s="1059"/>
      <c r="C359" s="1059"/>
      <c r="D359" s="1059"/>
      <c r="E359" s="1059"/>
      <c r="F359" s="1061"/>
      <c r="G359" s="1061"/>
      <c r="H359" s="1118"/>
      <c r="I359" s="1059"/>
      <c r="J359" s="1059"/>
      <c r="K359" s="1059"/>
      <c r="L359" s="1059"/>
      <c r="M359" s="1059"/>
      <c r="N359" s="1059"/>
      <c r="O359" s="1059"/>
      <c r="P359" s="1059"/>
      <c r="Q359" s="1059"/>
      <c r="R359" s="1059"/>
      <c r="S359" s="1059"/>
      <c r="T359" s="1059"/>
      <c r="U359" s="1059"/>
      <c r="V359" s="1059"/>
      <c r="W359" s="1059"/>
      <c r="X359" s="1059"/>
      <c r="Y359" s="1059"/>
      <c r="Z359" s="1059"/>
    </row>
    <row r="360" spans="1:26" ht="12.75" customHeight="1">
      <c r="A360" s="1059"/>
      <c r="B360" s="1059"/>
      <c r="C360" s="1059"/>
      <c r="D360" s="1059"/>
      <c r="E360" s="1059"/>
      <c r="F360" s="1061"/>
      <c r="G360" s="1061"/>
      <c r="H360" s="1118"/>
      <c r="I360" s="1059"/>
      <c r="J360" s="1059"/>
      <c r="K360" s="1059"/>
      <c r="L360" s="1059"/>
      <c r="M360" s="1059"/>
      <c r="N360" s="1059"/>
      <c r="O360" s="1059"/>
      <c r="P360" s="1059"/>
      <c r="Q360" s="1059"/>
      <c r="R360" s="1059"/>
      <c r="S360" s="1059"/>
      <c r="T360" s="1059"/>
      <c r="U360" s="1059"/>
      <c r="V360" s="1059"/>
      <c r="W360" s="1059"/>
      <c r="X360" s="1059"/>
      <c r="Y360" s="1059"/>
      <c r="Z360" s="1059"/>
    </row>
    <row r="361" spans="1:26" ht="12.75" customHeight="1">
      <c r="A361" s="1059"/>
      <c r="B361" s="1059"/>
      <c r="C361" s="1059"/>
      <c r="D361" s="1059"/>
      <c r="E361" s="1059"/>
      <c r="F361" s="1061"/>
      <c r="G361" s="1061"/>
      <c r="H361" s="1118"/>
      <c r="I361" s="1059"/>
      <c r="J361" s="1059"/>
      <c r="K361" s="1059"/>
      <c r="L361" s="1059"/>
      <c r="M361" s="1059"/>
      <c r="N361" s="1059"/>
      <c r="O361" s="1059"/>
      <c r="P361" s="1059"/>
      <c r="Q361" s="1059"/>
      <c r="R361" s="1059"/>
      <c r="S361" s="1059"/>
      <c r="T361" s="1059"/>
      <c r="U361" s="1059"/>
      <c r="V361" s="1059"/>
      <c r="W361" s="1059"/>
      <c r="X361" s="1059"/>
      <c r="Y361" s="1059"/>
      <c r="Z361" s="1059"/>
    </row>
    <row r="362" spans="1:26" ht="12.75" customHeight="1">
      <c r="A362" s="1059"/>
      <c r="B362" s="1059"/>
      <c r="C362" s="1059"/>
      <c r="D362" s="1059"/>
      <c r="E362" s="1059"/>
      <c r="F362" s="1061"/>
      <c r="G362" s="1061"/>
      <c r="H362" s="1118"/>
      <c r="I362" s="1059"/>
      <c r="J362" s="1059"/>
      <c r="K362" s="1059"/>
      <c r="L362" s="1059"/>
      <c r="M362" s="1059"/>
      <c r="N362" s="1059"/>
      <c r="O362" s="1059"/>
      <c r="P362" s="1059"/>
      <c r="Q362" s="1059"/>
      <c r="R362" s="1059"/>
      <c r="S362" s="1059"/>
      <c r="T362" s="1059"/>
      <c r="U362" s="1059"/>
      <c r="V362" s="1059"/>
      <c r="W362" s="1059"/>
      <c r="X362" s="1059"/>
      <c r="Y362" s="1059"/>
      <c r="Z362" s="1059"/>
    </row>
    <row r="363" spans="1:26" ht="12.75" customHeight="1">
      <c r="A363" s="1059"/>
      <c r="B363" s="1059"/>
      <c r="C363" s="1059"/>
      <c r="D363" s="1059"/>
      <c r="E363" s="1059"/>
      <c r="F363" s="1061"/>
      <c r="G363" s="1061"/>
      <c r="H363" s="1118"/>
      <c r="I363" s="1059"/>
      <c r="J363" s="1059"/>
      <c r="K363" s="1059"/>
      <c r="L363" s="1059"/>
      <c r="M363" s="1059"/>
      <c r="N363" s="1059"/>
      <c r="O363" s="1059"/>
      <c r="P363" s="1059"/>
      <c r="Q363" s="1059"/>
      <c r="R363" s="1059"/>
      <c r="S363" s="1059"/>
      <c r="T363" s="1059"/>
      <c r="U363" s="1059"/>
      <c r="V363" s="1059"/>
      <c r="W363" s="1059"/>
      <c r="X363" s="1059"/>
      <c r="Y363" s="1059"/>
      <c r="Z363" s="1059"/>
    </row>
    <row r="364" spans="1:26" ht="12.75" customHeight="1">
      <c r="A364" s="1059"/>
      <c r="B364" s="1059"/>
      <c r="C364" s="1059"/>
      <c r="D364" s="1059"/>
      <c r="E364" s="1059"/>
      <c r="F364" s="1061"/>
      <c r="G364" s="1061"/>
      <c r="H364" s="1118"/>
      <c r="I364" s="1059"/>
      <c r="J364" s="1059"/>
      <c r="K364" s="1059"/>
      <c r="L364" s="1059"/>
      <c r="M364" s="1059"/>
      <c r="N364" s="1059"/>
      <c r="O364" s="1059"/>
      <c r="P364" s="1059"/>
      <c r="Q364" s="1059"/>
      <c r="R364" s="1059"/>
      <c r="S364" s="1059"/>
      <c r="T364" s="1059"/>
      <c r="U364" s="1059"/>
      <c r="V364" s="1059"/>
      <c r="W364" s="1059"/>
      <c r="X364" s="1059"/>
      <c r="Y364" s="1059"/>
      <c r="Z364" s="1059"/>
    </row>
    <row r="365" spans="1:26" ht="12.75" customHeight="1">
      <c r="A365" s="1059"/>
      <c r="B365" s="1059"/>
      <c r="C365" s="1059"/>
      <c r="D365" s="1059"/>
      <c r="E365" s="1059"/>
      <c r="F365" s="1061"/>
      <c r="G365" s="1061"/>
      <c r="H365" s="1118"/>
      <c r="I365" s="1059"/>
      <c r="J365" s="1059"/>
      <c r="K365" s="1059"/>
      <c r="L365" s="1059"/>
      <c r="M365" s="1059"/>
      <c r="N365" s="1059"/>
      <c r="O365" s="1059"/>
      <c r="P365" s="1059"/>
      <c r="Q365" s="1059"/>
      <c r="R365" s="1059"/>
      <c r="S365" s="1059"/>
      <c r="T365" s="1059"/>
      <c r="U365" s="1059"/>
      <c r="V365" s="1059"/>
      <c r="W365" s="1059"/>
      <c r="X365" s="1059"/>
      <c r="Y365" s="1059"/>
      <c r="Z365" s="1059"/>
    </row>
    <row r="366" spans="1:26" ht="12.75" customHeight="1">
      <c r="A366" s="1059"/>
      <c r="B366" s="1059"/>
      <c r="C366" s="1059"/>
      <c r="D366" s="1059"/>
      <c r="E366" s="1059"/>
      <c r="F366" s="1061"/>
      <c r="G366" s="1061"/>
      <c r="H366" s="1118"/>
      <c r="I366" s="1059"/>
      <c r="J366" s="1059"/>
      <c r="K366" s="1059"/>
      <c r="L366" s="1059"/>
      <c r="M366" s="1059"/>
      <c r="N366" s="1059"/>
      <c r="O366" s="1059"/>
      <c r="P366" s="1059"/>
      <c r="Q366" s="1059"/>
      <c r="R366" s="1059"/>
      <c r="S366" s="1059"/>
      <c r="T366" s="1059"/>
      <c r="U366" s="1059"/>
      <c r="V366" s="1059"/>
      <c r="W366" s="1059"/>
      <c r="X366" s="1059"/>
      <c r="Y366" s="1059"/>
      <c r="Z366" s="1059"/>
    </row>
    <row r="367" spans="1:26" ht="12.75" customHeight="1">
      <c r="A367" s="1059"/>
      <c r="B367" s="1059"/>
      <c r="C367" s="1059"/>
      <c r="D367" s="1059"/>
      <c r="E367" s="1059"/>
      <c r="F367" s="1061"/>
      <c r="G367" s="1061"/>
      <c r="H367" s="1118"/>
      <c r="I367" s="1059"/>
      <c r="J367" s="1059"/>
      <c r="K367" s="1059"/>
      <c r="L367" s="1059"/>
      <c r="M367" s="1059"/>
      <c r="N367" s="1059"/>
      <c r="O367" s="1059"/>
      <c r="P367" s="1059"/>
      <c r="Q367" s="1059"/>
      <c r="R367" s="1059"/>
      <c r="S367" s="1059"/>
      <c r="T367" s="1059"/>
      <c r="U367" s="1059"/>
      <c r="V367" s="1059"/>
      <c r="W367" s="1059"/>
      <c r="X367" s="1059"/>
      <c r="Y367" s="1059"/>
      <c r="Z367" s="1059"/>
    </row>
    <row r="368" spans="1:26" ht="12.75" customHeight="1">
      <c r="A368" s="1059"/>
      <c r="B368" s="1059"/>
      <c r="C368" s="1059"/>
      <c r="D368" s="1059"/>
      <c r="E368" s="1059"/>
      <c r="F368" s="1061"/>
      <c r="G368" s="1061"/>
      <c r="H368" s="1118"/>
      <c r="I368" s="1059"/>
      <c r="J368" s="1059"/>
      <c r="K368" s="1059"/>
      <c r="L368" s="1059"/>
      <c r="M368" s="1059"/>
      <c r="N368" s="1059"/>
      <c r="O368" s="1059"/>
      <c r="P368" s="1059"/>
      <c r="Q368" s="1059"/>
      <c r="R368" s="1059"/>
      <c r="S368" s="1059"/>
      <c r="T368" s="1059"/>
      <c r="U368" s="1059"/>
      <c r="V368" s="1059"/>
      <c r="W368" s="1059"/>
      <c r="X368" s="1059"/>
      <c r="Y368" s="1059"/>
      <c r="Z368" s="1059"/>
    </row>
    <row r="369" spans="1:26" ht="12.75" customHeight="1">
      <c r="A369" s="1059"/>
      <c r="B369" s="1059"/>
      <c r="C369" s="1059"/>
      <c r="D369" s="1059"/>
      <c r="E369" s="1059"/>
      <c r="F369" s="1061"/>
      <c r="G369" s="1061"/>
      <c r="H369" s="1118"/>
      <c r="I369" s="1059"/>
      <c r="J369" s="1059"/>
      <c r="K369" s="1059"/>
      <c r="L369" s="1059"/>
      <c r="M369" s="1059"/>
      <c r="N369" s="1059"/>
      <c r="O369" s="1059"/>
      <c r="P369" s="1059"/>
      <c r="Q369" s="1059"/>
      <c r="R369" s="1059"/>
      <c r="S369" s="1059"/>
      <c r="T369" s="1059"/>
      <c r="U369" s="1059"/>
      <c r="V369" s="1059"/>
      <c r="W369" s="1059"/>
      <c r="X369" s="1059"/>
      <c r="Y369" s="1059"/>
      <c r="Z369" s="1059"/>
    </row>
    <row r="370" spans="1:26" ht="12.75" customHeight="1">
      <c r="A370" s="1059"/>
      <c r="B370" s="1059"/>
      <c r="C370" s="1059"/>
      <c r="D370" s="1059"/>
      <c r="E370" s="1059"/>
      <c r="F370" s="1061"/>
      <c r="G370" s="1061"/>
      <c r="H370" s="1118"/>
      <c r="I370" s="1059"/>
      <c r="J370" s="1059"/>
      <c r="K370" s="1059"/>
      <c r="L370" s="1059"/>
      <c r="M370" s="1059"/>
      <c r="N370" s="1059"/>
      <c r="O370" s="1059"/>
      <c r="P370" s="1059"/>
      <c r="Q370" s="1059"/>
      <c r="R370" s="1059"/>
      <c r="S370" s="1059"/>
      <c r="T370" s="1059"/>
      <c r="U370" s="1059"/>
      <c r="V370" s="1059"/>
      <c r="W370" s="1059"/>
      <c r="X370" s="1059"/>
      <c r="Y370" s="1059"/>
      <c r="Z370" s="1059"/>
    </row>
    <row r="371" spans="1:26" ht="12.75" customHeight="1">
      <c r="A371" s="1059"/>
      <c r="B371" s="1059"/>
      <c r="C371" s="1059"/>
      <c r="D371" s="1059"/>
      <c r="E371" s="1059"/>
      <c r="F371" s="1061"/>
      <c r="G371" s="1061"/>
      <c r="H371" s="1118"/>
      <c r="I371" s="1059"/>
      <c r="J371" s="1059"/>
      <c r="K371" s="1059"/>
      <c r="L371" s="1059"/>
      <c r="M371" s="1059"/>
      <c r="N371" s="1059"/>
      <c r="O371" s="1059"/>
      <c r="P371" s="1059"/>
      <c r="Q371" s="1059"/>
      <c r="R371" s="1059"/>
      <c r="S371" s="1059"/>
      <c r="T371" s="1059"/>
      <c r="U371" s="1059"/>
      <c r="V371" s="1059"/>
      <c r="W371" s="1059"/>
      <c r="X371" s="1059"/>
      <c r="Y371" s="1059"/>
      <c r="Z371" s="1059"/>
    </row>
    <row r="372" spans="1:26" ht="12.75" customHeight="1">
      <c r="A372" s="1059"/>
      <c r="B372" s="1059"/>
      <c r="C372" s="1059"/>
      <c r="D372" s="1059"/>
      <c r="E372" s="1059"/>
      <c r="F372" s="1061"/>
      <c r="G372" s="1061"/>
      <c r="H372" s="1118"/>
      <c r="I372" s="1059"/>
      <c r="J372" s="1059"/>
      <c r="K372" s="1059"/>
      <c r="L372" s="1059"/>
      <c r="M372" s="1059"/>
      <c r="N372" s="1059"/>
      <c r="O372" s="1059"/>
      <c r="P372" s="1059"/>
      <c r="Q372" s="1059"/>
      <c r="R372" s="1059"/>
      <c r="S372" s="1059"/>
      <c r="T372" s="1059"/>
      <c r="U372" s="1059"/>
      <c r="V372" s="1059"/>
      <c r="W372" s="1059"/>
      <c r="X372" s="1059"/>
      <c r="Y372" s="1059"/>
      <c r="Z372" s="1059"/>
    </row>
    <row r="373" spans="1:26" ht="12.75" customHeight="1">
      <c r="A373" s="1059"/>
      <c r="B373" s="1059"/>
      <c r="C373" s="1059"/>
      <c r="D373" s="1059"/>
      <c r="E373" s="1059"/>
      <c r="F373" s="1061"/>
      <c r="G373" s="1061"/>
      <c r="H373" s="1118"/>
      <c r="I373" s="1059"/>
      <c r="J373" s="1059"/>
      <c r="K373" s="1059"/>
      <c r="L373" s="1059"/>
      <c r="M373" s="1059"/>
      <c r="N373" s="1059"/>
      <c r="O373" s="1059"/>
      <c r="P373" s="1059"/>
      <c r="Q373" s="1059"/>
      <c r="R373" s="1059"/>
      <c r="S373" s="1059"/>
      <c r="T373" s="1059"/>
      <c r="U373" s="1059"/>
      <c r="V373" s="1059"/>
      <c r="W373" s="1059"/>
      <c r="X373" s="1059"/>
      <c r="Y373" s="1059"/>
      <c r="Z373" s="1059"/>
    </row>
    <row r="374" spans="1:26" ht="12.75" customHeight="1">
      <c r="A374" s="1059"/>
      <c r="B374" s="1059"/>
      <c r="C374" s="1059"/>
      <c r="D374" s="1059"/>
      <c r="E374" s="1059"/>
      <c r="F374" s="1061"/>
      <c r="G374" s="1061"/>
      <c r="H374" s="1118"/>
      <c r="I374" s="1059"/>
      <c r="J374" s="1059"/>
      <c r="K374" s="1059"/>
      <c r="L374" s="1059"/>
      <c r="M374" s="1059"/>
      <c r="N374" s="1059"/>
      <c r="O374" s="1059"/>
      <c r="P374" s="1059"/>
      <c r="Q374" s="1059"/>
      <c r="R374" s="1059"/>
      <c r="S374" s="1059"/>
      <c r="T374" s="1059"/>
      <c r="U374" s="1059"/>
      <c r="V374" s="1059"/>
      <c r="W374" s="1059"/>
      <c r="X374" s="1059"/>
      <c r="Y374" s="1059"/>
      <c r="Z374" s="1059"/>
    </row>
    <row r="375" spans="1:26" ht="12.75" customHeight="1">
      <c r="A375" s="1059"/>
      <c r="B375" s="1059"/>
      <c r="C375" s="1059"/>
      <c r="D375" s="1059"/>
      <c r="E375" s="1059"/>
      <c r="F375" s="1061"/>
      <c r="G375" s="1061"/>
      <c r="H375" s="1118"/>
      <c r="I375" s="1059"/>
      <c r="J375" s="1059"/>
      <c r="K375" s="1059"/>
      <c r="L375" s="1059"/>
      <c r="M375" s="1059"/>
      <c r="N375" s="1059"/>
      <c r="O375" s="1059"/>
      <c r="P375" s="1059"/>
      <c r="Q375" s="1059"/>
      <c r="R375" s="1059"/>
      <c r="S375" s="1059"/>
      <c r="T375" s="1059"/>
      <c r="U375" s="1059"/>
      <c r="V375" s="1059"/>
      <c r="W375" s="1059"/>
      <c r="X375" s="1059"/>
      <c r="Y375" s="1059"/>
      <c r="Z375" s="1059"/>
    </row>
    <row r="376" spans="1:26" ht="12.75" customHeight="1">
      <c r="A376" s="1059"/>
      <c r="B376" s="1059"/>
      <c r="C376" s="1059"/>
      <c r="D376" s="1059"/>
      <c r="E376" s="1059"/>
      <c r="F376" s="1061"/>
      <c r="G376" s="1061"/>
      <c r="H376" s="1118"/>
      <c r="I376" s="1059"/>
      <c r="J376" s="1059"/>
      <c r="K376" s="1059"/>
      <c r="L376" s="1059"/>
      <c r="M376" s="1059"/>
      <c r="N376" s="1059"/>
      <c r="O376" s="1059"/>
      <c r="P376" s="1059"/>
      <c r="Q376" s="1059"/>
      <c r="R376" s="1059"/>
      <c r="S376" s="1059"/>
      <c r="T376" s="1059"/>
      <c r="U376" s="1059"/>
      <c r="V376" s="1059"/>
      <c r="W376" s="1059"/>
      <c r="X376" s="1059"/>
      <c r="Y376" s="1059"/>
      <c r="Z376" s="1059"/>
    </row>
    <row r="377" spans="1:26" ht="12.75" customHeight="1">
      <c r="A377" s="1059"/>
      <c r="B377" s="1059"/>
      <c r="C377" s="1059"/>
      <c r="D377" s="1059"/>
      <c r="E377" s="1059"/>
      <c r="F377" s="1061"/>
      <c r="G377" s="1061"/>
      <c r="H377" s="1118"/>
      <c r="I377" s="1059"/>
      <c r="J377" s="1059"/>
      <c r="K377" s="1059"/>
      <c r="L377" s="1059"/>
      <c r="M377" s="1059"/>
      <c r="N377" s="1059"/>
      <c r="O377" s="1059"/>
      <c r="P377" s="1059"/>
      <c r="Q377" s="1059"/>
      <c r="R377" s="1059"/>
      <c r="S377" s="1059"/>
      <c r="T377" s="1059"/>
      <c r="U377" s="1059"/>
      <c r="V377" s="1059"/>
      <c r="W377" s="1059"/>
      <c r="X377" s="1059"/>
      <c r="Y377" s="1059"/>
      <c r="Z377" s="1059"/>
    </row>
    <row r="378" spans="1:26" ht="12.75" customHeight="1">
      <c r="A378" s="1059"/>
      <c r="B378" s="1059"/>
      <c r="C378" s="1059"/>
      <c r="D378" s="1059"/>
      <c r="E378" s="1059"/>
      <c r="F378" s="1061"/>
      <c r="G378" s="1061"/>
      <c r="H378" s="1118"/>
      <c r="I378" s="1059"/>
      <c r="J378" s="1059"/>
      <c r="K378" s="1059"/>
      <c r="L378" s="1059"/>
      <c r="M378" s="1059"/>
      <c r="N378" s="1059"/>
      <c r="O378" s="1059"/>
      <c r="P378" s="1059"/>
      <c r="Q378" s="1059"/>
      <c r="R378" s="1059"/>
      <c r="S378" s="1059"/>
      <c r="T378" s="1059"/>
      <c r="U378" s="1059"/>
      <c r="V378" s="1059"/>
      <c r="W378" s="1059"/>
      <c r="X378" s="1059"/>
      <c r="Y378" s="1059"/>
      <c r="Z378" s="1059"/>
    </row>
    <row r="379" spans="1:26" ht="12.75" customHeight="1">
      <c r="A379" s="1059"/>
      <c r="B379" s="1059"/>
      <c r="C379" s="1059"/>
      <c r="D379" s="1059"/>
      <c r="E379" s="1059"/>
      <c r="F379" s="1061"/>
      <c r="G379" s="1061"/>
      <c r="H379" s="1118"/>
      <c r="I379" s="1059"/>
      <c r="J379" s="1059"/>
      <c r="K379" s="1059"/>
      <c r="L379" s="1059"/>
      <c r="M379" s="1059"/>
      <c r="N379" s="1059"/>
      <c r="O379" s="1059"/>
      <c r="P379" s="1059"/>
      <c r="Q379" s="1059"/>
      <c r="R379" s="1059"/>
      <c r="S379" s="1059"/>
      <c r="T379" s="1059"/>
      <c r="U379" s="1059"/>
      <c r="V379" s="1059"/>
      <c r="W379" s="1059"/>
      <c r="X379" s="1059"/>
      <c r="Y379" s="1059"/>
      <c r="Z379" s="1059"/>
    </row>
    <row r="380" spans="1:26" ht="12.75" customHeight="1">
      <c r="A380" s="1059"/>
      <c r="B380" s="1059"/>
      <c r="C380" s="1059"/>
      <c r="D380" s="1059"/>
      <c r="E380" s="1059"/>
      <c r="F380" s="1061"/>
      <c r="G380" s="1061"/>
      <c r="H380" s="1118"/>
      <c r="I380" s="1059"/>
      <c r="J380" s="1059"/>
      <c r="K380" s="1059"/>
      <c r="L380" s="1059"/>
      <c r="M380" s="1059"/>
      <c r="N380" s="1059"/>
      <c r="O380" s="1059"/>
      <c r="P380" s="1059"/>
      <c r="Q380" s="1059"/>
      <c r="R380" s="1059"/>
      <c r="S380" s="1059"/>
      <c r="T380" s="1059"/>
      <c r="U380" s="1059"/>
      <c r="V380" s="1059"/>
      <c r="W380" s="1059"/>
      <c r="X380" s="1059"/>
      <c r="Y380" s="1059"/>
      <c r="Z380" s="1059"/>
    </row>
    <row r="381" spans="1:26" ht="12.75" customHeight="1">
      <c r="A381" s="1059"/>
      <c r="B381" s="1059"/>
      <c r="C381" s="1059"/>
      <c r="D381" s="1059"/>
      <c r="E381" s="1059"/>
      <c r="F381" s="1061"/>
      <c r="G381" s="1061"/>
      <c r="H381" s="1118"/>
      <c r="I381" s="1059"/>
      <c r="J381" s="1059"/>
      <c r="K381" s="1059"/>
      <c r="L381" s="1059"/>
      <c r="M381" s="1059"/>
      <c r="N381" s="1059"/>
      <c r="O381" s="1059"/>
      <c r="P381" s="1059"/>
      <c r="Q381" s="1059"/>
      <c r="R381" s="1059"/>
      <c r="S381" s="1059"/>
      <c r="T381" s="1059"/>
      <c r="U381" s="1059"/>
      <c r="V381" s="1059"/>
      <c r="W381" s="1059"/>
      <c r="X381" s="1059"/>
      <c r="Y381" s="1059"/>
      <c r="Z381" s="1059"/>
    </row>
    <row r="382" spans="1:26" ht="12.75" customHeight="1">
      <c r="A382" s="1059"/>
      <c r="B382" s="1059"/>
      <c r="C382" s="1059"/>
      <c r="D382" s="1059"/>
      <c r="E382" s="1059"/>
      <c r="F382" s="1061"/>
      <c r="G382" s="1061"/>
      <c r="H382" s="1118"/>
      <c r="I382" s="1059"/>
      <c r="J382" s="1059"/>
      <c r="K382" s="1059"/>
      <c r="L382" s="1059"/>
      <c r="M382" s="1059"/>
      <c r="N382" s="1059"/>
      <c r="O382" s="1059"/>
      <c r="P382" s="1059"/>
      <c r="Q382" s="1059"/>
      <c r="R382" s="1059"/>
      <c r="S382" s="1059"/>
      <c r="T382" s="1059"/>
      <c r="U382" s="1059"/>
      <c r="V382" s="1059"/>
      <c r="W382" s="1059"/>
      <c r="X382" s="1059"/>
      <c r="Y382" s="1059"/>
      <c r="Z382" s="1059"/>
    </row>
    <row r="383" spans="1:26" ht="12.75" customHeight="1">
      <c r="A383" s="1059"/>
      <c r="B383" s="1059"/>
      <c r="C383" s="1059"/>
      <c r="D383" s="1059"/>
      <c r="E383" s="1059"/>
      <c r="F383" s="1061"/>
      <c r="G383" s="1061"/>
      <c r="H383" s="1118"/>
      <c r="I383" s="1059"/>
      <c r="J383" s="1059"/>
      <c r="K383" s="1059"/>
      <c r="L383" s="1059"/>
      <c r="M383" s="1059"/>
      <c r="N383" s="1059"/>
      <c r="O383" s="1059"/>
      <c r="P383" s="1059"/>
      <c r="Q383" s="1059"/>
      <c r="R383" s="1059"/>
      <c r="S383" s="1059"/>
      <c r="T383" s="1059"/>
      <c r="U383" s="1059"/>
      <c r="V383" s="1059"/>
      <c r="W383" s="1059"/>
      <c r="X383" s="1059"/>
      <c r="Y383" s="1059"/>
      <c r="Z383" s="1059"/>
    </row>
    <row r="384" spans="1:26" ht="12.75" customHeight="1">
      <c r="A384" s="1059"/>
      <c r="B384" s="1059"/>
      <c r="C384" s="1059"/>
      <c r="D384" s="1059"/>
      <c r="E384" s="1059"/>
      <c r="F384" s="1061"/>
      <c r="G384" s="1061"/>
      <c r="H384" s="1118"/>
      <c r="I384" s="1059"/>
      <c r="J384" s="1059"/>
      <c r="K384" s="1059"/>
      <c r="L384" s="1059"/>
      <c r="M384" s="1059"/>
      <c r="N384" s="1059"/>
      <c r="O384" s="1059"/>
      <c r="P384" s="1059"/>
      <c r="Q384" s="1059"/>
      <c r="R384" s="1059"/>
      <c r="S384" s="1059"/>
      <c r="T384" s="1059"/>
      <c r="U384" s="1059"/>
      <c r="V384" s="1059"/>
      <c r="W384" s="1059"/>
      <c r="X384" s="1059"/>
      <c r="Y384" s="1059"/>
      <c r="Z384" s="1059"/>
    </row>
    <row r="385" spans="1:26" ht="12.75" customHeight="1">
      <c r="A385" s="1059"/>
      <c r="B385" s="1059"/>
      <c r="C385" s="1059"/>
      <c r="D385" s="1059"/>
      <c r="E385" s="1059"/>
      <c r="F385" s="1061"/>
      <c r="G385" s="1061"/>
      <c r="H385" s="1118"/>
      <c r="I385" s="1059"/>
      <c r="J385" s="1059"/>
      <c r="K385" s="1059"/>
      <c r="L385" s="1059"/>
      <c r="M385" s="1059"/>
      <c r="N385" s="1059"/>
      <c r="O385" s="1059"/>
      <c r="P385" s="1059"/>
      <c r="Q385" s="1059"/>
      <c r="R385" s="1059"/>
      <c r="S385" s="1059"/>
      <c r="T385" s="1059"/>
      <c r="U385" s="1059"/>
      <c r="V385" s="1059"/>
      <c r="W385" s="1059"/>
      <c r="X385" s="1059"/>
      <c r="Y385" s="1059"/>
      <c r="Z385" s="1059"/>
    </row>
    <row r="386" spans="1:26" ht="12.75" customHeight="1">
      <c r="A386" s="1059"/>
      <c r="B386" s="1059"/>
      <c r="C386" s="1059"/>
      <c r="D386" s="1059"/>
      <c r="E386" s="1059"/>
      <c r="F386" s="1061"/>
      <c r="G386" s="1061"/>
      <c r="H386" s="1118"/>
      <c r="I386" s="1059"/>
      <c r="J386" s="1059"/>
      <c r="K386" s="1059"/>
      <c r="L386" s="1059"/>
      <c r="M386" s="1059"/>
      <c r="N386" s="1059"/>
      <c r="O386" s="1059"/>
      <c r="P386" s="1059"/>
      <c r="Q386" s="1059"/>
      <c r="R386" s="1059"/>
      <c r="S386" s="1059"/>
      <c r="T386" s="1059"/>
      <c r="U386" s="1059"/>
      <c r="V386" s="1059"/>
      <c r="W386" s="1059"/>
      <c r="X386" s="1059"/>
      <c r="Y386" s="1059"/>
      <c r="Z386" s="1059"/>
    </row>
    <row r="387" spans="1:26" ht="12.75" customHeight="1">
      <c r="A387" s="1059"/>
      <c r="B387" s="1059"/>
      <c r="C387" s="1059"/>
      <c r="D387" s="1059"/>
      <c r="E387" s="1059"/>
      <c r="F387" s="1061"/>
      <c r="G387" s="1061"/>
      <c r="H387" s="1118"/>
      <c r="I387" s="1059"/>
      <c r="J387" s="1059"/>
      <c r="K387" s="1059"/>
      <c r="L387" s="1059"/>
      <c r="M387" s="1059"/>
      <c r="N387" s="1059"/>
      <c r="O387" s="1059"/>
      <c r="P387" s="1059"/>
      <c r="Q387" s="1059"/>
      <c r="R387" s="1059"/>
      <c r="S387" s="1059"/>
      <c r="T387" s="1059"/>
      <c r="U387" s="1059"/>
      <c r="V387" s="1059"/>
      <c r="W387" s="1059"/>
      <c r="X387" s="1059"/>
      <c r="Y387" s="1059"/>
      <c r="Z387" s="1059"/>
    </row>
    <row r="388" spans="1:26" ht="12.75" customHeight="1">
      <c r="A388" s="1059"/>
      <c r="B388" s="1059"/>
      <c r="C388" s="1059"/>
      <c r="D388" s="1059"/>
      <c r="E388" s="1059"/>
      <c r="F388" s="1061"/>
      <c r="G388" s="1061"/>
      <c r="H388" s="1118"/>
      <c r="I388" s="1059"/>
      <c r="J388" s="1059"/>
      <c r="K388" s="1059"/>
      <c r="L388" s="1059"/>
      <c r="M388" s="1059"/>
      <c r="N388" s="1059"/>
      <c r="O388" s="1059"/>
      <c r="P388" s="1059"/>
      <c r="Q388" s="1059"/>
      <c r="R388" s="1059"/>
      <c r="S388" s="1059"/>
      <c r="T388" s="1059"/>
      <c r="U388" s="1059"/>
      <c r="V388" s="1059"/>
      <c r="W388" s="1059"/>
      <c r="X388" s="1059"/>
      <c r="Y388" s="1059"/>
      <c r="Z388" s="1059"/>
    </row>
    <row r="389" spans="1:26" ht="12.75" customHeight="1">
      <c r="A389" s="1059"/>
      <c r="B389" s="1059"/>
      <c r="C389" s="1059"/>
      <c r="D389" s="1059"/>
      <c r="E389" s="1059"/>
      <c r="F389" s="1061"/>
      <c r="G389" s="1061"/>
      <c r="H389" s="1118"/>
      <c r="I389" s="1059"/>
      <c r="J389" s="1059"/>
      <c r="K389" s="1059"/>
      <c r="L389" s="1059"/>
      <c r="M389" s="1059"/>
      <c r="N389" s="1059"/>
      <c r="O389" s="1059"/>
      <c r="P389" s="1059"/>
      <c r="Q389" s="1059"/>
      <c r="R389" s="1059"/>
      <c r="S389" s="1059"/>
      <c r="T389" s="1059"/>
      <c r="U389" s="1059"/>
      <c r="V389" s="1059"/>
      <c r="W389" s="1059"/>
      <c r="X389" s="1059"/>
      <c r="Y389" s="1059"/>
      <c r="Z389" s="1059"/>
    </row>
    <row r="390" spans="1:26" ht="13.5" customHeight="1" thickBot="1">
      <c r="A390" s="1059"/>
      <c r="B390" s="1059"/>
      <c r="C390" s="1059"/>
      <c r="D390" s="1172"/>
      <c r="E390" s="1059"/>
      <c r="F390" s="1172"/>
      <c r="G390" s="1172"/>
      <c r="H390" s="1059"/>
      <c r="I390" s="1059"/>
      <c r="J390" s="1059"/>
      <c r="K390" s="1059"/>
      <c r="L390" s="1059"/>
      <c r="M390" s="1059"/>
      <c r="N390" s="1059"/>
      <c r="O390" s="1059"/>
      <c r="P390" s="1059"/>
      <c r="Q390" s="1059"/>
      <c r="R390" s="1059"/>
      <c r="S390" s="1059"/>
      <c r="T390" s="1059"/>
      <c r="U390" s="1059"/>
      <c r="V390" s="1059"/>
      <c r="W390" s="1059"/>
      <c r="X390" s="1059"/>
      <c r="Y390" s="1059"/>
      <c r="Z390" s="1059"/>
    </row>
    <row r="391" spans="1:26" ht="12.75" customHeight="1">
      <c r="A391" s="1059"/>
      <c r="B391" s="1059"/>
      <c r="C391" s="1059"/>
      <c r="D391" s="1059" t="s">
        <v>65</v>
      </c>
      <c r="E391" s="1059"/>
      <c r="F391" s="2099" t="s">
        <v>308</v>
      </c>
      <c r="G391" s="2100"/>
      <c r="H391" s="1059"/>
      <c r="I391" s="1059"/>
      <c r="J391" s="1059"/>
      <c r="K391" s="1059"/>
      <c r="L391" s="1059"/>
      <c r="M391" s="1059"/>
      <c r="N391" s="1059"/>
      <c r="O391" s="1059"/>
      <c r="P391" s="1059"/>
      <c r="Q391" s="1059"/>
      <c r="R391" s="1059"/>
      <c r="S391" s="1059"/>
      <c r="T391" s="1059"/>
      <c r="U391" s="1059"/>
      <c r="V391" s="1059"/>
      <c r="W391" s="1059"/>
      <c r="X391" s="1059"/>
      <c r="Y391" s="1059"/>
      <c r="Z391" s="1059"/>
    </row>
    <row r="392" spans="1:26" ht="12.75" customHeight="1">
      <c r="A392" s="1059"/>
      <c r="B392" s="1059"/>
      <c r="C392" s="1059"/>
      <c r="D392" s="1059"/>
      <c r="E392" s="1059"/>
      <c r="F392" s="1059"/>
      <c r="G392" s="1059"/>
      <c r="H392" s="1059"/>
      <c r="I392" s="1059"/>
      <c r="J392" s="1059"/>
      <c r="K392" s="1059"/>
      <c r="L392" s="1059"/>
      <c r="M392" s="1059"/>
      <c r="N392" s="1059"/>
      <c r="O392" s="1059"/>
      <c r="P392" s="1059"/>
      <c r="Q392" s="1059"/>
      <c r="R392" s="1059"/>
      <c r="S392" s="1059"/>
      <c r="T392" s="1059"/>
      <c r="U392" s="1059"/>
      <c r="V392" s="1059"/>
      <c r="W392" s="1059"/>
      <c r="X392" s="1059"/>
      <c r="Y392" s="1059"/>
      <c r="Z392" s="1059"/>
    </row>
    <row r="393" spans="1:26" ht="12.75" customHeight="1">
      <c r="A393" s="2101" t="s">
        <v>1081</v>
      </c>
      <c r="B393" s="2060"/>
      <c r="C393" s="2060"/>
      <c r="D393" s="2060"/>
      <c r="E393" s="2060"/>
      <c r="F393" s="2060"/>
      <c r="G393" s="2060"/>
      <c r="H393" s="2060"/>
      <c r="I393" s="1059"/>
      <c r="J393" s="1059"/>
      <c r="K393" s="1059"/>
      <c r="L393" s="1059"/>
      <c r="M393" s="1059"/>
      <c r="N393" s="1059"/>
      <c r="O393" s="1059"/>
      <c r="P393" s="1059"/>
      <c r="Q393" s="1059"/>
      <c r="R393" s="1059"/>
      <c r="S393" s="1059"/>
      <c r="T393" s="1059"/>
      <c r="U393" s="1059"/>
      <c r="V393" s="1059"/>
      <c r="W393" s="1059"/>
      <c r="X393" s="1059"/>
      <c r="Y393" s="1059"/>
      <c r="Z393" s="1059"/>
    </row>
    <row r="394" spans="1:26" ht="12.75" customHeight="1">
      <c r="A394" s="2060"/>
      <c r="B394" s="2060"/>
      <c r="C394" s="2060"/>
      <c r="D394" s="2060"/>
      <c r="E394" s="2060"/>
      <c r="F394" s="2060"/>
      <c r="G394" s="2060"/>
      <c r="H394" s="2060"/>
      <c r="I394" s="1059"/>
      <c r="J394" s="1059"/>
      <c r="K394" s="1059"/>
      <c r="L394" s="1059"/>
      <c r="M394" s="1059"/>
      <c r="N394" s="1059"/>
      <c r="O394" s="1059"/>
      <c r="P394" s="1059"/>
      <c r="Q394" s="1059"/>
      <c r="R394" s="1059"/>
      <c r="S394" s="1059"/>
      <c r="T394" s="1059"/>
      <c r="U394" s="1059"/>
      <c r="V394" s="1059"/>
      <c r="W394" s="1059"/>
      <c r="X394" s="1059"/>
      <c r="Y394" s="1059"/>
      <c r="Z394" s="1059"/>
    </row>
    <row r="395" spans="1:26" ht="12.75" customHeight="1">
      <c r="A395" s="2060"/>
      <c r="B395" s="2060"/>
      <c r="C395" s="2060"/>
      <c r="D395" s="2060"/>
      <c r="E395" s="2060"/>
      <c r="F395" s="2060"/>
      <c r="G395" s="2060"/>
      <c r="H395" s="2060"/>
      <c r="I395" s="1059"/>
      <c r="J395" s="1059"/>
      <c r="K395" s="1059"/>
      <c r="L395" s="1059"/>
      <c r="M395" s="1059"/>
      <c r="N395" s="1059"/>
      <c r="O395" s="1059"/>
      <c r="P395" s="1059"/>
      <c r="Q395" s="1059"/>
      <c r="R395" s="1059"/>
      <c r="S395" s="1059"/>
      <c r="T395" s="1059"/>
      <c r="U395" s="1059"/>
      <c r="V395" s="1059"/>
      <c r="W395" s="1059"/>
      <c r="X395" s="1059"/>
      <c r="Y395" s="1059"/>
      <c r="Z395" s="1059"/>
    </row>
    <row r="396" spans="1:26" ht="12.75" customHeight="1">
      <c r="A396" s="1059"/>
      <c r="B396" s="1059"/>
      <c r="C396" s="1059"/>
      <c r="D396" s="1059"/>
      <c r="E396" s="1059"/>
      <c r="F396" s="1059"/>
      <c r="G396" s="2102" t="s">
        <v>440</v>
      </c>
      <c r="H396" s="2060"/>
      <c r="I396" s="1059"/>
      <c r="J396" s="1059"/>
      <c r="K396" s="1059"/>
      <c r="L396" s="1059"/>
      <c r="M396" s="1059"/>
      <c r="N396" s="1059"/>
      <c r="O396" s="1059"/>
      <c r="P396" s="1059"/>
      <c r="Q396" s="1059"/>
      <c r="R396" s="1059"/>
      <c r="S396" s="1059"/>
      <c r="T396" s="1059"/>
      <c r="U396" s="1059"/>
      <c r="V396" s="1059"/>
      <c r="W396" s="1059"/>
      <c r="X396" s="1059"/>
      <c r="Y396" s="1059"/>
      <c r="Z396" s="1059"/>
    </row>
    <row r="397" spans="1:26" ht="12.75" customHeight="1">
      <c r="A397" s="1059"/>
      <c r="B397" s="1059"/>
      <c r="C397" s="1059"/>
      <c r="D397" s="1059"/>
      <c r="E397" s="1059"/>
      <c r="F397" s="1059"/>
      <c r="G397" s="1059"/>
      <c r="H397" s="1059"/>
      <c r="I397" s="1059"/>
      <c r="J397" s="1059"/>
      <c r="K397" s="1059"/>
      <c r="L397" s="1059"/>
      <c r="M397" s="1059"/>
      <c r="N397" s="1059"/>
      <c r="O397" s="1059"/>
      <c r="P397" s="1059"/>
      <c r="Q397" s="1059"/>
      <c r="R397" s="1059"/>
      <c r="S397" s="1059"/>
      <c r="T397" s="1059"/>
      <c r="U397" s="1059"/>
      <c r="V397" s="1059"/>
      <c r="W397" s="1059"/>
      <c r="X397" s="1059"/>
      <c r="Y397" s="1059"/>
      <c r="Z397" s="1059"/>
    </row>
    <row r="398" spans="1:26" ht="12.75" customHeight="1">
      <c r="A398" s="1059"/>
      <c r="B398" s="1059"/>
      <c r="C398" s="1059"/>
      <c r="D398" s="1059"/>
      <c r="E398" s="1059"/>
      <c r="F398" s="1059"/>
      <c r="G398" s="1059"/>
      <c r="H398" s="1059"/>
      <c r="I398" s="1059"/>
      <c r="J398" s="1059"/>
      <c r="K398" s="1059"/>
      <c r="L398" s="1059"/>
      <c r="M398" s="1059"/>
      <c r="N398" s="1059"/>
      <c r="O398" s="1059"/>
      <c r="P398" s="1059"/>
      <c r="Q398" s="1059"/>
      <c r="R398" s="1059"/>
      <c r="S398" s="1059"/>
      <c r="T398" s="1059"/>
      <c r="U398" s="1059"/>
      <c r="V398" s="1059"/>
      <c r="W398" s="1059"/>
      <c r="X398" s="1059"/>
      <c r="Y398" s="1059"/>
      <c r="Z398" s="1059"/>
    </row>
    <row r="399" spans="1:26" ht="12.75" customHeight="1">
      <c r="A399" s="1059"/>
      <c r="B399" s="1059"/>
      <c r="C399" s="1059"/>
      <c r="D399" s="1059"/>
      <c r="E399" s="1059"/>
      <c r="F399" s="1059"/>
      <c r="G399" s="1059"/>
      <c r="H399" s="1059"/>
      <c r="I399" s="1059"/>
      <c r="J399" s="1059"/>
      <c r="K399" s="1059"/>
      <c r="L399" s="1059"/>
      <c r="M399" s="1059"/>
      <c r="N399" s="1059"/>
      <c r="O399" s="1059"/>
      <c r="P399" s="1059"/>
      <c r="Q399" s="1059"/>
      <c r="R399" s="1059"/>
      <c r="S399" s="1059"/>
      <c r="T399" s="1059"/>
      <c r="U399" s="1059"/>
      <c r="V399" s="1059"/>
      <c r="W399" s="1059"/>
      <c r="X399" s="1059"/>
      <c r="Y399" s="1059"/>
      <c r="Z399" s="1059"/>
    </row>
    <row r="400" spans="1:26" ht="12.75" customHeight="1">
      <c r="A400" s="1059"/>
      <c r="B400" s="1059"/>
      <c r="C400" s="1059"/>
      <c r="D400" s="1059"/>
      <c r="E400" s="1059"/>
      <c r="F400" s="1059"/>
      <c r="G400" s="1059"/>
      <c r="H400" s="1059"/>
      <c r="I400" s="1059"/>
      <c r="J400" s="1059"/>
      <c r="K400" s="1059"/>
      <c r="L400" s="1059"/>
      <c r="M400" s="1059"/>
      <c r="N400" s="1059"/>
      <c r="O400" s="1059"/>
      <c r="P400" s="1059"/>
      <c r="Q400" s="1059"/>
      <c r="R400" s="1059"/>
      <c r="S400" s="1059"/>
      <c r="T400" s="1059"/>
      <c r="U400" s="1059"/>
      <c r="V400" s="1059"/>
      <c r="W400" s="1059"/>
      <c r="X400" s="1059"/>
      <c r="Y400" s="1059"/>
      <c r="Z400" s="1059"/>
    </row>
    <row r="401" spans="1:26" ht="12.75" customHeight="1">
      <c r="A401" s="1059"/>
      <c r="B401" s="1059"/>
      <c r="C401" s="1059"/>
      <c r="D401" s="1059"/>
      <c r="E401" s="1059"/>
      <c r="F401" s="1059"/>
      <c r="G401" s="1059"/>
      <c r="H401" s="1059"/>
      <c r="I401" s="1059"/>
      <c r="J401" s="1059"/>
      <c r="K401" s="1059"/>
      <c r="L401" s="1059"/>
      <c r="M401" s="1059"/>
      <c r="N401" s="1059"/>
      <c r="O401" s="1059"/>
      <c r="P401" s="1059"/>
      <c r="Q401" s="1059"/>
      <c r="R401" s="1059"/>
      <c r="S401" s="1059"/>
      <c r="T401" s="1059"/>
      <c r="U401" s="1059"/>
      <c r="V401" s="1059"/>
      <c r="W401" s="1059"/>
      <c r="X401" s="1059"/>
      <c r="Y401" s="1059"/>
      <c r="Z401" s="1059"/>
    </row>
    <row r="402" spans="1:26" ht="12.75" customHeight="1">
      <c r="A402" s="1059"/>
      <c r="B402" s="1059"/>
      <c r="C402" s="1059"/>
      <c r="D402" s="1059"/>
      <c r="E402" s="1059"/>
      <c r="F402" s="1059"/>
      <c r="G402" s="1059"/>
      <c r="H402" s="1059"/>
      <c r="I402" s="1059"/>
      <c r="J402" s="1059"/>
      <c r="K402" s="1059"/>
      <c r="L402" s="1059"/>
      <c r="M402" s="1059"/>
      <c r="N402" s="1059"/>
      <c r="O402" s="1059"/>
      <c r="P402" s="1059"/>
      <c r="Q402" s="1059"/>
      <c r="R402" s="1059"/>
      <c r="S402" s="1059"/>
      <c r="T402" s="1059"/>
      <c r="U402" s="1059"/>
      <c r="V402" s="1059"/>
      <c r="W402" s="1059"/>
      <c r="X402" s="1059"/>
      <c r="Y402" s="1059"/>
      <c r="Z402" s="1059"/>
    </row>
    <row r="403" spans="1:26" ht="12.75" customHeight="1">
      <c r="A403" s="1059"/>
      <c r="B403" s="1059"/>
      <c r="C403" s="1059"/>
      <c r="D403" s="1059"/>
      <c r="E403" s="1059"/>
      <c r="F403" s="1059"/>
      <c r="G403" s="1059"/>
      <c r="H403" s="1059"/>
      <c r="I403" s="1059"/>
      <c r="J403" s="1059"/>
      <c r="K403" s="1059"/>
      <c r="L403" s="1059"/>
      <c r="M403" s="1059"/>
      <c r="N403" s="1059"/>
      <c r="O403" s="1059"/>
      <c r="P403" s="1059"/>
      <c r="Q403" s="1059"/>
      <c r="R403" s="1059"/>
      <c r="S403" s="1059"/>
      <c r="T403" s="1059"/>
      <c r="U403" s="1059"/>
      <c r="V403" s="1059"/>
      <c r="W403" s="1059"/>
      <c r="X403" s="1059"/>
      <c r="Y403" s="1059"/>
      <c r="Z403" s="1059"/>
    </row>
    <row r="404" spans="1:26" ht="12.75" customHeight="1">
      <c r="A404" s="1059"/>
      <c r="B404" s="1059"/>
      <c r="C404" s="1059"/>
      <c r="D404" s="1059"/>
      <c r="E404" s="1059"/>
      <c r="F404" s="1059"/>
      <c r="G404" s="1059"/>
      <c r="H404" s="1059"/>
      <c r="I404" s="1059"/>
      <c r="J404" s="1059"/>
      <c r="K404" s="1059"/>
      <c r="L404" s="1059"/>
      <c r="M404" s="1059"/>
      <c r="N404" s="1059"/>
      <c r="O404" s="1059"/>
      <c r="P404" s="1059"/>
      <c r="Q404" s="1059"/>
      <c r="R404" s="1059"/>
      <c r="S404" s="1059"/>
      <c r="T404" s="1059"/>
      <c r="U404" s="1059"/>
      <c r="V404" s="1059"/>
      <c r="W404" s="1059"/>
      <c r="X404" s="1059"/>
      <c r="Y404" s="1059"/>
      <c r="Z404" s="1059"/>
    </row>
    <row r="405" spans="1:26" ht="12.75" customHeight="1">
      <c r="A405" s="1059"/>
      <c r="B405" s="1059"/>
      <c r="C405" s="1059"/>
      <c r="D405" s="1059"/>
      <c r="E405" s="1059"/>
      <c r="F405" s="1059"/>
      <c r="G405" s="1059"/>
      <c r="H405" s="1059"/>
      <c r="I405" s="1059"/>
      <c r="J405" s="1059"/>
      <c r="K405" s="1059"/>
      <c r="L405" s="1059"/>
      <c r="M405" s="1059"/>
      <c r="N405" s="1059"/>
      <c r="O405" s="1059"/>
      <c r="P405" s="1059"/>
      <c r="Q405" s="1059"/>
      <c r="R405" s="1059"/>
      <c r="S405" s="1059"/>
      <c r="T405" s="1059"/>
      <c r="U405" s="1059"/>
      <c r="V405" s="1059"/>
      <c r="W405" s="1059"/>
      <c r="X405" s="1059"/>
      <c r="Y405" s="1059"/>
      <c r="Z405" s="1059"/>
    </row>
    <row r="406" spans="1:26" ht="12.75" customHeight="1">
      <c r="A406" s="1059"/>
      <c r="B406" s="1059"/>
      <c r="C406" s="1059"/>
      <c r="D406" s="1059"/>
      <c r="E406" s="1059"/>
      <c r="F406" s="1059"/>
      <c r="G406" s="1059"/>
      <c r="H406" s="1059"/>
      <c r="I406" s="1059"/>
      <c r="J406" s="1059"/>
      <c r="K406" s="1059"/>
      <c r="L406" s="1059"/>
      <c r="M406" s="1059"/>
      <c r="N406" s="1059"/>
      <c r="O406" s="1059"/>
      <c r="P406" s="1059"/>
      <c r="Q406" s="1059"/>
      <c r="R406" s="1059"/>
      <c r="S406" s="1059"/>
      <c r="T406" s="1059"/>
      <c r="U406" s="1059"/>
      <c r="V406" s="1059"/>
      <c r="W406" s="1059"/>
      <c r="X406" s="1059"/>
      <c r="Y406" s="1059"/>
      <c r="Z406" s="1059"/>
    </row>
    <row r="407" spans="1:26" ht="12.75" customHeight="1">
      <c r="A407" s="1059"/>
      <c r="B407" s="1059"/>
      <c r="C407" s="1059"/>
      <c r="D407" s="1059"/>
      <c r="E407" s="1059"/>
      <c r="F407" s="1059"/>
      <c r="G407" s="1059"/>
      <c r="H407" s="1059"/>
      <c r="I407" s="1059"/>
      <c r="J407" s="1059"/>
      <c r="K407" s="1059"/>
      <c r="L407" s="1059"/>
      <c r="M407" s="1059"/>
      <c r="N407" s="1059"/>
      <c r="O407" s="1059"/>
      <c r="P407" s="1059"/>
      <c r="Q407" s="1059"/>
      <c r="R407" s="1059"/>
      <c r="S407" s="1059"/>
      <c r="T407" s="1059"/>
      <c r="U407" s="1059"/>
      <c r="V407" s="1059"/>
      <c r="W407" s="1059"/>
      <c r="X407" s="1059"/>
      <c r="Y407" s="1059"/>
      <c r="Z407" s="1059"/>
    </row>
    <row r="408" spans="1:26" ht="12.75" customHeight="1">
      <c r="A408" s="1059"/>
      <c r="B408" s="1059"/>
      <c r="C408" s="1059"/>
      <c r="D408" s="1059"/>
      <c r="E408" s="1059"/>
      <c r="F408" s="1059"/>
      <c r="G408" s="1059"/>
      <c r="H408" s="1059"/>
      <c r="I408" s="1059"/>
      <c r="J408" s="1059"/>
      <c r="K408" s="1059"/>
      <c r="L408" s="1059"/>
      <c r="M408" s="1059"/>
      <c r="N408" s="1059"/>
      <c r="O408" s="1059"/>
      <c r="P408" s="1059"/>
      <c r="Q408" s="1059"/>
      <c r="R408" s="1059"/>
      <c r="S408" s="1059"/>
      <c r="T408" s="1059"/>
      <c r="U408" s="1059"/>
      <c r="V408" s="1059"/>
      <c r="W408" s="1059"/>
      <c r="X408" s="1059"/>
      <c r="Y408" s="1059"/>
      <c r="Z408" s="1059"/>
    </row>
    <row r="409" spans="1:26" ht="12.75" customHeight="1">
      <c r="A409" s="1059"/>
      <c r="B409" s="1059"/>
      <c r="C409" s="1059"/>
      <c r="D409" s="1059"/>
      <c r="E409" s="1059"/>
      <c r="F409" s="1059"/>
      <c r="G409" s="1059"/>
      <c r="H409" s="1059"/>
      <c r="I409" s="1059"/>
      <c r="J409" s="1059"/>
      <c r="K409" s="1059"/>
      <c r="L409" s="1059"/>
      <c r="M409" s="1059"/>
      <c r="N409" s="1059"/>
      <c r="O409" s="1059"/>
      <c r="P409" s="1059"/>
      <c r="Q409" s="1059"/>
      <c r="R409" s="1059"/>
      <c r="S409" s="1059"/>
      <c r="T409" s="1059"/>
      <c r="U409" s="1059"/>
      <c r="V409" s="1059"/>
      <c r="W409" s="1059"/>
      <c r="X409" s="1059"/>
      <c r="Y409" s="1059"/>
      <c r="Z409" s="1059"/>
    </row>
    <row r="410" spans="1:26" ht="12.75" customHeight="1">
      <c r="A410" s="1059"/>
      <c r="B410" s="1059"/>
      <c r="C410" s="1059"/>
      <c r="D410" s="1059"/>
      <c r="E410" s="1059"/>
      <c r="F410" s="1059"/>
      <c r="G410" s="1059"/>
      <c r="H410" s="1059"/>
      <c r="I410" s="1059"/>
      <c r="J410" s="1059"/>
      <c r="K410" s="1059"/>
      <c r="L410" s="1059"/>
      <c r="M410" s="1059"/>
      <c r="N410" s="1059"/>
      <c r="O410" s="1059"/>
      <c r="P410" s="1059"/>
      <c r="Q410" s="1059"/>
      <c r="R410" s="1059"/>
      <c r="S410" s="1059"/>
      <c r="T410" s="1059"/>
      <c r="U410" s="1059"/>
      <c r="V410" s="1059"/>
      <c r="W410" s="1059"/>
      <c r="X410" s="1059"/>
      <c r="Y410" s="1059"/>
      <c r="Z410" s="1059"/>
    </row>
    <row r="411" spans="1:26" ht="12.75" customHeight="1">
      <c r="A411" s="1059"/>
      <c r="B411" s="1059"/>
      <c r="C411" s="1059"/>
      <c r="D411" s="1059"/>
      <c r="E411" s="1059"/>
      <c r="F411" s="1059"/>
      <c r="G411" s="1059"/>
      <c r="H411" s="1059"/>
      <c r="I411" s="1059"/>
      <c r="J411" s="1059"/>
      <c r="K411" s="1059"/>
      <c r="L411" s="1059"/>
      <c r="M411" s="1059"/>
      <c r="N411" s="1059"/>
      <c r="O411" s="1059"/>
      <c r="P411" s="1059"/>
      <c r="Q411" s="1059"/>
      <c r="R411" s="1059"/>
      <c r="S411" s="1059"/>
      <c r="T411" s="1059"/>
      <c r="U411" s="1059"/>
      <c r="V411" s="1059"/>
      <c r="W411" s="1059"/>
      <c r="X411" s="1059"/>
      <c r="Y411" s="1059"/>
      <c r="Z411" s="1059"/>
    </row>
    <row r="412" spans="1:26" ht="12.75" customHeight="1">
      <c r="A412" s="1059"/>
      <c r="B412" s="1059"/>
      <c r="C412" s="1059"/>
      <c r="D412" s="1059"/>
      <c r="E412" s="1059"/>
      <c r="F412" s="1059"/>
      <c r="G412" s="1059"/>
      <c r="H412" s="1059"/>
      <c r="I412" s="1059"/>
      <c r="J412" s="1059"/>
      <c r="K412" s="1059"/>
      <c r="L412" s="1059"/>
      <c r="M412" s="1059"/>
      <c r="N412" s="1059"/>
      <c r="O412" s="1059"/>
      <c r="P412" s="1059"/>
      <c r="Q412" s="1059"/>
      <c r="R412" s="1059"/>
      <c r="S412" s="1059"/>
      <c r="T412" s="1059"/>
      <c r="U412" s="1059"/>
      <c r="V412" s="1059"/>
      <c r="W412" s="1059"/>
      <c r="X412" s="1059"/>
      <c r="Y412" s="1059"/>
      <c r="Z412" s="1059"/>
    </row>
    <row r="413" spans="1:26" ht="12.75" customHeight="1">
      <c r="A413" s="1059"/>
      <c r="B413" s="1059"/>
      <c r="C413" s="1059"/>
      <c r="D413" s="1059"/>
      <c r="E413" s="1059"/>
      <c r="F413" s="1059"/>
      <c r="G413" s="1059"/>
      <c r="H413" s="1059"/>
      <c r="I413" s="1059"/>
      <c r="J413" s="1059"/>
      <c r="K413" s="1059"/>
      <c r="L413" s="1059"/>
      <c r="M413" s="1059"/>
      <c r="N413" s="1059"/>
      <c r="O413" s="1059"/>
      <c r="P413" s="1059"/>
      <c r="Q413" s="1059"/>
      <c r="R413" s="1059"/>
      <c r="S413" s="1059"/>
      <c r="T413" s="1059"/>
      <c r="U413" s="1059"/>
      <c r="V413" s="1059"/>
      <c r="W413" s="1059"/>
      <c r="X413" s="1059"/>
      <c r="Y413" s="1059"/>
      <c r="Z413" s="1059"/>
    </row>
    <row r="414" spans="1:26" ht="12.75" customHeight="1">
      <c r="A414" s="1059"/>
      <c r="B414" s="1059"/>
      <c r="C414" s="1059"/>
      <c r="D414" s="1059"/>
      <c r="E414" s="1059"/>
      <c r="F414" s="1059"/>
      <c r="G414" s="1059"/>
      <c r="H414" s="1059"/>
      <c r="I414" s="1059"/>
      <c r="J414" s="1059"/>
      <c r="K414" s="1059"/>
      <c r="L414" s="1059"/>
      <c r="M414" s="1059"/>
      <c r="N414" s="1059"/>
      <c r="O414" s="1059"/>
      <c r="P414" s="1059"/>
      <c r="Q414" s="1059"/>
      <c r="R414" s="1059"/>
      <c r="S414" s="1059"/>
      <c r="T414" s="1059"/>
      <c r="U414" s="1059"/>
      <c r="V414" s="1059"/>
      <c r="W414" s="1059"/>
      <c r="X414" s="1059"/>
      <c r="Y414" s="1059"/>
      <c r="Z414" s="1059"/>
    </row>
    <row r="415" spans="1:26" ht="12.75" customHeight="1">
      <c r="A415" s="1059"/>
      <c r="B415" s="1059"/>
      <c r="C415" s="1059"/>
      <c r="D415" s="1059"/>
      <c r="E415" s="1059"/>
      <c r="F415" s="1059"/>
      <c r="G415" s="1059"/>
      <c r="H415" s="1059"/>
      <c r="I415" s="1059"/>
      <c r="J415" s="1059"/>
      <c r="K415" s="1059"/>
      <c r="L415" s="1059"/>
      <c r="M415" s="1059"/>
      <c r="N415" s="1059"/>
      <c r="O415" s="1059"/>
      <c r="P415" s="1059"/>
      <c r="Q415" s="1059"/>
      <c r="R415" s="1059"/>
      <c r="S415" s="1059"/>
      <c r="T415" s="1059"/>
      <c r="U415" s="1059"/>
      <c r="V415" s="1059"/>
      <c r="W415" s="1059"/>
      <c r="X415" s="1059"/>
      <c r="Y415" s="1059"/>
      <c r="Z415" s="1059"/>
    </row>
    <row r="416" spans="1:26" ht="12.75" customHeight="1">
      <c r="A416" s="1059"/>
      <c r="B416" s="1059"/>
      <c r="C416" s="1059"/>
      <c r="D416" s="1059"/>
      <c r="E416" s="1059"/>
      <c r="F416" s="1059"/>
      <c r="G416" s="1059"/>
      <c r="H416" s="1059"/>
      <c r="I416" s="1059"/>
      <c r="J416" s="1059"/>
      <c r="K416" s="1059"/>
      <c r="L416" s="1059"/>
      <c r="M416" s="1059"/>
      <c r="N416" s="1059"/>
      <c r="O416" s="1059"/>
      <c r="P416" s="1059"/>
      <c r="Q416" s="1059"/>
      <c r="R416" s="1059"/>
      <c r="S416" s="1059"/>
      <c r="T416" s="1059"/>
      <c r="U416" s="1059"/>
      <c r="V416" s="1059"/>
      <c r="W416" s="1059"/>
      <c r="X416" s="1059"/>
      <c r="Y416" s="1059"/>
      <c r="Z416" s="1059"/>
    </row>
    <row r="417" spans="1:26" ht="12.75" customHeight="1">
      <c r="A417" s="1059"/>
      <c r="B417" s="1059"/>
      <c r="C417" s="1059"/>
      <c r="D417" s="1059"/>
      <c r="E417" s="1059"/>
      <c r="F417" s="1059"/>
      <c r="G417" s="1059"/>
      <c r="H417" s="1059"/>
      <c r="I417" s="1059"/>
      <c r="J417" s="1059"/>
      <c r="K417" s="1059"/>
      <c r="L417" s="1059"/>
      <c r="M417" s="1059"/>
      <c r="N417" s="1059"/>
      <c r="O417" s="1059"/>
      <c r="P417" s="1059"/>
      <c r="Q417" s="1059"/>
      <c r="R417" s="1059"/>
      <c r="S417" s="1059"/>
      <c r="T417" s="1059"/>
      <c r="U417" s="1059"/>
      <c r="V417" s="1059"/>
      <c r="W417" s="1059"/>
      <c r="X417" s="1059"/>
      <c r="Y417" s="1059"/>
      <c r="Z417" s="1059"/>
    </row>
    <row r="418" spans="1:26" ht="12.75" customHeight="1">
      <c r="A418" s="1059"/>
      <c r="B418" s="1059"/>
      <c r="C418" s="1059"/>
      <c r="D418" s="1059"/>
      <c r="E418" s="1059"/>
      <c r="F418" s="1059"/>
      <c r="G418" s="1059"/>
      <c r="H418" s="1059"/>
      <c r="I418" s="1059"/>
      <c r="J418" s="1059"/>
      <c r="K418" s="1059"/>
      <c r="L418" s="1059"/>
      <c r="M418" s="1059"/>
      <c r="N418" s="1059"/>
      <c r="O418" s="1059"/>
      <c r="P418" s="1059"/>
      <c r="Q418" s="1059"/>
      <c r="R418" s="1059"/>
      <c r="S418" s="1059"/>
      <c r="T418" s="1059"/>
      <c r="U418" s="1059"/>
      <c r="V418" s="1059"/>
      <c r="W418" s="1059"/>
      <c r="X418" s="1059"/>
      <c r="Y418" s="1059"/>
      <c r="Z418" s="1059"/>
    </row>
    <row r="419" spans="1:26" ht="12.75" customHeight="1">
      <c r="A419" s="1059"/>
      <c r="B419" s="1059"/>
      <c r="C419" s="1059"/>
      <c r="D419" s="1059"/>
      <c r="E419" s="1059"/>
      <c r="F419" s="1059"/>
      <c r="G419" s="1059"/>
      <c r="H419" s="1059"/>
      <c r="I419" s="1059"/>
      <c r="J419" s="1059"/>
      <c r="K419" s="1059"/>
      <c r="L419" s="1059"/>
      <c r="M419" s="1059"/>
      <c r="N419" s="1059"/>
      <c r="O419" s="1059"/>
      <c r="P419" s="1059"/>
      <c r="Q419" s="1059"/>
      <c r="R419" s="1059"/>
      <c r="S419" s="1059"/>
      <c r="T419" s="1059"/>
      <c r="U419" s="1059"/>
      <c r="V419" s="1059"/>
      <c r="W419" s="1059"/>
      <c r="X419" s="1059"/>
      <c r="Y419" s="1059"/>
      <c r="Z419" s="1059"/>
    </row>
    <row r="420" spans="1:26" ht="12.75" customHeight="1">
      <c r="A420" s="1059"/>
      <c r="B420" s="1059"/>
      <c r="C420" s="1059"/>
      <c r="D420" s="1059"/>
      <c r="E420" s="1059"/>
      <c r="F420" s="1059"/>
      <c r="G420" s="1059"/>
      <c r="H420" s="1059"/>
      <c r="I420" s="1059"/>
      <c r="J420" s="1059"/>
      <c r="K420" s="1059"/>
      <c r="L420" s="1059"/>
      <c r="M420" s="1059"/>
      <c r="N420" s="1059"/>
      <c r="O420" s="1059"/>
      <c r="P420" s="1059"/>
      <c r="Q420" s="1059"/>
      <c r="R420" s="1059"/>
      <c r="S420" s="1059"/>
      <c r="T420" s="1059"/>
      <c r="U420" s="1059"/>
      <c r="V420" s="1059"/>
      <c r="W420" s="1059"/>
      <c r="X420" s="1059"/>
      <c r="Y420" s="1059"/>
      <c r="Z420" s="1059"/>
    </row>
    <row r="421" spans="1:26" ht="12.75" customHeight="1">
      <c r="A421" s="1059"/>
      <c r="B421" s="1059"/>
      <c r="C421" s="1059"/>
      <c r="D421" s="1059"/>
      <c r="E421" s="1059"/>
      <c r="F421" s="1059"/>
      <c r="G421" s="1059"/>
      <c r="H421" s="1059"/>
      <c r="I421" s="1059"/>
      <c r="J421" s="1059"/>
      <c r="K421" s="1059"/>
      <c r="L421" s="1059"/>
      <c r="M421" s="1059"/>
      <c r="N421" s="1059"/>
      <c r="O421" s="1059"/>
      <c r="P421" s="1059"/>
      <c r="Q421" s="1059"/>
      <c r="R421" s="1059"/>
      <c r="S421" s="1059"/>
      <c r="T421" s="1059"/>
      <c r="U421" s="1059"/>
      <c r="V421" s="1059"/>
      <c r="W421" s="1059"/>
      <c r="X421" s="1059"/>
      <c r="Y421" s="1059"/>
      <c r="Z421" s="1059"/>
    </row>
    <row r="422" spans="1:26" ht="12.75" customHeight="1">
      <c r="A422" s="1059"/>
      <c r="B422" s="1059"/>
      <c r="C422" s="1059"/>
      <c r="D422" s="1059"/>
      <c r="E422" s="1059"/>
      <c r="F422" s="1059"/>
      <c r="G422" s="1059"/>
      <c r="H422" s="1059"/>
      <c r="I422" s="1059"/>
      <c r="J422" s="1059"/>
      <c r="K422" s="1059"/>
      <c r="L422" s="1059"/>
      <c r="M422" s="1059"/>
      <c r="N422" s="1059"/>
      <c r="O422" s="1059"/>
      <c r="P422" s="1059"/>
      <c r="Q422" s="1059"/>
      <c r="R422" s="1059"/>
      <c r="S422" s="1059"/>
      <c r="T422" s="1059"/>
      <c r="U422" s="1059"/>
      <c r="V422" s="1059"/>
      <c r="W422" s="1059"/>
      <c r="X422" s="1059"/>
      <c r="Y422" s="1059"/>
      <c r="Z422" s="1059"/>
    </row>
    <row r="423" spans="1:26" ht="12.75" customHeight="1">
      <c r="A423" s="1059"/>
      <c r="B423" s="1059"/>
      <c r="C423" s="1059"/>
      <c r="D423" s="1059"/>
      <c r="E423" s="1059"/>
      <c r="F423" s="1059"/>
      <c r="G423" s="1059"/>
      <c r="H423" s="1059"/>
      <c r="I423" s="1059"/>
      <c r="J423" s="1059"/>
      <c r="K423" s="1059"/>
      <c r="L423" s="1059"/>
      <c r="M423" s="1059"/>
      <c r="N423" s="1059"/>
      <c r="O423" s="1059"/>
      <c r="P423" s="1059"/>
      <c r="Q423" s="1059"/>
      <c r="R423" s="1059"/>
      <c r="S423" s="1059"/>
      <c r="T423" s="1059"/>
      <c r="U423" s="1059"/>
      <c r="V423" s="1059"/>
      <c r="W423" s="1059"/>
      <c r="X423" s="1059"/>
      <c r="Y423" s="1059"/>
      <c r="Z423" s="1059"/>
    </row>
    <row r="424" spans="1:26" ht="12.75" customHeight="1">
      <c r="A424" s="1059"/>
      <c r="B424" s="1059"/>
      <c r="C424" s="1059"/>
      <c r="D424" s="1059"/>
      <c r="E424" s="1059"/>
      <c r="F424" s="1059"/>
      <c r="G424" s="1059"/>
      <c r="H424" s="1059"/>
      <c r="I424" s="1059"/>
      <c r="J424" s="1059"/>
      <c r="K424" s="1059"/>
      <c r="L424" s="1059"/>
      <c r="M424" s="1059"/>
      <c r="N424" s="1059"/>
      <c r="O424" s="1059"/>
      <c r="P424" s="1059"/>
      <c r="Q424" s="1059"/>
      <c r="R424" s="1059"/>
      <c r="S424" s="1059"/>
      <c r="T424" s="1059"/>
      <c r="U424" s="1059"/>
      <c r="V424" s="1059"/>
      <c r="W424" s="1059"/>
      <c r="X424" s="1059"/>
      <c r="Y424" s="1059"/>
      <c r="Z424" s="1059"/>
    </row>
    <row r="425" spans="1:26" ht="12.75" customHeight="1">
      <c r="A425" s="1059"/>
      <c r="B425" s="1059"/>
      <c r="C425" s="1059"/>
      <c r="D425" s="1059"/>
      <c r="E425" s="1059"/>
      <c r="F425" s="1059"/>
      <c r="G425" s="1059"/>
      <c r="H425" s="1059"/>
      <c r="I425" s="1059"/>
      <c r="J425" s="1059"/>
      <c r="K425" s="1059"/>
      <c r="L425" s="1059"/>
      <c r="M425" s="1059"/>
      <c r="N425" s="1059"/>
      <c r="O425" s="1059"/>
      <c r="P425" s="1059"/>
      <c r="Q425" s="1059"/>
      <c r="R425" s="1059"/>
      <c r="S425" s="1059"/>
      <c r="T425" s="1059"/>
      <c r="U425" s="1059"/>
      <c r="V425" s="1059"/>
      <c r="W425" s="1059"/>
      <c r="X425" s="1059"/>
      <c r="Y425" s="1059"/>
      <c r="Z425" s="1059"/>
    </row>
    <row r="426" spans="1:26" ht="12.75" customHeight="1">
      <c r="A426" s="1059"/>
      <c r="B426" s="1059"/>
      <c r="C426" s="1059"/>
      <c r="D426" s="1059"/>
      <c r="E426" s="1059"/>
      <c r="F426" s="1059"/>
      <c r="G426" s="1059"/>
      <c r="H426" s="1059"/>
      <c r="I426" s="1059"/>
      <c r="J426" s="1059"/>
      <c r="K426" s="1059"/>
      <c r="L426" s="1059"/>
      <c r="M426" s="1059"/>
      <c r="N426" s="1059"/>
      <c r="O426" s="1059"/>
      <c r="P426" s="1059"/>
      <c r="Q426" s="1059"/>
      <c r="R426" s="1059"/>
      <c r="S426" s="1059"/>
      <c r="T426" s="1059"/>
      <c r="U426" s="1059"/>
      <c r="V426" s="1059"/>
      <c r="W426" s="1059"/>
      <c r="X426" s="1059"/>
      <c r="Y426" s="1059"/>
      <c r="Z426" s="1059"/>
    </row>
    <row r="427" spans="1:26" ht="12.75" customHeight="1">
      <c r="A427" s="1059"/>
      <c r="B427" s="1059"/>
      <c r="C427" s="1059"/>
      <c r="D427" s="1059"/>
      <c r="E427" s="1059"/>
      <c r="F427" s="1059"/>
      <c r="G427" s="1059"/>
      <c r="H427" s="1059"/>
      <c r="I427" s="1059"/>
      <c r="J427" s="1059"/>
      <c r="K427" s="1059"/>
      <c r="L427" s="1059"/>
      <c r="M427" s="1059"/>
      <c r="N427" s="1059"/>
      <c r="O427" s="1059"/>
      <c r="P427" s="1059"/>
      <c r="Q427" s="1059"/>
      <c r="R427" s="1059"/>
      <c r="S427" s="1059"/>
      <c r="T427" s="1059"/>
      <c r="U427" s="1059"/>
      <c r="V427" s="1059"/>
      <c r="W427" s="1059"/>
      <c r="X427" s="1059"/>
      <c r="Y427" s="1059"/>
      <c r="Z427" s="1059"/>
    </row>
    <row r="428" spans="1:26" ht="12.75" customHeight="1">
      <c r="A428" s="1059"/>
      <c r="B428" s="1059"/>
      <c r="C428" s="1059"/>
      <c r="D428" s="1059"/>
      <c r="E428" s="1059"/>
      <c r="F428" s="1059"/>
      <c r="G428" s="1059"/>
      <c r="H428" s="1059"/>
      <c r="I428" s="1059"/>
      <c r="J428" s="1059"/>
      <c r="K428" s="1059"/>
      <c r="L428" s="1059"/>
      <c r="M428" s="1059"/>
      <c r="N428" s="1059"/>
      <c r="O428" s="1059"/>
      <c r="P428" s="1059"/>
      <c r="Q428" s="1059"/>
      <c r="R428" s="1059"/>
      <c r="S428" s="1059"/>
      <c r="T428" s="1059"/>
      <c r="U428" s="1059"/>
      <c r="V428" s="1059"/>
      <c r="W428" s="1059"/>
      <c r="X428" s="1059"/>
      <c r="Y428" s="1059"/>
      <c r="Z428" s="1059"/>
    </row>
    <row r="429" spans="1:26" ht="12.75" customHeight="1">
      <c r="A429" s="1059"/>
      <c r="B429" s="1059"/>
      <c r="C429" s="1059"/>
      <c r="D429" s="1059"/>
      <c r="E429" s="1059"/>
      <c r="F429" s="1059"/>
      <c r="G429" s="1059"/>
      <c r="H429" s="1059"/>
      <c r="I429" s="1059"/>
      <c r="J429" s="1059"/>
      <c r="K429" s="1059"/>
      <c r="L429" s="1059"/>
      <c r="M429" s="1059"/>
      <c r="N429" s="1059"/>
      <c r="O429" s="1059"/>
      <c r="P429" s="1059"/>
      <c r="Q429" s="1059"/>
      <c r="R429" s="1059"/>
      <c r="S429" s="1059"/>
      <c r="T429" s="1059"/>
      <c r="U429" s="1059"/>
      <c r="V429" s="1059"/>
      <c r="W429" s="1059"/>
      <c r="X429" s="1059"/>
      <c r="Y429" s="1059"/>
      <c r="Z429" s="1059"/>
    </row>
    <row r="430" spans="1:26" ht="12.75" customHeight="1">
      <c r="A430" s="1059"/>
      <c r="B430" s="1059"/>
      <c r="C430" s="1059"/>
      <c r="D430" s="1059"/>
      <c r="E430" s="1059"/>
      <c r="F430" s="1059"/>
      <c r="G430" s="1059"/>
      <c r="H430" s="1059"/>
      <c r="I430" s="1059"/>
      <c r="J430" s="1059"/>
      <c r="K430" s="1059"/>
      <c r="L430" s="1059"/>
      <c r="M430" s="1059"/>
      <c r="N430" s="1059"/>
      <c r="O430" s="1059"/>
      <c r="P430" s="1059"/>
      <c r="Q430" s="1059"/>
      <c r="R430" s="1059"/>
      <c r="S430" s="1059"/>
      <c r="T430" s="1059"/>
      <c r="U430" s="1059"/>
      <c r="V430" s="1059"/>
      <c r="W430" s="1059"/>
      <c r="X430" s="1059"/>
      <c r="Y430" s="1059"/>
      <c r="Z430" s="1059"/>
    </row>
    <row r="431" spans="1:26" ht="12.75" customHeight="1">
      <c r="A431" s="1059"/>
      <c r="B431" s="1059"/>
      <c r="C431" s="1059"/>
      <c r="D431" s="1059"/>
      <c r="E431" s="1059"/>
      <c r="F431" s="1059"/>
      <c r="G431" s="1059"/>
      <c r="H431" s="1059"/>
      <c r="I431" s="1059"/>
      <c r="J431" s="1059"/>
      <c r="K431" s="1059"/>
      <c r="L431" s="1059"/>
      <c r="M431" s="1059"/>
      <c r="N431" s="1059"/>
      <c r="O431" s="1059"/>
      <c r="P431" s="1059"/>
      <c r="Q431" s="1059"/>
      <c r="R431" s="1059"/>
      <c r="S431" s="1059"/>
      <c r="T431" s="1059"/>
      <c r="U431" s="1059"/>
      <c r="V431" s="1059"/>
      <c r="W431" s="1059"/>
      <c r="X431" s="1059"/>
      <c r="Y431" s="1059"/>
      <c r="Z431" s="1059"/>
    </row>
    <row r="432" spans="1:26" ht="12.75" customHeight="1">
      <c r="A432" s="1059"/>
      <c r="B432" s="1059"/>
      <c r="C432" s="1059"/>
      <c r="D432" s="1059"/>
      <c r="E432" s="1059"/>
      <c r="F432" s="1059"/>
      <c r="G432" s="1059"/>
      <c r="H432" s="1059"/>
      <c r="I432" s="1059"/>
      <c r="J432" s="1059"/>
      <c r="K432" s="1059"/>
      <c r="L432" s="1059"/>
      <c r="M432" s="1059"/>
      <c r="N432" s="1059"/>
      <c r="O432" s="1059"/>
      <c r="P432" s="1059"/>
      <c r="Q432" s="1059"/>
      <c r="R432" s="1059"/>
      <c r="S432" s="1059"/>
      <c r="T432" s="1059"/>
      <c r="U432" s="1059"/>
      <c r="V432" s="1059"/>
      <c r="W432" s="1059"/>
      <c r="X432" s="1059"/>
      <c r="Y432" s="1059"/>
      <c r="Z432" s="1059"/>
    </row>
    <row r="433" spans="1:26" ht="12.75" customHeight="1">
      <c r="A433" s="1059"/>
      <c r="B433" s="1059"/>
      <c r="C433" s="1059"/>
      <c r="D433" s="1059"/>
      <c r="E433" s="1059"/>
      <c r="F433" s="1059"/>
      <c r="G433" s="1059"/>
      <c r="H433" s="1059"/>
      <c r="I433" s="1059"/>
      <c r="J433" s="1059"/>
      <c r="K433" s="1059"/>
      <c r="L433" s="1059"/>
      <c r="M433" s="1059"/>
      <c r="N433" s="1059"/>
      <c r="O433" s="1059"/>
      <c r="P433" s="1059"/>
      <c r="Q433" s="1059"/>
      <c r="R433" s="1059"/>
      <c r="S433" s="1059"/>
      <c r="T433" s="1059"/>
      <c r="U433" s="1059"/>
      <c r="V433" s="1059"/>
      <c r="W433" s="1059"/>
      <c r="X433" s="1059"/>
      <c r="Y433" s="1059"/>
      <c r="Z433" s="1059"/>
    </row>
    <row r="434" spans="1:26" ht="12.75" customHeight="1">
      <c r="A434" s="1059"/>
      <c r="B434" s="1059"/>
      <c r="C434" s="1059"/>
      <c r="D434" s="1059"/>
      <c r="E434" s="1059"/>
      <c r="F434" s="1059"/>
      <c r="G434" s="1059"/>
      <c r="H434" s="1059"/>
      <c r="I434" s="1059"/>
      <c r="J434" s="1059"/>
      <c r="K434" s="1059"/>
      <c r="L434" s="1059"/>
      <c r="M434" s="1059"/>
      <c r="N434" s="1059"/>
      <c r="O434" s="1059"/>
      <c r="P434" s="1059"/>
      <c r="Q434" s="1059"/>
      <c r="R434" s="1059"/>
      <c r="S434" s="1059"/>
      <c r="T434" s="1059"/>
      <c r="U434" s="1059"/>
      <c r="V434" s="1059"/>
      <c r="W434" s="1059"/>
      <c r="X434" s="1059"/>
      <c r="Y434" s="1059"/>
      <c r="Z434" s="1059"/>
    </row>
    <row r="435" spans="1:26" ht="12.75" customHeight="1">
      <c r="A435" s="1059"/>
      <c r="B435" s="1059"/>
      <c r="C435" s="1059"/>
      <c r="D435" s="1059"/>
      <c r="E435" s="1059"/>
      <c r="F435" s="1059"/>
      <c r="G435" s="1059"/>
      <c r="H435" s="1059"/>
      <c r="I435" s="1059"/>
      <c r="J435" s="1059"/>
      <c r="K435" s="1059"/>
      <c r="L435" s="1059"/>
      <c r="M435" s="1059"/>
      <c r="N435" s="1059"/>
      <c r="O435" s="1059"/>
      <c r="P435" s="1059"/>
      <c r="Q435" s="1059"/>
      <c r="R435" s="1059"/>
      <c r="S435" s="1059"/>
      <c r="T435" s="1059"/>
      <c r="U435" s="1059"/>
      <c r="V435" s="1059"/>
      <c r="W435" s="1059"/>
      <c r="X435" s="1059"/>
      <c r="Y435" s="1059"/>
      <c r="Z435" s="1059"/>
    </row>
    <row r="436" spans="1:26" ht="12.75" customHeight="1">
      <c r="A436" s="1059"/>
      <c r="B436" s="1059"/>
      <c r="C436" s="1059"/>
      <c r="D436" s="1059"/>
      <c r="E436" s="1059"/>
      <c r="F436" s="1059"/>
      <c r="G436" s="1059"/>
      <c r="H436" s="1059"/>
      <c r="I436" s="1059"/>
      <c r="J436" s="1059"/>
      <c r="K436" s="1059"/>
      <c r="L436" s="1059"/>
      <c r="M436" s="1059"/>
      <c r="N436" s="1059"/>
      <c r="O436" s="1059"/>
      <c r="P436" s="1059"/>
      <c r="Q436" s="1059"/>
      <c r="R436" s="1059"/>
      <c r="S436" s="1059"/>
      <c r="T436" s="1059"/>
      <c r="U436" s="1059"/>
      <c r="V436" s="1059"/>
      <c r="W436" s="1059"/>
      <c r="X436" s="1059"/>
      <c r="Y436" s="1059"/>
      <c r="Z436" s="1059"/>
    </row>
    <row r="437" spans="1:26" ht="12.75" customHeight="1">
      <c r="A437" s="1059"/>
      <c r="B437" s="1059"/>
      <c r="C437" s="1059"/>
      <c r="D437" s="1059"/>
      <c r="E437" s="1059"/>
      <c r="F437" s="1059"/>
      <c r="G437" s="1059"/>
      <c r="H437" s="1059"/>
      <c r="I437" s="1059"/>
      <c r="J437" s="1059"/>
      <c r="K437" s="1059"/>
      <c r="L437" s="1059"/>
      <c r="M437" s="1059"/>
      <c r="N437" s="1059"/>
      <c r="O437" s="1059"/>
      <c r="P437" s="1059"/>
      <c r="Q437" s="1059"/>
      <c r="R437" s="1059"/>
      <c r="S437" s="1059"/>
      <c r="T437" s="1059"/>
      <c r="U437" s="1059"/>
      <c r="V437" s="1059"/>
      <c r="W437" s="1059"/>
      <c r="X437" s="1059"/>
      <c r="Y437" s="1059"/>
      <c r="Z437" s="1059"/>
    </row>
    <row r="438" spans="1:26" ht="12.75" customHeight="1">
      <c r="A438" s="1059"/>
      <c r="B438" s="1059"/>
      <c r="C438" s="1059"/>
      <c r="D438" s="1059"/>
      <c r="E438" s="1059"/>
      <c r="F438" s="1059"/>
      <c r="G438" s="1059"/>
      <c r="H438" s="1059"/>
      <c r="I438" s="1059"/>
      <c r="J438" s="1059"/>
      <c r="K438" s="1059"/>
      <c r="L438" s="1059"/>
      <c r="M438" s="1059"/>
      <c r="N438" s="1059"/>
      <c r="O438" s="1059"/>
      <c r="P438" s="1059"/>
      <c r="Q438" s="1059"/>
      <c r="R438" s="1059"/>
      <c r="S438" s="1059"/>
      <c r="T438" s="1059"/>
      <c r="U438" s="1059"/>
      <c r="V438" s="1059"/>
      <c r="W438" s="1059"/>
      <c r="X438" s="1059"/>
      <c r="Y438" s="1059"/>
      <c r="Z438" s="1059"/>
    </row>
    <row r="439" spans="1:26" ht="12.75" customHeight="1">
      <c r="A439" s="1059"/>
      <c r="B439" s="1059"/>
      <c r="C439" s="1059"/>
      <c r="D439" s="1059"/>
      <c r="E439" s="1059"/>
      <c r="F439" s="1059"/>
      <c r="G439" s="1059"/>
      <c r="H439" s="1059"/>
      <c r="I439" s="1059"/>
      <c r="J439" s="1059"/>
      <c r="K439" s="1059"/>
      <c r="L439" s="1059"/>
      <c r="M439" s="1059"/>
      <c r="N439" s="1059"/>
      <c r="O439" s="1059"/>
      <c r="P439" s="1059"/>
      <c r="Q439" s="1059"/>
      <c r="R439" s="1059"/>
      <c r="S439" s="1059"/>
      <c r="T439" s="1059"/>
      <c r="U439" s="1059"/>
      <c r="V439" s="1059"/>
      <c r="W439" s="1059"/>
      <c r="X439" s="1059"/>
      <c r="Y439" s="1059"/>
      <c r="Z439" s="1059"/>
    </row>
    <row r="440" spans="1:26" ht="12.75" customHeight="1">
      <c r="A440" s="1059"/>
      <c r="B440" s="1059"/>
      <c r="C440" s="1059"/>
      <c r="D440" s="1059"/>
      <c r="E440" s="1059"/>
      <c r="F440" s="1059"/>
      <c r="G440" s="1059"/>
      <c r="H440" s="1059"/>
      <c r="I440" s="1059"/>
      <c r="J440" s="1059"/>
      <c r="K440" s="1059"/>
      <c r="L440" s="1059"/>
      <c r="M440" s="1059"/>
      <c r="N440" s="1059"/>
      <c r="O440" s="1059"/>
      <c r="P440" s="1059"/>
      <c r="Q440" s="1059"/>
      <c r="R440" s="1059"/>
      <c r="S440" s="1059"/>
      <c r="T440" s="1059"/>
      <c r="U440" s="1059"/>
      <c r="V440" s="1059"/>
      <c r="W440" s="1059"/>
      <c r="X440" s="1059"/>
      <c r="Y440" s="1059"/>
      <c r="Z440" s="1059"/>
    </row>
    <row r="441" spans="1:26" ht="12.75" customHeight="1">
      <c r="A441" s="1059"/>
      <c r="B441" s="1059"/>
      <c r="C441" s="1059"/>
      <c r="D441" s="1059"/>
      <c r="E441" s="1059"/>
      <c r="F441" s="1059"/>
      <c r="G441" s="1059"/>
      <c r="H441" s="1059"/>
      <c r="I441" s="1059"/>
      <c r="J441" s="1059"/>
      <c r="K441" s="1059"/>
      <c r="L441" s="1059"/>
      <c r="M441" s="1059"/>
      <c r="N441" s="1059"/>
      <c r="O441" s="1059"/>
      <c r="P441" s="1059"/>
      <c r="Q441" s="1059"/>
      <c r="R441" s="1059"/>
      <c r="S441" s="1059"/>
      <c r="T441" s="1059"/>
      <c r="U441" s="1059"/>
      <c r="V441" s="1059"/>
      <c r="W441" s="1059"/>
      <c r="X441" s="1059"/>
      <c r="Y441" s="1059"/>
      <c r="Z441" s="1059"/>
    </row>
    <row r="442" spans="1:26" ht="12.75" customHeight="1">
      <c r="A442" s="1059"/>
      <c r="B442" s="1059"/>
      <c r="C442" s="1059"/>
      <c r="D442" s="1059"/>
      <c r="E442" s="1059"/>
      <c r="F442" s="1059"/>
      <c r="G442" s="1059"/>
      <c r="H442" s="1059"/>
      <c r="I442" s="1059"/>
      <c r="J442" s="1059"/>
      <c r="K442" s="1059"/>
      <c r="L442" s="1059"/>
      <c r="M442" s="1059"/>
      <c r="N442" s="1059"/>
      <c r="O442" s="1059"/>
      <c r="P442" s="1059"/>
      <c r="Q442" s="1059"/>
      <c r="R442" s="1059"/>
      <c r="S442" s="1059"/>
      <c r="T442" s="1059"/>
      <c r="U442" s="1059"/>
      <c r="V442" s="1059"/>
      <c r="W442" s="1059"/>
      <c r="X442" s="1059"/>
      <c r="Y442" s="1059"/>
      <c r="Z442" s="1059"/>
    </row>
    <row r="443" spans="1:26" ht="12.75" customHeight="1">
      <c r="A443" s="1059"/>
      <c r="B443" s="1059"/>
      <c r="C443" s="1059"/>
      <c r="D443" s="1059"/>
      <c r="E443" s="1059"/>
      <c r="F443" s="1059"/>
      <c r="G443" s="1059"/>
      <c r="H443" s="1059"/>
      <c r="I443" s="1059"/>
      <c r="J443" s="1059"/>
      <c r="K443" s="1059"/>
      <c r="L443" s="1059"/>
      <c r="M443" s="1059"/>
      <c r="N443" s="1059"/>
      <c r="O443" s="1059"/>
      <c r="P443" s="1059"/>
      <c r="Q443" s="1059"/>
      <c r="R443" s="1059"/>
      <c r="S443" s="1059"/>
      <c r="T443" s="1059"/>
      <c r="U443" s="1059"/>
      <c r="V443" s="1059"/>
      <c r="W443" s="1059"/>
      <c r="X443" s="1059"/>
      <c r="Y443" s="1059"/>
      <c r="Z443" s="1059"/>
    </row>
    <row r="444" spans="1:26" ht="12.75" customHeight="1">
      <c r="A444" s="1059"/>
      <c r="B444" s="1059"/>
      <c r="C444" s="1059"/>
      <c r="D444" s="1059"/>
      <c r="E444" s="1059"/>
      <c r="F444" s="1059"/>
      <c r="G444" s="1059"/>
      <c r="H444" s="1059"/>
      <c r="I444" s="1059"/>
      <c r="J444" s="1059"/>
      <c r="K444" s="1059"/>
      <c r="L444" s="1059"/>
      <c r="M444" s="1059"/>
      <c r="N444" s="1059"/>
      <c r="O444" s="1059"/>
      <c r="P444" s="1059"/>
      <c r="Q444" s="1059"/>
      <c r="R444" s="1059"/>
      <c r="S444" s="1059"/>
      <c r="T444" s="1059"/>
      <c r="U444" s="1059"/>
      <c r="V444" s="1059"/>
      <c r="W444" s="1059"/>
      <c r="X444" s="1059"/>
      <c r="Y444" s="1059"/>
      <c r="Z444" s="1059"/>
    </row>
    <row r="445" spans="1:26" ht="12.75" customHeight="1">
      <c r="A445" s="1059"/>
      <c r="B445" s="1059"/>
      <c r="C445" s="1059"/>
      <c r="D445" s="1059"/>
      <c r="E445" s="1059"/>
      <c r="F445" s="1059"/>
      <c r="G445" s="1059"/>
      <c r="H445" s="1059"/>
      <c r="I445" s="1059"/>
      <c r="J445" s="1059"/>
      <c r="K445" s="1059"/>
      <c r="L445" s="1059"/>
      <c r="M445" s="1059"/>
      <c r="N445" s="1059"/>
      <c r="O445" s="1059"/>
      <c r="P445" s="1059"/>
      <c r="Q445" s="1059"/>
      <c r="R445" s="1059"/>
      <c r="S445" s="1059"/>
      <c r="T445" s="1059"/>
      <c r="U445" s="1059"/>
      <c r="V445" s="1059"/>
      <c r="W445" s="1059"/>
      <c r="X445" s="1059"/>
      <c r="Y445" s="1059"/>
      <c r="Z445" s="1059"/>
    </row>
    <row r="446" spans="1:26" ht="12.75" customHeight="1">
      <c r="A446" s="1059"/>
      <c r="B446" s="1059"/>
      <c r="C446" s="1059"/>
      <c r="D446" s="1059"/>
      <c r="E446" s="1059"/>
      <c r="F446" s="1059"/>
      <c r="G446" s="1059"/>
      <c r="H446" s="1059"/>
      <c r="I446" s="1059"/>
      <c r="J446" s="1059"/>
      <c r="K446" s="1059"/>
      <c r="L446" s="1059"/>
      <c r="M446" s="1059"/>
      <c r="N446" s="1059"/>
      <c r="O446" s="1059"/>
      <c r="P446" s="1059"/>
      <c r="Q446" s="1059"/>
      <c r="R446" s="1059"/>
      <c r="S446" s="1059"/>
      <c r="T446" s="1059"/>
      <c r="U446" s="1059"/>
      <c r="V446" s="1059"/>
      <c r="W446" s="1059"/>
      <c r="X446" s="1059"/>
      <c r="Y446" s="1059"/>
      <c r="Z446" s="1059"/>
    </row>
    <row r="447" spans="1:26" ht="12.75" customHeight="1">
      <c r="A447" s="1059"/>
      <c r="B447" s="1059"/>
      <c r="C447" s="1059"/>
      <c r="D447" s="1059"/>
      <c r="E447" s="1059"/>
      <c r="F447" s="1059"/>
      <c r="G447" s="1059"/>
      <c r="H447" s="1059"/>
      <c r="I447" s="1059"/>
      <c r="J447" s="1059"/>
      <c r="K447" s="1059"/>
      <c r="L447" s="1059"/>
      <c r="M447" s="1059"/>
      <c r="N447" s="1059"/>
      <c r="O447" s="1059"/>
      <c r="P447" s="1059"/>
      <c r="Q447" s="1059"/>
      <c r="R447" s="1059"/>
      <c r="S447" s="1059"/>
      <c r="T447" s="1059"/>
      <c r="U447" s="1059"/>
      <c r="V447" s="1059"/>
      <c r="W447" s="1059"/>
      <c r="X447" s="1059"/>
      <c r="Y447" s="1059"/>
      <c r="Z447" s="1059"/>
    </row>
    <row r="448" spans="1:26" ht="12.75" customHeight="1">
      <c r="A448" s="1059"/>
      <c r="B448" s="1059"/>
      <c r="C448" s="1059"/>
      <c r="D448" s="1059"/>
      <c r="E448" s="1059"/>
      <c r="F448" s="1059"/>
      <c r="G448" s="1059"/>
      <c r="H448" s="1059"/>
      <c r="I448" s="1059"/>
      <c r="J448" s="1059"/>
      <c r="K448" s="1059"/>
      <c r="L448" s="1059"/>
      <c r="M448" s="1059"/>
      <c r="N448" s="1059"/>
      <c r="O448" s="1059"/>
      <c r="P448" s="1059"/>
      <c r="Q448" s="1059"/>
      <c r="R448" s="1059"/>
      <c r="S448" s="1059"/>
      <c r="T448" s="1059"/>
      <c r="U448" s="1059"/>
      <c r="V448" s="1059"/>
      <c r="W448" s="1059"/>
      <c r="X448" s="1059"/>
      <c r="Y448" s="1059"/>
      <c r="Z448" s="1059"/>
    </row>
    <row r="449" spans="1:26" ht="12.75" customHeight="1">
      <c r="A449" s="1059"/>
      <c r="B449" s="1059"/>
      <c r="C449" s="1059"/>
      <c r="D449" s="1059"/>
      <c r="E449" s="1059"/>
      <c r="F449" s="1059"/>
      <c r="G449" s="1059"/>
      <c r="H449" s="1059"/>
      <c r="I449" s="1059"/>
      <c r="J449" s="1059"/>
      <c r="K449" s="1059"/>
      <c r="L449" s="1059"/>
      <c r="M449" s="1059"/>
      <c r="N449" s="1059"/>
      <c r="O449" s="1059"/>
      <c r="P449" s="1059"/>
      <c r="Q449" s="1059"/>
      <c r="R449" s="1059"/>
      <c r="S449" s="1059"/>
      <c r="T449" s="1059"/>
      <c r="U449" s="1059"/>
      <c r="V449" s="1059"/>
      <c r="W449" s="1059"/>
      <c r="X449" s="1059"/>
      <c r="Y449" s="1059"/>
      <c r="Z449" s="1059"/>
    </row>
    <row r="450" spans="1:26" ht="12.75" customHeight="1">
      <c r="A450" s="1059"/>
      <c r="B450" s="1059"/>
      <c r="C450" s="1059"/>
      <c r="D450" s="1059"/>
      <c r="E450" s="1059"/>
      <c r="F450" s="1059"/>
      <c r="G450" s="1059"/>
      <c r="H450" s="1059"/>
      <c r="I450" s="1059"/>
      <c r="J450" s="1059"/>
      <c r="K450" s="1059"/>
      <c r="L450" s="1059"/>
      <c r="M450" s="1059"/>
      <c r="N450" s="1059"/>
      <c r="O450" s="1059"/>
      <c r="P450" s="1059"/>
      <c r="Q450" s="1059"/>
      <c r="R450" s="1059"/>
      <c r="S450" s="1059"/>
      <c r="T450" s="1059"/>
      <c r="U450" s="1059"/>
      <c r="V450" s="1059"/>
      <c r="W450" s="1059"/>
      <c r="X450" s="1059"/>
      <c r="Y450" s="1059"/>
      <c r="Z450" s="1059"/>
    </row>
    <row r="451" spans="1:26" ht="12.75" customHeight="1">
      <c r="A451" s="1059"/>
      <c r="B451" s="1059"/>
      <c r="C451" s="1059"/>
      <c r="D451" s="1059"/>
      <c r="E451" s="1059"/>
      <c r="F451" s="1059"/>
      <c r="G451" s="1059"/>
      <c r="H451" s="1059"/>
      <c r="I451" s="1059"/>
      <c r="J451" s="1059"/>
      <c r="K451" s="1059"/>
      <c r="L451" s="1059"/>
      <c r="M451" s="1059"/>
      <c r="N451" s="1059"/>
      <c r="O451" s="1059"/>
      <c r="P451" s="1059"/>
      <c r="Q451" s="1059"/>
      <c r="R451" s="1059"/>
      <c r="S451" s="1059"/>
      <c r="T451" s="1059"/>
      <c r="U451" s="1059"/>
      <c r="V451" s="1059"/>
      <c r="W451" s="1059"/>
      <c r="X451" s="1059"/>
      <c r="Y451" s="1059"/>
      <c r="Z451" s="1059"/>
    </row>
    <row r="452" spans="1:26" ht="12.75" customHeight="1">
      <c r="A452" s="1059"/>
      <c r="B452" s="1059"/>
      <c r="C452" s="1059"/>
      <c r="D452" s="1059"/>
      <c r="E452" s="1059"/>
      <c r="F452" s="1059"/>
      <c r="G452" s="1059"/>
      <c r="H452" s="1059"/>
      <c r="I452" s="1059"/>
      <c r="J452" s="1059"/>
      <c r="K452" s="1059"/>
      <c r="L452" s="1059"/>
      <c r="M452" s="1059"/>
      <c r="N452" s="1059"/>
      <c r="O452" s="1059"/>
      <c r="P452" s="1059"/>
      <c r="Q452" s="1059"/>
      <c r="R452" s="1059"/>
      <c r="S452" s="1059"/>
      <c r="T452" s="1059"/>
      <c r="U452" s="1059"/>
      <c r="V452" s="1059"/>
      <c r="W452" s="1059"/>
      <c r="X452" s="1059"/>
      <c r="Y452" s="1059"/>
      <c r="Z452" s="1059"/>
    </row>
    <row r="453" spans="1:26" ht="12.75" customHeight="1">
      <c r="A453" s="1059"/>
      <c r="B453" s="1059"/>
      <c r="C453" s="1059"/>
      <c r="D453" s="1059"/>
      <c r="E453" s="1059"/>
      <c r="F453" s="1059"/>
      <c r="G453" s="1059"/>
      <c r="H453" s="1059"/>
      <c r="I453" s="1059"/>
      <c r="J453" s="1059"/>
      <c r="K453" s="1059"/>
      <c r="L453" s="1059"/>
      <c r="M453" s="1059"/>
      <c r="N453" s="1059"/>
      <c r="O453" s="1059"/>
      <c r="P453" s="1059"/>
      <c r="Q453" s="1059"/>
      <c r="R453" s="1059"/>
      <c r="S453" s="1059"/>
      <c r="T453" s="1059"/>
      <c r="U453" s="1059"/>
      <c r="V453" s="1059"/>
      <c r="W453" s="1059"/>
      <c r="X453" s="1059"/>
      <c r="Y453" s="1059"/>
      <c r="Z453" s="1059"/>
    </row>
    <row r="454" spans="1:26" ht="12.75" customHeight="1">
      <c r="A454" s="1059"/>
      <c r="B454" s="1059"/>
      <c r="C454" s="1059"/>
      <c r="D454" s="1059"/>
      <c r="E454" s="1059"/>
      <c r="F454" s="1059"/>
      <c r="G454" s="1059"/>
      <c r="H454" s="1059"/>
      <c r="I454" s="1059"/>
      <c r="J454" s="1059"/>
      <c r="K454" s="1059"/>
      <c r="L454" s="1059"/>
      <c r="M454" s="1059"/>
      <c r="N454" s="1059"/>
      <c r="O454" s="1059"/>
      <c r="P454" s="1059"/>
      <c r="Q454" s="1059"/>
      <c r="R454" s="1059"/>
      <c r="S454" s="1059"/>
      <c r="T454" s="1059"/>
      <c r="U454" s="1059"/>
      <c r="V454" s="1059"/>
      <c r="W454" s="1059"/>
      <c r="X454" s="1059"/>
      <c r="Y454" s="1059"/>
      <c r="Z454" s="1059"/>
    </row>
    <row r="455" spans="1:26" ht="12.75" customHeight="1">
      <c r="A455" s="1059"/>
      <c r="B455" s="1059"/>
      <c r="C455" s="1059"/>
      <c r="D455" s="1059"/>
      <c r="E455" s="1059"/>
      <c r="F455" s="1059"/>
      <c r="G455" s="1059"/>
      <c r="H455" s="1059"/>
      <c r="I455" s="1059"/>
      <c r="J455" s="1059"/>
      <c r="K455" s="1059"/>
      <c r="L455" s="1059"/>
      <c r="M455" s="1059"/>
      <c r="N455" s="1059"/>
      <c r="O455" s="1059"/>
      <c r="P455" s="1059"/>
      <c r="Q455" s="1059"/>
      <c r="R455" s="1059"/>
      <c r="S455" s="1059"/>
      <c r="T455" s="1059"/>
      <c r="U455" s="1059"/>
      <c r="V455" s="1059"/>
      <c r="W455" s="1059"/>
      <c r="X455" s="1059"/>
      <c r="Y455" s="1059"/>
      <c r="Z455" s="1059"/>
    </row>
    <row r="456" spans="1:26" ht="12.75" customHeight="1">
      <c r="A456" s="1059"/>
      <c r="B456" s="1059"/>
      <c r="C456" s="1059"/>
      <c r="D456" s="1059"/>
      <c r="E456" s="1059"/>
      <c r="F456" s="1059"/>
      <c r="G456" s="1059"/>
      <c r="H456" s="1059"/>
      <c r="I456" s="1059"/>
      <c r="J456" s="1059"/>
      <c r="K456" s="1059"/>
      <c r="L456" s="1059"/>
      <c r="M456" s="1059"/>
      <c r="N456" s="1059"/>
      <c r="O456" s="1059"/>
      <c r="P456" s="1059"/>
      <c r="Q456" s="1059"/>
      <c r="R456" s="1059"/>
      <c r="S456" s="1059"/>
      <c r="T456" s="1059"/>
      <c r="U456" s="1059"/>
      <c r="V456" s="1059"/>
      <c r="W456" s="1059"/>
      <c r="X456" s="1059"/>
      <c r="Y456" s="1059"/>
      <c r="Z456" s="1059"/>
    </row>
    <row r="457" spans="1:26" ht="12.75" customHeight="1">
      <c r="A457" s="1059"/>
      <c r="B457" s="1059"/>
      <c r="C457" s="1059"/>
      <c r="D457" s="1059"/>
      <c r="E457" s="1059"/>
      <c r="F457" s="1059"/>
      <c r="G457" s="1059"/>
      <c r="H457" s="1059"/>
      <c r="I457" s="1059"/>
      <c r="J457" s="1059"/>
      <c r="K457" s="1059"/>
      <c r="L457" s="1059"/>
      <c r="M457" s="1059"/>
      <c r="N457" s="1059"/>
      <c r="O457" s="1059"/>
      <c r="P457" s="1059"/>
      <c r="Q457" s="1059"/>
      <c r="R457" s="1059"/>
      <c r="S457" s="1059"/>
      <c r="T457" s="1059"/>
      <c r="U457" s="1059"/>
      <c r="V457" s="1059"/>
      <c r="W457" s="1059"/>
      <c r="X457" s="1059"/>
      <c r="Y457" s="1059"/>
      <c r="Z457" s="1059"/>
    </row>
    <row r="458" spans="1:26" ht="12.75" customHeight="1">
      <c r="A458" s="1059"/>
      <c r="B458" s="1059"/>
      <c r="C458" s="1059"/>
      <c r="D458" s="1059"/>
      <c r="E458" s="1059"/>
      <c r="F458" s="1059"/>
      <c r="G458" s="1059"/>
      <c r="H458" s="1059"/>
      <c r="I458" s="1059"/>
      <c r="J458" s="1059"/>
      <c r="K458" s="1059"/>
      <c r="L458" s="1059"/>
      <c r="M458" s="1059"/>
      <c r="N458" s="1059"/>
      <c r="O458" s="1059"/>
      <c r="P458" s="1059"/>
      <c r="Q458" s="1059"/>
      <c r="R458" s="1059"/>
      <c r="S458" s="1059"/>
      <c r="T458" s="1059"/>
      <c r="U458" s="1059"/>
      <c r="V458" s="1059"/>
      <c r="W458" s="1059"/>
      <c r="X458" s="1059"/>
      <c r="Y458" s="1059"/>
      <c r="Z458" s="1059"/>
    </row>
    <row r="459" spans="1:26" ht="12.75" customHeight="1">
      <c r="A459" s="1059"/>
      <c r="B459" s="1059"/>
      <c r="C459" s="1059"/>
      <c r="D459" s="1059"/>
      <c r="E459" s="1059"/>
      <c r="F459" s="1059"/>
      <c r="G459" s="1059"/>
      <c r="H459" s="1059"/>
      <c r="I459" s="1059"/>
      <c r="J459" s="1059"/>
      <c r="K459" s="1059"/>
      <c r="L459" s="1059"/>
      <c r="M459" s="1059"/>
      <c r="N459" s="1059"/>
      <c r="O459" s="1059"/>
      <c r="P459" s="1059"/>
      <c r="Q459" s="1059"/>
      <c r="R459" s="1059"/>
      <c r="S459" s="1059"/>
      <c r="T459" s="1059"/>
      <c r="U459" s="1059"/>
      <c r="V459" s="1059"/>
      <c r="W459" s="1059"/>
      <c r="X459" s="1059"/>
      <c r="Y459" s="1059"/>
      <c r="Z459" s="1059"/>
    </row>
    <row r="460" spans="1:26" ht="12.75" customHeight="1">
      <c r="A460" s="1059"/>
      <c r="B460" s="1059"/>
      <c r="C460" s="1059"/>
      <c r="D460" s="1059"/>
      <c r="E460" s="1059"/>
      <c r="F460" s="1059"/>
      <c r="G460" s="1059"/>
      <c r="H460" s="1059"/>
      <c r="I460" s="1059"/>
      <c r="J460" s="1059"/>
      <c r="K460" s="1059"/>
      <c r="L460" s="1059"/>
      <c r="M460" s="1059"/>
      <c r="N460" s="1059"/>
      <c r="O460" s="1059"/>
      <c r="P460" s="1059"/>
      <c r="Q460" s="1059"/>
      <c r="R460" s="1059"/>
      <c r="S460" s="1059"/>
      <c r="T460" s="1059"/>
      <c r="U460" s="1059"/>
      <c r="V460" s="1059"/>
      <c r="W460" s="1059"/>
      <c r="X460" s="1059"/>
      <c r="Y460" s="1059"/>
      <c r="Z460" s="1059"/>
    </row>
    <row r="461" spans="1:26" ht="12.75" customHeight="1">
      <c r="A461" s="1059"/>
      <c r="B461" s="1059"/>
      <c r="C461" s="1059"/>
      <c r="D461" s="1059"/>
      <c r="E461" s="1059"/>
      <c r="F461" s="1059"/>
      <c r="G461" s="1059"/>
      <c r="H461" s="1059"/>
      <c r="I461" s="1059"/>
      <c r="J461" s="1059"/>
      <c r="K461" s="1059"/>
      <c r="L461" s="1059"/>
      <c r="M461" s="1059"/>
      <c r="N461" s="1059"/>
      <c r="O461" s="1059"/>
      <c r="P461" s="1059"/>
      <c r="Q461" s="1059"/>
      <c r="R461" s="1059"/>
      <c r="S461" s="1059"/>
      <c r="T461" s="1059"/>
      <c r="U461" s="1059"/>
      <c r="V461" s="1059"/>
      <c r="W461" s="1059"/>
      <c r="X461" s="1059"/>
      <c r="Y461" s="1059"/>
      <c r="Z461" s="1059"/>
    </row>
    <row r="462" spans="1:26" ht="12.75" customHeight="1">
      <c r="A462" s="1059"/>
      <c r="B462" s="1059"/>
      <c r="C462" s="1059"/>
      <c r="D462" s="1059"/>
      <c r="E462" s="1059"/>
      <c r="F462" s="1059"/>
      <c r="G462" s="1059"/>
      <c r="H462" s="1059"/>
      <c r="I462" s="1059"/>
      <c r="J462" s="1059"/>
      <c r="K462" s="1059"/>
      <c r="L462" s="1059"/>
      <c r="M462" s="1059"/>
      <c r="N462" s="1059"/>
      <c r="O462" s="1059"/>
      <c r="P462" s="1059"/>
      <c r="Q462" s="1059"/>
      <c r="R462" s="1059"/>
      <c r="S462" s="1059"/>
      <c r="T462" s="1059"/>
      <c r="U462" s="1059"/>
      <c r="V462" s="1059"/>
      <c r="W462" s="1059"/>
      <c r="X462" s="1059"/>
      <c r="Y462" s="1059"/>
      <c r="Z462" s="1059"/>
    </row>
    <row r="463" spans="1:26" ht="12.75" customHeight="1">
      <c r="A463" s="1059"/>
      <c r="B463" s="1059"/>
      <c r="C463" s="1059"/>
      <c r="D463" s="1059"/>
      <c r="E463" s="1059"/>
      <c r="F463" s="1059"/>
      <c r="G463" s="1059"/>
      <c r="H463" s="1059"/>
      <c r="I463" s="1059"/>
      <c r="J463" s="1059"/>
      <c r="K463" s="1059"/>
      <c r="L463" s="1059"/>
      <c r="M463" s="1059"/>
      <c r="N463" s="1059"/>
      <c r="O463" s="1059"/>
      <c r="P463" s="1059"/>
      <c r="Q463" s="1059"/>
      <c r="R463" s="1059"/>
      <c r="S463" s="1059"/>
      <c r="T463" s="1059"/>
      <c r="U463" s="1059"/>
      <c r="V463" s="1059"/>
      <c r="W463" s="1059"/>
      <c r="X463" s="1059"/>
      <c r="Y463" s="1059"/>
      <c r="Z463" s="1059"/>
    </row>
    <row r="464" spans="1:26" ht="12.75" customHeight="1">
      <c r="A464" s="1059"/>
      <c r="B464" s="1059"/>
      <c r="C464" s="1059"/>
      <c r="D464" s="1059"/>
      <c r="E464" s="1059"/>
      <c r="F464" s="1059"/>
      <c r="G464" s="1059"/>
      <c r="H464" s="1059"/>
      <c r="I464" s="1059"/>
      <c r="J464" s="1059"/>
      <c r="K464" s="1059"/>
      <c r="L464" s="1059"/>
      <c r="M464" s="1059"/>
      <c r="N464" s="1059"/>
      <c r="O464" s="1059"/>
      <c r="P464" s="1059"/>
      <c r="Q464" s="1059"/>
      <c r="R464" s="1059"/>
      <c r="S464" s="1059"/>
      <c r="T464" s="1059"/>
      <c r="U464" s="1059"/>
      <c r="V464" s="1059"/>
      <c r="W464" s="1059"/>
      <c r="X464" s="1059"/>
      <c r="Y464" s="1059"/>
      <c r="Z464" s="1059"/>
    </row>
    <row r="465" spans="1:26" ht="12.75" customHeight="1">
      <c r="A465" s="1059"/>
      <c r="B465" s="1059"/>
      <c r="C465" s="1059"/>
      <c r="D465" s="1059"/>
      <c r="E465" s="1059"/>
      <c r="F465" s="1059"/>
      <c r="G465" s="1059"/>
      <c r="H465" s="1059"/>
      <c r="I465" s="1059"/>
      <c r="J465" s="1059"/>
      <c r="K465" s="1059"/>
      <c r="L465" s="1059"/>
      <c r="M465" s="1059"/>
      <c r="N465" s="1059"/>
      <c r="O465" s="1059"/>
      <c r="P465" s="1059"/>
      <c r="Q465" s="1059"/>
      <c r="R465" s="1059"/>
      <c r="S465" s="1059"/>
      <c r="T465" s="1059"/>
      <c r="U465" s="1059"/>
      <c r="V465" s="1059"/>
      <c r="W465" s="1059"/>
      <c r="X465" s="1059"/>
      <c r="Y465" s="1059"/>
      <c r="Z465" s="1059"/>
    </row>
    <row r="466" spans="1:26" ht="12.75" customHeight="1">
      <c r="A466" s="1059"/>
      <c r="B466" s="1059"/>
      <c r="C466" s="1059"/>
      <c r="D466" s="1059"/>
      <c r="E466" s="1059"/>
      <c r="F466" s="1059"/>
      <c r="G466" s="1059"/>
      <c r="H466" s="1059"/>
      <c r="I466" s="1059"/>
      <c r="J466" s="1059"/>
      <c r="K466" s="1059"/>
      <c r="L466" s="1059"/>
      <c r="M466" s="1059"/>
      <c r="N466" s="1059"/>
      <c r="O466" s="1059"/>
      <c r="P466" s="1059"/>
      <c r="Q466" s="1059"/>
      <c r="R466" s="1059"/>
      <c r="S466" s="1059"/>
      <c r="T466" s="1059"/>
      <c r="U466" s="1059"/>
      <c r="V466" s="1059"/>
      <c r="W466" s="1059"/>
      <c r="X466" s="1059"/>
      <c r="Y466" s="1059"/>
      <c r="Z466" s="1059"/>
    </row>
    <row r="467" spans="1:26" ht="12.75" customHeight="1">
      <c r="A467" s="1059"/>
      <c r="B467" s="1059"/>
      <c r="C467" s="1059"/>
      <c r="D467" s="1059"/>
      <c r="E467" s="1059"/>
      <c r="F467" s="1059"/>
      <c r="G467" s="1059"/>
      <c r="H467" s="1059"/>
      <c r="I467" s="1059"/>
      <c r="J467" s="1059"/>
      <c r="K467" s="1059"/>
      <c r="L467" s="1059"/>
      <c r="M467" s="1059"/>
      <c r="N467" s="1059"/>
      <c r="O467" s="1059"/>
      <c r="P467" s="1059"/>
      <c r="Q467" s="1059"/>
      <c r="R467" s="1059"/>
      <c r="S467" s="1059"/>
      <c r="T467" s="1059"/>
      <c r="U467" s="1059"/>
      <c r="V467" s="1059"/>
      <c r="W467" s="1059"/>
      <c r="X467" s="1059"/>
      <c r="Y467" s="1059"/>
      <c r="Z467" s="1059"/>
    </row>
    <row r="468" spans="1:26" ht="12.75" customHeight="1">
      <c r="A468" s="1059"/>
      <c r="B468" s="1059"/>
      <c r="C468" s="1059"/>
      <c r="D468" s="1059"/>
      <c r="E468" s="1059"/>
      <c r="F468" s="1059"/>
      <c r="G468" s="1059"/>
      <c r="H468" s="1059"/>
      <c r="I468" s="1059"/>
      <c r="J468" s="1059"/>
      <c r="K468" s="1059"/>
      <c r="L468" s="1059"/>
      <c r="M468" s="1059"/>
      <c r="N468" s="1059"/>
      <c r="O468" s="1059"/>
      <c r="P468" s="1059"/>
      <c r="Q468" s="1059"/>
      <c r="R468" s="1059"/>
      <c r="S468" s="1059"/>
      <c r="T468" s="1059"/>
      <c r="U468" s="1059"/>
      <c r="V468" s="1059"/>
      <c r="W468" s="1059"/>
      <c r="X468" s="1059"/>
      <c r="Y468" s="1059"/>
      <c r="Z468" s="1059"/>
    </row>
    <row r="469" spans="1:26" ht="12.75" customHeight="1">
      <c r="A469" s="1059"/>
      <c r="B469" s="1059"/>
      <c r="C469" s="1059"/>
      <c r="D469" s="1059"/>
      <c r="E469" s="1059"/>
      <c r="F469" s="1059"/>
      <c r="G469" s="1059"/>
      <c r="H469" s="1059"/>
      <c r="I469" s="1059"/>
      <c r="J469" s="1059"/>
      <c r="K469" s="1059"/>
      <c r="L469" s="1059"/>
      <c r="M469" s="1059"/>
      <c r="N469" s="1059"/>
      <c r="O469" s="1059"/>
      <c r="P469" s="1059"/>
      <c r="Q469" s="1059"/>
      <c r="R469" s="1059"/>
      <c r="S469" s="1059"/>
      <c r="T469" s="1059"/>
      <c r="U469" s="1059"/>
      <c r="V469" s="1059"/>
      <c r="W469" s="1059"/>
      <c r="X469" s="1059"/>
      <c r="Y469" s="1059"/>
      <c r="Z469" s="1059"/>
    </row>
    <row r="470" spans="1:26" ht="12.75" customHeight="1">
      <c r="A470" s="1059"/>
      <c r="B470" s="1059"/>
      <c r="C470" s="1059"/>
      <c r="D470" s="1059"/>
      <c r="E470" s="1059"/>
      <c r="F470" s="1059"/>
      <c r="G470" s="1059"/>
      <c r="H470" s="1059"/>
      <c r="I470" s="1059"/>
      <c r="J470" s="1059"/>
      <c r="K470" s="1059"/>
      <c r="L470" s="1059"/>
      <c r="M470" s="1059"/>
      <c r="N470" s="1059"/>
      <c r="O470" s="1059"/>
      <c r="P470" s="1059"/>
      <c r="Q470" s="1059"/>
      <c r="R470" s="1059"/>
      <c r="S470" s="1059"/>
      <c r="T470" s="1059"/>
      <c r="U470" s="1059"/>
      <c r="V470" s="1059"/>
      <c r="W470" s="1059"/>
      <c r="X470" s="1059"/>
      <c r="Y470" s="1059"/>
      <c r="Z470" s="1059"/>
    </row>
    <row r="471" spans="1:26" ht="12.75" customHeight="1">
      <c r="A471" s="1059"/>
      <c r="B471" s="1059"/>
      <c r="C471" s="1059"/>
      <c r="D471" s="1059"/>
      <c r="E471" s="1059"/>
      <c r="F471" s="1059"/>
      <c r="G471" s="1059"/>
      <c r="H471" s="1059"/>
      <c r="I471" s="1059"/>
      <c r="J471" s="1059"/>
      <c r="K471" s="1059"/>
      <c r="L471" s="1059"/>
      <c r="M471" s="1059"/>
      <c r="N471" s="1059"/>
      <c r="O471" s="1059"/>
      <c r="P471" s="1059"/>
      <c r="Q471" s="1059"/>
      <c r="R471" s="1059"/>
      <c r="S471" s="1059"/>
      <c r="T471" s="1059"/>
      <c r="U471" s="1059"/>
      <c r="V471" s="1059"/>
      <c r="W471" s="1059"/>
      <c r="X471" s="1059"/>
      <c r="Y471" s="1059"/>
      <c r="Z471" s="1059"/>
    </row>
    <row r="472" spans="1:26" ht="12.75" customHeight="1">
      <c r="A472" s="1059"/>
      <c r="B472" s="1059"/>
      <c r="C472" s="1059"/>
      <c r="D472" s="1059"/>
      <c r="E472" s="1059"/>
      <c r="F472" s="1059"/>
      <c r="G472" s="1059"/>
      <c r="H472" s="1059"/>
      <c r="I472" s="1059"/>
      <c r="J472" s="1059"/>
      <c r="K472" s="1059"/>
      <c r="L472" s="1059"/>
      <c r="M472" s="1059"/>
      <c r="N472" s="1059"/>
      <c r="O472" s="1059"/>
      <c r="P472" s="1059"/>
      <c r="Q472" s="1059"/>
      <c r="R472" s="1059"/>
      <c r="S472" s="1059"/>
      <c r="T472" s="1059"/>
      <c r="U472" s="1059"/>
      <c r="V472" s="1059"/>
      <c r="W472" s="1059"/>
      <c r="X472" s="1059"/>
      <c r="Y472" s="1059"/>
      <c r="Z472" s="1059"/>
    </row>
    <row r="473" spans="1:26" ht="12.75" customHeight="1">
      <c r="A473" s="1059"/>
      <c r="B473" s="1059"/>
      <c r="C473" s="1059"/>
      <c r="D473" s="1059"/>
      <c r="E473" s="1059"/>
      <c r="F473" s="1059"/>
      <c r="G473" s="1059"/>
      <c r="H473" s="1059"/>
      <c r="I473" s="1059"/>
      <c r="J473" s="1059"/>
      <c r="K473" s="1059"/>
      <c r="L473" s="1059"/>
      <c r="M473" s="1059"/>
      <c r="N473" s="1059"/>
      <c r="O473" s="1059"/>
      <c r="P473" s="1059"/>
      <c r="Q473" s="1059"/>
      <c r="R473" s="1059"/>
      <c r="S473" s="1059"/>
      <c r="T473" s="1059"/>
      <c r="U473" s="1059"/>
      <c r="V473" s="1059"/>
      <c r="W473" s="1059"/>
      <c r="X473" s="1059"/>
      <c r="Y473" s="1059"/>
      <c r="Z473" s="1059"/>
    </row>
    <row r="474" spans="1:26" ht="12.75" customHeight="1">
      <c r="A474" s="1059"/>
      <c r="B474" s="1059"/>
      <c r="C474" s="1059"/>
      <c r="D474" s="1059"/>
      <c r="E474" s="1059"/>
      <c r="F474" s="1059"/>
      <c r="G474" s="1059"/>
      <c r="H474" s="1059"/>
      <c r="I474" s="1059"/>
      <c r="J474" s="1059"/>
      <c r="K474" s="1059"/>
      <c r="L474" s="1059"/>
      <c r="M474" s="1059"/>
      <c r="N474" s="1059"/>
      <c r="O474" s="1059"/>
      <c r="P474" s="1059"/>
      <c r="Q474" s="1059"/>
      <c r="R474" s="1059"/>
      <c r="S474" s="1059"/>
      <c r="T474" s="1059"/>
      <c r="U474" s="1059"/>
      <c r="V474" s="1059"/>
      <c r="W474" s="1059"/>
      <c r="X474" s="1059"/>
      <c r="Y474" s="1059"/>
      <c r="Z474" s="1059"/>
    </row>
    <row r="475" spans="1:26" ht="12.75" customHeight="1">
      <c r="A475" s="1059"/>
      <c r="B475" s="1059"/>
      <c r="C475" s="1059"/>
      <c r="D475" s="1059"/>
      <c r="E475" s="1059"/>
      <c r="F475" s="1059"/>
      <c r="G475" s="1059"/>
      <c r="H475" s="1059"/>
      <c r="I475" s="1059"/>
      <c r="J475" s="1059"/>
      <c r="K475" s="1059"/>
      <c r="L475" s="1059"/>
      <c r="M475" s="1059"/>
      <c r="N475" s="1059"/>
      <c r="O475" s="1059"/>
      <c r="P475" s="1059"/>
      <c r="Q475" s="1059"/>
      <c r="R475" s="1059"/>
      <c r="S475" s="1059"/>
      <c r="T475" s="1059"/>
      <c r="U475" s="1059"/>
      <c r="V475" s="1059"/>
      <c r="W475" s="1059"/>
      <c r="X475" s="1059"/>
      <c r="Y475" s="1059"/>
      <c r="Z475" s="1059"/>
    </row>
    <row r="476" spans="1:26" ht="12.75" customHeight="1">
      <c r="A476" s="1059"/>
      <c r="B476" s="1059"/>
      <c r="C476" s="1059"/>
      <c r="D476" s="1059"/>
      <c r="E476" s="1059"/>
      <c r="F476" s="1059"/>
      <c r="G476" s="1059"/>
      <c r="H476" s="1059"/>
      <c r="I476" s="1059"/>
      <c r="J476" s="1059"/>
      <c r="K476" s="1059"/>
      <c r="L476" s="1059"/>
      <c r="M476" s="1059"/>
      <c r="N476" s="1059"/>
      <c r="O476" s="1059"/>
      <c r="P476" s="1059"/>
      <c r="Q476" s="1059"/>
      <c r="R476" s="1059"/>
      <c r="S476" s="1059"/>
      <c r="T476" s="1059"/>
      <c r="U476" s="1059"/>
      <c r="V476" s="1059"/>
      <c r="W476" s="1059"/>
      <c r="X476" s="1059"/>
      <c r="Y476" s="1059"/>
      <c r="Z476" s="1059"/>
    </row>
    <row r="477" spans="1:26" ht="12.75" customHeight="1">
      <c r="A477" s="1059"/>
      <c r="B477" s="1059"/>
      <c r="C477" s="1059"/>
      <c r="D477" s="1059"/>
      <c r="E477" s="1059"/>
      <c r="F477" s="1059"/>
      <c r="G477" s="1059"/>
      <c r="H477" s="1059"/>
      <c r="I477" s="1059"/>
      <c r="J477" s="1059"/>
      <c r="K477" s="1059"/>
      <c r="L477" s="1059"/>
      <c r="M477" s="1059"/>
      <c r="N477" s="1059"/>
      <c r="O477" s="1059"/>
      <c r="P477" s="1059"/>
      <c r="Q477" s="1059"/>
      <c r="R477" s="1059"/>
      <c r="S477" s="1059"/>
      <c r="T477" s="1059"/>
      <c r="U477" s="1059"/>
      <c r="V477" s="1059"/>
      <c r="W477" s="1059"/>
      <c r="X477" s="1059"/>
      <c r="Y477" s="1059"/>
      <c r="Z477" s="1059"/>
    </row>
    <row r="478" spans="1:26" ht="12.75" customHeight="1">
      <c r="A478" s="1059"/>
      <c r="B478" s="1059"/>
      <c r="C478" s="1059"/>
      <c r="D478" s="1059"/>
      <c r="E478" s="1059"/>
      <c r="F478" s="1059"/>
      <c r="G478" s="1059"/>
      <c r="H478" s="1059"/>
      <c r="I478" s="1059"/>
      <c r="J478" s="1059"/>
      <c r="K478" s="1059"/>
      <c r="L478" s="1059"/>
      <c r="M478" s="1059"/>
      <c r="N478" s="1059"/>
      <c r="O478" s="1059"/>
      <c r="P478" s="1059"/>
      <c r="Q478" s="1059"/>
      <c r="R478" s="1059"/>
      <c r="S478" s="1059"/>
      <c r="T478" s="1059"/>
      <c r="U478" s="1059"/>
      <c r="V478" s="1059"/>
      <c r="W478" s="1059"/>
      <c r="X478" s="1059"/>
      <c r="Y478" s="1059"/>
      <c r="Z478" s="1059"/>
    </row>
    <row r="479" spans="1:26" ht="12.75" customHeight="1">
      <c r="A479" s="1059"/>
      <c r="B479" s="1059"/>
      <c r="C479" s="1059"/>
      <c r="D479" s="1059"/>
      <c r="E479" s="1059"/>
      <c r="F479" s="1059"/>
      <c r="G479" s="1059"/>
      <c r="H479" s="1059"/>
      <c r="I479" s="1059"/>
      <c r="J479" s="1059"/>
      <c r="K479" s="1059"/>
      <c r="L479" s="1059"/>
      <c r="M479" s="1059"/>
      <c r="N479" s="1059"/>
      <c r="O479" s="1059"/>
      <c r="P479" s="1059"/>
      <c r="Q479" s="1059"/>
      <c r="R479" s="1059"/>
      <c r="S479" s="1059"/>
      <c r="T479" s="1059"/>
      <c r="U479" s="1059"/>
      <c r="V479" s="1059"/>
      <c r="W479" s="1059"/>
      <c r="X479" s="1059"/>
      <c r="Y479" s="1059"/>
      <c r="Z479" s="1059"/>
    </row>
    <row r="480" spans="1:26" ht="12.75" customHeight="1">
      <c r="A480" s="1059"/>
      <c r="B480" s="1059"/>
      <c r="C480" s="1059"/>
      <c r="D480" s="1059"/>
      <c r="E480" s="1059"/>
      <c r="F480" s="1059"/>
      <c r="G480" s="1059"/>
      <c r="H480" s="1059"/>
      <c r="I480" s="1059"/>
      <c r="J480" s="1059"/>
      <c r="K480" s="1059"/>
      <c r="L480" s="1059"/>
      <c r="M480" s="1059"/>
      <c r="N480" s="1059"/>
      <c r="O480" s="1059"/>
      <c r="P480" s="1059"/>
      <c r="Q480" s="1059"/>
      <c r="R480" s="1059"/>
      <c r="S480" s="1059"/>
      <c r="T480" s="1059"/>
      <c r="U480" s="1059"/>
      <c r="V480" s="1059"/>
      <c r="W480" s="1059"/>
      <c r="X480" s="1059"/>
      <c r="Y480" s="1059"/>
      <c r="Z480" s="1059"/>
    </row>
    <row r="481" spans="1:26" ht="12.75" customHeight="1">
      <c r="A481" s="1059"/>
      <c r="B481" s="1059"/>
      <c r="C481" s="1059"/>
      <c r="D481" s="1059"/>
      <c r="E481" s="1059"/>
      <c r="F481" s="1059"/>
      <c r="G481" s="1059"/>
      <c r="H481" s="1059"/>
      <c r="I481" s="1059"/>
      <c r="J481" s="1059"/>
      <c r="K481" s="1059"/>
      <c r="L481" s="1059"/>
      <c r="M481" s="1059"/>
      <c r="N481" s="1059"/>
      <c r="O481" s="1059"/>
      <c r="P481" s="1059"/>
      <c r="Q481" s="1059"/>
      <c r="R481" s="1059"/>
      <c r="S481" s="1059"/>
      <c r="T481" s="1059"/>
      <c r="U481" s="1059"/>
      <c r="V481" s="1059"/>
      <c r="W481" s="1059"/>
      <c r="X481" s="1059"/>
      <c r="Y481" s="1059"/>
      <c r="Z481" s="1059"/>
    </row>
    <row r="482" spans="1:26" ht="12.75" customHeight="1">
      <c r="A482" s="1059"/>
      <c r="B482" s="1059"/>
      <c r="C482" s="1059"/>
      <c r="D482" s="1059"/>
      <c r="E482" s="1059"/>
      <c r="F482" s="1059"/>
      <c r="G482" s="1059"/>
      <c r="H482" s="1059"/>
      <c r="I482" s="1059"/>
      <c r="J482" s="1059"/>
      <c r="K482" s="1059"/>
      <c r="L482" s="1059"/>
      <c r="M482" s="1059"/>
      <c r="N482" s="1059"/>
      <c r="O482" s="1059"/>
      <c r="P482" s="1059"/>
      <c r="Q482" s="1059"/>
      <c r="R482" s="1059"/>
      <c r="S482" s="1059"/>
      <c r="T482" s="1059"/>
      <c r="U482" s="1059"/>
      <c r="V482" s="1059"/>
      <c r="W482" s="1059"/>
      <c r="X482" s="1059"/>
      <c r="Y482" s="1059"/>
      <c r="Z482" s="1059"/>
    </row>
    <row r="483" spans="1:26" ht="12.75" customHeight="1">
      <c r="A483" s="1059"/>
      <c r="B483" s="1059"/>
      <c r="C483" s="1059"/>
      <c r="D483" s="1059"/>
      <c r="E483" s="1059"/>
      <c r="F483" s="1059"/>
      <c r="G483" s="1059"/>
      <c r="H483" s="1059"/>
      <c r="I483" s="1059"/>
      <c r="J483" s="1059"/>
      <c r="K483" s="1059"/>
      <c r="L483" s="1059"/>
      <c r="M483" s="1059"/>
      <c r="N483" s="1059"/>
      <c r="O483" s="1059"/>
      <c r="P483" s="1059"/>
      <c r="Q483" s="1059"/>
      <c r="R483" s="1059"/>
      <c r="S483" s="1059"/>
      <c r="T483" s="1059"/>
      <c r="U483" s="1059"/>
      <c r="V483" s="1059"/>
      <c r="W483" s="1059"/>
      <c r="X483" s="1059"/>
      <c r="Y483" s="1059"/>
      <c r="Z483" s="1059"/>
    </row>
    <row r="484" spans="1:26" ht="12.75" customHeight="1">
      <c r="A484" s="1059"/>
      <c r="B484" s="1059"/>
      <c r="C484" s="1059"/>
      <c r="D484" s="1059"/>
      <c r="E484" s="1059"/>
      <c r="F484" s="1059"/>
      <c r="G484" s="1059"/>
      <c r="H484" s="1059"/>
      <c r="I484" s="1059"/>
      <c r="J484" s="1059"/>
      <c r="K484" s="1059"/>
      <c r="L484" s="1059"/>
      <c r="M484" s="1059"/>
      <c r="N484" s="1059"/>
      <c r="O484" s="1059"/>
      <c r="P484" s="1059"/>
      <c r="Q484" s="1059"/>
      <c r="R484" s="1059"/>
      <c r="S484" s="1059"/>
      <c r="T484" s="1059"/>
      <c r="U484" s="1059"/>
      <c r="V484" s="1059"/>
      <c r="W484" s="1059"/>
      <c r="X484" s="1059"/>
      <c r="Y484" s="1059"/>
      <c r="Z484" s="1059"/>
    </row>
    <row r="485" spans="1:26" ht="12.75" customHeight="1">
      <c r="A485" s="1059"/>
      <c r="B485" s="1059"/>
      <c r="C485" s="1059"/>
      <c r="D485" s="1059"/>
      <c r="E485" s="1059"/>
      <c r="F485" s="1059"/>
      <c r="G485" s="1059"/>
      <c r="H485" s="1059"/>
      <c r="I485" s="1059"/>
      <c r="J485" s="1059"/>
      <c r="K485" s="1059"/>
      <c r="L485" s="1059"/>
      <c r="M485" s="1059"/>
      <c r="N485" s="1059"/>
      <c r="O485" s="1059"/>
      <c r="P485" s="1059"/>
      <c r="Q485" s="1059"/>
      <c r="R485" s="1059"/>
      <c r="S485" s="1059"/>
      <c r="T485" s="1059"/>
      <c r="U485" s="1059"/>
      <c r="V485" s="1059"/>
      <c r="W485" s="1059"/>
      <c r="X485" s="1059"/>
      <c r="Y485" s="1059"/>
      <c r="Z485" s="1059"/>
    </row>
    <row r="486" spans="1:26" ht="12.75" customHeight="1">
      <c r="A486" s="1059"/>
      <c r="B486" s="1059"/>
      <c r="C486" s="1059"/>
      <c r="D486" s="1059"/>
      <c r="E486" s="1059"/>
      <c r="F486" s="1059"/>
      <c r="G486" s="1059"/>
      <c r="H486" s="1059"/>
      <c r="I486" s="1059"/>
      <c r="J486" s="1059"/>
      <c r="K486" s="1059"/>
      <c r="L486" s="1059"/>
      <c r="M486" s="1059"/>
      <c r="N486" s="1059"/>
      <c r="O486" s="1059"/>
      <c r="P486" s="1059"/>
      <c r="Q486" s="1059"/>
      <c r="R486" s="1059"/>
      <c r="S486" s="1059"/>
      <c r="T486" s="1059"/>
      <c r="U486" s="1059"/>
      <c r="V486" s="1059"/>
      <c r="W486" s="1059"/>
      <c r="X486" s="1059"/>
      <c r="Y486" s="1059"/>
      <c r="Z486" s="1059"/>
    </row>
    <row r="487" spans="1:26" ht="12.75" customHeight="1">
      <c r="A487" s="1059"/>
      <c r="B487" s="1059"/>
      <c r="C487" s="1059"/>
      <c r="D487" s="1059"/>
      <c r="E487" s="1059"/>
      <c r="F487" s="1059"/>
      <c r="G487" s="1059"/>
      <c r="H487" s="1059"/>
      <c r="I487" s="1059"/>
      <c r="J487" s="1059"/>
      <c r="K487" s="1059"/>
      <c r="L487" s="1059"/>
      <c r="M487" s="1059"/>
      <c r="N487" s="1059"/>
      <c r="O487" s="1059"/>
      <c r="P487" s="1059"/>
      <c r="Q487" s="1059"/>
      <c r="R487" s="1059"/>
      <c r="S487" s="1059"/>
      <c r="T487" s="1059"/>
      <c r="U487" s="1059"/>
      <c r="V487" s="1059"/>
      <c r="W487" s="1059"/>
      <c r="X487" s="1059"/>
      <c r="Y487" s="1059"/>
      <c r="Z487" s="1059"/>
    </row>
    <row r="488" spans="1:26" ht="12.75" customHeight="1">
      <c r="A488" s="1059"/>
      <c r="B488" s="1059"/>
      <c r="C488" s="1059"/>
      <c r="D488" s="1059"/>
      <c r="E488" s="1059"/>
      <c r="F488" s="1059"/>
      <c r="G488" s="1059"/>
      <c r="H488" s="1059"/>
      <c r="I488" s="1059"/>
      <c r="J488" s="1059"/>
      <c r="K488" s="1059"/>
      <c r="L488" s="1059"/>
      <c r="M488" s="1059"/>
      <c r="N488" s="1059"/>
      <c r="O488" s="1059"/>
      <c r="P488" s="1059"/>
      <c r="Q488" s="1059"/>
      <c r="R488" s="1059"/>
      <c r="S488" s="1059"/>
      <c r="T488" s="1059"/>
      <c r="U488" s="1059"/>
      <c r="V488" s="1059"/>
      <c r="W488" s="1059"/>
      <c r="X488" s="1059"/>
      <c r="Y488" s="1059"/>
      <c r="Z488" s="1059"/>
    </row>
    <row r="489" spans="1:26" ht="12.75" customHeight="1">
      <c r="A489" s="1059"/>
      <c r="B489" s="1059"/>
      <c r="C489" s="1059"/>
      <c r="D489" s="1059"/>
      <c r="E489" s="1059"/>
      <c r="F489" s="1059"/>
      <c r="G489" s="1059"/>
      <c r="H489" s="1059"/>
      <c r="I489" s="1059"/>
      <c r="J489" s="1059"/>
      <c r="K489" s="1059"/>
      <c r="L489" s="1059"/>
      <c r="M489" s="1059"/>
      <c r="N489" s="1059"/>
      <c r="O489" s="1059"/>
      <c r="P489" s="1059"/>
      <c r="Q489" s="1059"/>
      <c r="R489" s="1059"/>
      <c r="S489" s="1059"/>
      <c r="T489" s="1059"/>
      <c r="U489" s="1059"/>
      <c r="V489" s="1059"/>
      <c r="W489" s="1059"/>
      <c r="X489" s="1059"/>
      <c r="Y489" s="1059"/>
      <c r="Z489" s="1059"/>
    </row>
    <row r="490" spans="1:26" ht="12.75" customHeight="1">
      <c r="A490" s="1059"/>
      <c r="B490" s="1059"/>
      <c r="C490" s="1059"/>
      <c r="D490" s="1059"/>
      <c r="E490" s="1059"/>
      <c r="F490" s="1059"/>
      <c r="G490" s="1059"/>
      <c r="H490" s="1059"/>
      <c r="I490" s="1059"/>
      <c r="J490" s="1059"/>
      <c r="K490" s="1059"/>
      <c r="L490" s="1059"/>
      <c r="M490" s="1059"/>
      <c r="N490" s="1059"/>
      <c r="O490" s="1059"/>
      <c r="P490" s="1059"/>
      <c r="Q490" s="1059"/>
      <c r="R490" s="1059"/>
      <c r="S490" s="1059"/>
      <c r="T490" s="1059"/>
      <c r="U490" s="1059"/>
      <c r="V490" s="1059"/>
      <c r="W490" s="1059"/>
      <c r="X490" s="1059"/>
      <c r="Y490" s="1059"/>
      <c r="Z490" s="1059"/>
    </row>
    <row r="491" spans="1:26" ht="12.75" customHeight="1">
      <c r="A491" s="1059"/>
      <c r="B491" s="1059"/>
      <c r="C491" s="1059"/>
      <c r="D491" s="1059"/>
      <c r="E491" s="1059"/>
      <c r="F491" s="1059"/>
      <c r="G491" s="1059"/>
      <c r="H491" s="1059"/>
      <c r="I491" s="1059"/>
      <c r="J491" s="1059"/>
      <c r="K491" s="1059"/>
      <c r="L491" s="1059"/>
      <c r="M491" s="1059"/>
      <c r="N491" s="1059"/>
      <c r="O491" s="1059"/>
      <c r="P491" s="1059"/>
      <c r="Q491" s="1059"/>
      <c r="R491" s="1059"/>
      <c r="S491" s="1059"/>
      <c r="T491" s="1059"/>
      <c r="U491" s="1059"/>
      <c r="V491" s="1059"/>
      <c r="W491" s="1059"/>
      <c r="X491" s="1059"/>
      <c r="Y491" s="1059"/>
      <c r="Z491" s="1059"/>
    </row>
    <row r="492" spans="1:26" ht="12.75" customHeight="1">
      <c r="A492" s="1059"/>
      <c r="B492" s="1059"/>
      <c r="C492" s="1059"/>
      <c r="D492" s="1059"/>
      <c r="E492" s="1059"/>
      <c r="F492" s="1059"/>
      <c r="G492" s="1059"/>
      <c r="H492" s="1059"/>
      <c r="I492" s="1059"/>
      <c r="J492" s="1059"/>
      <c r="K492" s="1059"/>
      <c r="L492" s="1059"/>
      <c r="M492" s="1059"/>
      <c r="N492" s="1059"/>
      <c r="O492" s="1059"/>
      <c r="P492" s="1059"/>
      <c r="Q492" s="1059"/>
      <c r="R492" s="1059"/>
      <c r="S492" s="1059"/>
      <c r="T492" s="1059"/>
      <c r="U492" s="1059"/>
      <c r="V492" s="1059"/>
      <c r="W492" s="1059"/>
      <c r="X492" s="1059"/>
      <c r="Y492" s="1059"/>
      <c r="Z492" s="1059"/>
    </row>
    <row r="493" spans="1:26" ht="12.75" customHeight="1">
      <c r="A493" s="1059"/>
      <c r="B493" s="1059"/>
      <c r="C493" s="1059"/>
      <c r="D493" s="1059"/>
      <c r="E493" s="1059"/>
      <c r="F493" s="1059"/>
      <c r="G493" s="1059"/>
      <c r="H493" s="1059"/>
      <c r="I493" s="1059"/>
      <c r="J493" s="1059"/>
      <c r="K493" s="1059"/>
      <c r="L493" s="1059"/>
      <c r="M493" s="1059"/>
      <c r="N493" s="1059"/>
      <c r="O493" s="1059"/>
      <c r="P493" s="1059"/>
      <c r="Q493" s="1059"/>
      <c r="R493" s="1059"/>
      <c r="S493" s="1059"/>
      <c r="T493" s="1059"/>
      <c r="U493" s="1059"/>
      <c r="V493" s="1059"/>
      <c r="W493" s="1059"/>
      <c r="X493" s="1059"/>
      <c r="Y493" s="1059"/>
      <c r="Z493" s="1059"/>
    </row>
    <row r="494" spans="1:26" ht="12.75" customHeight="1">
      <c r="A494" s="1059"/>
      <c r="B494" s="1059"/>
      <c r="C494" s="1059"/>
      <c r="D494" s="1059"/>
      <c r="E494" s="1059"/>
      <c r="F494" s="1059"/>
      <c r="G494" s="1059"/>
      <c r="H494" s="1059"/>
      <c r="I494" s="1059"/>
      <c r="J494" s="1059"/>
      <c r="K494" s="1059"/>
      <c r="L494" s="1059"/>
      <c r="M494" s="1059"/>
      <c r="N494" s="1059"/>
      <c r="O494" s="1059"/>
      <c r="P494" s="1059"/>
      <c r="Q494" s="1059"/>
      <c r="R494" s="1059"/>
      <c r="S494" s="1059"/>
      <c r="T494" s="1059"/>
      <c r="U494" s="1059"/>
      <c r="V494" s="1059"/>
      <c r="W494" s="1059"/>
      <c r="X494" s="1059"/>
      <c r="Y494" s="1059"/>
      <c r="Z494" s="1059"/>
    </row>
    <row r="495" spans="1:26" ht="12.75" customHeight="1">
      <c r="A495" s="1059"/>
      <c r="B495" s="1059"/>
      <c r="C495" s="1059"/>
      <c r="D495" s="1059"/>
      <c r="E495" s="1059"/>
      <c r="F495" s="1059"/>
      <c r="G495" s="1059"/>
      <c r="H495" s="1059"/>
      <c r="I495" s="1059"/>
      <c r="J495" s="1059"/>
      <c r="K495" s="1059"/>
      <c r="L495" s="1059"/>
      <c r="M495" s="1059"/>
      <c r="N495" s="1059"/>
      <c r="O495" s="1059"/>
      <c r="P495" s="1059"/>
      <c r="Q495" s="1059"/>
      <c r="R495" s="1059"/>
      <c r="S495" s="1059"/>
      <c r="T495" s="1059"/>
      <c r="U495" s="1059"/>
      <c r="V495" s="1059"/>
      <c r="W495" s="1059"/>
      <c r="X495" s="1059"/>
      <c r="Y495" s="1059"/>
      <c r="Z495" s="1059"/>
    </row>
    <row r="496" spans="1:26" ht="12.75" customHeight="1">
      <c r="A496" s="1059"/>
      <c r="B496" s="1059"/>
      <c r="C496" s="1059"/>
      <c r="D496" s="1059"/>
      <c r="E496" s="1059"/>
      <c r="F496" s="1059"/>
      <c r="G496" s="1059"/>
      <c r="H496" s="1059"/>
      <c r="I496" s="1059"/>
      <c r="J496" s="1059"/>
      <c r="K496" s="1059"/>
      <c r="L496" s="1059"/>
      <c r="M496" s="1059"/>
      <c r="N496" s="1059"/>
      <c r="O496" s="1059"/>
      <c r="P496" s="1059"/>
      <c r="Q496" s="1059"/>
      <c r="R496" s="1059"/>
      <c r="S496" s="1059"/>
      <c r="T496" s="1059"/>
      <c r="U496" s="1059"/>
      <c r="V496" s="1059"/>
      <c r="W496" s="1059"/>
      <c r="X496" s="1059"/>
      <c r="Y496" s="1059"/>
      <c r="Z496" s="1059"/>
    </row>
    <row r="497" spans="1:26" ht="12.75" customHeight="1">
      <c r="A497" s="1059"/>
      <c r="B497" s="1059"/>
      <c r="C497" s="1059"/>
      <c r="D497" s="1059"/>
      <c r="E497" s="1059"/>
      <c r="F497" s="1059"/>
      <c r="G497" s="1059"/>
      <c r="H497" s="1059"/>
      <c r="I497" s="1059"/>
      <c r="J497" s="1059"/>
      <c r="K497" s="1059"/>
      <c r="L497" s="1059"/>
      <c r="M497" s="1059"/>
      <c r="N497" s="1059"/>
      <c r="O497" s="1059"/>
      <c r="P497" s="1059"/>
      <c r="Q497" s="1059"/>
      <c r="R497" s="1059"/>
      <c r="S497" s="1059"/>
      <c r="T497" s="1059"/>
      <c r="U497" s="1059"/>
      <c r="V497" s="1059"/>
      <c r="W497" s="1059"/>
      <c r="X497" s="1059"/>
      <c r="Y497" s="1059"/>
      <c r="Z497" s="1059"/>
    </row>
    <row r="498" spans="1:26" ht="12.75" customHeight="1">
      <c r="A498" s="1059"/>
      <c r="B498" s="1059"/>
      <c r="C498" s="1059"/>
      <c r="D498" s="1059"/>
      <c r="E498" s="1059"/>
      <c r="F498" s="1059"/>
      <c r="G498" s="1059"/>
      <c r="H498" s="1059"/>
      <c r="I498" s="1059"/>
      <c r="J498" s="1059"/>
      <c r="K498" s="1059"/>
      <c r="L498" s="1059"/>
      <c r="M498" s="1059"/>
      <c r="N498" s="1059"/>
      <c r="O498" s="1059"/>
      <c r="P498" s="1059"/>
      <c r="Q498" s="1059"/>
      <c r="R498" s="1059"/>
      <c r="S498" s="1059"/>
      <c r="T498" s="1059"/>
      <c r="U498" s="1059"/>
      <c r="V498" s="1059"/>
      <c r="W498" s="1059"/>
      <c r="X498" s="1059"/>
      <c r="Y498" s="1059"/>
      <c r="Z498" s="1059"/>
    </row>
    <row r="499" spans="1:26" ht="12.75" customHeight="1">
      <c r="A499" s="1059"/>
      <c r="B499" s="1059"/>
      <c r="C499" s="1059"/>
      <c r="D499" s="1059"/>
      <c r="E499" s="1059"/>
      <c r="F499" s="1059"/>
      <c r="G499" s="1059"/>
      <c r="H499" s="1059"/>
      <c r="I499" s="1059"/>
      <c r="J499" s="1059"/>
      <c r="K499" s="1059"/>
      <c r="L499" s="1059"/>
      <c r="M499" s="1059"/>
      <c r="N499" s="1059"/>
      <c r="O499" s="1059"/>
      <c r="P499" s="1059"/>
      <c r="Q499" s="1059"/>
      <c r="R499" s="1059"/>
      <c r="S499" s="1059"/>
      <c r="T499" s="1059"/>
      <c r="U499" s="1059"/>
      <c r="V499" s="1059"/>
      <c r="W499" s="1059"/>
      <c r="X499" s="1059"/>
      <c r="Y499" s="1059"/>
      <c r="Z499" s="1059"/>
    </row>
    <row r="500" spans="1:26" ht="12.75" customHeight="1">
      <c r="A500" s="1059"/>
      <c r="B500" s="1059"/>
      <c r="C500" s="1059"/>
      <c r="D500" s="1059"/>
      <c r="E500" s="1059"/>
      <c r="F500" s="1059"/>
      <c r="G500" s="1059"/>
      <c r="H500" s="1059"/>
      <c r="I500" s="1059"/>
      <c r="J500" s="1059"/>
      <c r="K500" s="1059"/>
      <c r="L500" s="1059"/>
      <c r="M500" s="1059"/>
      <c r="N500" s="1059"/>
      <c r="O500" s="1059"/>
      <c r="P500" s="1059"/>
      <c r="Q500" s="1059"/>
      <c r="R500" s="1059"/>
      <c r="S500" s="1059"/>
      <c r="T500" s="1059"/>
      <c r="U500" s="1059"/>
      <c r="V500" s="1059"/>
      <c r="W500" s="1059"/>
      <c r="X500" s="1059"/>
      <c r="Y500" s="1059"/>
      <c r="Z500" s="1059"/>
    </row>
    <row r="501" spans="1:26" ht="12.75" customHeight="1">
      <c r="A501" s="1059"/>
      <c r="B501" s="1059"/>
      <c r="C501" s="1059"/>
      <c r="D501" s="1059"/>
      <c r="E501" s="1059"/>
      <c r="F501" s="1059"/>
      <c r="G501" s="1059"/>
      <c r="H501" s="1059"/>
      <c r="I501" s="1059"/>
      <c r="J501" s="1059"/>
      <c r="K501" s="1059"/>
      <c r="L501" s="1059"/>
      <c r="M501" s="1059"/>
      <c r="N501" s="1059"/>
      <c r="O501" s="1059"/>
      <c r="P501" s="1059"/>
      <c r="Q501" s="1059"/>
      <c r="R501" s="1059"/>
      <c r="S501" s="1059"/>
      <c r="T501" s="1059"/>
      <c r="U501" s="1059"/>
      <c r="V501" s="1059"/>
      <c r="W501" s="1059"/>
      <c r="X501" s="1059"/>
      <c r="Y501" s="1059"/>
      <c r="Z501" s="1059"/>
    </row>
    <row r="502" spans="1:26" ht="12.75" customHeight="1">
      <c r="A502" s="1059"/>
      <c r="B502" s="1059"/>
      <c r="C502" s="1059"/>
      <c r="D502" s="1059"/>
      <c r="E502" s="1059"/>
      <c r="F502" s="1059"/>
      <c r="G502" s="1059"/>
      <c r="H502" s="1059"/>
      <c r="I502" s="1059"/>
      <c r="J502" s="1059"/>
      <c r="K502" s="1059"/>
      <c r="L502" s="1059"/>
      <c r="M502" s="1059"/>
      <c r="N502" s="1059"/>
      <c r="O502" s="1059"/>
      <c r="P502" s="1059"/>
      <c r="Q502" s="1059"/>
      <c r="R502" s="1059"/>
      <c r="S502" s="1059"/>
      <c r="T502" s="1059"/>
      <c r="U502" s="1059"/>
      <c r="V502" s="1059"/>
      <c r="W502" s="1059"/>
      <c r="X502" s="1059"/>
      <c r="Y502" s="1059"/>
      <c r="Z502" s="1059"/>
    </row>
    <row r="503" spans="1:26" ht="12.75" customHeight="1">
      <c r="A503" s="1059"/>
      <c r="B503" s="1059"/>
      <c r="C503" s="1059"/>
      <c r="D503" s="1059"/>
      <c r="E503" s="1059"/>
      <c r="F503" s="1059"/>
      <c r="G503" s="1059"/>
      <c r="H503" s="1059"/>
      <c r="I503" s="1059"/>
      <c r="J503" s="1059"/>
      <c r="K503" s="1059"/>
      <c r="L503" s="1059"/>
      <c r="M503" s="1059"/>
      <c r="N503" s="1059"/>
      <c r="O503" s="1059"/>
      <c r="P503" s="1059"/>
      <c r="Q503" s="1059"/>
      <c r="R503" s="1059"/>
      <c r="S503" s="1059"/>
      <c r="T503" s="1059"/>
      <c r="U503" s="1059"/>
      <c r="V503" s="1059"/>
      <c r="W503" s="1059"/>
      <c r="X503" s="1059"/>
      <c r="Y503" s="1059"/>
      <c r="Z503" s="1059"/>
    </row>
    <row r="504" spans="1:26" ht="12.75" customHeight="1">
      <c r="A504" s="1059"/>
      <c r="B504" s="1059"/>
      <c r="C504" s="1059"/>
      <c r="D504" s="1059"/>
      <c r="E504" s="1059"/>
      <c r="F504" s="1059"/>
      <c r="G504" s="1059"/>
      <c r="H504" s="1059"/>
      <c r="I504" s="1059"/>
      <c r="J504" s="1059"/>
      <c r="K504" s="1059"/>
      <c r="L504" s="1059"/>
      <c r="M504" s="1059"/>
      <c r="N504" s="1059"/>
      <c r="O504" s="1059"/>
      <c r="P504" s="1059"/>
      <c r="Q504" s="1059"/>
      <c r="R504" s="1059"/>
      <c r="S504" s="1059"/>
      <c r="T504" s="1059"/>
      <c r="U504" s="1059"/>
      <c r="V504" s="1059"/>
      <c r="W504" s="1059"/>
      <c r="X504" s="1059"/>
      <c r="Y504" s="1059"/>
      <c r="Z504" s="1059"/>
    </row>
    <row r="505" spans="1:26" ht="12.75" customHeight="1">
      <c r="A505" s="1059"/>
      <c r="B505" s="1059"/>
      <c r="C505" s="1059"/>
      <c r="D505" s="1059"/>
      <c r="E505" s="1059"/>
      <c r="F505" s="1059"/>
      <c r="G505" s="1059"/>
      <c r="H505" s="1059"/>
      <c r="I505" s="1059"/>
      <c r="J505" s="1059"/>
      <c r="K505" s="1059"/>
      <c r="L505" s="1059"/>
      <c r="M505" s="1059"/>
      <c r="N505" s="1059"/>
      <c r="O505" s="1059"/>
      <c r="P505" s="1059"/>
      <c r="Q505" s="1059"/>
      <c r="R505" s="1059"/>
      <c r="S505" s="1059"/>
      <c r="T505" s="1059"/>
      <c r="U505" s="1059"/>
      <c r="V505" s="1059"/>
      <c r="W505" s="1059"/>
      <c r="X505" s="1059"/>
      <c r="Y505" s="1059"/>
      <c r="Z505" s="1059"/>
    </row>
    <row r="506" spans="1:26" ht="12.75" customHeight="1">
      <c r="A506" s="1059"/>
      <c r="B506" s="1059"/>
      <c r="C506" s="1059"/>
      <c r="D506" s="1059"/>
      <c r="E506" s="1059"/>
      <c r="F506" s="1059"/>
      <c r="G506" s="1059"/>
      <c r="H506" s="1059"/>
      <c r="I506" s="1059"/>
      <c r="J506" s="1059"/>
      <c r="K506" s="1059"/>
      <c r="L506" s="1059"/>
      <c r="M506" s="1059"/>
      <c r="N506" s="1059"/>
      <c r="O506" s="1059"/>
      <c r="P506" s="1059"/>
      <c r="Q506" s="1059"/>
      <c r="R506" s="1059"/>
      <c r="S506" s="1059"/>
      <c r="T506" s="1059"/>
      <c r="U506" s="1059"/>
      <c r="V506" s="1059"/>
      <c r="W506" s="1059"/>
      <c r="X506" s="1059"/>
      <c r="Y506" s="1059"/>
      <c r="Z506" s="1059"/>
    </row>
    <row r="507" spans="1:26" ht="12.75" customHeight="1">
      <c r="A507" s="1059"/>
      <c r="B507" s="1059"/>
      <c r="C507" s="1059"/>
      <c r="D507" s="1059"/>
      <c r="E507" s="1059"/>
      <c r="F507" s="1059"/>
      <c r="G507" s="1059"/>
      <c r="H507" s="1059"/>
      <c r="I507" s="1059"/>
      <c r="J507" s="1059"/>
      <c r="K507" s="1059"/>
      <c r="L507" s="1059"/>
      <c r="M507" s="1059"/>
      <c r="N507" s="1059"/>
      <c r="O507" s="1059"/>
      <c r="P507" s="1059"/>
      <c r="Q507" s="1059"/>
      <c r="R507" s="1059"/>
      <c r="S507" s="1059"/>
      <c r="T507" s="1059"/>
      <c r="U507" s="1059"/>
      <c r="V507" s="1059"/>
      <c r="W507" s="1059"/>
      <c r="X507" s="1059"/>
      <c r="Y507" s="1059"/>
      <c r="Z507" s="1059"/>
    </row>
    <row r="508" spans="1:26" ht="12.75" customHeight="1">
      <c r="A508" s="1059"/>
      <c r="B508" s="1059"/>
      <c r="C508" s="1059"/>
      <c r="D508" s="1059"/>
      <c r="E508" s="1059"/>
      <c r="F508" s="1059"/>
      <c r="G508" s="1059"/>
      <c r="H508" s="1059"/>
      <c r="I508" s="1059"/>
      <c r="J508" s="1059"/>
      <c r="K508" s="1059"/>
      <c r="L508" s="1059"/>
      <c r="M508" s="1059"/>
      <c r="N508" s="1059"/>
      <c r="O508" s="1059"/>
      <c r="P508" s="1059"/>
      <c r="Q508" s="1059"/>
      <c r="R508" s="1059"/>
      <c r="S508" s="1059"/>
      <c r="T508" s="1059"/>
      <c r="U508" s="1059"/>
      <c r="V508" s="1059"/>
      <c r="W508" s="1059"/>
      <c r="X508" s="1059"/>
      <c r="Y508" s="1059"/>
      <c r="Z508" s="1059"/>
    </row>
    <row r="509" spans="1:26" ht="12.75" customHeight="1">
      <c r="A509" s="1059"/>
      <c r="B509" s="1059"/>
      <c r="C509" s="1059"/>
      <c r="D509" s="1059"/>
      <c r="E509" s="1059"/>
      <c r="F509" s="1059"/>
      <c r="G509" s="1059"/>
      <c r="H509" s="1059"/>
      <c r="I509" s="1059"/>
      <c r="J509" s="1059"/>
      <c r="K509" s="1059"/>
      <c r="L509" s="1059"/>
      <c r="M509" s="1059"/>
      <c r="N509" s="1059"/>
      <c r="O509" s="1059"/>
      <c r="P509" s="1059"/>
      <c r="Q509" s="1059"/>
      <c r="R509" s="1059"/>
      <c r="S509" s="1059"/>
      <c r="T509" s="1059"/>
      <c r="U509" s="1059"/>
      <c r="V509" s="1059"/>
      <c r="W509" s="1059"/>
      <c r="X509" s="1059"/>
      <c r="Y509" s="1059"/>
      <c r="Z509" s="1059"/>
    </row>
    <row r="510" spans="1:26" ht="12.75" customHeight="1">
      <c r="A510" s="1059"/>
      <c r="B510" s="1059"/>
      <c r="C510" s="1059"/>
      <c r="D510" s="1059"/>
      <c r="E510" s="1059"/>
      <c r="F510" s="1059"/>
      <c r="G510" s="1059"/>
      <c r="H510" s="1059"/>
      <c r="I510" s="1059"/>
      <c r="J510" s="1059"/>
      <c r="K510" s="1059"/>
      <c r="L510" s="1059"/>
      <c r="M510" s="1059"/>
      <c r="N510" s="1059"/>
      <c r="O510" s="1059"/>
      <c r="P510" s="1059"/>
      <c r="Q510" s="1059"/>
      <c r="R510" s="1059"/>
      <c r="S510" s="1059"/>
      <c r="T510" s="1059"/>
      <c r="U510" s="1059"/>
      <c r="V510" s="1059"/>
      <c r="W510" s="1059"/>
      <c r="X510" s="1059"/>
      <c r="Y510" s="1059"/>
      <c r="Z510" s="1059"/>
    </row>
    <row r="511" spans="1:26" ht="12.75" customHeight="1">
      <c r="A511" s="1059"/>
      <c r="B511" s="1059"/>
      <c r="C511" s="1059"/>
      <c r="D511" s="1059"/>
      <c r="E511" s="1059"/>
      <c r="F511" s="1059"/>
      <c r="G511" s="1059"/>
      <c r="H511" s="1059"/>
      <c r="I511" s="1059"/>
      <c r="J511" s="1059"/>
      <c r="K511" s="1059"/>
      <c r="L511" s="1059"/>
      <c r="M511" s="1059"/>
      <c r="N511" s="1059"/>
      <c r="O511" s="1059"/>
      <c r="P511" s="1059"/>
      <c r="Q511" s="1059"/>
      <c r="R511" s="1059"/>
      <c r="S511" s="1059"/>
      <c r="T511" s="1059"/>
      <c r="U511" s="1059"/>
      <c r="V511" s="1059"/>
      <c r="W511" s="1059"/>
      <c r="X511" s="1059"/>
      <c r="Y511" s="1059"/>
      <c r="Z511" s="1059"/>
    </row>
    <row r="512" spans="1:26" ht="12.75" customHeight="1">
      <c r="A512" s="1059"/>
      <c r="B512" s="1059"/>
      <c r="C512" s="1059"/>
      <c r="D512" s="1059"/>
      <c r="E512" s="1059"/>
      <c r="F512" s="1059"/>
      <c r="G512" s="1059"/>
      <c r="H512" s="1059"/>
      <c r="I512" s="1059"/>
      <c r="J512" s="1059"/>
      <c r="K512" s="1059"/>
      <c r="L512" s="1059"/>
      <c r="M512" s="1059"/>
      <c r="N512" s="1059"/>
      <c r="O512" s="1059"/>
      <c r="P512" s="1059"/>
      <c r="Q512" s="1059"/>
      <c r="R512" s="1059"/>
      <c r="S512" s="1059"/>
      <c r="T512" s="1059"/>
      <c r="U512" s="1059"/>
      <c r="V512" s="1059"/>
      <c r="W512" s="1059"/>
      <c r="X512" s="1059"/>
      <c r="Y512" s="1059"/>
      <c r="Z512" s="1059"/>
    </row>
    <row r="513" spans="1:26" ht="12.75" customHeight="1">
      <c r="A513" s="1059"/>
      <c r="B513" s="1059"/>
      <c r="C513" s="1059"/>
      <c r="D513" s="1059"/>
      <c r="E513" s="1059"/>
      <c r="F513" s="1059"/>
      <c r="G513" s="1059"/>
      <c r="H513" s="1059"/>
      <c r="I513" s="1059"/>
      <c r="J513" s="1059"/>
      <c r="K513" s="1059"/>
      <c r="L513" s="1059"/>
      <c r="M513" s="1059"/>
      <c r="N513" s="1059"/>
      <c r="O513" s="1059"/>
      <c r="P513" s="1059"/>
      <c r="Q513" s="1059"/>
      <c r="R513" s="1059"/>
      <c r="S513" s="1059"/>
      <c r="T513" s="1059"/>
      <c r="U513" s="1059"/>
      <c r="V513" s="1059"/>
      <c r="W513" s="1059"/>
      <c r="X513" s="1059"/>
      <c r="Y513" s="1059"/>
      <c r="Z513" s="1059"/>
    </row>
    <row r="514" spans="1:26" ht="12.75" customHeight="1">
      <c r="A514" s="1059"/>
      <c r="B514" s="1059"/>
      <c r="C514" s="1059"/>
      <c r="D514" s="1059"/>
      <c r="E514" s="1059"/>
      <c r="F514" s="1059"/>
      <c r="G514" s="1059"/>
      <c r="H514" s="1059"/>
      <c r="I514" s="1059"/>
      <c r="J514" s="1059"/>
      <c r="K514" s="1059"/>
      <c r="L514" s="1059"/>
      <c r="M514" s="1059"/>
      <c r="N514" s="1059"/>
      <c r="O514" s="1059"/>
      <c r="P514" s="1059"/>
      <c r="Q514" s="1059"/>
      <c r="R514" s="1059"/>
      <c r="S514" s="1059"/>
      <c r="T514" s="1059"/>
      <c r="U514" s="1059"/>
      <c r="V514" s="1059"/>
      <c r="W514" s="1059"/>
      <c r="X514" s="1059"/>
      <c r="Y514" s="1059"/>
      <c r="Z514" s="1059"/>
    </row>
    <row r="515" spans="1:26" ht="12.75" customHeight="1">
      <c r="A515" s="1059"/>
      <c r="B515" s="1059"/>
      <c r="C515" s="1059"/>
      <c r="D515" s="1059"/>
      <c r="E515" s="1059"/>
      <c r="F515" s="1059"/>
      <c r="G515" s="1059"/>
      <c r="H515" s="1059"/>
      <c r="I515" s="1059"/>
      <c r="J515" s="1059"/>
      <c r="K515" s="1059"/>
      <c r="L515" s="1059"/>
      <c r="M515" s="1059"/>
      <c r="N515" s="1059"/>
      <c r="O515" s="1059"/>
      <c r="P515" s="1059"/>
      <c r="Q515" s="1059"/>
      <c r="R515" s="1059"/>
      <c r="S515" s="1059"/>
      <c r="T515" s="1059"/>
      <c r="U515" s="1059"/>
      <c r="V515" s="1059"/>
      <c r="W515" s="1059"/>
      <c r="X515" s="1059"/>
      <c r="Y515" s="1059"/>
      <c r="Z515" s="1059"/>
    </row>
    <row r="516" spans="1:26" ht="12.75" customHeight="1">
      <c r="A516" s="1059"/>
      <c r="B516" s="1059"/>
      <c r="C516" s="1059"/>
      <c r="D516" s="1059"/>
      <c r="E516" s="1059"/>
      <c r="F516" s="1059"/>
      <c r="G516" s="1059"/>
      <c r="H516" s="1059"/>
      <c r="I516" s="1059"/>
      <c r="J516" s="1059"/>
      <c r="K516" s="1059"/>
      <c r="L516" s="1059"/>
      <c r="M516" s="1059"/>
      <c r="N516" s="1059"/>
      <c r="O516" s="1059"/>
      <c r="P516" s="1059"/>
      <c r="Q516" s="1059"/>
      <c r="R516" s="1059"/>
      <c r="S516" s="1059"/>
      <c r="T516" s="1059"/>
      <c r="U516" s="1059"/>
      <c r="V516" s="1059"/>
      <c r="W516" s="1059"/>
      <c r="X516" s="1059"/>
      <c r="Y516" s="1059"/>
      <c r="Z516" s="1059"/>
    </row>
    <row r="517" spans="1:26" ht="12.75" customHeight="1">
      <c r="A517" s="1059"/>
      <c r="B517" s="1059"/>
      <c r="C517" s="1059"/>
      <c r="D517" s="1059"/>
      <c r="E517" s="1059"/>
      <c r="F517" s="1059"/>
      <c r="G517" s="1059"/>
      <c r="H517" s="1059"/>
      <c r="I517" s="1059"/>
      <c r="J517" s="1059"/>
      <c r="K517" s="1059"/>
      <c r="L517" s="1059"/>
      <c r="M517" s="1059"/>
      <c r="N517" s="1059"/>
      <c r="O517" s="1059"/>
      <c r="P517" s="1059"/>
      <c r="Q517" s="1059"/>
      <c r="R517" s="1059"/>
      <c r="S517" s="1059"/>
      <c r="T517" s="1059"/>
      <c r="U517" s="1059"/>
      <c r="V517" s="1059"/>
      <c r="W517" s="1059"/>
      <c r="X517" s="1059"/>
      <c r="Y517" s="1059"/>
      <c r="Z517" s="1059"/>
    </row>
    <row r="518" spans="1:26" ht="12.75" customHeight="1">
      <c r="A518" s="1059"/>
      <c r="B518" s="1059"/>
      <c r="C518" s="1059"/>
      <c r="D518" s="1059"/>
      <c r="E518" s="1059"/>
      <c r="F518" s="1059"/>
      <c r="G518" s="1059"/>
      <c r="H518" s="1059"/>
      <c r="I518" s="1059"/>
      <c r="J518" s="1059"/>
      <c r="K518" s="1059"/>
      <c r="L518" s="1059"/>
      <c r="M518" s="1059"/>
      <c r="N518" s="1059"/>
      <c r="O518" s="1059"/>
      <c r="P518" s="1059"/>
      <c r="Q518" s="1059"/>
      <c r="R518" s="1059"/>
      <c r="S518" s="1059"/>
      <c r="T518" s="1059"/>
      <c r="U518" s="1059"/>
      <c r="V518" s="1059"/>
      <c r="W518" s="1059"/>
      <c r="X518" s="1059"/>
      <c r="Y518" s="1059"/>
      <c r="Z518" s="1059"/>
    </row>
    <row r="519" spans="1:26" ht="12.75" customHeight="1">
      <c r="A519" s="1059"/>
      <c r="B519" s="1059"/>
      <c r="C519" s="1059"/>
      <c r="D519" s="1059"/>
      <c r="E519" s="1059"/>
      <c r="F519" s="1059"/>
      <c r="G519" s="1059"/>
      <c r="H519" s="1059"/>
      <c r="I519" s="1059"/>
      <c r="J519" s="1059"/>
      <c r="K519" s="1059"/>
      <c r="L519" s="1059"/>
      <c r="M519" s="1059"/>
      <c r="N519" s="1059"/>
      <c r="O519" s="1059"/>
      <c r="P519" s="1059"/>
      <c r="Q519" s="1059"/>
      <c r="R519" s="1059"/>
      <c r="S519" s="1059"/>
      <c r="T519" s="1059"/>
      <c r="U519" s="1059"/>
      <c r="V519" s="1059"/>
      <c r="W519" s="1059"/>
      <c r="X519" s="1059"/>
      <c r="Y519" s="1059"/>
      <c r="Z519" s="1059"/>
    </row>
    <row r="520" spans="1:26" ht="12.75" customHeight="1">
      <c r="A520" s="1059"/>
      <c r="B520" s="1059"/>
      <c r="C520" s="1059"/>
      <c r="D520" s="1059"/>
      <c r="E520" s="1059"/>
      <c r="F520" s="1059"/>
      <c r="G520" s="1059"/>
      <c r="H520" s="1059"/>
      <c r="I520" s="1059"/>
      <c r="J520" s="1059"/>
      <c r="K520" s="1059"/>
      <c r="L520" s="1059"/>
      <c r="M520" s="1059"/>
      <c r="N520" s="1059"/>
      <c r="O520" s="1059"/>
      <c r="P520" s="1059"/>
      <c r="Q520" s="1059"/>
      <c r="R520" s="1059"/>
      <c r="S520" s="1059"/>
      <c r="T520" s="1059"/>
      <c r="U520" s="1059"/>
      <c r="V520" s="1059"/>
      <c r="W520" s="1059"/>
      <c r="X520" s="1059"/>
      <c r="Y520" s="1059"/>
      <c r="Z520" s="1059"/>
    </row>
    <row r="521" spans="1:26" ht="12.75" customHeight="1">
      <c r="A521" s="1059"/>
      <c r="B521" s="1059"/>
      <c r="C521" s="1059"/>
      <c r="D521" s="1059"/>
      <c r="E521" s="1059"/>
      <c r="F521" s="1059"/>
      <c r="G521" s="1059"/>
      <c r="H521" s="1059"/>
      <c r="I521" s="1059"/>
      <c r="J521" s="1059"/>
      <c r="K521" s="1059"/>
      <c r="L521" s="1059"/>
      <c r="M521" s="1059"/>
      <c r="N521" s="1059"/>
      <c r="O521" s="1059"/>
      <c r="P521" s="1059"/>
      <c r="Q521" s="1059"/>
      <c r="R521" s="1059"/>
      <c r="S521" s="1059"/>
      <c r="T521" s="1059"/>
      <c r="U521" s="1059"/>
      <c r="V521" s="1059"/>
      <c r="W521" s="1059"/>
      <c r="X521" s="1059"/>
      <c r="Y521" s="1059"/>
      <c r="Z521" s="1059"/>
    </row>
    <row r="522" spans="1:26" ht="12.75" customHeight="1">
      <c r="A522" s="1059"/>
      <c r="B522" s="1059"/>
      <c r="C522" s="1059"/>
      <c r="D522" s="1059"/>
      <c r="E522" s="1059"/>
      <c r="F522" s="1059"/>
      <c r="G522" s="1059"/>
      <c r="H522" s="1059"/>
      <c r="I522" s="1059"/>
      <c r="J522" s="1059"/>
      <c r="K522" s="1059"/>
      <c r="L522" s="1059"/>
      <c r="M522" s="1059"/>
      <c r="N522" s="1059"/>
      <c r="O522" s="1059"/>
      <c r="P522" s="1059"/>
      <c r="Q522" s="1059"/>
      <c r="R522" s="1059"/>
      <c r="S522" s="1059"/>
      <c r="T522" s="1059"/>
      <c r="U522" s="1059"/>
      <c r="V522" s="1059"/>
      <c r="W522" s="1059"/>
      <c r="X522" s="1059"/>
      <c r="Y522" s="1059"/>
      <c r="Z522" s="1059"/>
    </row>
    <row r="523" spans="1:26" ht="12.75" customHeight="1">
      <c r="A523" s="1059"/>
      <c r="B523" s="1059"/>
      <c r="C523" s="1059"/>
      <c r="D523" s="1059"/>
      <c r="E523" s="1059"/>
      <c r="F523" s="1059"/>
      <c r="G523" s="1059"/>
      <c r="H523" s="1059"/>
      <c r="I523" s="1059"/>
      <c r="J523" s="1059"/>
      <c r="K523" s="1059"/>
      <c r="L523" s="1059"/>
      <c r="M523" s="1059"/>
      <c r="N523" s="1059"/>
      <c r="O523" s="1059"/>
      <c r="P523" s="1059"/>
      <c r="Q523" s="1059"/>
      <c r="R523" s="1059"/>
      <c r="S523" s="1059"/>
      <c r="T523" s="1059"/>
      <c r="U523" s="1059"/>
      <c r="V523" s="1059"/>
      <c r="W523" s="1059"/>
      <c r="X523" s="1059"/>
      <c r="Y523" s="1059"/>
      <c r="Z523" s="1059"/>
    </row>
    <row r="524" spans="1:26" ht="12.75" customHeight="1">
      <c r="A524" s="1059"/>
      <c r="B524" s="1059"/>
      <c r="C524" s="1059"/>
      <c r="D524" s="1059"/>
      <c r="E524" s="1059"/>
      <c r="F524" s="1059"/>
      <c r="G524" s="1059"/>
      <c r="H524" s="1059"/>
      <c r="I524" s="1059"/>
      <c r="J524" s="1059"/>
      <c r="K524" s="1059"/>
      <c r="L524" s="1059"/>
      <c r="M524" s="1059"/>
      <c r="N524" s="1059"/>
      <c r="O524" s="1059"/>
      <c r="P524" s="1059"/>
      <c r="Q524" s="1059"/>
      <c r="R524" s="1059"/>
      <c r="S524" s="1059"/>
      <c r="T524" s="1059"/>
      <c r="U524" s="1059"/>
      <c r="V524" s="1059"/>
      <c r="W524" s="1059"/>
      <c r="X524" s="1059"/>
      <c r="Y524" s="1059"/>
      <c r="Z524" s="1059"/>
    </row>
    <row r="525" spans="1:26" ht="12.75" customHeight="1">
      <c r="A525" s="1059"/>
      <c r="B525" s="1059"/>
      <c r="C525" s="1059"/>
      <c r="D525" s="1059"/>
      <c r="E525" s="1059"/>
      <c r="F525" s="1059"/>
      <c r="G525" s="1059"/>
      <c r="H525" s="1059"/>
      <c r="I525" s="1059"/>
      <c r="J525" s="1059"/>
      <c r="K525" s="1059"/>
      <c r="L525" s="1059"/>
      <c r="M525" s="1059"/>
      <c r="N525" s="1059"/>
      <c r="O525" s="1059"/>
      <c r="P525" s="1059"/>
      <c r="Q525" s="1059"/>
      <c r="R525" s="1059"/>
      <c r="S525" s="1059"/>
      <c r="T525" s="1059"/>
      <c r="U525" s="1059"/>
      <c r="V525" s="1059"/>
      <c r="W525" s="1059"/>
      <c r="X525" s="1059"/>
      <c r="Y525" s="1059"/>
      <c r="Z525" s="1059"/>
    </row>
    <row r="526" spans="1:26" ht="12.75" customHeight="1">
      <c r="A526" s="1059"/>
      <c r="B526" s="1059"/>
      <c r="C526" s="1059"/>
      <c r="D526" s="1059"/>
      <c r="E526" s="1059"/>
      <c r="F526" s="1059"/>
      <c r="G526" s="1059"/>
      <c r="H526" s="1059"/>
      <c r="I526" s="1059"/>
      <c r="J526" s="1059"/>
      <c r="K526" s="1059"/>
      <c r="L526" s="1059"/>
      <c r="M526" s="1059"/>
      <c r="N526" s="1059"/>
      <c r="O526" s="1059"/>
      <c r="P526" s="1059"/>
      <c r="Q526" s="1059"/>
      <c r="R526" s="1059"/>
      <c r="S526" s="1059"/>
      <c r="T526" s="1059"/>
      <c r="U526" s="1059"/>
      <c r="V526" s="1059"/>
      <c r="W526" s="1059"/>
      <c r="X526" s="1059"/>
      <c r="Y526" s="1059"/>
      <c r="Z526" s="1059"/>
    </row>
    <row r="527" spans="1:26" ht="12.75" customHeight="1">
      <c r="A527" s="1059"/>
      <c r="B527" s="1059"/>
      <c r="C527" s="1059"/>
      <c r="D527" s="1059"/>
      <c r="E527" s="1059"/>
      <c r="F527" s="1059"/>
      <c r="G527" s="1059"/>
      <c r="H527" s="1059"/>
      <c r="I527" s="1059"/>
      <c r="J527" s="1059"/>
      <c r="K527" s="1059"/>
      <c r="L527" s="1059"/>
      <c r="M527" s="1059"/>
      <c r="N527" s="1059"/>
      <c r="O527" s="1059"/>
      <c r="P527" s="1059"/>
      <c r="Q527" s="1059"/>
      <c r="R527" s="1059"/>
      <c r="S527" s="1059"/>
      <c r="T527" s="1059"/>
      <c r="U527" s="1059"/>
      <c r="V527" s="1059"/>
      <c r="W527" s="1059"/>
      <c r="X527" s="1059"/>
      <c r="Y527" s="1059"/>
      <c r="Z527" s="1059"/>
    </row>
    <row r="528" spans="1:26" ht="12.75" customHeight="1">
      <c r="A528" s="1059"/>
      <c r="B528" s="1059"/>
      <c r="C528" s="1059"/>
      <c r="D528" s="1059"/>
      <c r="E528" s="1059"/>
      <c r="F528" s="1059"/>
      <c r="G528" s="1059"/>
      <c r="H528" s="1059"/>
      <c r="I528" s="1059"/>
      <c r="J528" s="1059"/>
      <c r="K528" s="1059"/>
      <c r="L528" s="1059"/>
      <c r="M528" s="1059"/>
      <c r="N528" s="1059"/>
      <c r="O528" s="1059"/>
      <c r="P528" s="1059"/>
      <c r="Q528" s="1059"/>
      <c r="R528" s="1059"/>
      <c r="S528" s="1059"/>
      <c r="T528" s="1059"/>
      <c r="U528" s="1059"/>
      <c r="V528" s="1059"/>
      <c r="W528" s="1059"/>
      <c r="X528" s="1059"/>
      <c r="Y528" s="1059"/>
      <c r="Z528" s="1059"/>
    </row>
    <row r="529" spans="1:26" ht="12.75" customHeight="1">
      <c r="A529" s="1059"/>
      <c r="B529" s="1059"/>
      <c r="C529" s="1059"/>
      <c r="D529" s="1059"/>
      <c r="E529" s="1059"/>
      <c r="F529" s="1059"/>
      <c r="G529" s="1059"/>
      <c r="H529" s="1059"/>
      <c r="I529" s="1059"/>
      <c r="J529" s="1059"/>
      <c r="K529" s="1059"/>
      <c r="L529" s="1059"/>
      <c r="M529" s="1059"/>
      <c r="N529" s="1059"/>
      <c r="O529" s="1059"/>
      <c r="P529" s="1059"/>
      <c r="Q529" s="1059"/>
      <c r="R529" s="1059"/>
      <c r="S529" s="1059"/>
      <c r="T529" s="1059"/>
      <c r="U529" s="1059"/>
      <c r="V529" s="1059"/>
      <c r="W529" s="1059"/>
      <c r="X529" s="1059"/>
      <c r="Y529" s="1059"/>
      <c r="Z529" s="1059"/>
    </row>
    <row r="530" spans="1:26" ht="12.75" customHeight="1">
      <c r="A530" s="1059"/>
      <c r="B530" s="1059"/>
      <c r="C530" s="1059"/>
      <c r="D530" s="1059"/>
      <c r="E530" s="1059"/>
      <c r="F530" s="1059"/>
      <c r="G530" s="1059"/>
      <c r="H530" s="1059"/>
      <c r="I530" s="1059"/>
      <c r="J530" s="1059"/>
      <c r="K530" s="1059"/>
      <c r="L530" s="1059"/>
      <c r="M530" s="1059"/>
      <c r="N530" s="1059"/>
      <c r="O530" s="1059"/>
      <c r="P530" s="1059"/>
      <c r="Q530" s="1059"/>
      <c r="R530" s="1059"/>
      <c r="S530" s="1059"/>
      <c r="T530" s="1059"/>
      <c r="U530" s="1059"/>
      <c r="V530" s="1059"/>
      <c r="W530" s="1059"/>
      <c r="X530" s="1059"/>
      <c r="Y530" s="1059"/>
      <c r="Z530" s="1059"/>
    </row>
    <row r="531" spans="1:26" ht="12.75" customHeight="1">
      <c r="A531" s="1059"/>
      <c r="B531" s="1059"/>
      <c r="C531" s="1059"/>
      <c r="D531" s="1059"/>
      <c r="E531" s="1059"/>
      <c r="F531" s="1059"/>
      <c r="G531" s="1059"/>
      <c r="H531" s="1059"/>
      <c r="I531" s="1059"/>
      <c r="J531" s="1059"/>
      <c r="K531" s="1059"/>
      <c r="L531" s="1059"/>
      <c r="M531" s="1059"/>
      <c r="N531" s="1059"/>
      <c r="O531" s="1059"/>
      <c r="P531" s="1059"/>
      <c r="Q531" s="1059"/>
      <c r="R531" s="1059"/>
      <c r="S531" s="1059"/>
      <c r="T531" s="1059"/>
      <c r="U531" s="1059"/>
      <c r="V531" s="1059"/>
      <c r="W531" s="1059"/>
      <c r="X531" s="1059"/>
      <c r="Y531" s="1059"/>
      <c r="Z531" s="1059"/>
    </row>
    <row r="532" spans="1:26" ht="12.75" customHeight="1">
      <c r="A532" s="1059"/>
      <c r="B532" s="1059"/>
      <c r="C532" s="1059"/>
      <c r="D532" s="1059"/>
      <c r="E532" s="1059"/>
      <c r="F532" s="1059"/>
      <c r="G532" s="1059"/>
      <c r="H532" s="1059"/>
      <c r="I532" s="1059"/>
      <c r="J532" s="1059"/>
      <c r="K532" s="1059"/>
      <c r="L532" s="1059"/>
      <c r="M532" s="1059"/>
      <c r="N532" s="1059"/>
      <c r="O532" s="1059"/>
      <c r="P532" s="1059"/>
      <c r="Q532" s="1059"/>
      <c r="R532" s="1059"/>
      <c r="S532" s="1059"/>
      <c r="T532" s="1059"/>
      <c r="U532" s="1059"/>
      <c r="V532" s="1059"/>
      <c r="W532" s="1059"/>
      <c r="X532" s="1059"/>
      <c r="Y532" s="1059"/>
      <c r="Z532" s="1059"/>
    </row>
    <row r="533" spans="1:26" ht="12.75" customHeight="1">
      <c r="A533" s="1059"/>
      <c r="B533" s="1059"/>
      <c r="C533" s="1059"/>
      <c r="D533" s="1059"/>
      <c r="E533" s="1059"/>
      <c r="F533" s="1059"/>
      <c r="G533" s="1059"/>
      <c r="H533" s="1059"/>
      <c r="I533" s="1059"/>
      <c r="J533" s="1059"/>
      <c r="K533" s="1059"/>
      <c r="L533" s="1059"/>
      <c r="M533" s="1059"/>
      <c r="N533" s="1059"/>
      <c r="O533" s="1059"/>
      <c r="P533" s="1059"/>
      <c r="Q533" s="1059"/>
      <c r="R533" s="1059"/>
      <c r="S533" s="1059"/>
      <c r="T533" s="1059"/>
      <c r="U533" s="1059"/>
      <c r="V533" s="1059"/>
      <c r="W533" s="1059"/>
      <c r="X533" s="1059"/>
      <c r="Y533" s="1059"/>
      <c r="Z533" s="1059"/>
    </row>
    <row r="534" spans="1:26" ht="12.75" customHeight="1">
      <c r="A534" s="1059"/>
      <c r="B534" s="1059"/>
      <c r="C534" s="1059"/>
      <c r="D534" s="1059"/>
      <c r="E534" s="1059"/>
      <c r="F534" s="1059"/>
      <c r="G534" s="1059"/>
      <c r="H534" s="1059"/>
      <c r="I534" s="1059"/>
      <c r="J534" s="1059"/>
      <c r="K534" s="1059"/>
      <c r="L534" s="1059"/>
      <c r="M534" s="1059"/>
      <c r="N534" s="1059"/>
      <c r="O534" s="1059"/>
      <c r="P534" s="1059"/>
      <c r="Q534" s="1059"/>
      <c r="R534" s="1059"/>
      <c r="S534" s="1059"/>
      <c r="T534" s="1059"/>
      <c r="U534" s="1059"/>
      <c r="V534" s="1059"/>
      <c r="W534" s="1059"/>
      <c r="X534" s="1059"/>
      <c r="Y534" s="1059"/>
      <c r="Z534" s="1059"/>
    </row>
    <row r="535" spans="1:26" ht="12.75" customHeight="1">
      <c r="A535" s="1059"/>
      <c r="B535" s="1059"/>
      <c r="C535" s="1059"/>
      <c r="D535" s="1059"/>
      <c r="E535" s="1059"/>
      <c r="F535" s="1059"/>
      <c r="G535" s="1059"/>
      <c r="H535" s="1059"/>
      <c r="I535" s="1059"/>
      <c r="J535" s="1059"/>
      <c r="K535" s="1059"/>
      <c r="L535" s="1059"/>
      <c r="M535" s="1059"/>
      <c r="N535" s="1059"/>
      <c r="O535" s="1059"/>
      <c r="P535" s="1059"/>
      <c r="Q535" s="1059"/>
      <c r="R535" s="1059"/>
      <c r="S535" s="1059"/>
      <c r="T535" s="1059"/>
      <c r="U535" s="1059"/>
      <c r="V535" s="1059"/>
      <c r="W535" s="1059"/>
      <c r="X535" s="1059"/>
      <c r="Y535" s="1059"/>
      <c r="Z535" s="1059"/>
    </row>
    <row r="536" spans="1:26" ht="12.75" customHeight="1">
      <c r="A536" s="1059"/>
      <c r="B536" s="1059"/>
      <c r="C536" s="1059"/>
      <c r="D536" s="1059"/>
      <c r="E536" s="1059"/>
      <c r="F536" s="1059"/>
      <c r="G536" s="1059"/>
      <c r="H536" s="1059"/>
      <c r="I536" s="1059"/>
      <c r="J536" s="1059"/>
      <c r="K536" s="1059"/>
      <c r="L536" s="1059"/>
      <c r="M536" s="1059"/>
      <c r="N536" s="1059"/>
      <c r="O536" s="1059"/>
      <c r="P536" s="1059"/>
      <c r="Q536" s="1059"/>
      <c r="R536" s="1059"/>
      <c r="S536" s="1059"/>
      <c r="T536" s="1059"/>
      <c r="U536" s="1059"/>
      <c r="V536" s="1059"/>
      <c r="W536" s="1059"/>
      <c r="X536" s="1059"/>
      <c r="Y536" s="1059"/>
      <c r="Z536" s="1059"/>
    </row>
    <row r="537" spans="1:26" ht="12.75" customHeight="1">
      <c r="A537" s="1059"/>
      <c r="B537" s="1059"/>
      <c r="C537" s="1059"/>
      <c r="D537" s="1059"/>
      <c r="E537" s="1059"/>
      <c r="F537" s="1059"/>
      <c r="G537" s="1059"/>
      <c r="H537" s="1059"/>
      <c r="I537" s="1059"/>
      <c r="J537" s="1059"/>
      <c r="K537" s="1059"/>
      <c r="L537" s="1059"/>
      <c r="M537" s="1059"/>
      <c r="N537" s="1059"/>
      <c r="O537" s="1059"/>
      <c r="P537" s="1059"/>
      <c r="Q537" s="1059"/>
      <c r="R537" s="1059"/>
      <c r="S537" s="1059"/>
      <c r="T537" s="1059"/>
      <c r="U537" s="1059"/>
      <c r="V537" s="1059"/>
      <c r="W537" s="1059"/>
      <c r="X537" s="1059"/>
      <c r="Y537" s="1059"/>
      <c r="Z537" s="1059"/>
    </row>
    <row r="538" spans="1:26" ht="12.75" customHeight="1">
      <c r="A538" s="1059"/>
      <c r="B538" s="1059"/>
      <c r="C538" s="1059"/>
      <c r="D538" s="1059"/>
      <c r="E538" s="1059"/>
      <c r="F538" s="1059"/>
      <c r="G538" s="1059"/>
      <c r="H538" s="1059"/>
      <c r="I538" s="1059"/>
      <c r="J538" s="1059"/>
      <c r="K538" s="1059"/>
      <c r="L538" s="1059"/>
      <c r="M538" s="1059"/>
      <c r="N538" s="1059"/>
      <c r="O538" s="1059"/>
      <c r="P538" s="1059"/>
      <c r="Q538" s="1059"/>
      <c r="R538" s="1059"/>
      <c r="S538" s="1059"/>
      <c r="T538" s="1059"/>
      <c r="U538" s="1059"/>
      <c r="V538" s="1059"/>
      <c r="W538" s="1059"/>
      <c r="X538" s="1059"/>
      <c r="Y538" s="1059"/>
      <c r="Z538" s="1059"/>
    </row>
    <row r="539" spans="1:26" ht="12.75" customHeight="1">
      <c r="A539" s="1059"/>
      <c r="B539" s="1059"/>
      <c r="C539" s="1059"/>
      <c r="D539" s="1059"/>
      <c r="E539" s="1059"/>
      <c r="F539" s="1059"/>
      <c r="G539" s="1059"/>
      <c r="H539" s="1059"/>
      <c r="I539" s="1059"/>
      <c r="J539" s="1059"/>
      <c r="K539" s="1059"/>
      <c r="L539" s="1059"/>
      <c r="M539" s="1059"/>
      <c r="N539" s="1059"/>
      <c r="O539" s="1059"/>
      <c r="P539" s="1059"/>
      <c r="Q539" s="1059"/>
      <c r="R539" s="1059"/>
      <c r="S539" s="1059"/>
      <c r="T539" s="1059"/>
      <c r="U539" s="1059"/>
      <c r="V539" s="1059"/>
      <c r="W539" s="1059"/>
      <c r="X539" s="1059"/>
      <c r="Y539" s="1059"/>
      <c r="Z539" s="1059"/>
    </row>
    <row r="540" spans="1:26" ht="12.75" customHeight="1">
      <c r="A540" s="1059"/>
      <c r="B540" s="1059"/>
      <c r="C540" s="1059"/>
      <c r="D540" s="1059"/>
      <c r="E540" s="1059"/>
      <c r="F540" s="1059"/>
      <c r="G540" s="1059"/>
      <c r="H540" s="1059"/>
      <c r="I540" s="1059"/>
      <c r="J540" s="1059"/>
      <c r="K540" s="1059"/>
      <c r="L540" s="1059"/>
      <c r="M540" s="1059"/>
      <c r="N540" s="1059"/>
      <c r="O540" s="1059"/>
      <c r="P540" s="1059"/>
      <c r="Q540" s="1059"/>
      <c r="R540" s="1059"/>
      <c r="S540" s="1059"/>
      <c r="T540" s="1059"/>
      <c r="U540" s="1059"/>
      <c r="V540" s="1059"/>
      <c r="W540" s="1059"/>
      <c r="X540" s="1059"/>
      <c r="Y540" s="1059"/>
      <c r="Z540" s="1059"/>
    </row>
    <row r="541" spans="1:26" ht="12.75" customHeight="1">
      <c r="A541" s="1059"/>
      <c r="B541" s="1059"/>
      <c r="C541" s="1059"/>
      <c r="D541" s="1059"/>
      <c r="E541" s="1059"/>
      <c r="F541" s="1059"/>
      <c r="G541" s="1059"/>
      <c r="H541" s="1059"/>
      <c r="I541" s="1059"/>
      <c r="J541" s="1059"/>
      <c r="K541" s="1059"/>
      <c r="L541" s="1059"/>
      <c r="M541" s="1059"/>
      <c r="N541" s="1059"/>
      <c r="O541" s="1059"/>
      <c r="P541" s="1059"/>
      <c r="Q541" s="1059"/>
      <c r="R541" s="1059"/>
      <c r="S541" s="1059"/>
      <c r="T541" s="1059"/>
      <c r="U541" s="1059"/>
      <c r="V541" s="1059"/>
      <c r="W541" s="1059"/>
      <c r="X541" s="1059"/>
      <c r="Y541" s="1059"/>
      <c r="Z541" s="1059"/>
    </row>
    <row r="542" spans="1:26" ht="12.75" customHeight="1">
      <c r="A542" s="1059"/>
      <c r="B542" s="1059"/>
      <c r="C542" s="1059"/>
      <c r="D542" s="1059"/>
      <c r="E542" s="1059"/>
      <c r="F542" s="1059"/>
      <c r="G542" s="1059"/>
      <c r="H542" s="1059"/>
      <c r="I542" s="1059"/>
      <c r="J542" s="1059"/>
      <c r="K542" s="1059"/>
      <c r="L542" s="1059"/>
      <c r="M542" s="1059"/>
      <c r="N542" s="1059"/>
      <c r="O542" s="1059"/>
      <c r="P542" s="1059"/>
      <c r="Q542" s="1059"/>
      <c r="R542" s="1059"/>
      <c r="S542" s="1059"/>
      <c r="T542" s="1059"/>
      <c r="U542" s="1059"/>
      <c r="V542" s="1059"/>
      <c r="W542" s="1059"/>
      <c r="X542" s="1059"/>
      <c r="Y542" s="1059"/>
      <c r="Z542" s="1059"/>
    </row>
    <row r="543" spans="1:26" ht="12.75" customHeight="1">
      <c r="A543" s="1059"/>
      <c r="B543" s="1059"/>
      <c r="C543" s="1059"/>
      <c r="D543" s="1059"/>
      <c r="E543" s="1059"/>
      <c r="F543" s="1059"/>
      <c r="G543" s="1059"/>
      <c r="H543" s="1059"/>
      <c r="I543" s="1059"/>
      <c r="J543" s="1059"/>
      <c r="K543" s="1059"/>
      <c r="L543" s="1059"/>
      <c r="M543" s="1059"/>
      <c r="N543" s="1059"/>
      <c r="O543" s="1059"/>
      <c r="P543" s="1059"/>
      <c r="Q543" s="1059"/>
      <c r="R543" s="1059"/>
      <c r="S543" s="1059"/>
      <c r="T543" s="1059"/>
      <c r="U543" s="1059"/>
      <c r="V543" s="1059"/>
      <c r="W543" s="1059"/>
      <c r="X543" s="1059"/>
      <c r="Y543" s="1059"/>
      <c r="Z543" s="1059"/>
    </row>
    <row r="544" spans="1:26" ht="12.75" customHeight="1">
      <c r="A544" s="1059"/>
      <c r="B544" s="1059"/>
      <c r="C544" s="1059"/>
      <c r="D544" s="1059"/>
      <c r="E544" s="1059"/>
      <c r="F544" s="1059"/>
      <c r="G544" s="1059"/>
      <c r="H544" s="1059"/>
      <c r="I544" s="1059"/>
      <c r="J544" s="1059"/>
      <c r="K544" s="1059"/>
      <c r="L544" s="1059"/>
      <c r="M544" s="1059"/>
      <c r="N544" s="1059"/>
      <c r="O544" s="1059"/>
      <c r="P544" s="1059"/>
      <c r="Q544" s="1059"/>
      <c r="R544" s="1059"/>
      <c r="S544" s="1059"/>
      <c r="T544" s="1059"/>
      <c r="U544" s="1059"/>
      <c r="V544" s="1059"/>
      <c r="W544" s="1059"/>
      <c r="X544" s="1059"/>
      <c r="Y544" s="1059"/>
      <c r="Z544" s="1059"/>
    </row>
    <row r="545" spans="1:26" ht="12.75" customHeight="1">
      <c r="A545" s="1059"/>
      <c r="B545" s="1059"/>
      <c r="C545" s="1059"/>
      <c r="D545" s="1059"/>
      <c r="E545" s="1059"/>
      <c r="F545" s="1059"/>
      <c r="G545" s="1059"/>
      <c r="H545" s="1059"/>
      <c r="I545" s="1059"/>
      <c r="J545" s="1059"/>
      <c r="K545" s="1059"/>
      <c r="L545" s="1059"/>
      <c r="M545" s="1059"/>
      <c r="N545" s="1059"/>
      <c r="O545" s="1059"/>
      <c r="P545" s="1059"/>
      <c r="Q545" s="1059"/>
      <c r="R545" s="1059"/>
      <c r="S545" s="1059"/>
      <c r="T545" s="1059"/>
      <c r="U545" s="1059"/>
      <c r="V545" s="1059"/>
      <c r="W545" s="1059"/>
      <c r="X545" s="1059"/>
      <c r="Y545" s="1059"/>
      <c r="Z545" s="1059"/>
    </row>
    <row r="546" spans="1:26" ht="12.75" customHeight="1">
      <c r="A546" s="1059"/>
      <c r="B546" s="1059"/>
      <c r="C546" s="1059"/>
      <c r="D546" s="1059"/>
      <c r="E546" s="1059"/>
      <c r="F546" s="1059"/>
      <c r="G546" s="1059"/>
      <c r="H546" s="1059"/>
      <c r="I546" s="1059"/>
      <c r="J546" s="1059"/>
      <c r="K546" s="1059"/>
      <c r="L546" s="1059"/>
      <c r="M546" s="1059"/>
      <c r="N546" s="1059"/>
      <c r="O546" s="1059"/>
      <c r="P546" s="1059"/>
      <c r="Q546" s="1059"/>
      <c r="R546" s="1059"/>
      <c r="S546" s="1059"/>
      <c r="T546" s="1059"/>
      <c r="U546" s="1059"/>
      <c r="V546" s="1059"/>
      <c r="W546" s="1059"/>
      <c r="X546" s="1059"/>
      <c r="Y546" s="1059"/>
      <c r="Z546" s="1059"/>
    </row>
    <row r="547" spans="1:26" ht="12.75" customHeight="1">
      <c r="A547" s="1059"/>
      <c r="B547" s="1059"/>
      <c r="C547" s="1059"/>
      <c r="D547" s="1059"/>
      <c r="E547" s="1059"/>
      <c r="F547" s="1059"/>
      <c r="G547" s="1059"/>
      <c r="H547" s="1059"/>
      <c r="I547" s="1059"/>
      <c r="J547" s="1059"/>
      <c r="K547" s="1059"/>
      <c r="L547" s="1059"/>
      <c r="M547" s="1059"/>
      <c r="N547" s="1059"/>
      <c r="O547" s="1059"/>
      <c r="P547" s="1059"/>
      <c r="Q547" s="1059"/>
      <c r="R547" s="1059"/>
      <c r="S547" s="1059"/>
      <c r="T547" s="1059"/>
      <c r="U547" s="1059"/>
      <c r="V547" s="1059"/>
      <c r="W547" s="1059"/>
      <c r="X547" s="1059"/>
      <c r="Y547" s="1059"/>
      <c r="Z547" s="1059"/>
    </row>
    <row r="548" spans="1:26" ht="12.75" customHeight="1">
      <c r="A548" s="1059"/>
      <c r="B548" s="1059"/>
      <c r="C548" s="1059"/>
      <c r="D548" s="1059"/>
      <c r="E548" s="1059"/>
      <c r="F548" s="1059"/>
      <c r="G548" s="1059"/>
      <c r="H548" s="1059"/>
      <c r="I548" s="1059"/>
      <c r="J548" s="1059"/>
      <c r="K548" s="1059"/>
      <c r="L548" s="1059"/>
      <c r="M548" s="1059"/>
      <c r="N548" s="1059"/>
      <c r="O548" s="1059"/>
      <c r="P548" s="1059"/>
      <c r="Q548" s="1059"/>
      <c r="R548" s="1059"/>
      <c r="S548" s="1059"/>
      <c r="T548" s="1059"/>
      <c r="U548" s="1059"/>
      <c r="V548" s="1059"/>
      <c r="W548" s="1059"/>
      <c r="X548" s="1059"/>
      <c r="Y548" s="1059"/>
      <c r="Z548" s="1059"/>
    </row>
    <row r="549" spans="1:26" ht="12.75" customHeight="1">
      <c r="A549" s="1059"/>
      <c r="B549" s="1059"/>
      <c r="C549" s="1059"/>
      <c r="D549" s="1059"/>
      <c r="E549" s="1059"/>
      <c r="F549" s="1059"/>
      <c r="G549" s="1059"/>
      <c r="H549" s="1059"/>
      <c r="I549" s="1059"/>
      <c r="J549" s="1059"/>
      <c r="K549" s="1059"/>
      <c r="L549" s="1059"/>
      <c r="M549" s="1059"/>
      <c r="N549" s="1059"/>
      <c r="O549" s="1059"/>
      <c r="P549" s="1059"/>
      <c r="Q549" s="1059"/>
      <c r="R549" s="1059"/>
      <c r="S549" s="1059"/>
      <c r="T549" s="1059"/>
      <c r="U549" s="1059"/>
      <c r="V549" s="1059"/>
      <c r="W549" s="1059"/>
      <c r="X549" s="1059"/>
      <c r="Y549" s="1059"/>
      <c r="Z549" s="1059"/>
    </row>
    <row r="550" spans="1:26" ht="12.75" customHeight="1">
      <c r="A550" s="1059"/>
      <c r="B550" s="1059"/>
      <c r="C550" s="1059"/>
      <c r="D550" s="1059"/>
      <c r="E550" s="1059"/>
      <c r="F550" s="1059"/>
      <c r="G550" s="1059"/>
      <c r="H550" s="1059"/>
      <c r="I550" s="1059"/>
      <c r="J550" s="1059"/>
      <c r="K550" s="1059"/>
      <c r="L550" s="1059"/>
      <c r="M550" s="1059"/>
      <c r="N550" s="1059"/>
      <c r="O550" s="1059"/>
      <c r="P550" s="1059"/>
      <c r="Q550" s="1059"/>
      <c r="R550" s="1059"/>
      <c r="S550" s="1059"/>
      <c r="T550" s="1059"/>
      <c r="U550" s="1059"/>
      <c r="V550" s="1059"/>
      <c r="W550" s="1059"/>
      <c r="X550" s="1059"/>
      <c r="Y550" s="1059"/>
      <c r="Z550" s="1059"/>
    </row>
    <row r="551" spans="1:26" ht="12.75" customHeight="1">
      <c r="A551" s="1059"/>
      <c r="B551" s="1059"/>
      <c r="C551" s="1059"/>
      <c r="D551" s="1059"/>
      <c r="E551" s="1059"/>
      <c r="F551" s="1059"/>
      <c r="G551" s="1059"/>
      <c r="H551" s="1059"/>
      <c r="I551" s="1059"/>
      <c r="J551" s="1059"/>
      <c r="K551" s="1059"/>
      <c r="L551" s="1059"/>
      <c r="M551" s="1059"/>
      <c r="N551" s="1059"/>
      <c r="O551" s="1059"/>
      <c r="P551" s="1059"/>
      <c r="Q551" s="1059"/>
      <c r="R551" s="1059"/>
      <c r="S551" s="1059"/>
      <c r="T551" s="1059"/>
      <c r="U551" s="1059"/>
      <c r="V551" s="1059"/>
      <c r="W551" s="1059"/>
      <c r="X551" s="1059"/>
      <c r="Y551" s="1059"/>
      <c r="Z551" s="1059"/>
    </row>
    <row r="552" spans="1:26" ht="12.75" customHeight="1">
      <c r="A552" s="1059"/>
      <c r="B552" s="1059"/>
      <c r="C552" s="1059"/>
      <c r="D552" s="1059"/>
      <c r="E552" s="1059"/>
      <c r="F552" s="1059"/>
      <c r="G552" s="1059"/>
      <c r="H552" s="1059"/>
      <c r="I552" s="1059"/>
      <c r="J552" s="1059"/>
      <c r="K552" s="1059"/>
      <c r="L552" s="1059"/>
      <c r="M552" s="1059"/>
      <c r="N552" s="1059"/>
      <c r="O552" s="1059"/>
      <c r="P552" s="1059"/>
      <c r="Q552" s="1059"/>
      <c r="R552" s="1059"/>
      <c r="S552" s="1059"/>
      <c r="T552" s="1059"/>
      <c r="U552" s="1059"/>
      <c r="V552" s="1059"/>
      <c r="W552" s="1059"/>
      <c r="X552" s="1059"/>
      <c r="Y552" s="1059"/>
      <c r="Z552" s="1059"/>
    </row>
    <row r="553" spans="1:26" ht="12.75" customHeight="1">
      <c r="A553" s="1059"/>
      <c r="B553" s="1059"/>
      <c r="C553" s="1059"/>
      <c r="D553" s="1059"/>
      <c r="E553" s="1059"/>
      <c r="F553" s="1059"/>
      <c r="G553" s="1059"/>
      <c r="H553" s="1059"/>
      <c r="I553" s="1059"/>
      <c r="J553" s="1059"/>
      <c r="K553" s="1059"/>
      <c r="L553" s="1059"/>
      <c r="M553" s="1059"/>
      <c r="N553" s="1059"/>
      <c r="O553" s="1059"/>
      <c r="P553" s="1059"/>
      <c r="Q553" s="1059"/>
      <c r="R553" s="1059"/>
      <c r="S553" s="1059"/>
      <c r="T553" s="1059"/>
      <c r="U553" s="1059"/>
      <c r="V553" s="1059"/>
      <c r="W553" s="1059"/>
      <c r="X553" s="1059"/>
      <c r="Y553" s="1059"/>
      <c r="Z553" s="1059"/>
    </row>
    <row r="554" spans="1:26" ht="12.75" customHeight="1">
      <c r="A554" s="1059"/>
      <c r="B554" s="1059"/>
      <c r="C554" s="1059"/>
      <c r="D554" s="1059"/>
      <c r="E554" s="1059"/>
      <c r="F554" s="1059"/>
      <c r="G554" s="1059"/>
      <c r="H554" s="1059"/>
      <c r="I554" s="1059"/>
      <c r="J554" s="1059"/>
      <c r="K554" s="1059"/>
      <c r="L554" s="1059"/>
      <c r="M554" s="1059"/>
      <c r="N554" s="1059"/>
      <c r="O554" s="1059"/>
      <c r="P554" s="1059"/>
      <c r="Q554" s="1059"/>
      <c r="R554" s="1059"/>
      <c r="S554" s="1059"/>
      <c r="T554" s="1059"/>
      <c r="U554" s="1059"/>
      <c r="V554" s="1059"/>
      <c r="W554" s="1059"/>
      <c r="X554" s="1059"/>
      <c r="Y554" s="1059"/>
      <c r="Z554" s="1059"/>
    </row>
    <row r="555" spans="1:26" ht="12.75" customHeight="1">
      <c r="A555" s="1059"/>
      <c r="B555" s="1059"/>
      <c r="C555" s="1059"/>
      <c r="D555" s="1059"/>
      <c r="E555" s="1059"/>
      <c r="F555" s="1059"/>
      <c r="G555" s="1059"/>
      <c r="H555" s="1059"/>
      <c r="I555" s="1059"/>
      <c r="J555" s="1059"/>
      <c r="K555" s="1059"/>
      <c r="L555" s="1059"/>
      <c r="M555" s="1059"/>
      <c r="N555" s="1059"/>
      <c r="O555" s="1059"/>
      <c r="P555" s="1059"/>
      <c r="Q555" s="1059"/>
      <c r="R555" s="1059"/>
      <c r="S555" s="1059"/>
      <c r="T555" s="1059"/>
      <c r="U555" s="1059"/>
      <c r="V555" s="1059"/>
      <c r="W555" s="1059"/>
      <c r="X555" s="1059"/>
      <c r="Y555" s="1059"/>
      <c r="Z555" s="1059"/>
    </row>
    <row r="556" spans="1:26" ht="12.75" customHeight="1">
      <c r="A556" s="1059"/>
      <c r="B556" s="1059"/>
      <c r="C556" s="1059"/>
      <c r="D556" s="1059"/>
      <c r="E556" s="1059"/>
      <c r="F556" s="1059"/>
      <c r="G556" s="1059"/>
      <c r="H556" s="1059"/>
      <c r="I556" s="1059"/>
      <c r="J556" s="1059"/>
      <c r="K556" s="1059"/>
      <c r="L556" s="1059"/>
      <c r="M556" s="1059"/>
      <c r="N556" s="1059"/>
      <c r="O556" s="1059"/>
      <c r="P556" s="1059"/>
      <c r="Q556" s="1059"/>
      <c r="R556" s="1059"/>
      <c r="S556" s="1059"/>
      <c r="T556" s="1059"/>
      <c r="U556" s="1059"/>
      <c r="V556" s="1059"/>
      <c r="W556" s="1059"/>
      <c r="X556" s="1059"/>
      <c r="Y556" s="1059"/>
      <c r="Z556" s="1059"/>
    </row>
    <row r="557" spans="1:26" ht="12.75" customHeight="1">
      <c r="A557" s="1059"/>
      <c r="B557" s="1059"/>
      <c r="C557" s="1059"/>
      <c r="D557" s="1059"/>
      <c r="E557" s="1059"/>
      <c r="F557" s="1059"/>
      <c r="G557" s="1059"/>
      <c r="H557" s="1059"/>
      <c r="I557" s="1059"/>
      <c r="J557" s="1059"/>
      <c r="K557" s="1059"/>
      <c r="L557" s="1059"/>
      <c r="M557" s="1059"/>
      <c r="N557" s="1059"/>
      <c r="O557" s="1059"/>
      <c r="P557" s="1059"/>
      <c r="Q557" s="1059"/>
      <c r="R557" s="1059"/>
      <c r="S557" s="1059"/>
      <c r="T557" s="1059"/>
      <c r="U557" s="1059"/>
      <c r="V557" s="1059"/>
      <c r="W557" s="1059"/>
      <c r="X557" s="1059"/>
      <c r="Y557" s="1059"/>
      <c r="Z557" s="1059"/>
    </row>
    <row r="558" spans="1:26" ht="12.75" customHeight="1">
      <c r="A558" s="1059"/>
      <c r="B558" s="1059"/>
      <c r="C558" s="1059"/>
      <c r="D558" s="1059"/>
      <c r="E558" s="1059"/>
      <c r="F558" s="1059"/>
      <c r="G558" s="1059"/>
      <c r="H558" s="1059"/>
      <c r="I558" s="1059"/>
      <c r="J558" s="1059"/>
      <c r="K558" s="1059"/>
      <c r="L558" s="1059"/>
      <c r="M558" s="1059"/>
      <c r="N558" s="1059"/>
      <c r="O558" s="1059"/>
      <c r="P558" s="1059"/>
      <c r="Q558" s="1059"/>
      <c r="R558" s="1059"/>
      <c r="S558" s="1059"/>
      <c r="T558" s="1059"/>
      <c r="U558" s="1059"/>
      <c r="V558" s="1059"/>
      <c r="W558" s="1059"/>
      <c r="X558" s="1059"/>
      <c r="Y558" s="1059"/>
      <c r="Z558" s="1059"/>
    </row>
    <row r="559" spans="1:26" ht="12.75" customHeight="1">
      <c r="A559" s="1059"/>
      <c r="B559" s="1059"/>
      <c r="C559" s="1059"/>
      <c r="D559" s="1059"/>
      <c r="E559" s="1059"/>
      <c r="F559" s="1059"/>
      <c r="G559" s="1059"/>
      <c r="H559" s="1059"/>
      <c r="I559" s="1059"/>
      <c r="J559" s="1059"/>
      <c r="K559" s="1059"/>
      <c r="L559" s="1059"/>
      <c r="M559" s="1059"/>
      <c r="N559" s="1059"/>
      <c r="O559" s="1059"/>
      <c r="P559" s="1059"/>
      <c r="Q559" s="1059"/>
      <c r="R559" s="1059"/>
      <c r="S559" s="1059"/>
      <c r="T559" s="1059"/>
      <c r="U559" s="1059"/>
      <c r="V559" s="1059"/>
      <c r="W559" s="1059"/>
      <c r="X559" s="1059"/>
      <c r="Y559" s="1059"/>
      <c r="Z559" s="1059"/>
    </row>
    <row r="560" spans="1:26" ht="12.75" customHeight="1">
      <c r="A560" s="1059"/>
      <c r="B560" s="1059"/>
      <c r="C560" s="1059"/>
      <c r="D560" s="1059"/>
      <c r="E560" s="1059"/>
      <c r="F560" s="1059"/>
      <c r="G560" s="1059"/>
      <c r="H560" s="1059"/>
      <c r="I560" s="1059"/>
      <c r="J560" s="1059"/>
      <c r="K560" s="1059"/>
      <c r="L560" s="1059"/>
      <c r="M560" s="1059"/>
      <c r="N560" s="1059"/>
      <c r="O560" s="1059"/>
      <c r="P560" s="1059"/>
      <c r="Q560" s="1059"/>
      <c r="R560" s="1059"/>
      <c r="S560" s="1059"/>
      <c r="T560" s="1059"/>
      <c r="U560" s="1059"/>
      <c r="V560" s="1059"/>
      <c r="W560" s="1059"/>
      <c r="X560" s="1059"/>
      <c r="Y560" s="1059"/>
      <c r="Z560" s="1059"/>
    </row>
    <row r="561" spans="1:26" ht="12.75" customHeight="1">
      <c r="A561" s="1059"/>
      <c r="B561" s="1059"/>
      <c r="C561" s="1059"/>
      <c r="D561" s="1059"/>
      <c r="E561" s="1059"/>
      <c r="F561" s="1059"/>
      <c r="G561" s="1059"/>
      <c r="H561" s="1059"/>
      <c r="I561" s="1059"/>
      <c r="J561" s="1059"/>
      <c r="K561" s="1059"/>
      <c r="L561" s="1059"/>
      <c r="M561" s="1059"/>
      <c r="N561" s="1059"/>
      <c r="O561" s="1059"/>
      <c r="P561" s="1059"/>
      <c r="Q561" s="1059"/>
      <c r="R561" s="1059"/>
      <c r="S561" s="1059"/>
      <c r="T561" s="1059"/>
      <c r="U561" s="1059"/>
      <c r="V561" s="1059"/>
      <c r="W561" s="1059"/>
      <c r="X561" s="1059"/>
      <c r="Y561" s="1059"/>
      <c r="Z561" s="1059"/>
    </row>
    <row r="562" spans="1:26" ht="12.75" customHeight="1">
      <c r="A562" s="1059"/>
      <c r="B562" s="1059"/>
      <c r="C562" s="1059"/>
      <c r="D562" s="1059"/>
      <c r="E562" s="1059"/>
      <c r="F562" s="1059"/>
      <c r="G562" s="1059"/>
      <c r="H562" s="1059"/>
      <c r="I562" s="1059"/>
      <c r="J562" s="1059"/>
      <c r="K562" s="1059"/>
      <c r="L562" s="1059"/>
      <c r="M562" s="1059"/>
      <c r="N562" s="1059"/>
      <c r="O562" s="1059"/>
      <c r="P562" s="1059"/>
      <c r="Q562" s="1059"/>
      <c r="R562" s="1059"/>
      <c r="S562" s="1059"/>
      <c r="T562" s="1059"/>
      <c r="U562" s="1059"/>
      <c r="V562" s="1059"/>
      <c r="W562" s="1059"/>
      <c r="X562" s="1059"/>
      <c r="Y562" s="1059"/>
      <c r="Z562" s="1059"/>
    </row>
    <row r="563" spans="1:26" ht="12.75" customHeight="1">
      <c r="A563" s="1059"/>
      <c r="B563" s="1059"/>
      <c r="C563" s="1059"/>
      <c r="D563" s="1059"/>
      <c r="E563" s="1059"/>
      <c r="F563" s="1059"/>
      <c r="G563" s="1059"/>
      <c r="H563" s="1059"/>
      <c r="I563" s="1059"/>
      <c r="J563" s="1059"/>
      <c r="K563" s="1059"/>
      <c r="L563" s="1059"/>
      <c r="M563" s="1059"/>
      <c r="N563" s="1059"/>
      <c r="O563" s="1059"/>
      <c r="P563" s="1059"/>
      <c r="Q563" s="1059"/>
      <c r="R563" s="1059"/>
      <c r="S563" s="1059"/>
      <c r="T563" s="1059"/>
      <c r="U563" s="1059"/>
      <c r="V563" s="1059"/>
      <c r="W563" s="1059"/>
      <c r="X563" s="1059"/>
      <c r="Y563" s="1059"/>
      <c r="Z563" s="1059"/>
    </row>
    <row r="564" spans="1:26" ht="12.75" customHeight="1">
      <c r="A564" s="1059"/>
      <c r="B564" s="1059"/>
      <c r="C564" s="1059"/>
      <c r="D564" s="1059"/>
      <c r="E564" s="1059"/>
      <c r="F564" s="1059"/>
      <c r="G564" s="1059"/>
      <c r="H564" s="1059"/>
      <c r="I564" s="1059"/>
      <c r="J564" s="1059"/>
      <c r="K564" s="1059"/>
      <c r="L564" s="1059"/>
      <c r="M564" s="1059"/>
      <c r="N564" s="1059"/>
      <c r="O564" s="1059"/>
      <c r="P564" s="1059"/>
      <c r="Q564" s="1059"/>
      <c r="R564" s="1059"/>
      <c r="S564" s="1059"/>
      <c r="T564" s="1059"/>
      <c r="U564" s="1059"/>
      <c r="V564" s="1059"/>
      <c r="W564" s="1059"/>
      <c r="X564" s="1059"/>
      <c r="Y564" s="1059"/>
      <c r="Z564" s="1059"/>
    </row>
    <row r="565" spans="1:26" ht="12.75" customHeight="1">
      <c r="A565" s="1059"/>
      <c r="B565" s="1059"/>
      <c r="C565" s="1059"/>
      <c r="D565" s="1059"/>
      <c r="E565" s="1059"/>
      <c r="F565" s="1059"/>
      <c r="G565" s="1059"/>
      <c r="H565" s="1059"/>
      <c r="I565" s="1059"/>
      <c r="J565" s="1059"/>
      <c r="K565" s="1059"/>
      <c r="L565" s="1059"/>
      <c r="M565" s="1059"/>
      <c r="N565" s="1059"/>
      <c r="O565" s="1059"/>
      <c r="P565" s="1059"/>
      <c r="Q565" s="1059"/>
      <c r="R565" s="1059"/>
      <c r="S565" s="1059"/>
      <c r="T565" s="1059"/>
      <c r="U565" s="1059"/>
      <c r="V565" s="1059"/>
      <c r="W565" s="1059"/>
      <c r="X565" s="1059"/>
      <c r="Y565" s="1059"/>
      <c r="Z565" s="1059"/>
    </row>
    <row r="566" spans="1:26" ht="12.75" customHeight="1">
      <c r="A566" s="1059"/>
      <c r="B566" s="1059"/>
      <c r="C566" s="1059"/>
      <c r="D566" s="1059"/>
      <c r="E566" s="1059"/>
      <c r="F566" s="1059"/>
      <c r="G566" s="1059"/>
      <c r="H566" s="1059"/>
      <c r="I566" s="1059"/>
      <c r="J566" s="1059"/>
      <c r="K566" s="1059"/>
      <c r="L566" s="1059"/>
      <c r="M566" s="1059"/>
      <c r="N566" s="1059"/>
      <c r="O566" s="1059"/>
      <c r="P566" s="1059"/>
      <c r="Q566" s="1059"/>
      <c r="R566" s="1059"/>
      <c r="S566" s="1059"/>
      <c r="T566" s="1059"/>
      <c r="U566" s="1059"/>
      <c r="V566" s="1059"/>
      <c r="W566" s="1059"/>
      <c r="X566" s="1059"/>
      <c r="Y566" s="1059"/>
      <c r="Z566" s="1059"/>
    </row>
    <row r="567" spans="1:26" ht="12.75" customHeight="1">
      <c r="A567" s="1059"/>
      <c r="B567" s="1059"/>
      <c r="C567" s="1059"/>
      <c r="D567" s="1059"/>
      <c r="E567" s="1059"/>
      <c r="F567" s="1059"/>
      <c r="G567" s="1059"/>
      <c r="H567" s="1059"/>
      <c r="I567" s="1059"/>
      <c r="J567" s="1059"/>
      <c r="K567" s="1059"/>
      <c r="L567" s="1059"/>
      <c r="M567" s="1059"/>
      <c r="N567" s="1059"/>
      <c r="O567" s="1059"/>
      <c r="P567" s="1059"/>
      <c r="Q567" s="1059"/>
      <c r="R567" s="1059"/>
      <c r="S567" s="1059"/>
      <c r="T567" s="1059"/>
      <c r="U567" s="1059"/>
      <c r="V567" s="1059"/>
      <c r="W567" s="1059"/>
      <c r="X567" s="1059"/>
      <c r="Y567" s="1059"/>
      <c r="Z567" s="1059"/>
    </row>
    <row r="568" spans="1:26" ht="12.75" customHeight="1">
      <c r="A568" s="1059"/>
      <c r="B568" s="1059"/>
      <c r="C568" s="1059"/>
      <c r="D568" s="1059"/>
      <c r="E568" s="1059"/>
      <c r="F568" s="1059"/>
      <c r="G568" s="1059"/>
      <c r="H568" s="1059"/>
      <c r="I568" s="1059"/>
      <c r="J568" s="1059"/>
      <c r="K568" s="1059"/>
      <c r="L568" s="1059"/>
      <c r="M568" s="1059"/>
      <c r="N568" s="1059"/>
      <c r="O568" s="1059"/>
      <c r="P568" s="1059"/>
      <c r="Q568" s="1059"/>
      <c r="R568" s="1059"/>
      <c r="S568" s="1059"/>
      <c r="T568" s="1059"/>
      <c r="U568" s="1059"/>
      <c r="V568" s="1059"/>
      <c r="W568" s="1059"/>
      <c r="X568" s="1059"/>
      <c r="Y568" s="1059"/>
      <c r="Z568" s="1059"/>
    </row>
    <row r="569" spans="1:26" ht="12.75" customHeight="1">
      <c r="A569" s="1059"/>
      <c r="B569" s="1059"/>
      <c r="C569" s="1059"/>
      <c r="D569" s="1059"/>
      <c r="E569" s="1059"/>
      <c r="F569" s="1059"/>
      <c r="G569" s="1059"/>
      <c r="H569" s="1059"/>
      <c r="I569" s="1059"/>
      <c r="J569" s="1059"/>
      <c r="K569" s="1059"/>
      <c r="L569" s="1059"/>
      <c r="M569" s="1059"/>
      <c r="N569" s="1059"/>
      <c r="O569" s="1059"/>
      <c r="P569" s="1059"/>
      <c r="Q569" s="1059"/>
      <c r="R569" s="1059"/>
      <c r="S569" s="1059"/>
      <c r="T569" s="1059"/>
      <c r="U569" s="1059"/>
      <c r="V569" s="1059"/>
      <c r="W569" s="1059"/>
      <c r="X569" s="1059"/>
      <c r="Y569" s="1059"/>
      <c r="Z569" s="1059"/>
    </row>
    <row r="570" spans="1:26" ht="12.75" customHeight="1">
      <c r="A570" s="1059"/>
      <c r="B570" s="1059"/>
      <c r="C570" s="1059"/>
      <c r="D570" s="1059"/>
      <c r="E570" s="1059"/>
      <c r="F570" s="1059"/>
      <c r="G570" s="1059"/>
      <c r="H570" s="1059"/>
      <c r="I570" s="1059"/>
      <c r="J570" s="1059"/>
      <c r="K570" s="1059"/>
      <c r="L570" s="1059"/>
      <c r="M570" s="1059"/>
      <c r="N570" s="1059"/>
      <c r="O570" s="1059"/>
      <c r="P570" s="1059"/>
      <c r="Q570" s="1059"/>
      <c r="R570" s="1059"/>
      <c r="S570" s="1059"/>
      <c r="T570" s="1059"/>
      <c r="U570" s="1059"/>
      <c r="V570" s="1059"/>
      <c r="W570" s="1059"/>
      <c r="X570" s="1059"/>
      <c r="Y570" s="1059"/>
      <c r="Z570" s="1059"/>
    </row>
    <row r="571" spans="1:26" ht="12.75" customHeight="1">
      <c r="A571" s="1059"/>
      <c r="B571" s="1059"/>
      <c r="C571" s="1059"/>
      <c r="D571" s="1059"/>
      <c r="E571" s="1059"/>
      <c r="F571" s="1059"/>
      <c r="G571" s="1059"/>
      <c r="H571" s="1059"/>
      <c r="I571" s="1059"/>
      <c r="J571" s="1059"/>
      <c r="K571" s="1059"/>
      <c r="L571" s="1059"/>
      <c r="M571" s="1059"/>
      <c r="N571" s="1059"/>
      <c r="O571" s="1059"/>
      <c r="P571" s="1059"/>
      <c r="Q571" s="1059"/>
      <c r="R571" s="1059"/>
      <c r="S571" s="1059"/>
      <c r="T571" s="1059"/>
      <c r="U571" s="1059"/>
      <c r="V571" s="1059"/>
      <c r="W571" s="1059"/>
      <c r="X571" s="1059"/>
      <c r="Y571" s="1059"/>
      <c r="Z571" s="1059"/>
    </row>
    <row r="572" spans="1:26" ht="12.75" customHeight="1">
      <c r="A572" s="1059"/>
      <c r="B572" s="1059"/>
      <c r="C572" s="1059"/>
      <c r="D572" s="1059"/>
      <c r="E572" s="1059"/>
      <c r="F572" s="1059"/>
      <c r="G572" s="1059"/>
      <c r="H572" s="1059"/>
      <c r="I572" s="1059"/>
      <c r="J572" s="1059"/>
      <c r="K572" s="1059"/>
      <c r="L572" s="1059"/>
      <c r="M572" s="1059"/>
      <c r="N572" s="1059"/>
      <c r="O572" s="1059"/>
      <c r="P572" s="1059"/>
      <c r="Q572" s="1059"/>
      <c r="R572" s="1059"/>
      <c r="S572" s="1059"/>
      <c r="T572" s="1059"/>
      <c r="U572" s="1059"/>
      <c r="V572" s="1059"/>
      <c r="W572" s="1059"/>
      <c r="X572" s="1059"/>
      <c r="Y572" s="1059"/>
      <c r="Z572" s="1059"/>
    </row>
    <row r="573" spans="1:26" ht="12.75" customHeight="1">
      <c r="A573" s="1059"/>
      <c r="B573" s="1059"/>
      <c r="C573" s="1059"/>
      <c r="D573" s="1059"/>
      <c r="E573" s="1059"/>
      <c r="F573" s="1059"/>
      <c r="G573" s="1059"/>
      <c r="H573" s="1059"/>
      <c r="I573" s="1059"/>
      <c r="J573" s="1059"/>
      <c r="K573" s="1059"/>
      <c r="L573" s="1059"/>
      <c r="M573" s="1059"/>
      <c r="N573" s="1059"/>
      <c r="O573" s="1059"/>
      <c r="P573" s="1059"/>
      <c r="Q573" s="1059"/>
      <c r="R573" s="1059"/>
      <c r="S573" s="1059"/>
      <c r="T573" s="1059"/>
      <c r="U573" s="1059"/>
      <c r="V573" s="1059"/>
      <c r="W573" s="1059"/>
      <c r="X573" s="1059"/>
      <c r="Y573" s="1059"/>
      <c r="Z573" s="1059"/>
    </row>
    <row r="574" spans="1:26" ht="12.75" customHeight="1">
      <c r="A574" s="1059"/>
      <c r="B574" s="1059"/>
      <c r="C574" s="1059"/>
      <c r="D574" s="1059"/>
      <c r="E574" s="1059"/>
      <c r="F574" s="1059"/>
      <c r="G574" s="1059"/>
      <c r="H574" s="1059"/>
      <c r="I574" s="1059"/>
      <c r="J574" s="1059"/>
      <c r="K574" s="1059"/>
      <c r="L574" s="1059"/>
      <c r="M574" s="1059"/>
      <c r="N574" s="1059"/>
      <c r="O574" s="1059"/>
      <c r="P574" s="1059"/>
      <c r="Q574" s="1059"/>
      <c r="R574" s="1059"/>
      <c r="S574" s="1059"/>
      <c r="T574" s="1059"/>
      <c r="U574" s="1059"/>
      <c r="V574" s="1059"/>
      <c r="W574" s="1059"/>
      <c r="X574" s="1059"/>
      <c r="Y574" s="1059"/>
      <c r="Z574" s="1059"/>
    </row>
    <row r="575" spans="1:26" ht="12.75" customHeight="1">
      <c r="A575" s="1059"/>
      <c r="B575" s="1059"/>
      <c r="C575" s="1059"/>
      <c r="D575" s="1059"/>
      <c r="E575" s="1059"/>
      <c r="F575" s="1059"/>
      <c r="G575" s="1059"/>
      <c r="H575" s="1059"/>
      <c r="I575" s="1059"/>
      <c r="J575" s="1059"/>
      <c r="K575" s="1059"/>
      <c r="L575" s="1059"/>
      <c r="M575" s="1059"/>
      <c r="N575" s="1059"/>
      <c r="O575" s="1059"/>
      <c r="P575" s="1059"/>
      <c r="Q575" s="1059"/>
      <c r="R575" s="1059"/>
      <c r="S575" s="1059"/>
      <c r="T575" s="1059"/>
      <c r="U575" s="1059"/>
      <c r="V575" s="1059"/>
      <c r="W575" s="1059"/>
      <c r="X575" s="1059"/>
      <c r="Y575" s="1059"/>
      <c r="Z575" s="1059"/>
    </row>
    <row r="576" spans="1:26" ht="12.75" customHeight="1">
      <c r="A576" s="1059"/>
      <c r="B576" s="1059"/>
      <c r="C576" s="1059"/>
      <c r="D576" s="1059"/>
      <c r="E576" s="1059"/>
      <c r="F576" s="1059"/>
      <c r="G576" s="1059"/>
      <c r="H576" s="1059"/>
      <c r="I576" s="1059"/>
      <c r="J576" s="1059"/>
      <c r="K576" s="1059"/>
      <c r="L576" s="1059"/>
      <c r="M576" s="1059"/>
      <c r="N576" s="1059"/>
      <c r="O576" s="1059"/>
      <c r="P576" s="1059"/>
      <c r="Q576" s="1059"/>
      <c r="R576" s="1059"/>
      <c r="S576" s="1059"/>
      <c r="T576" s="1059"/>
      <c r="U576" s="1059"/>
      <c r="V576" s="1059"/>
      <c r="W576" s="1059"/>
      <c r="X576" s="1059"/>
      <c r="Y576" s="1059"/>
      <c r="Z576" s="1059"/>
    </row>
    <row r="577" spans="1:26" ht="12.75" customHeight="1">
      <c r="A577" s="1059"/>
      <c r="B577" s="1059"/>
      <c r="C577" s="1059"/>
      <c r="D577" s="1059"/>
      <c r="E577" s="1059"/>
      <c r="F577" s="1059"/>
      <c r="G577" s="1059"/>
      <c r="H577" s="1059"/>
      <c r="I577" s="1059"/>
      <c r="J577" s="1059"/>
      <c r="K577" s="1059"/>
      <c r="L577" s="1059"/>
      <c r="M577" s="1059"/>
      <c r="N577" s="1059"/>
      <c r="O577" s="1059"/>
      <c r="P577" s="1059"/>
      <c r="Q577" s="1059"/>
      <c r="R577" s="1059"/>
      <c r="S577" s="1059"/>
      <c r="T577" s="1059"/>
      <c r="U577" s="1059"/>
      <c r="V577" s="1059"/>
      <c r="W577" s="1059"/>
      <c r="X577" s="1059"/>
      <c r="Y577" s="1059"/>
      <c r="Z577" s="1059"/>
    </row>
    <row r="578" spans="1:26" ht="12.75" customHeight="1">
      <c r="A578" s="1059"/>
      <c r="B578" s="1059"/>
      <c r="C578" s="1059"/>
      <c r="D578" s="1059"/>
      <c r="E578" s="1059"/>
      <c r="F578" s="1059"/>
      <c r="G578" s="1059"/>
      <c r="H578" s="1059"/>
      <c r="I578" s="1059"/>
      <c r="J578" s="1059"/>
      <c r="K578" s="1059"/>
      <c r="L578" s="1059"/>
      <c r="M578" s="1059"/>
      <c r="N578" s="1059"/>
      <c r="O578" s="1059"/>
      <c r="P578" s="1059"/>
      <c r="Q578" s="1059"/>
      <c r="R578" s="1059"/>
      <c r="S578" s="1059"/>
      <c r="T578" s="1059"/>
      <c r="U578" s="1059"/>
      <c r="V578" s="1059"/>
      <c r="W578" s="1059"/>
      <c r="X578" s="1059"/>
      <c r="Y578" s="1059"/>
      <c r="Z578" s="1059"/>
    </row>
    <row r="579" spans="1:26" ht="12.75" customHeight="1">
      <c r="A579" s="1059"/>
      <c r="B579" s="1059"/>
      <c r="C579" s="1059"/>
      <c r="D579" s="1059"/>
      <c r="E579" s="1059"/>
      <c r="F579" s="1059"/>
      <c r="G579" s="1059"/>
      <c r="H579" s="1059"/>
      <c r="I579" s="1059"/>
      <c r="J579" s="1059"/>
      <c r="K579" s="1059"/>
      <c r="L579" s="1059"/>
      <c r="M579" s="1059"/>
      <c r="N579" s="1059"/>
      <c r="O579" s="1059"/>
      <c r="P579" s="1059"/>
      <c r="Q579" s="1059"/>
      <c r="R579" s="1059"/>
      <c r="S579" s="1059"/>
      <c r="T579" s="1059"/>
      <c r="U579" s="1059"/>
      <c r="V579" s="1059"/>
      <c r="W579" s="1059"/>
      <c r="X579" s="1059"/>
      <c r="Y579" s="1059"/>
      <c r="Z579" s="1059"/>
    </row>
    <row r="580" spans="1:26" ht="12.75" customHeight="1">
      <c r="A580" s="1059"/>
      <c r="B580" s="1059"/>
      <c r="C580" s="1059"/>
      <c r="D580" s="1059"/>
      <c r="E580" s="1059"/>
      <c r="F580" s="1059"/>
      <c r="G580" s="1059"/>
      <c r="H580" s="1059"/>
      <c r="I580" s="1059"/>
      <c r="J580" s="1059"/>
      <c r="K580" s="1059"/>
      <c r="L580" s="1059"/>
      <c r="M580" s="1059"/>
      <c r="N580" s="1059"/>
      <c r="O580" s="1059"/>
      <c r="P580" s="1059"/>
      <c r="Q580" s="1059"/>
      <c r="R580" s="1059"/>
      <c r="S580" s="1059"/>
      <c r="T580" s="1059"/>
      <c r="U580" s="1059"/>
      <c r="V580" s="1059"/>
      <c r="W580" s="1059"/>
      <c r="X580" s="1059"/>
      <c r="Y580" s="1059"/>
      <c r="Z580" s="1059"/>
    </row>
    <row r="581" spans="1:26" ht="12.75" customHeight="1">
      <c r="A581" s="1059"/>
      <c r="B581" s="1059"/>
      <c r="C581" s="1059"/>
      <c r="D581" s="1059"/>
      <c r="E581" s="1059"/>
      <c r="F581" s="1059"/>
      <c r="G581" s="1059"/>
      <c r="H581" s="1059"/>
      <c r="I581" s="1059"/>
      <c r="J581" s="1059"/>
      <c r="K581" s="1059"/>
      <c r="L581" s="1059"/>
      <c r="M581" s="1059"/>
      <c r="N581" s="1059"/>
      <c r="O581" s="1059"/>
      <c r="P581" s="1059"/>
      <c r="Q581" s="1059"/>
      <c r="R581" s="1059"/>
      <c r="S581" s="1059"/>
      <c r="T581" s="1059"/>
      <c r="U581" s="1059"/>
      <c r="V581" s="1059"/>
      <c r="W581" s="1059"/>
      <c r="X581" s="1059"/>
      <c r="Y581" s="1059"/>
      <c r="Z581" s="1059"/>
    </row>
    <row r="582" spans="1:26" ht="12.75" customHeight="1">
      <c r="A582" s="1059"/>
      <c r="B582" s="1059"/>
      <c r="C582" s="1059"/>
      <c r="D582" s="1059"/>
      <c r="E582" s="1059"/>
      <c r="F582" s="1059"/>
      <c r="G582" s="1059"/>
      <c r="H582" s="1059"/>
      <c r="I582" s="1059"/>
      <c r="J582" s="1059"/>
      <c r="K582" s="1059"/>
      <c r="L582" s="1059"/>
      <c r="M582" s="1059"/>
      <c r="N582" s="1059"/>
      <c r="O582" s="1059"/>
      <c r="P582" s="1059"/>
      <c r="Q582" s="1059"/>
      <c r="R582" s="1059"/>
      <c r="S582" s="1059"/>
      <c r="T582" s="1059"/>
      <c r="U582" s="1059"/>
      <c r="V582" s="1059"/>
      <c r="W582" s="1059"/>
      <c r="X582" s="1059"/>
      <c r="Y582" s="1059"/>
      <c r="Z582" s="1059"/>
    </row>
    <row r="583" spans="1:26" ht="12.75" customHeight="1">
      <c r="A583" s="1059"/>
      <c r="B583" s="1059"/>
      <c r="C583" s="1059"/>
      <c r="D583" s="1059"/>
      <c r="E583" s="1059"/>
      <c r="F583" s="1059"/>
      <c r="G583" s="1059"/>
      <c r="H583" s="1059"/>
      <c r="I583" s="1059"/>
      <c r="J583" s="1059"/>
      <c r="K583" s="1059"/>
      <c r="L583" s="1059"/>
      <c r="M583" s="1059"/>
      <c r="N583" s="1059"/>
      <c r="O583" s="1059"/>
      <c r="P583" s="1059"/>
      <c r="Q583" s="1059"/>
      <c r="R583" s="1059"/>
      <c r="S583" s="1059"/>
      <c r="T583" s="1059"/>
      <c r="U583" s="1059"/>
      <c r="V583" s="1059"/>
      <c r="W583" s="1059"/>
      <c r="X583" s="1059"/>
      <c r="Y583" s="1059"/>
      <c r="Z583" s="1059"/>
    </row>
    <row r="584" spans="1:26" ht="12.75" customHeight="1">
      <c r="A584" s="1059"/>
      <c r="B584" s="1059"/>
      <c r="C584" s="1059"/>
      <c r="D584" s="1059"/>
      <c r="E584" s="1059"/>
      <c r="F584" s="1059"/>
      <c r="G584" s="1059"/>
      <c r="H584" s="1059"/>
      <c r="I584" s="1059"/>
      <c r="J584" s="1059"/>
      <c r="K584" s="1059"/>
      <c r="L584" s="1059"/>
      <c r="M584" s="1059"/>
      <c r="N584" s="1059"/>
      <c r="O584" s="1059"/>
      <c r="P584" s="1059"/>
      <c r="Q584" s="1059"/>
      <c r="R584" s="1059"/>
      <c r="S584" s="1059"/>
      <c r="T584" s="1059"/>
      <c r="U584" s="1059"/>
      <c r="V584" s="1059"/>
      <c r="W584" s="1059"/>
      <c r="X584" s="1059"/>
      <c r="Y584" s="1059"/>
      <c r="Z584" s="1059"/>
    </row>
    <row r="585" spans="1:26" ht="12.75" customHeight="1">
      <c r="A585" s="1059"/>
      <c r="B585" s="1059"/>
      <c r="C585" s="1059"/>
      <c r="D585" s="1059"/>
      <c r="E585" s="1059"/>
      <c r="F585" s="1059"/>
      <c r="G585" s="1059"/>
      <c r="H585" s="1059"/>
      <c r="I585" s="1059"/>
      <c r="J585" s="1059"/>
      <c r="K585" s="1059"/>
      <c r="L585" s="1059"/>
      <c r="M585" s="1059"/>
      <c r="N585" s="1059"/>
      <c r="O585" s="1059"/>
      <c r="P585" s="1059"/>
      <c r="Q585" s="1059"/>
      <c r="R585" s="1059"/>
      <c r="S585" s="1059"/>
      <c r="T585" s="1059"/>
      <c r="U585" s="1059"/>
      <c r="V585" s="1059"/>
      <c r="W585" s="1059"/>
      <c r="X585" s="1059"/>
      <c r="Y585" s="1059"/>
      <c r="Z585" s="1059"/>
    </row>
    <row r="586" spans="1:26" ht="12.75" customHeight="1">
      <c r="A586" s="1059"/>
      <c r="B586" s="1059"/>
      <c r="C586" s="1059"/>
      <c r="D586" s="1059"/>
      <c r="E586" s="1059"/>
      <c r="F586" s="1059"/>
      <c r="G586" s="1059"/>
      <c r="H586" s="1059"/>
      <c r="I586" s="1059"/>
      <c r="J586" s="1059"/>
      <c r="K586" s="1059"/>
      <c r="L586" s="1059"/>
      <c r="M586" s="1059"/>
      <c r="N586" s="1059"/>
      <c r="O586" s="1059"/>
      <c r="P586" s="1059"/>
      <c r="Q586" s="1059"/>
      <c r="R586" s="1059"/>
      <c r="S586" s="1059"/>
      <c r="T586" s="1059"/>
      <c r="U586" s="1059"/>
      <c r="V586" s="1059"/>
      <c r="W586" s="1059"/>
      <c r="X586" s="1059"/>
      <c r="Y586" s="1059"/>
      <c r="Z586" s="1059"/>
    </row>
    <row r="587" spans="1:26" ht="12.75" customHeight="1">
      <c r="A587" s="1059"/>
      <c r="B587" s="1059"/>
      <c r="C587" s="1059"/>
      <c r="D587" s="1059"/>
      <c r="E587" s="1059"/>
      <c r="F587" s="1059"/>
      <c r="G587" s="1059"/>
      <c r="H587" s="1059"/>
      <c r="I587" s="1059"/>
      <c r="J587" s="1059"/>
      <c r="K587" s="1059"/>
      <c r="L587" s="1059"/>
      <c r="M587" s="1059"/>
      <c r="N587" s="1059"/>
      <c r="O587" s="1059"/>
      <c r="P587" s="1059"/>
      <c r="Q587" s="1059"/>
      <c r="R587" s="1059"/>
      <c r="S587" s="1059"/>
      <c r="T587" s="1059"/>
      <c r="U587" s="1059"/>
      <c r="V587" s="1059"/>
      <c r="W587" s="1059"/>
      <c r="X587" s="1059"/>
      <c r="Y587" s="1059"/>
      <c r="Z587" s="1059"/>
    </row>
    <row r="588" spans="1:26" ht="12.75" customHeight="1">
      <c r="A588" s="1059"/>
      <c r="B588" s="1059"/>
      <c r="C588" s="1059"/>
      <c r="D588" s="1059"/>
      <c r="E588" s="1059"/>
      <c r="F588" s="1059"/>
      <c r="G588" s="1059"/>
      <c r="H588" s="1059"/>
      <c r="I588" s="1059"/>
      <c r="J588" s="1059"/>
      <c r="K588" s="1059"/>
      <c r="L588" s="1059"/>
      <c r="M588" s="1059"/>
      <c r="N588" s="1059"/>
      <c r="O588" s="1059"/>
      <c r="P588" s="1059"/>
      <c r="Q588" s="1059"/>
      <c r="R588" s="1059"/>
      <c r="S588" s="1059"/>
      <c r="T588" s="1059"/>
      <c r="U588" s="1059"/>
      <c r="V588" s="1059"/>
      <c r="W588" s="1059"/>
      <c r="X588" s="1059"/>
      <c r="Y588" s="1059"/>
      <c r="Z588" s="1059"/>
    </row>
    <row r="589" spans="1:26" ht="12.75" customHeight="1">
      <c r="A589" s="1059"/>
      <c r="B589" s="1059"/>
      <c r="C589" s="1059"/>
      <c r="D589" s="1059"/>
      <c r="E589" s="1059"/>
      <c r="F589" s="1059"/>
      <c r="G589" s="1059"/>
      <c r="H589" s="1059"/>
      <c r="I589" s="1059"/>
      <c r="J589" s="1059"/>
      <c r="K589" s="1059"/>
      <c r="L589" s="1059"/>
      <c r="M589" s="1059"/>
      <c r="N589" s="1059"/>
      <c r="O589" s="1059"/>
      <c r="P589" s="1059"/>
      <c r="Q589" s="1059"/>
      <c r="R589" s="1059"/>
      <c r="S589" s="1059"/>
      <c r="T589" s="1059"/>
      <c r="U589" s="1059"/>
      <c r="V589" s="1059"/>
      <c r="W589" s="1059"/>
      <c r="X589" s="1059"/>
      <c r="Y589" s="1059"/>
      <c r="Z589" s="1059"/>
    </row>
    <row r="590" spans="1:26" ht="12.75" customHeight="1">
      <c r="A590" s="1059"/>
      <c r="B590" s="1059"/>
      <c r="C590" s="1059"/>
      <c r="D590" s="1059"/>
      <c r="E590" s="1059"/>
      <c r="F590" s="1059"/>
      <c r="G590" s="1059"/>
      <c r="H590" s="1059"/>
      <c r="I590" s="1059"/>
      <c r="J590" s="1059"/>
      <c r="K590" s="1059"/>
      <c r="L590" s="1059"/>
      <c r="M590" s="1059"/>
      <c r="N590" s="1059"/>
      <c r="O590" s="1059"/>
      <c r="P590" s="1059"/>
      <c r="Q590" s="1059"/>
      <c r="R590" s="1059"/>
      <c r="S590" s="1059"/>
      <c r="T590" s="1059"/>
      <c r="U590" s="1059"/>
      <c r="V590" s="1059"/>
      <c r="W590" s="1059"/>
      <c r="X590" s="1059"/>
      <c r="Y590" s="1059"/>
      <c r="Z590" s="1059"/>
    </row>
    <row r="591" spans="1:26" ht="12.75" customHeight="1">
      <c r="A591" s="1059"/>
      <c r="B591" s="1059"/>
      <c r="C591" s="1059"/>
      <c r="D591" s="1059"/>
      <c r="E591" s="1059"/>
      <c r="F591" s="1059"/>
      <c r="G591" s="1059"/>
      <c r="H591" s="1059"/>
      <c r="I591" s="1059"/>
      <c r="J591" s="1059"/>
      <c r="K591" s="1059"/>
      <c r="L591" s="1059"/>
      <c r="M591" s="1059"/>
      <c r="N591" s="1059"/>
      <c r="O591" s="1059"/>
      <c r="P591" s="1059"/>
      <c r="Q591" s="1059"/>
      <c r="R591" s="1059"/>
      <c r="S591" s="1059"/>
      <c r="T591" s="1059"/>
      <c r="U591" s="1059"/>
      <c r="V591" s="1059"/>
      <c r="W591" s="1059"/>
      <c r="X591" s="1059"/>
      <c r="Y591" s="1059"/>
      <c r="Z591" s="1059"/>
    </row>
    <row r="592" spans="1:26" ht="12.75" customHeight="1">
      <c r="A592" s="1059"/>
      <c r="B592" s="1059"/>
      <c r="C592" s="1059"/>
      <c r="D592" s="1059"/>
      <c r="E592" s="1059"/>
      <c r="F592" s="1059"/>
      <c r="G592" s="1059"/>
      <c r="H592" s="1059"/>
      <c r="I592" s="1059"/>
      <c r="J592" s="1059"/>
      <c r="K592" s="1059"/>
      <c r="L592" s="1059"/>
      <c r="M592" s="1059"/>
      <c r="N592" s="1059"/>
      <c r="O592" s="1059"/>
      <c r="P592" s="1059"/>
      <c r="Q592" s="1059"/>
      <c r="R592" s="1059"/>
      <c r="S592" s="1059"/>
      <c r="T592" s="1059"/>
      <c r="U592" s="1059"/>
      <c r="V592" s="1059"/>
      <c r="W592" s="1059"/>
      <c r="X592" s="1059"/>
      <c r="Y592" s="1059"/>
      <c r="Z592" s="1059"/>
    </row>
    <row r="593" spans="1:26" ht="12.75" customHeight="1">
      <c r="A593" s="1059"/>
      <c r="B593" s="1059"/>
      <c r="C593" s="1059"/>
      <c r="D593" s="1059"/>
      <c r="E593" s="1059"/>
      <c r="F593" s="1059"/>
      <c r="G593" s="1059"/>
      <c r="H593" s="1059"/>
      <c r="I593" s="1059"/>
      <c r="J593" s="1059"/>
      <c r="K593" s="1059"/>
      <c r="L593" s="1059"/>
      <c r="M593" s="1059"/>
      <c r="N593" s="1059"/>
      <c r="O593" s="1059"/>
      <c r="P593" s="1059"/>
      <c r="Q593" s="1059"/>
      <c r="R593" s="1059"/>
      <c r="S593" s="1059"/>
      <c r="T593" s="1059"/>
      <c r="U593" s="1059"/>
      <c r="V593" s="1059"/>
      <c r="W593" s="1059"/>
      <c r="X593" s="1059"/>
      <c r="Y593" s="1059"/>
      <c r="Z593" s="1059"/>
    </row>
    <row r="594" spans="1:26" ht="12.75" customHeight="1">
      <c r="A594" s="1059"/>
      <c r="B594" s="1059"/>
      <c r="C594" s="1059"/>
      <c r="D594" s="1059"/>
      <c r="E594" s="1059"/>
      <c r="F594" s="1059"/>
      <c r="G594" s="1059"/>
      <c r="H594" s="1059"/>
      <c r="I594" s="1059"/>
      <c r="J594" s="1059"/>
      <c r="K594" s="1059"/>
      <c r="L594" s="1059"/>
      <c r="M594" s="1059"/>
      <c r="N594" s="1059"/>
      <c r="O594" s="1059"/>
      <c r="P594" s="1059"/>
      <c r="Q594" s="1059"/>
      <c r="R594" s="1059"/>
      <c r="S594" s="1059"/>
      <c r="T594" s="1059"/>
      <c r="U594" s="1059"/>
      <c r="V594" s="1059"/>
      <c r="W594" s="1059"/>
      <c r="X594" s="1059"/>
      <c r="Y594" s="1059"/>
      <c r="Z594" s="1059"/>
    </row>
    <row r="595" spans="1:26" ht="12.75" customHeight="1">
      <c r="A595" s="1059"/>
      <c r="B595" s="1059"/>
      <c r="C595" s="1059"/>
      <c r="D595" s="1059"/>
      <c r="E595" s="1059"/>
      <c r="F595" s="1059"/>
      <c r="G595" s="1059"/>
      <c r="H595" s="1059"/>
      <c r="I595" s="1059"/>
      <c r="J595" s="1059"/>
      <c r="K595" s="1059"/>
      <c r="L595" s="1059"/>
      <c r="M595" s="1059"/>
      <c r="N595" s="1059"/>
      <c r="O595" s="1059"/>
      <c r="P595" s="1059"/>
      <c r="Q595" s="1059"/>
      <c r="R595" s="1059"/>
      <c r="S595" s="1059"/>
      <c r="T595" s="1059"/>
      <c r="U595" s="1059"/>
      <c r="V595" s="1059"/>
      <c r="W595" s="1059"/>
      <c r="X595" s="1059"/>
      <c r="Y595" s="1059"/>
      <c r="Z595" s="1059"/>
    </row>
    <row r="596" spans="1:26" ht="12.75" customHeight="1">
      <c r="A596" s="1059"/>
      <c r="B596" s="1059"/>
      <c r="C596" s="1059"/>
      <c r="D596" s="1059"/>
      <c r="E596" s="1059"/>
      <c r="F596" s="1059"/>
      <c r="G596" s="1059"/>
      <c r="H596" s="1059"/>
      <c r="I596" s="1059"/>
      <c r="J596" s="1059"/>
      <c r="K596" s="1059"/>
      <c r="L596" s="1059"/>
      <c r="M596" s="1059"/>
      <c r="N596" s="1059"/>
      <c r="O596" s="1059"/>
      <c r="P596" s="1059"/>
      <c r="Q596" s="1059"/>
      <c r="R596" s="1059"/>
      <c r="S596" s="1059"/>
      <c r="T596" s="1059"/>
      <c r="U596" s="1059"/>
      <c r="V596" s="1059"/>
      <c r="W596" s="1059"/>
      <c r="X596" s="1059"/>
      <c r="Y596" s="1059"/>
      <c r="Z596" s="1059"/>
    </row>
    <row r="597" spans="1:26" ht="12.75" customHeight="1">
      <c r="A597" s="1059"/>
      <c r="B597" s="1059"/>
      <c r="C597" s="1059"/>
      <c r="D597" s="1059"/>
      <c r="E597" s="1059"/>
      <c r="F597" s="1059"/>
      <c r="G597" s="1059"/>
      <c r="H597" s="1059"/>
      <c r="I597" s="1059"/>
      <c r="J597" s="1059"/>
      <c r="K597" s="1059"/>
      <c r="L597" s="1059"/>
      <c r="M597" s="1059"/>
      <c r="N597" s="1059"/>
      <c r="O597" s="1059"/>
      <c r="P597" s="1059"/>
      <c r="Q597" s="1059"/>
      <c r="R597" s="1059"/>
      <c r="S597" s="1059"/>
      <c r="T597" s="1059"/>
      <c r="U597" s="1059"/>
      <c r="V597" s="1059"/>
      <c r="W597" s="1059"/>
      <c r="X597" s="1059"/>
      <c r="Y597" s="1059"/>
      <c r="Z597" s="1059"/>
    </row>
    <row r="598" spans="1:26" ht="12.75" customHeight="1">
      <c r="A598" s="1059"/>
      <c r="B598" s="1059"/>
      <c r="C598" s="1059"/>
      <c r="D598" s="1059"/>
      <c r="E598" s="1059"/>
      <c r="F598" s="1059"/>
      <c r="G598" s="1059"/>
      <c r="H598" s="1059"/>
      <c r="I598" s="1059"/>
      <c r="J598" s="1059"/>
      <c r="K598" s="1059"/>
      <c r="L598" s="1059"/>
      <c r="M598" s="1059"/>
      <c r="N598" s="1059"/>
      <c r="O598" s="1059"/>
      <c r="P598" s="1059"/>
      <c r="Q598" s="1059"/>
      <c r="R598" s="1059"/>
      <c r="S598" s="1059"/>
      <c r="T598" s="1059"/>
      <c r="U598" s="1059"/>
      <c r="V598" s="1059"/>
      <c r="W598" s="1059"/>
      <c r="X598" s="1059"/>
      <c r="Y598" s="1059"/>
      <c r="Z598" s="1059"/>
    </row>
    <row r="599" spans="1:26" ht="12.75" customHeight="1">
      <c r="A599" s="1059"/>
      <c r="B599" s="1059"/>
      <c r="C599" s="1059"/>
      <c r="D599" s="1059"/>
      <c r="E599" s="1059"/>
      <c r="F599" s="1059"/>
      <c r="G599" s="1059"/>
      <c r="H599" s="1059"/>
      <c r="I599" s="1059"/>
      <c r="J599" s="1059"/>
      <c r="K599" s="1059"/>
      <c r="L599" s="1059"/>
      <c r="M599" s="1059"/>
      <c r="N599" s="1059"/>
      <c r="O599" s="1059"/>
      <c r="P599" s="1059"/>
      <c r="Q599" s="1059"/>
      <c r="R599" s="1059"/>
      <c r="S599" s="1059"/>
      <c r="T599" s="1059"/>
      <c r="U599" s="1059"/>
      <c r="V599" s="1059"/>
      <c r="W599" s="1059"/>
      <c r="X599" s="1059"/>
      <c r="Y599" s="1059"/>
      <c r="Z599" s="1059"/>
    </row>
    <row r="600" spans="1:26" ht="12.75" customHeight="1">
      <c r="A600" s="1059"/>
      <c r="B600" s="1059"/>
      <c r="C600" s="1059"/>
      <c r="D600" s="1059"/>
      <c r="E600" s="1059"/>
      <c r="F600" s="1059"/>
      <c r="G600" s="1059"/>
      <c r="H600" s="1059"/>
      <c r="I600" s="1059"/>
      <c r="J600" s="1059"/>
      <c r="K600" s="1059"/>
      <c r="L600" s="1059"/>
      <c r="M600" s="1059"/>
      <c r="N600" s="1059"/>
      <c r="O600" s="1059"/>
      <c r="P600" s="1059"/>
      <c r="Q600" s="1059"/>
      <c r="R600" s="1059"/>
      <c r="S600" s="1059"/>
      <c r="T600" s="1059"/>
      <c r="U600" s="1059"/>
      <c r="V600" s="1059"/>
      <c r="W600" s="1059"/>
      <c r="X600" s="1059"/>
      <c r="Y600" s="1059"/>
      <c r="Z600" s="1059"/>
    </row>
    <row r="601" spans="1:26" ht="12.75" customHeight="1">
      <c r="A601" s="1059"/>
      <c r="B601" s="1059"/>
      <c r="C601" s="1059"/>
      <c r="D601" s="1059"/>
      <c r="E601" s="1059"/>
      <c r="F601" s="1059"/>
      <c r="G601" s="1059"/>
      <c r="H601" s="1059"/>
      <c r="I601" s="1059"/>
      <c r="J601" s="1059"/>
      <c r="K601" s="1059"/>
      <c r="L601" s="1059"/>
      <c r="M601" s="1059"/>
      <c r="N601" s="1059"/>
      <c r="O601" s="1059"/>
      <c r="P601" s="1059"/>
      <c r="Q601" s="1059"/>
      <c r="R601" s="1059"/>
      <c r="S601" s="1059"/>
      <c r="T601" s="1059"/>
      <c r="U601" s="1059"/>
      <c r="V601" s="1059"/>
      <c r="W601" s="1059"/>
      <c r="X601" s="1059"/>
      <c r="Y601" s="1059"/>
      <c r="Z601" s="1059"/>
    </row>
    <row r="602" spans="1:26" ht="12.75" customHeight="1">
      <c r="A602" s="1059"/>
      <c r="B602" s="1059"/>
      <c r="C602" s="1059"/>
      <c r="D602" s="1059"/>
      <c r="E602" s="1059"/>
      <c r="F602" s="1059"/>
      <c r="G602" s="1059"/>
      <c r="H602" s="1059"/>
      <c r="I602" s="1059"/>
      <c r="J602" s="1059"/>
      <c r="K602" s="1059"/>
      <c r="L602" s="1059"/>
      <c r="M602" s="1059"/>
      <c r="N602" s="1059"/>
      <c r="O602" s="1059"/>
      <c r="P602" s="1059"/>
      <c r="Q602" s="1059"/>
      <c r="R602" s="1059"/>
      <c r="S602" s="1059"/>
      <c r="T602" s="1059"/>
      <c r="U602" s="1059"/>
      <c r="V602" s="1059"/>
      <c r="W602" s="1059"/>
      <c r="X602" s="1059"/>
      <c r="Y602" s="1059"/>
      <c r="Z602" s="1059"/>
    </row>
    <row r="603" spans="1:26" ht="12.75" customHeight="1">
      <c r="A603" s="1059"/>
      <c r="B603" s="1059"/>
      <c r="C603" s="1059"/>
      <c r="D603" s="1059"/>
      <c r="E603" s="1059"/>
      <c r="F603" s="1059"/>
      <c r="G603" s="1059"/>
      <c r="H603" s="1059"/>
      <c r="I603" s="1059"/>
      <c r="J603" s="1059"/>
      <c r="K603" s="1059"/>
      <c r="L603" s="1059"/>
      <c r="M603" s="1059"/>
      <c r="N603" s="1059"/>
      <c r="O603" s="1059"/>
      <c r="P603" s="1059"/>
      <c r="Q603" s="1059"/>
      <c r="R603" s="1059"/>
      <c r="S603" s="1059"/>
      <c r="T603" s="1059"/>
      <c r="U603" s="1059"/>
      <c r="V603" s="1059"/>
      <c r="W603" s="1059"/>
      <c r="X603" s="1059"/>
      <c r="Y603" s="1059"/>
      <c r="Z603" s="1059"/>
    </row>
    <row r="604" spans="1:26" ht="12.75" customHeight="1">
      <c r="A604" s="1059"/>
      <c r="B604" s="1059"/>
      <c r="C604" s="1059"/>
      <c r="D604" s="1059"/>
      <c r="E604" s="1059"/>
      <c r="F604" s="1059"/>
      <c r="G604" s="1059"/>
      <c r="H604" s="1059"/>
      <c r="I604" s="1059"/>
      <c r="J604" s="1059"/>
      <c r="K604" s="1059"/>
      <c r="L604" s="1059"/>
      <c r="M604" s="1059"/>
      <c r="N604" s="1059"/>
      <c r="O604" s="1059"/>
      <c r="P604" s="1059"/>
      <c r="Q604" s="1059"/>
      <c r="R604" s="1059"/>
      <c r="S604" s="1059"/>
      <c r="T604" s="1059"/>
      <c r="U604" s="1059"/>
      <c r="V604" s="1059"/>
      <c r="W604" s="1059"/>
      <c r="X604" s="1059"/>
      <c r="Y604" s="1059"/>
      <c r="Z604" s="1059"/>
    </row>
    <row r="605" spans="1:26" ht="12.75" customHeight="1">
      <c r="A605" s="1059"/>
      <c r="B605" s="1059"/>
      <c r="C605" s="1059"/>
      <c r="D605" s="1059"/>
      <c r="E605" s="1059"/>
      <c r="F605" s="1059"/>
      <c r="G605" s="1059"/>
      <c r="H605" s="1059"/>
      <c r="I605" s="1059"/>
      <c r="J605" s="1059"/>
      <c r="K605" s="1059"/>
      <c r="L605" s="1059"/>
      <c r="M605" s="1059"/>
      <c r="N605" s="1059"/>
      <c r="O605" s="1059"/>
      <c r="P605" s="1059"/>
      <c r="Q605" s="1059"/>
      <c r="R605" s="1059"/>
      <c r="S605" s="1059"/>
      <c r="T605" s="1059"/>
      <c r="U605" s="1059"/>
      <c r="V605" s="1059"/>
      <c r="W605" s="1059"/>
      <c r="X605" s="1059"/>
      <c r="Y605" s="1059"/>
      <c r="Z605" s="1059"/>
    </row>
    <row r="606" spans="1:26" ht="12.75" customHeight="1">
      <c r="A606" s="1059"/>
      <c r="B606" s="1059"/>
      <c r="C606" s="1059"/>
      <c r="D606" s="1059"/>
      <c r="E606" s="1059"/>
      <c r="F606" s="1059"/>
      <c r="G606" s="1059"/>
      <c r="H606" s="1059"/>
      <c r="I606" s="1059"/>
      <c r="J606" s="1059"/>
      <c r="K606" s="1059"/>
      <c r="L606" s="1059"/>
      <c r="M606" s="1059"/>
      <c r="N606" s="1059"/>
      <c r="O606" s="1059"/>
      <c r="P606" s="1059"/>
      <c r="Q606" s="1059"/>
      <c r="R606" s="1059"/>
      <c r="S606" s="1059"/>
      <c r="T606" s="1059"/>
      <c r="U606" s="1059"/>
      <c r="V606" s="1059"/>
      <c r="W606" s="1059"/>
      <c r="X606" s="1059"/>
      <c r="Y606" s="1059"/>
      <c r="Z606" s="1059"/>
    </row>
    <row r="607" spans="1:26" ht="12.75" customHeight="1">
      <c r="A607" s="1059"/>
      <c r="B607" s="1059"/>
      <c r="C607" s="1059"/>
      <c r="D607" s="1059"/>
      <c r="E607" s="1059"/>
      <c r="F607" s="1059"/>
      <c r="G607" s="1059"/>
      <c r="H607" s="1059"/>
      <c r="I607" s="1059"/>
      <c r="J607" s="1059"/>
      <c r="K607" s="1059"/>
      <c r="L607" s="1059"/>
      <c r="M607" s="1059"/>
      <c r="N607" s="1059"/>
      <c r="O607" s="1059"/>
      <c r="P607" s="1059"/>
      <c r="Q607" s="1059"/>
      <c r="R607" s="1059"/>
      <c r="S607" s="1059"/>
      <c r="T607" s="1059"/>
      <c r="U607" s="1059"/>
      <c r="V607" s="1059"/>
      <c r="W607" s="1059"/>
      <c r="X607" s="1059"/>
      <c r="Y607" s="1059"/>
      <c r="Z607" s="1059"/>
    </row>
    <row r="608" spans="1:26" ht="12.75" customHeight="1">
      <c r="A608" s="1059"/>
      <c r="B608" s="1059"/>
      <c r="C608" s="1059"/>
      <c r="D608" s="1059"/>
      <c r="E608" s="1059"/>
      <c r="F608" s="1059"/>
      <c r="G608" s="1059"/>
      <c r="H608" s="1059"/>
      <c r="I608" s="1059"/>
      <c r="J608" s="1059"/>
      <c r="K608" s="1059"/>
      <c r="L608" s="1059"/>
      <c r="M608" s="1059"/>
      <c r="N608" s="1059"/>
      <c r="O608" s="1059"/>
      <c r="P608" s="1059"/>
      <c r="Q608" s="1059"/>
      <c r="R608" s="1059"/>
      <c r="S608" s="1059"/>
      <c r="T608" s="1059"/>
      <c r="U608" s="1059"/>
      <c r="V608" s="1059"/>
      <c r="W608" s="1059"/>
      <c r="X608" s="1059"/>
      <c r="Y608" s="1059"/>
      <c r="Z608" s="1059"/>
    </row>
    <row r="609" spans="1:26" ht="12.75" customHeight="1">
      <c r="A609" s="1059"/>
      <c r="B609" s="1059"/>
      <c r="C609" s="1059"/>
      <c r="D609" s="1059"/>
      <c r="E609" s="1059"/>
      <c r="F609" s="1059"/>
      <c r="G609" s="1059"/>
      <c r="H609" s="1059"/>
      <c r="I609" s="1059"/>
      <c r="J609" s="1059"/>
      <c r="K609" s="1059"/>
      <c r="L609" s="1059"/>
      <c r="M609" s="1059"/>
      <c r="N609" s="1059"/>
      <c r="O609" s="1059"/>
      <c r="P609" s="1059"/>
      <c r="Q609" s="1059"/>
      <c r="R609" s="1059"/>
      <c r="S609" s="1059"/>
      <c r="T609" s="1059"/>
      <c r="U609" s="1059"/>
      <c r="V609" s="1059"/>
      <c r="W609" s="1059"/>
      <c r="X609" s="1059"/>
      <c r="Y609" s="1059"/>
      <c r="Z609" s="1059"/>
    </row>
    <row r="610" spans="1:26" ht="12.75" customHeight="1">
      <c r="A610" s="1059"/>
      <c r="B610" s="1059"/>
      <c r="C610" s="1059"/>
      <c r="D610" s="1059"/>
      <c r="E610" s="1059"/>
      <c r="F610" s="1059"/>
      <c r="G610" s="1059"/>
      <c r="H610" s="1059"/>
      <c r="I610" s="1059"/>
      <c r="J610" s="1059"/>
      <c r="K610" s="1059"/>
      <c r="L610" s="1059"/>
      <c r="M610" s="1059"/>
      <c r="N610" s="1059"/>
      <c r="O610" s="1059"/>
      <c r="P610" s="1059"/>
      <c r="Q610" s="1059"/>
      <c r="R610" s="1059"/>
      <c r="S610" s="1059"/>
      <c r="T610" s="1059"/>
      <c r="U610" s="1059"/>
      <c r="V610" s="1059"/>
      <c r="W610" s="1059"/>
      <c r="X610" s="1059"/>
      <c r="Y610" s="1059"/>
      <c r="Z610" s="1059"/>
    </row>
    <row r="611" spans="1:26" ht="12.75" customHeight="1">
      <c r="A611" s="1059"/>
      <c r="B611" s="1059"/>
      <c r="C611" s="1059"/>
      <c r="D611" s="1059"/>
      <c r="E611" s="1059"/>
      <c r="F611" s="1059"/>
      <c r="G611" s="1059"/>
      <c r="H611" s="1059"/>
      <c r="I611" s="1059"/>
      <c r="J611" s="1059"/>
      <c r="K611" s="1059"/>
      <c r="L611" s="1059"/>
      <c r="M611" s="1059"/>
      <c r="N611" s="1059"/>
      <c r="O611" s="1059"/>
      <c r="P611" s="1059"/>
      <c r="Q611" s="1059"/>
      <c r="R611" s="1059"/>
      <c r="S611" s="1059"/>
      <c r="T611" s="1059"/>
      <c r="U611" s="1059"/>
      <c r="V611" s="1059"/>
      <c r="W611" s="1059"/>
      <c r="X611" s="1059"/>
      <c r="Y611" s="1059"/>
      <c r="Z611" s="1059"/>
    </row>
    <row r="612" spans="1:26" ht="12.75" customHeight="1">
      <c r="A612" s="1059"/>
      <c r="B612" s="1059"/>
      <c r="C612" s="1059"/>
      <c r="D612" s="1059"/>
      <c r="E612" s="1059"/>
      <c r="F612" s="1059"/>
      <c r="G612" s="1059"/>
      <c r="H612" s="1059"/>
      <c r="I612" s="1059"/>
      <c r="J612" s="1059"/>
      <c r="K612" s="1059"/>
      <c r="L612" s="1059"/>
      <c r="M612" s="1059"/>
      <c r="N612" s="1059"/>
      <c r="O612" s="1059"/>
      <c r="P612" s="1059"/>
      <c r="Q612" s="1059"/>
      <c r="R612" s="1059"/>
      <c r="S612" s="1059"/>
      <c r="T612" s="1059"/>
      <c r="U612" s="1059"/>
      <c r="V612" s="1059"/>
      <c r="W612" s="1059"/>
      <c r="X612" s="1059"/>
      <c r="Y612" s="1059"/>
      <c r="Z612" s="1059"/>
    </row>
    <row r="613" spans="1:26" ht="12.75" customHeight="1">
      <c r="A613" s="1059"/>
      <c r="B613" s="1059"/>
      <c r="C613" s="1059"/>
      <c r="D613" s="1059"/>
      <c r="E613" s="1059"/>
      <c r="F613" s="1059"/>
      <c r="G613" s="1059"/>
      <c r="H613" s="1059"/>
      <c r="I613" s="1059"/>
      <c r="J613" s="1059"/>
      <c r="K613" s="1059"/>
      <c r="L613" s="1059"/>
      <c r="M613" s="1059"/>
      <c r="N613" s="1059"/>
      <c r="O613" s="1059"/>
      <c r="P613" s="1059"/>
      <c r="Q613" s="1059"/>
      <c r="R613" s="1059"/>
      <c r="S613" s="1059"/>
      <c r="T613" s="1059"/>
      <c r="U613" s="1059"/>
      <c r="V613" s="1059"/>
      <c r="W613" s="1059"/>
      <c r="X613" s="1059"/>
      <c r="Y613" s="1059"/>
      <c r="Z613" s="1059"/>
    </row>
    <row r="614" spans="1:26" ht="12.75" customHeight="1">
      <c r="A614" s="1059"/>
      <c r="B614" s="1059"/>
      <c r="C614" s="1059"/>
      <c r="D614" s="1059"/>
      <c r="E614" s="1059"/>
      <c r="F614" s="1059"/>
      <c r="G614" s="1059"/>
      <c r="H614" s="1059"/>
      <c r="I614" s="1059"/>
      <c r="J614" s="1059"/>
      <c r="K614" s="1059"/>
      <c r="L614" s="1059"/>
      <c r="M614" s="1059"/>
      <c r="N614" s="1059"/>
      <c r="O614" s="1059"/>
      <c r="P614" s="1059"/>
      <c r="Q614" s="1059"/>
      <c r="R614" s="1059"/>
      <c r="S614" s="1059"/>
      <c r="T614" s="1059"/>
      <c r="U614" s="1059"/>
      <c r="V614" s="1059"/>
      <c r="W614" s="1059"/>
      <c r="X614" s="1059"/>
      <c r="Y614" s="1059"/>
      <c r="Z614" s="1059"/>
    </row>
    <row r="615" spans="1:26" ht="12.75" customHeight="1">
      <c r="A615" s="1059"/>
      <c r="B615" s="1059"/>
      <c r="C615" s="1059"/>
      <c r="D615" s="1059"/>
      <c r="E615" s="1059"/>
      <c r="F615" s="1059"/>
      <c r="G615" s="1059"/>
      <c r="H615" s="1059"/>
      <c r="I615" s="1059"/>
      <c r="J615" s="1059"/>
      <c r="K615" s="1059"/>
      <c r="L615" s="1059"/>
      <c r="M615" s="1059"/>
      <c r="N615" s="1059"/>
      <c r="O615" s="1059"/>
      <c r="P615" s="1059"/>
      <c r="Q615" s="1059"/>
      <c r="R615" s="1059"/>
      <c r="S615" s="1059"/>
      <c r="T615" s="1059"/>
      <c r="U615" s="1059"/>
      <c r="V615" s="1059"/>
      <c r="W615" s="1059"/>
      <c r="X615" s="1059"/>
      <c r="Y615" s="1059"/>
      <c r="Z615" s="1059"/>
    </row>
    <row r="616" spans="1:26" ht="12.75" customHeight="1">
      <c r="A616" s="1059"/>
      <c r="B616" s="1059"/>
      <c r="C616" s="1059"/>
      <c r="D616" s="1059"/>
      <c r="E616" s="1059"/>
      <c r="F616" s="1059"/>
      <c r="G616" s="1059"/>
      <c r="H616" s="1059"/>
      <c r="I616" s="1059"/>
      <c r="J616" s="1059"/>
      <c r="K616" s="1059"/>
      <c r="L616" s="1059"/>
      <c r="M616" s="1059"/>
      <c r="N616" s="1059"/>
      <c r="O616" s="1059"/>
      <c r="P616" s="1059"/>
      <c r="Q616" s="1059"/>
      <c r="R616" s="1059"/>
      <c r="S616" s="1059"/>
      <c r="T616" s="1059"/>
      <c r="U616" s="1059"/>
      <c r="V616" s="1059"/>
      <c r="W616" s="1059"/>
      <c r="X616" s="1059"/>
      <c r="Y616" s="1059"/>
      <c r="Z616" s="1059"/>
    </row>
    <row r="617" spans="1:26" ht="12.75" customHeight="1">
      <c r="A617" s="1059"/>
      <c r="B617" s="1059"/>
      <c r="C617" s="1059"/>
      <c r="D617" s="1059"/>
      <c r="E617" s="1059"/>
      <c r="F617" s="1059"/>
      <c r="G617" s="1059"/>
      <c r="H617" s="1059"/>
      <c r="I617" s="1059"/>
      <c r="J617" s="1059"/>
      <c r="K617" s="1059"/>
      <c r="L617" s="1059"/>
      <c r="M617" s="1059"/>
      <c r="N617" s="1059"/>
      <c r="O617" s="1059"/>
      <c r="P617" s="1059"/>
      <c r="Q617" s="1059"/>
      <c r="R617" s="1059"/>
      <c r="S617" s="1059"/>
      <c r="T617" s="1059"/>
      <c r="U617" s="1059"/>
      <c r="V617" s="1059"/>
      <c r="W617" s="1059"/>
      <c r="X617" s="1059"/>
      <c r="Y617" s="1059"/>
      <c r="Z617" s="1059"/>
    </row>
    <row r="618" spans="1:26" ht="12.75" customHeight="1">
      <c r="A618" s="1059"/>
      <c r="B618" s="1059"/>
      <c r="C618" s="1059"/>
      <c r="D618" s="1059"/>
      <c r="E618" s="1059"/>
      <c r="F618" s="1059"/>
      <c r="G618" s="1059"/>
      <c r="H618" s="1059"/>
      <c r="I618" s="1059"/>
      <c r="J618" s="1059"/>
      <c r="K618" s="1059"/>
      <c r="L618" s="1059"/>
      <c r="M618" s="1059"/>
      <c r="N618" s="1059"/>
      <c r="O618" s="1059"/>
      <c r="P618" s="1059"/>
      <c r="Q618" s="1059"/>
      <c r="R618" s="1059"/>
      <c r="S618" s="1059"/>
      <c r="T618" s="1059"/>
      <c r="U618" s="1059"/>
      <c r="V618" s="1059"/>
      <c r="W618" s="1059"/>
      <c r="X618" s="1059"/>
      <c r="Y618" s="1059"/>
      <c r="Z618" s="1059"/>
    </row>
    <row r="619" spans="1:26" ht="12.75" customHeight="1">
      <c r="A619" s="1059"/>
      <c r="B619" s="1059"/>
      <c r="C619" s="1059"/>
      <c r="D619" s="1059"/>
      <c r="E619" s="1059"/>
      <c r="F619" s="1059"/>
      <c r="G619" s="1059"/>
      <c r="H619" s="1059"/>
      <c r="I619" s="1059"/>
      <c r="J619" s="1059"/>
      <c r="K619" s="1059"/>
      <c r="L619" s="1059"/>
      <c r="M619" s="1059"/>
      <c r="N619" s="1059"/>
      <c r="O619" s="1059"/>
      <c r="P619" s="1059"/>
      <c r="Q619" s="1059"/>
      <c r="R619" s="1059"/>
      <c r="S619" s="1059"/>
      <c r="T619" s="1059"/>
      <c r="U619" s="1059"/>
      <c r="V619" s="1059"/>
      <c r="W619" s="1059"/>
      <c r="X619" s="1059"/>
      <c r="Y619" s="1059"/>
      <c r="Z619" s="1059"/>
    </row>
    <row r="620" spans="1:26" ht="12.75" customHeight="1">
      <c r="A620" s="1059"/>
      <c r="B620" s="1059"/>
      <c r="C620" s="1059"/>
      <c r="D620" s="1059"/>
      <c r="E620" s="1059"/>
      <c r="F620" s="1059"/>
      <c r="G620" s="1059"/>
      <c r="H620" s="1059"/>
      <c r="I620" s="1059"/>
      <c r="J620" s="1059"/>
      <c r="K620" s="1059"/>
      <c r="L620" s="1059"/>
      <c r="M620" s="1059"/>
      <c r="N620" s="1059"/>
      <c r="O620" s="1059"/>
      <c r="P620" s="1059"/>
      <c r="Q620" s="1059"/>
      <c r="R620" s="1059"/>
      <c r="S620" s="1059"/>
      <c r="T620" s="1059"/>
      <c r="U620" s="1059"/>
      <c r="V620" s="1059"/>
      <c r="W620" s="1059"/>
      <c r="X620" s="1059"/>
      <c r="Y620" s="1059"/>
      <c r="Z620" s="1059"/>
    </row>
    <row r="621" spans="1:26" ht="12.75" customHeight="1">
      <c r="A621" s="1059"/>
      <c r="B621" s="1059"/>
      <c r="C621" s="1059"/>
      <c r="D621" s="1059"/>
      <c r="E621" s="1059"/>
      <c r="F621" s="1059"/>
      <c r="G621" s="1059"/>
      <c r="H621" s="1059"/>
      <c r="I621" s="1059"/>
      <c r="J621" s="1059"/>
      <c r="K621" s="1059"/>
      <c r="L621" s="1059"/>
      <c r="M621" s="1059"/>
      <c r="N621" s="1059"/>
      <c r="O621" s="1059"/>
      <c r="P621" s="1059"/>
      <c r="Q621" s="1059"/>
      <c r="R621" s="1059"/>
      <c r="S621" s="1059"/>
      <c r="T621" s="1059"/>
      <c r="U621" s="1059"/>
      <c r="V621" s="1059"/>
      <c r="W621" s="1059"/>
      <c r="X621" s="1059"/>
      <c r="Y621" s="1059"/>
      <c r="Z621" s="1059"/>
    </row>
    <row r="622" spans="1:26" ht="12.75" customHeight="1">
      <c r="A622" s="1059"/>
      <c r="B622" s="1059"/>
      <c r="C622" s="1059"/>
      <c r="D622" s="1059"/>
      <c r="E622" s="1059"/>
      <c r="F622" s="1059"/>
      <c r="G622" s="1059"/>
      <c r="H622" s="1059"/>
      <c r="I622" s="1059"/>
      <c r="J622" s="1059"/>
      <c r="K622" s="1059"/>
      <c r="L622" s="1059"/>
      <c r="M622" s="1059"/>
      <c r="N622" s="1059"/>
      <c r="O622" s="1059"/>
      <c r="P622" s="1059"/>
      <c r="Q622" s="1059"/>
      <c r="R622" s="1059"/>
      <c r="S622" s="1059"/>
      <c r="T622" s="1059"/>
      <c r="U622" s="1059"/>
      <c r="V622" s="1059"/>
      <c r="W622" s="1059"/>
      <c r="X622" s="1059"/>
      <c r="Y622" s="1059"/>
      <c r="Z622" s="1059"/>
    </row>
    <row r="623" spans="1:26" ht="12.75" customHeight="1">
      <c r="A623" s="1059"/>
      <c r="B623" s="1059"/>
      <c r="C623" s="1059"/>
      <c r="D623" s="1059"/>
      <c r="E623" s="1059"/>
      <c r="F623" s="1059"/>
      <c r="G623" s="1059"/>
      <c r="H623" s="1059"/>
      <c r="I623" s="1059"/>
      <c r="J623" s="1059"/>
      <c r="K623" s="1059"/>
      <c r="L623" s="1059"/>
      <c r="M623" s="1059"/>
      <c r="N623" s="1059"/>
      <c r="O623" s="1059"/>
      <c r="P623" s="1059"/>
      <c r="Q623" s="1059"/>
      <c r="R623" s="1059"/>
      <c r="S623" s="1059"/>
      <c r="T623" s="1059"/>
      <c r="U623" s="1059"/>
      <c r="V623" s="1059"/>
      <c r="W623" s="1059"/>
      <c r="X623" s="1059"/>
      <c r="Y623" s="1059"/>
      <c r="Z623" s="1059"/>
    </row>
    <row r="624" spans="1:26" ht="12.75" customHeight="1">
      <c r="A624" s="1059"/>
      <c r="B624" s="1059"/>
      <c r="C624" s="1059"/>
      <c r="D624" s="1059"/>
      <c r="E624" s="1059"/>
      <c r="F624" s="1059"/>
      <c r="G624" s="1059"/>
      <c r="H624" s="1059"/>
      <c r="I624" s="1059"/>
      <c r="J624" s="1059"/>
      <c r="K624" s="1059"/>
      <c r="L624" s="1059"/>
      <c r="M624" s="1059"/>
      <c r="N624" s="1059"/>
      <c r="O624" s="1059"/>
      <c r="P624" s="1059"/>
      <c r="Q624" s="1059"/>
      <c r="R624" s="1059"/>
      <c r="S624" s="1059"/>
      <c r="T624" s="1059"/>
      <c r="U624" s="1059"/>
      <c r="V624" s="1059"/>
      <c r="W624" s="1059"/>
      <c r="X624" s="1059"/>
      <c r="Y624" s="1059"/>
      <c r="Z624" s="1059"/>
    </row>
    <row r="625" spans="1:26" ht="12.75" customHeight="1">
      <c r="A625" s="1059"/>
      <c r="B625" s="1059"/>
      <c r="C625" s="1059"/>
      <c r="D625" s="1059"/>
      <c r="E625" s="1059"/>
      <c r="F625" s="1059"/>
      <c r="G625" s="1059"/>
      <c r="H625" s="1059"/>
      <c r="I625" s="1059"/>
      <c r="J625" s="1059"/>
      <c r="K625" s="1059"/>
      <c r="L625" s="1059"/>
      <c r="M625" s="1059"/>
      <c r="N625" s="1059"/>
      <c r="O625" s="1059"/>
      <c r="P625" s="1059"/>
      <c r="Q625" s="1059"/>
      <c r="R625" s="1059"/>
      <c r="S625" s="1059"/>
      <c r="T625" s="1059"/>
      <c r="U625" s="1059"/>
      <c r="V625" s="1059"/>
      <c r="W625" s="1059"/>
      <c r="X625" s="1059"/>
      <c r="Y625" s="1059"/>
      <c r="Z625" s="1059"/>
    </row>
    <row r="626" spans="1:26" ht="12.75" customHeight="1">
      <c r="A626" s="1059"/>
      <c r="B626" s="1059"/>
      <c r="C626" s="1059"/>
      <c r="D626" s="1059"/>
      <c r="E626" s="1059"/>
      <c r="F626" s="1059"/>
      <c r="G626" s="1059"/>
      <c r="H626" s="1059"/>
      <c r="I626" s="1059"/>
      <c r="J626" s="1059"/>
      <c r="K626" s="1059"/>
      <c r="L626" s="1059"/>
      <c r="M626" s="1059"/>
      <c r="N626" s="1059"/>
      <c r="O626" s="1059"/>
      <c r="P626" s="1059"/>
      <c r="Q626" s="1059"/>
      <c r="R626" s="1059"/>
      <c r="S626" s="1059"/>
      <c r="T626" s="1059"/>
      <c r="U626" s="1059"/>
      <c r="V626" s="1059"/>
      <c r="W626" s="1059"/>
      <c r="X626" s="1059"/>
      <c r="Y626" s="1059"/>
      <c r="Z626" s="1059"/>
    </row>
    <row r="627" spans="1:26" ht="12.75" customHeight="1">
      <c r="A627" s="1059"/>
      <c r="B627" s="1059"/>
      <c r="C627" s="1059"/>
      <c r="D627" s="1059"/>
      <c r="E627" s="1059"/>
      <c r="F627" s="1059"/>
      <c r="G627" s="1059"/>
      <c r="H627" s="1059"/>
      <c r="I627" s="1059"/>
      <c r="J627" s="1059"/>
      <c r="K627" s="1059"/>
      <c r="L627" s="1059"/>
      <c r="M627" s="1059"/>
      <c r="N627" s="1059"/>
      <c r="O627" s="1059"/>
      <c r="P627" s="1059"/>
      <c r="Q627" s="1059"/>
      <c r="R627" s="1059"/>
      <c r="S627" s="1059"/>
      <c r="T627" s="1059"/>
      <c r="U627" s="1059"/>
      <c r="V627" s="1059"/>
      <c r="W627" s="1059"/>
      <c r="X627" s="1059"/>
      <c r="Y627" s="1059"/>
      <c r="Z627" s="1059"/>
    </row>
    <row r="628" spans="1:26" ht="12.75" customHeight="1">
      <c r="A628" s="1059"/>
      <c r="B628" s="1059"/>
      <c r="C628" s="1059"/>
      <c r="D628" s="1059"/>
      <c r="E628" s="1059"/>
      <c r="F628" s="1059"/>
      <c r="G628" s="1059"/>
      <c r="H628" s="1059"/>
      <c r="I628" s="1059"/>
      <c r="J628" s="1059"/>
      <c r="K628" s="1059"/>
      <c r="L628" s="1059"/>
      <c r="M628" s="1059"/>
      <c r="N628" s="1059"/>
      <c r="O628" s="1059"/>
      <c r="P628" s="1059"/>
      <c r="Q628" s="1059"/>
      <c r="R628" s="1059"/>
      <c r="S628" s="1059"/>
      <c r="T628" s="1059"/>
      <c r="U628" s="1059"/>
      <c r="V628" s="1059"/>
      <c r="W628" s="1059"/>
      <c r="X628" s="1059"/>
      <c r="Y628" s="1059"/>
      <c r="Z628" s="1059"/>
    </row>
    <row r="629" spans="1:26" ht="12.75" customHeight="1">
      <c r="A629" s="1059"/>
      <c r="B629" s="1059"/>
      <c r="C629" s="1059"/>
      <c r="D629" s="1059"/>
      <c r="E629" s="1059"/>
      <c r="F629" s="1059"/>
      <c r="G629" s="1059"/>
      <c r="H629" s="1059"/>
      <c r="I629" s="1059"/>
      <c r="J629" s="1059"/>
      <c r="K629" s="1059"/>
      <c r="L629" s="1059"/>
      <c r="M629" s="1059"/>
      <c r="N629" s="1059"/>
      <c r="O629" s="1059"/>
      <c r="P629" s="1059"/>
      <c r="Q629" s="1059"/>
      <c r="R629" s="1059"/>
      <c r="S629" s="1059"/>
      <c r="T629" s="1059"/>
      <c r="U629" s="1059"/>
      <c r="V629" s="1059"/>
      <c r="W629" s="1059"/>
      <c r="X629" s="1059"/>
      <c r="Y629" s="1059"/>
      <c r="Z629" s="1059"/>
    </row>
    <row r="630" spans="1:26" ht="12.75" customHeight="1">
      <c r="A630" s="1059"/>
      <c r="B630" s="1059"/>
      <c r="C630" s="1059"/>
      <c r="D630" s="1059"/>
      <c r="E630" s="1059"/>
      <c r="F630" s="1059"/>
      <c r="G630" s="1059"/>
      <c r="H630" s="1059"/>
      <c r="I630" s="1059"/>
      <c r="J630" s="1059"/>
      <c r="K630" s="1059"/>
      <c r="L630" s="1059"/>
      <c r="M630" s="1059"/>
      <c r="N630" s="1059"/>
      <c r="O630" s="1059"/>
      <c r="P630" s="1059"/>
      <c r="Q630" s="1059"/>
      <c r="R630" s="1059"/>
      <c r="S630" s="1059"/>
      <c r="T630" s="1059"/>
      <c r="U630" s="1059"/>
      <c r="V630" s="1059"/>
      <c r="W630" s="1059"/>
      <c r="X630" s="1059"/>
      <c r="Y630" s="1059"/>
      <c r="Z630" s="1059"/>
    </row>
    <row r="631" spans="1:26" ht="12.75" customHeight="1">
      <c r="A631" s="1059"/>
      <c r="B631" s="1059"/>
      <c r="C631" s="1059"/>
      <c r="D631" s="1059"/>
      <c r="E631" s="1059"/>
      <c r="F631" s="1059"/>
      <c r="G631" s="1059"/>
      <c r="H631" s="1059"/>
      <c r="I631" s="1059"/>
      <c r="J631" s="1059"/>
      <c r="K631" s="1059"/>
      <c r="L631" s="1059"/>
      <c r="M631" s="1059"/>
      <c r="N631" s="1059"/>
      <c r="O631" s="1059"/>
      <c r="P631" s="1059"/>
      <c r="Q631" s="1059"/>
      <c r="R631" s="1059"/>
      <c r="S631" s="1059"/>
      <c r="T631" s="1059"/>
      <c r="U631" s="1059"/>
      <c r="V631" s="1059"/>
      <c r="W631" s="1059"/>
      <c r="X631" s="1059"/>
      <c r="Y631" s="1059"/>
      <c r="Z631" s="1059"/>
    </row>
    <row r="632" spans="1:26" ht="12.75" customHeight="1">
      <c r="A632" s="1059"/>
      <c r="B632" s="1059"/>
      <c r="C632" s="1059"/>
      <c r="D632" s="1059"/>
      <c r="E632" s="1059"/>
      <c r="F632" s="1059"/>
      <c r="G632" s="1059"/>
      <c r="H632" s="1059"/>
      <c r="I632" s="1059"/>
      <c r="J632" s="1059"/>
      <c r="K632" s="1059"/>
      <c r="L632" s="1059"/>
      <c r="M632" s="1059"/>
      <c r="N632" s="1059"/>
      <c r="O632" s="1059"/>
      <c r="P632" s="1059"/>
      <c r="Q632" s="1059"/>
      <c r="R632" s="1059"/>
      <c r="S632" s="1059"/>
      <c r="T632" s="1059"/>
      <c r="U632" s="1059"/>
      <c r="V632" s="1059"/>
      <c r="W632" s="1059"/>
      <c r="X632" s="1059"/>
      <c r="Y632" s="1059"/>
      <c r="Z632" s="1059"/>
    </row>
    <row r="633" spans="1:26" ht="12.75" customHeight="1">
      <c r="A633" s="1059"/>
      <c r="B633" s="1059"/>
      <c r="C633" s="1059"/>
      <c r="D633" s="1059"/>
      <c r="E633" s="1059"/>
      <c r="F633" s="1059"/>
      <c r="G633" s="1059"/>
      <c r="H633" s="1059"/>
      <c r="I633" s="1059"/>
      <c r="J633" s="1059"/>
      <c r="K633" s="1059"/>
      <c r="L633" s="1059"/>
      <c r="M633" s="1059"/>
      <c r="N633" s="1059"/>
      <c r="O633" s="1059"/>
      <c r="P633" s="1059"/>
      <c r="Q633" s="1059"/>
      <c r="R633" s="1059"/>
      <c r="S633" s="1059"/>
      <c r="T633" s="1059"/>
      <c r="U633" s="1059"/>
      <c r="V633" s="1059"/>
      <c r="W633" s="1059"/>
      <c r="X633" s="1059"/>
      <c r="Y633" s="1059"/>
      <c r="Z633" s="1059"/>
    </row>
    <row r="634" spans="1:26" ht="12.75" customHeight="1">
      <c r="A634" s="1059"/>
      <c r="B634" s="1059"/>
      <c r="C634" s="1059"/>
      <c r="D634" s="1059"/>
      <c r="E634" s="1059"/>
      <c r="F634" s="1059"/>
      <c r="G634" s="1059"/>
      <c r="H634" s="1059"/>
      <c r="I634" s="1059"/>
      <c r="J634" s="1059"/>
      <c r="K634" s="1059"/>
      <c r="L634" s="1059"/>
      <c r="M634" s="1059"/>
      <c r="N634" s="1059"/>
      <c r="O634" s="1059"/>
      <c r="P634" s="1059"/>
      <c r="Q634" s="1059"/>
      <c r="R634" s="1059"/>
      <c r="S634" s="1059"/>
      <c r="T634" s="1059"/>
      <c r="U634" s="1059"/>
      <c r="V634" s="1059"/>
      <c r="W634" s="1059"/>
      <c r="X634" s="1059"/>
      <c r="Y634" s="1059"/>
      <c r="Z634" s="1059"/>
    </row>
    <row r="635" spans="1:26" ht="12.75" customHeight="1">
      <c r="A635" s="1059"/>
      <c r="B635" s="1059"/>
      <c r="C635" s="1059"/>
      <c r="D635" s="1059"/>
      <c r="E635" s="1059"/>
      <c r="F635" s="1059"/>
      <c r="G635" s="1059"/>
      <c r="H635" s="1059"/>
      <c r="I635" s="1059"/>
      <c r="J635" s="1059"/>
      <c r="K635" s="1059"/>
      <c r="L635" s="1059"/>
      <c r="M635" s="1059"/>
      <c r="N635" s="1059"/>
      <c r="O635" s="1059"/>
      <c r="P635" s="1059"/>
      <c r="Q635" s="1059"/>
      <c r="R635" s="1059"/>
      <c r="S635" s="1059"/>
      <c r="T635" s="1059"/>
      <c r="U635" s="1059"/>
      <c r="V635" s="1059"/>
      <c r="W635" s="1059"/>
      <c r="X635" s="1059"/>
      <c r="Y635" s="1059"/>
      <c r="Z635" s="1059"/>
    </row>
    <row r="636" spans="1:26" ht="12.75" customHeight="1">
      <c r="A636" s="1059"/>
      <c r="B636" s="1059"/>
      <c r="C636" s="1059"/>
      <c r="D636" s="1059"/>
      <c r="E636" s="1059"/>
      <c r="F636" s="1059"/>
      <c r="G636" s="1059"/>
      <c r="H636" s="1059"/>
      <c r="I636" s="1059"/>
      <c r="J636" s="1059"/>
      <c r="K636" s="1059"/>
      <c r="L636" s="1059"/>
      <c r="M636" s="1059"/>
      <c r="N636" s="1059"/>
      <c r="O636" s="1059"/>
      <c r="P636" s="1059"/>
      <c r="Q636" s="1059"/>
      <c r="R636" s="1059"/>
      <c r="S636" s="1059"/>
      <c r="T636" s="1059"/>
      <c r="U636" s="1059"/>
      <c r="V636" s="1059"/>
      <c r="W636" s="1059"/>
      <c r="X636" s="1059"/>
      <c r="Y636" s="1059"/>
      <c r="Z636" s="1059"/>
    </row>
    <row r="637" spans="1:26" ht="12.75" customHeight="1">
      <c r="A637" s="1059"/>
      <c r="B637" s="1059"/>
      <c r="C637" s="1059"/>
      <c r="D637" s="1059"/>
      <c r="E637" s="1059"/>
      <c r="F637" s="1059"/>
      <c r="G637" s="1059"/>
      <c r="H637" s="1059"/>
      <c r="I637" s="1059"/>
      <c r="J637" s="1059"/>
      <c r="K637" s="1059"/>
      <c r="L637" s="1059"/>
      <c r="M637" s="1059"/>
      <c r="N637" s="1059"/>
      <c r="O637" s="1059"/>
      <c r="P637" s="1059"/>
      <c r="Q637" s="1059"/>
      <c r="R637" s="1059"/>
      <c r="S637" s="1059"/>
      <c r="T637" s="1059"/>
      <c r="U637" s="1059"/>
      <c r="V637" s="1059"/>
      <c r="W637" s="1059"/>
      <c r="X637" s="1059"/>
      <c r="Y637" s="1059"/>
      <c r="Z637" s="1059"/>
    </row>
    <row r="638" spans="1:26" ht="12.75" customHeight="1">
      <c r="A638" s="1059"/>
      <c r="B638" s="1059"/>
      <c r="C638" s="1059"/>
      <c r="D638" s="1059"/>
      <c r="E638" s="1059"/>
      <c r="F638" s="1059"/>
      <c r="G638" s="1059"/>
      <c r="H638" s="1059"/>
      <c r="I638" s="1059"/>
      <c r="J638" s="1059"/>
      <c r="K638" s="1059"/>
      <c r="L638" s="1059"/>
      <c r="M638" s="1059"/>
      <c r="N638" s="1059"/>
      <c r="O638" s="1059"/>
      <c r="P638" s="1059"/>
      <c r="Q638" s="1059"/>
      <c r="R638" s="1059"/>
      <c r="S638" s="1059"/>
      <c r="T638" s="1059"/>
      <c r="U638" s="1059"/>
      <c r="V638" s="1059"/>
      <c r="W638" s="1059"/>
      <c r="X638" s="1059"/>
      <c r="Y638" s="1059"/>
      <c r="Z638" s="1059"/>
    </row>
    <row r="639" spans="1:26" ht="12.75" customHeight="1">
      <c r="A639" s="1059"/>
      <c r="B639" s="1059"/>
      <c r="C639" s="1059"/>
      <c r="D639" s="1059"/>
      <c r="E639" s="1059"/>
      <c r="F639" s="1059"/>
      <c r="G639" s="1059"/>
      <c r="H639" s="1059"/>
      <c r="I639" s="1059"/>
      <c r="J639" s="1059"/>
      <c r="K639" s="1059"/>
      <c r="L639" s="1059"/>
      <c r="M639" s="1059"/>
      <c r="N639" s="1059"/>
      <c r="O639" s="1059"/>
      <c r="P639" s="1059"/>
      <c r="Q639" s="1059"/>
      <c r="R639" s="1059"/>
      <c r="S639" s="1059"/>
      <c r="T639" s="1059"/>
      <c r="U639" s="1059"/>
      <c r="V639" s="1059"/>
      <c r="W639" s="1059"/>
      <c r="X639" s="1059"/>
      <c r="Y639" s="1059"/>
      <c r="Z639" s="1059"/>
    </row>
    <row r="640" spans="1:26" ht="12.75" customHeight="1">
      <c r="A640" s="1059"/>
      <c r="B640" s="1059"/>
      <c r="C640" s="1059"/>
      <c r="D640" s="1059"/>
      <c r="E640" s="1059"/>
      <c r="F640" s="1059"/>
      <c r="G640" s="1059"/>
      <c r="H640" s="1059"/>
      <c r="I640" s="1059"/>
      <c r="J640" s="1059"/>
      <c r="K640" s="1059"/>
      <c r="L640" s="1059"/>
      <c r="M640" s="1059"/>
      <c r="N640" s="1059"/>
      <c r="O640" s="1059"/>
      <c r="P640" s="1059"/>
      <c r="Q640" s="1059"/>
      <c r="R640" s="1059"/>
      <c r="S640" s="1059"/>
      <c r="T640" s="1059"/>
      <c r="U640" s="1059"/>
      <c r="V640" s="1059"/>
      <c r="W640" s="1059"/>
      <c r="X640" s="1059"/>
      <c r="Y640" s="1059"/>
      <c r="Z640" s="1059"/>
    </row>
    <row r="641" spans="1:26" ht="12.75" customHeight="1">
      <c r="A641" s="1059"/>
      <c r="B641" s="1059"/>
      <c r="C641" s="1059"/>
      <c r="D641" s="1059"/>
      <c r="E641" s="1059"/>
      <c r="F641" s="1059"/>
      <c r="G641" s="1059"/>
      <c r="H641" s="1059"/>
      <c r="I641" s="1059"/>
      <c r="J641" s="1059"/>
      <c r="K641" s="1059"/>
      <c r="L641" s="1059"/>
      <c r="M641" s="1059"/>
      <c r="N641" s="1059"/>
      <c r="O641" s="1059"/>
      <c r="P641" s="1059"/>
      <c r="Q641" s="1059"/>
      <c r="R641" s="1059"/>
      <c r="S641" s="1059"/>
      <c r="T641" s="1059"/>
      <c r="U641" s="1059"/>
      <c r="V641" s="1059"/>
      <c r="W641" s="1059"/>
      <c r="X641" s="1059"/>
      <c r="Y641" s="1059"/>
      <c r="Z641" s="1059"/>
    </row>
    <row r="642" spans="1:26" ht="12.75" customHeight="1">
      <c r="A642" s="1059"/>
      <c r="B642" s="1059"/>
      <c r="C642" s="1059"/>
      <c r="D642" s="1059"/>
      <c r="E642" s="1059"/>
      <c r="F642" s="1059"/>
      <c r="G642" s="1059"/>
      <c r="H642" s="1059"/>
      <c r="I642" s="1059"/>
      <c r="J642" s="1059"/>
      <c r="K642" s="1059"/>
      <c r="L642" s="1059"/>
      <c r="M642" s="1059"/>
      <c r="N642" s="1059"/>
      <c r="O642" s="1059"/>
      <c r="P642" s="1059"/>
      <c r="Q642" s="1059"/>
      <c r="R642" s="1059"/>
      <c r="S642" s="1059"/>
      <c r="T642" s="1059"/>
      <c r="U642" s="1059"/>
      <c r="V642" s="1059"/>
      <c r="W642" s="1059"/>
      <c r="X642" s="1059"/>
      <c r="Y642" s="1059"/>
      <c r="Z642" s="1059"/>
    </row>
    <row r="643" spans="1:26" ht="12.75" customHeight="1">
      <c r="A643" s="1059"/>
      <c r="B643" s="1059"/>
      <c r="C643" s="1059"/>
      <c r="D643" s="1059"/>
      <c r="E643" s="1059"/>
      <c r="F643" s="1059"/>
      <c r="G643" s="1059"/>
      <c r="H643" s="1059"/>
      <c r="I643" s="1059"/>
      <c r="J643" s="1059"/>
      <c r="K643" s="1059"/>
      <c r="L643" s="1059"/>
      <c r="M643" s="1059"/>
      <c r="N643" s="1059"/>
      <c r="O643" s="1059"/>
      <c r="P643" s="1059"/>
      <c r="Q643" s="1059"/>
      <c r="R643" s="1059"/>
      <c r="S643" s="1059"/>
      <c r="T643" s="1059"/>
      <c r="U643" s="1059"/>
      <c r="V643" s="1059"/>
      <c r="W643" s="1059"/>
      <c r="X643" s="1059"/>
      <c r="Y643" s="1059"/>
      <c r="Z643" s="1059"/>
    </row>
    <row r="644" spans="1:26" ht="12.75" customHeight="1">
      <c r="A644" s="1059"/>
      <c r="B644" s="1059"/>
      <c r="C644" s="1059"/>
      <c r="D644" s="1059"/>
      <c r="E644" s="1059"/>
      <c r="F644" s="1059"/>
      <c r="G644" s="1059"/>
      <c r="H644" s="1059"/>
      <c r="I644" s="1059"/>
      <c r="J644" s="1059"/>
      <c r="K644" s="1059"/>
      <c r="L644" s="1059"/>
      <c r="M644" s="1059"/>
      <c r="N644" s="1059"/>
      <c r="O644" s="1059"/>
      <c r="P644" s="1059"/>
      <c r="Q644" s="1059"/>
      <c r="R644" s="1059"/>
      <c r="S644" s="1059"/>
      <c r="T644" s="1059"/>
      <c r="U644" s="1059"/>
      <c r="V644" s="1059"/>
      <c r="W644" s="1059"/>
      <c r="X644" s="1059"/>
      <c r="Y644" s="1059"/>
      <c r="Z644" s="1059"/>
    </row>
    <row r="645" spans="1:26" ht="12.75" customHeight="1">
      <c r="A645" s="1059"/>
      <c r="B645" s="1059"/>
      <c r="C645" s="1059"/>
      <c r="D645" s="1059"/>
      <c r="E645" s="1059"/>
      <c r="F645" s="1059"/>
      <c r="G645" s="1059"/>
      <c r="H645" s="1059"/>
      <c r="I645" s="1059"/>
      <c r="J645" s="1059"/>
      <c r="K645" s="1059"/>
      <c r="L645" s="1059"/>
      <c r="M645" s="1059"/>
      <c r="N645" s="1059"/>
      <c r="O645" s="1059"/>
      <c r="P645" s="1059"/>
      <c r="Q645" s="1059"/>
      <c r="R645" s="1059"/>
      <c r="S645" s="1059"/>
      <c r="T645" s="1059"/>
      <c r="U645" s="1059"/>
      <c r="V645" s="1059"/>
      <c r="W645" s="1059"/>
      <c r="X645" s="1059"/>
      <c r="Y645" s="1059"/>
      <c r="Z645" s="1059"/>
    </row>
    <row r="646" spans="1:26" ht="12.75" customHeight="1">
      <c r="A646" s="1059"/>
      <c r="B646" s="1059"/>
      <c r="C646" s="1059"/>
      <c r="D646" s="1059"/>
      <c r="E646" s="1059"/>
      <c r="F646" s="1059"/>
      <c r="G646" s="1059"/>
      <c r="H646" s="1059"/>
      <c r="I646" s="1059"/>
      <c r="J646" s="1059"/>
      <c r="K646" s="1059"/>
      <c r="L646" s="1059"/>
      <c r="M646" s="1059"/>
      <c r="N646" s="1059"/>
      <c r="O646" s="1059"/>
      <c r="P646" s="1059"/>
      <c r="Q646" s="1059"/>
      <c r="R646" s="1059"/>
      <c r="S646" s="1059"/>
      <c r="T646" s="1059"/>
      <c r="U646" s="1059"/>
      <c r="V646" s="1059"/>
      <c r="W646" s="1059"/>
      <c r="X646" s="1059"/>
      <c r="Y646" s="1059"/>
      <c r="Z646" s="1059"/>
    </row>
    <row r="647" spans="1:26" ht="12.75" customHeight="1">
      <c r="A647" s="1059"/>
      <c r="B647" s="1059"/>
      <c r="C647" s="1059"/>
      <c r="D647" s="1059"/>
      <c r="E647" s="1059"/>
      <c r="F647" s="1059"/>
      <c r="G647" s="1059"/>
      <c r="H647" s="1059"/>
      <c r="I647" s="1059"/>
      <c r="J647" s="1059"/>
      <c r="K647" s="1059"/>
      <c r="L647" s="1059"/>
      <c r="M647" s="1059"/>
      <c r="N647" s="1059"/>
      <c r="O647" s="1059"/>
      <c r="P647" s="1059"/>
      <c r="Q647" s="1059"/>
      <c r="R647" s="1059"/>
      <c r="S647" s="1059"/>
      <c r="T647" s="1059"/>
      <c r="U647" s="1059"/>
      <c r="V647" s="1059"/>
      <c r="W647" s="1059"/>
      <c r="X647" s="1059"/>
      <c r="Y647" s="1059"/>
      <c r="Z647" s="1059"/>
    </row>
    <row r="648" spans="1:26" ht="12.75" customHeight="1">
      <c r="A648" s="1059"/>
      <c r="B648" s="1059"/>
      <c r="C648" s="1059"/>
      <c r="D648" s="1059"/>
      <c r="E648" s="1059"/>
      <c r="F648" s="1059"/>
      <c r="G648" s="1059"/>
      <c r="H648" s="1059"/>
      <c r="I648" s="1059"/>
      <c r="J648" s="1059"/>
      <c r="K648" s="1059"/>
      <c r="L648" s="1059"/>
      <c r="M648" s="1059"/>
      <c r="N648" s="1059"/>
      <c r="O648" s="1059"/>
      <c r="P648" s="1059"/>
      <c r="Q648" s="1059"/>
      <c r="R648" s="1059"/>
      <c r="S648" s="1059"/>
      <c r="T648" s="1059"/>
      <c r="U648" s="1059"/>
      <c r="V648" s="1059"/>
      <c r="W648" s="1059"/>
      <c r="X648" s="1059"/>
      <c r="Y648" s="1059"/>
      <c r="Z648" s="1059"/>
    </row>
    <row r="649" spans="1:26" ht="12.75" customHeight="1">
      <c r="A649" s="1059"/>
      <c r="B649" s="1059"/>
      <c r="C649" s="1059"/>
      <c r="D649" s="1059"/>
      <c r="E649" s="1059"/>
      <c r="F649" s="1059"/>
      <c r="G649" s="1059"/>
      <c r="H649" s="1059"/>
      <c r="I649" s="1059"/>
      <c r="J649" s="1059"/>
      <c r="K649" s="1059"/>
      <c r="L649" s="1059"/>
      <c r="M649" s="1059"/>
      <c r="N649" s="1059"/>
      <c r="O649" s="1059"/>
      <c r="P649" s="1059"/>
      <c r="Q649" s="1059"/>
      <c r="R649" s="1059"/>
      <c r="S649" s="1059"/>
      <c r="T649" s="1059"/>
      <c r="U649" s="1059"/>
      <c r="V649" s="1059"/>
      <c r="W649" s="1059"/>
      <c r="X649" s="1059"/>
      <c r="Y649" s="1059"/>
      <c r="Z649" s="1059"/>
    </row>
    <row r="650" spans="1:26" ht="12.75" customHeight="1">
      <c r="A650" s="1059"/>
      <c r="B650" s="1059"/>
      <c r="C650" s="1059"/>
      <c r="D650" s="1059"/>
      <c r="E650" s="1059"/>
      <c r="F650" s="1059"/>
      <c r="G650" s="1059"/>
      <c r="H650" s="1059"/>
      <c r="I650" s="1059"/>
      <c r="J650" s="1059"/>
      <c r="K650" s="1059"/>
      <c r="L650" s="1059"/>
      <c r="M650" s="1059"/>
      <c r="N650" s="1059"/>
      <c r="O650" s="1059"/>
      <c r="P650" s="1059"/>
      <c r="Q650" s="1059"/>
      <c r="R650" s="1059"/>
      <c r="S650" s="1059"/>
      <c r="T650" s="1059"/>
      <c r="U650" s="1059"/>
      <c r="V650" s="1059"/>
      <c r="W650" s="1059"/>
      <c r="X650" s="1059"/>
      <c r="Y650" s="1059"/>
      <c r="Z650" s="1059"/>
    </row>
    <row r="651" spans="1:26" ht="12.75" customHeight="1">
      <c r="A651" s="1059"/>
      <c r="B651" s="1059"/>
      <c r="C651" s="1059"/>
      <c r="D651" s="1059"/>
      <c r="E651" s="1059"/>
      <c r="F651" s="1059"/>
      <c r="G651" s="1059"/>
      <c r="H651" s="1059"/>
      <c r="I651" s="1059"/>
      <c r="J651" s="1059"/>
      <c r="K651" s="1059"/>
      <c r="L651" s="1059"/>
      <c r="M651" s="1059"/>
      <c r="N651" s="1059"/>
      <c r="O651" s="1059"/>
      <c r="P651" s="1059"/>
      <c r="Q651" s="1059"/>
      <c r="R651" s="1059"/>
      <c r="S651" s="1059"/>
      <c r="T651" s="1059"/>
      <c r="U651" s="1059"/>
      <c r="V651" s="1059"/>
      <c r="W651" s="1059"/>
      <c r="X651" s="1059"/>
      <c r="Y651" s="1059"/>
      <c r="Z651" s="1059"/>
    </row>
    <row r="652" spans="1:26" ht="12.75" customHeight="1">
      <c r="A652" s="1059"/>
      <c r="B652" s="1059"/>
      <c r="C652" s="1059"/>
      <c r="D652" s="1059"/>
      <c r="E652" s="1059"/>
      <c r="F652" s="1059"/>
      <c r="G652" s="1059"/>
      <c r="H652" s="1059"/>
      <c r="I652" s="1059"/>
      <c r="J652" s="1059"/>
      <c r="K652" s="1059"/>
      <c r="L652" s="1059"/>
      <c r="M652" s="1059"/>
      <c r="N652" s="1059"/>
      <c r="O652" s="1059"/>
      <c r="P652" s="1059"/>
      <c r="Q652" s="1059"/>
      <c r="R652" s="1059"/>
      <c r="S652" s="1059"/>
      <c r="T652" s="1059"/>
      <c r="U652" s="1059"/>
      <c r="V652" s="1059"/>
      <c r="W652" s="1059"/>
      <c r="X652" s="1059"/>
      <c r="Y652" s="1059"/>
      <c r="Z652" s="1059"/>
    </row>
    <row r="653" spans="1:26" ht="12.75" customHeight="1">
      <c r="A653" s="1059"/>
      <c r="B653" s="1059"/>
      <c r="C653" s="1059"/>
      <c r="D653" s="1059"/>
      <c r="E653" s="1059"/>
      <c r="F653" s="1059"/>
      <c r="G653" s="1059"/>
      <c r="H653" s="1059"/>
      <c r="I653" s="1059"/>
      <c r="J653" s="1059"/>
      <c r="K653" s="1059"/>
      <c r="L653" s="1059"/>
      <c r="M653" s="1059"/>
      <c r="N653" s="1059"/>
      <c r="O653" s="1059"/>
      <c r="P653" s="1059"/>
      <c r="Q653" s="1059"/>
      <c r="R653" s="1059"/>
      <c r="S653" s="1059"/>
      <c r="T653" s="1059"/>
      <c r="U653" s="1059"/>
      <c r="V653" s="1059"/>
      <c r="W653" s="1059"/>
      <c r="X653" s="1059"/>
      <c r="Y653" s="1059"/>
      <c r="Z653" s="1059"/>
    </row>
    <row r="654" spans="1:26" ht="12.75" customHeight="1">
      <c r="A654" s="1059"/>
      <c r="B654" s="1059"/>
      <c r="C654" s="1059"/>
      <c r="D654" s="1059"/>
      <c r="E654" s="1059"/>
      <c r="F654" s="1059"/>
      <c r="G654" s="1059"/>
      <c r="H654" s="1059"/>
      <c r="I654" s="1059"/>
      <c r="J654" s="1059"/>
      <c r="K654" s="1059"/>
      <c r="L654" s="1059"/>
      <c r="M654" s="1059"/>
      <c r="N654" s="1059"/>
      <c r="O654" s="1059"/>
      <c r="P654" s="1059"/>
      <c r="Q654" s="1059"/>
      <c r="R654" s="1059"/>
      <c r="S654" s="1059"/>
      <c r="T654" s="1059"/>
      <c r="U654" s="1059"/>
      <c r="V654" s="1059"/>
      <c r="W654" s="1059"/>
      <c r="X654" s="1059"/>
      <c r="Y654" s="1059"/>
      <c r="Z654" s="1059"/>
    </row>
    <row r="655" spans="1:26" ht="12.75" customHeight="1">
      <c r="A655" s="1059"/>
      <c r="B655" s="1059"/>
      <c r="C655" s="1059"/>
      <c r="D655" s="1059"/>
      <c r="E655" s="1059"/>
      <c r="F655" s="1059"/>
      <c r="G655" s="1059"/>
      <c r="H655" s="1059"/>
      <c r="I655" s="1059"/>
      <c r="J655" s="1059"/>
      <c r="K655" s="1059"/>
      <c r="L655" s="1059"/>
      <c r="M655" s="1059"/>
      <c r="N655" s="1059"/>
      <c r="O655" s="1059"/>
      <c r="P655" s="1059"/>
      <c r="Q655" s="1059"/>
      <c r="R655" s="1059"/>
      <c r="S655" s="1059"/>
      <c r="T655" s="1059"/>
      <c r="U655" s="1059"/>
      <c r="V655" s="1059"/>
      <c r="W655" s="1059"/>
      <c r="X655" s="1059"/>
      <c r="Y655" s="1059"/>
      <c r="Z655" s="1059"/>
    </row>
    <row r="656" spans="1:26" ht="12.75" customHeight="1">
      <c r="A656" s="1059"/>
      <c r="B656" s="1059"/>
      <c r="C656" s="1059"/>
      <c r="D656" s="1059"/>
      <c r="E656" s="1059"/>
      <c r="F656" s="1059"/>
      <c r="G656" s="1059"/>
      <c r="H656" s="1059"/>
      <c r="I656" s="1059"/>
      <c r="J656" s="1059"/>
      <c r="K656" s="1059"/>
      <c r="L656" s="1059"/>
      <c r="M656" s="1059"/>
      <c r="N656" s="1059"/>
      <c r="O656" s="1059"/>
      <c r="P656" s="1059"/>
      <c r="Q656" s="1059"/>
      <c r="R656" s="1059"/>
      <c r="S656" s="1059"/>
      <c r="T656" s="1059"/>
      <c r="U656" s="1059"/>
      <c r="V656" s="1059"/>
      <c r="W656" s="1059"/>
      <c r="X656" s="1059"/>
      <c r="Y656" s="1059"/>
      <c r="Z656" s="1059"/>
    </row>
    <row r="657" spans="1:26" ht="12.75" customHeight="1">
      <c r="A657" s="1059"/>
      <c r="B657" s="1059"/>
      <c r="C657" s="1059"/>
      <c r="D657" s="1059"/>
      <c r="E657" s="1059"/>
      <c r="F657" s="1059"/>
      <c r="G657" s="1059"/>
      <c r="H657" s="1059"/>
      <c r="I657" s="1059"/>
      <c r="J657" s="1059"/>
      <c r="K657" s="1059"/>
      <c r="L657" s="1059"/>
      <c r="M657" s="1059"/>
      <c r="N657" s="1059"/>
      <c r="O657" s="1059"/>
      <c r="P657" s="1059"/>
      <c r="Q657" s="1059"/>
      <c r="R657" s="1059"/>
      <c r="S657" s="1059"/>
      <c r="T657" s="1059"/>
      <c r="U657" s="1059"/>
      <c r="V657" s="1059"/>
      <c r="W657" s="1059"/>
      <c r="X657" s="1059"/>
      <c r="Y657" s="1059"/>
      <c r="Z657" s="1059"/>
    </row>
    <row r="658" spans="1:26" ht="12.75" customHeight="1">
      <c r="A658" s="1059"/>
      <c r="B658" s="1059"/>
      <c r="C658" s="1059"/>
      <c r="D658" s="1059"/>
      <c r="E658" s="1059"/>
      <c r="F658" s="1059"/>
      <c r="G658" s="1059"/>
      <c r="H658" s="1059"/>
      <c r="I658" s="1059"/>
      <c r="J658" s="1059"/>
      <c r="K658" s="1059"/>
      <c r="L658" s="1059"/>
      <c r="M658" s="1059"/>
      <c r="N658" s="1059"/>
      <c r="O658" s="1059"/>
      <c r="P658" s="1059"/>
      <c r="Q658" s="1059"/>
      <c r="R658" s="1059"/>
      <c r="S658" s="1059"/>
      <c r="T658" s="1059"/>
      <c r="U658" s="1059"/>
      <c r="V658" s="1059"/>
      <c r="W658" s="1059"/>
      <c r="X658" s="1059"/>
      <c r="Y658" s="1059"/>
      <c r="Z658" s="1059"/>
    </row>
    <row r="659" spans="1:26" ht="12.75" customHeight="1">
      <c r="A659" s="1059"/>
      <c r="B659" s="1059"/>
      <c r="C659" s="1059"/>
      <c r="D659" s="1059"/>
      <c r="E659" s="1059"/>
      <c r="F659" s="1059"/>
      <c r="G659" s="1059"/>
      <c r="H659" s="1059"/>
      <c r="I659" s="1059"/>
      <c r="J659" s="1059"/>
      <c r="K659" s="1059"/>
      <c r="L659" s="1059"/>
      <c r="M659" s="1059"/>
      <c r="N659" s="1059"/>
      <c r="O659" s="1059"/>
      <c r="P659" s="1059"/>
      <c r="Q659" s="1059"/>
      <c r="R659" s="1059"/>
      <c r="S659" s="1059"/>
      <c r="T659" s="1059"/>
      <c r="U659" s="1059"/>
      <c r="V659" s="1059"/>
      <c r="W659" s="1059"/>
      <c r="X659" s="1059"/>
      <c r="Y659" s="1059"/>
      <c r="Z659" s="1059"/>
    </row>
    <row r="660" spans="1:26" ht="12.75" customHeight="1">
      <c r="A660" s="1059"/>
      <c r="B660" s="1059"/>
      <c r="C660" s="1059"/>
      <c r="D660" s="1059"/>
      <c r="E660" s="1059"/>
      <c r="F660" s="1059"/>
      <c r="G660" s="1059"/>
      <c r="H660" s="1059"/>
      <c r="I660" s="1059"/>
      <c r="J660" s="1059"/>
      <c r="K660" s="1059"/>
      <c r="L660" s="1059"/>
      <c r="M660" s="1059"/>
      <c r="N660" s="1059"/>
      <c r="O660" s="1059"/>
      <c r="P660" s="1059"/>
      <c r="Q660" s="1059"/>
      <c r="R660" s="1059"/>
      <c r="S660" s="1059"/>
      <c r="T660" s="1059"/>
      <c r="U660" s="1059"/>
      <c r="V660" s="1059"/>
      <c r="W660" s="1059"/>
      <c r="X660" s="1059"/>
      <c r="Y660" s="1059"/>
      <c r="Z660" s="1059"/>
    </row>
    <row r="661" spans="1:26" ht="12.75" customHeight="1">
      <c r="A661" s="1059"/>
      <c r="B661" s="1059"/>
      <c r="C661" s="1059"/>
      <c r="D661" s="1059"/>
      <c r="E661" s="1059"/>
      <c r="F661" s="1059"/>
      <c r="G661" s="1059"/>
      <c r="H661" s="1059"/>
      <c r="I661" s="1059"/>
      <c r="J661" s="1059"/>
      <c r="K661" s="1059"/>
      <c r="L661" s="1059"/>
      <c r="M661" s="1059"/>
      <c r="N661" s="1059"/>
      <c r="O661" s="1059"/>
      <c r="P661" s="1059"/>
      <c r="Q661" s="1059"/>
      <c r="R661" s="1059"/>
      <c r="S661" s="1059"/>
      <c r="T661" s="1059"/>
      <c r="U661" s="1059"/>
      <c r="V661" s="1059"/>
      <c r="W661" s="1059"/>
      <c r="X661" s="1059"/>
      <c r="Y661" s="1059"/>
      <c r="Z661" s="1059"/>
    </row>
    <row r="662" spans="1:26" ht="12.75" customHeight="1">
      <c r="A662" s="1059"/>
      <c r="B662" s="1059"/>
      <c r="C662" s="1059"/>
      <c r="D662" s="1059"/>
      <c r="E662" s="1059"/>
      <c r="F662" s="1059"/>
      <c r="G662" s="1059"/>
      <c r="H662" s="1059"/>
      <c r="I662" s="1059"/>
      <c r="J662" s="1059"/>
      <c r="K662" s="1059"/>
      <c r="L662" s="1059"/>
      <c r="M662" s="1059"/>
      <c r="N662" s="1059"/>
      <c r="O662" s="1059"/>
      <c r="P662" s="1059"/>
      <c r="Q662" s="1059"/>
      <c r="R662" s="1059"/>
      <c r="S662" s="1059"/>
      <c r="T662" s="1059"/>
      <c r="U662" s="1059"/>
      <c r="V662" s="1059"/>
      <c r="W662" s="1059"/>
      <c r="X662" s="1059"/>
      <c r="Y662" s="1059"/>
      <c r="Z662" s="1059"/>
    </row>
    <row r="663" spans="1:26" ht="12.75" customHeight="1">
      <c r="A663" s="1059"/>
      <c r="B663" s="1059"/>
      <c r="C663" s="1059"/>
      <c r="D663" s="1059"/>
      <c r="E663" s="1059"/>
      <c r="F663" s="1059"/>
      <c r="G663" s="1059"/>
      <c r="H663" s="1059"/>
      <c r="I663" s="1059"/>
      <c r="J663" s="1059"/>
      <c r="K663" s="1059"/>
      <c r="L663" s="1059"/>
      <c r="M663" s="1059"/>
      <c r="N663" s="1059"/>
      <c r="O663" s="1059"/>
      <c r="P663" s="1059"/>
      <c r="Q663" s="1059"/>
      <c r="R663" s="1059"/>
      <c r="S663" s="1059"/>
      <c r="T663" s="1059"/>
      <c r="U663" s="1059"/>
      <c r="V663" s="1059"/>
      <c r="W663" s="1059"/>
      <c r="X663" s="1059"/>
      <c r="Y663" s="1059"/>
      <c r="Z663" s="1059"/>
    </row>
    <row r="664" spans="1:26" ht="12.75" customHeight="1">
      <c r="A664" s="1059"/>
      <c r="B664" s="1059"/>
      <c r="C664" s="1059"/>
      <c r="D664" s="1059"/>
      <c r="E664" s="1059"/>
      <c r="F664" s="1059"/>
      <c r="G664" s="1059"/>
      <c r="H664" s="1059"/>
      <c r="I664" s="1059"/>
      <c r="J664" s="1059"/>
      <c r="K664" s="1059"/>
      <c r="L664" s="1059"/>
      <c r="M664" s="1059"/>
      <c r="N664" s="1059"/>
      <c r="O664" s="1059"/>
      <c r="P664" s="1059"/>
      <c r="Q664" s="1059"/>
      <c r="R664" s="1059"/>
      <c r="S664" s="1059"/>
      <c r="T664" s="1059"/>
      <c r="U664" s="1059"/>
      <c r="V664" s="1059"/>
      <c r="W664" s="1059"/>
      <c r="X664" s="1059"/>
      <c r="Y664" s="1059"/>
      <c r="Z664" s="1059"/>
    </row>
    <row r="665" spans="1:26" ht="12.75" customHeight="1">
      <c r="A665" s="1059"/>
      <c r="B665" s="1059"/>
      <c r="C665" s="1059"/>
      <c r="D665" s="1059"/>
      <c r="E665" s="1059"/>
      <c r="F665" s="1059"/>
      <c r="G665" s="1059"/>
      <c r="H665" s="1059"/>
      <c r="I665" s="1059"/>
      <c r="J665" s="1059"/>
      <c r="K665" s="1059"/>
      <c r="L665" s="1059"/>
      <c r="M665" s="1059"/>
      <c r="N665" s="1059"/>
      <c r="O665" s="1059"/>
      <c r="P665" s="1059"/>
      <c r="Q665" s="1059"/>
      <c r="R665" s="1059"/>
      <c r="S665" s="1059"/>
      <c r="T665" s="1059"/>
      <c r="U665" s="1059"/>
      <c r="V665" s="1059"/>
      <c r="W665" s="1059"/>
      <c r="X665" s="1059"/>
      <c r="Y665" s="1059"/>
      <c r="Z665" s="1059"/>
    </row>
    <row r="666" spans="1:26" ht="12.75" customHeight="1">
      <c r="A666" s="1059"/>
      <c r="B666" s="1059"/>
      <c r="C666" s="1059"/>
      <c r="D666" s="1059"/>
      <c r="E666" s="1059"/>
      <c r="F666" s="1059"/>
      <c r="G666" s="1059"/>
      <c r="H666" s="1059"/>
      <c r="I666" s="1059"/>
      <c r="J666" s="1059"/>
      <c r="K666" s="1059"/>
      <c r="L666" s="1059"/>
      <c r="M666" s="1059"/>
      <c r="N666" s="1059"/>
      <c r="O666" s="1059"/>
      <c r="P666" s="1059"/>
      <c r="Q666" s="1059"/>
      <c r="R666" s="1059"/>
      <c r="S666" s="1059"/>
      <c r="T666" s="1059"/>
      <c r="U666" s="1059"/>
      <c r="V666" s="1059"/>
      <c r="W666" s="1059"/>
      <c r="X666" s="1059"/>
      <c r="Y666" s="1059"/>
      <c r="Z666" s="1059"/>
    </row>
    <row r="667" spans="1:26" ht="12.75" customHeight="1">
      <c r="A667" s="1059"/>
      <c r="B667" s="1059"/>
      <c r="C667" s="1059"/>
      <c r="D667" s="1059"/>
      <c r="E667" s="1059"/>
      <c r="F667" s="1059"/>
      <c r="G667" s="1059"/>
      <c r="H667" s="1059"/>
      <c r="I667" s="1059"/>
      <c r="J667" s="1059"/>
      <c r="K667" s="1059"/>
      <c r="L667" s="1059"/>
      <c r="M667" s="1059"/>
      <c r="N667" s="1059"/>
      <c r="O667" s="1059"/>
      <c r="P667" s="1059"/>
      <c r="Q667" s="1059"/>
      <c r="R667" s="1059"/>
      <c r="S667" s="1059"/>
      <c r="T667" s="1059"/>
      <c r="U667" s="1059"/>
      <c r="V667" s="1059"/>
      <c r="W667" s="1059"/>
      <c r="X667" s="1059"/>
      <c r="Y667" s="1059"/>
      <c r="Z667" s="1059"/>
    </row>
    <row r="668" spans="1:26" ht="12.75" customHeight="1">
      <c r="A668" s="1059"/>
      <c r="B668" s="1059"/>
      <c r="C668" s="1059"/>
      <c r="D668" s="1059"/>
      <c r="E668" s="1059"/>
      <c r="F668" s="1059"/>
      <c r="G668" s="1059"/>
      <c r="H668" s="1059"/>
      <c r="I668" s="1059"/>
      <c r="J668" s="1059"/>
      <c r="K668" s="1059"/>
      <c r="L668" s="1059"/>
      <c r="M668" s="1059"/>
      <c r="N668" s="1059"/>
      <c r="O668" s="1059"/>
      <c r="P668" s="1059"/>
      <c r="Q668" s="1059"/>
      <c r="R668" s="1059"/>
      <c r="S668" s="1059"/>
      <c r="T668" s="1059"/>
      <c r="U668" s="1059"/>
      <c r="V668" s="1059"/>
      <c r="W668" s="1059"/>
      <c r="X668" s="1059"/>
      <c r="Y668" s="1059"/>
      <c r="Z668" s="1059"/>
    </row>
    <row r="669" spans="1:26" ht="12.75" customHeight="1">
      <c r="A669" s="1059"/>
      <c r="B669" s="1059"/>
      <c r="C669" s="1059"/>
      <c r="D669" s="1059"/>
      <c r="E669" s="1059"/>
      <c r="F669" s="1059"/>
      <c r="G669" s="1059"/>
      <c r="H669" s="1059"/>
      <c r="I669" s="1059"/>
      <c r="J669" s="1059"/>
      <c r="K669" s="1059"/>
      <c r="L669" s="1059"/>
      <c r="M669" s="1059"/>
      <c r="N669" s="1059"/>
      <c r="O669" s="1059"/>
      <c r="P669" s="1059"/>
      <c r="Q669" s="1059"/>
      <c r="R669" s="1059"/>
      <c r="S669" s="1059"/>
      <c r="T669" s="1059"/>
      <c r="U669" s="1059"/>
      <c r="V669" s="1059"/>
      <c r="W669" s="1059"/>
      <c r="X669" s="1059"/>
      <c r="Y669" s="1059"/>
      <c r="Z669" s="1059"/>
    </row>
    <row r="670" spans="1:26" ht="12.75" customHeight="1">
      <c r="A670" s="1059"/>
      <c r="B670" s="1059"/>
      <c r="C670" s="1059"/>
      <c r="D670" s="1059"/>
      <c r="E670" s="1059"/>
      <c r="F670" s="1059"/>
      <c r="G670" s="1059"/>
      <c r="H670" s="1059"/>
      <c r="I670" s="1059"/>
      <c r="J670" s="1059"/>
      <c r="K670" s="1059"/>
      <c r="L670" s="1059"/>
      <c r="M670" s="1059"/>
      <c r="N670" s="1059"/>
      <c r="O670" s="1059"/>
      <c r="P670" s="1059"/>
      <c r="Q670" s="1059"/>
      <c r="R670" s="1059"/>
      <c r="S670" s="1059"/>
      <c r="T670" s="1059"/>
      <c r="U670" s="1059"/>
      <c r="V670" s="1059"/>
      <c r="W670" s="1059"/>
      <c r="X670" s="1059"/>
      <c r="Y670" s="1059"/>
      <c r="Z670" s="1059"/>
    </row>
    <row r="671" spans="1:26" ht="12.75" customHeight="1">
      <c r="A671" s="1059"/>
      <c r="B671" s="1059"/>
      <c r="C671" s="1059"/>
      <c r="D671" s="1059"/>
      <c r="E671" s="1059"/>
      <c r="F671" s="1059"/>
      <c r="G671" s="1059"/>
      <c r="H671" s="1059"/>
      <c r="I671" s="1059"/>
      <c r="J671" s="1059"/>
      <c r="K671" s="1059"/>
      <c r="L671" s="1059"/>
      <c r="M671" s="1059"/>
      <c r="N671" s="1059"/>
      <c r="O671" s="1059"/>
      <c r="P671" s="1059"/>
      <c r="Q671" s="1059"/>
      <c r="R671" s="1059"/>
      <c r="S671" s="1059"/>
      <c r="T671" s="1059"/>
      <c r="U671" s="1059"/>
      <c r="V671" s="1059"/>
      <c r="W671" s="1059"/>
      <c r="X671" s="1059"/>
      <c r="Y671" s="1059"/>
      <c r="Z671" s="1059"/>
    </row>
    <row r="672" spans="1:26" ht="12.75" customHeight="1">
      <c r="A672" s="1059"/>
      <c r="B672" s="1059"/>
      <c r="C672" s="1059"/>
      <c r="D672" s="1059"/>
      <c r="E672" s="1059"/>
      <c r="F672" s="1059"/>
      <c r="G672" s="1059"/>
      <c r="H672" s="1059"/>
      <c r="I672" s="1059"/>
      <c r="J672" s="1059"/>
      <c r="K672" s="1059"/>
      <c r="L672" s="1059"/>
      <c r="M672" s="1059"/>
      <c r="N672" s="1059"/>
      <c r="O672" s="1059"/>
      <c r="P672" s="1059"/>
      <c r="Q672" s="1059"/>
      <c r="R672" s="1059"/>
      <c r="S672" s="1059"/>
      <c r="T672" s="1059"/>
      <c r="U672" s="1059"/>
      <c r="V672" s="1059"/>
      <c r="W672" s="1059"/>
      <c r="X672" s="1059"/>
      <c r="Y672" s="1059"/>
      <c r="Z672" s="1059"/>
    </row>
    <row r="673" spans="1:26" ht="12.75" customHeight="1">
      <c r="A673" s="1059"/>
      <c r="B673" s="1059"/>
      <c r="C673" s="1059"/>
      <c r="D673" s="1059"/>
      <c r="E673" s="1059"/>
      <c r="F673" s="1059"/>
      <c r="G673" s="1059"/>
      <c r="H673" s="1059"/>
      <c r="I673" s="1059"/>
      <c r="J673" s="1059"/>
      <c r="K673" s="1059"/>
      <c r="L673" s="1059"/>
      <c r="M673" s="1059"/>
      <c r="N673" s="1059"/>
      <c r="O673" s="1059"/>
      <c r="P673" s="1059"/>
      <c r="Q673" s="1059"/>
      <c r="R673" s="1059"/>
      <c r="S673" s="1059"/>
      <c r="T673" s="1059"/>
      <c r="U673" s="1059"/>
      <c r="V673" s="1059"/>
      <c r="W673" s="1059"/>
      <c r="X673" s="1059"/>
      <c r="Y673" s="1059"/>
      <c r="Z673" s="1059"/>
    </row>
    <row r="674" spans="1:26" ht="12.75" customHeight="1">
      <c r="A674" s="1059"/>
      <c r="B674" s="1059"/>
      <c r="C674" s="1059"/>
      <c r="D674" s="1059"/>
      <c r="E674" s="1059"/>
      <c r="F674" s="1059"/>
      <c r="G674" s="1059"/>
      <c r="H674" s="1059"/>
      <c r="I674" s="1059"/>
      <c r="J674" s="1059"/>
      <c r="K674" s="1059"/>
      <c r="L674" s="1059"/>
      <c r="M674" s="1059"/>
      <c r="N674" s="1059"/>
      <c r="O674" s="1059"/>
      <c r="P674" s="1059"/>
      <c r="Q674" s="1059"/>
      <c r="R674" s="1059"/>
      <c r="S674" s="1059"/>
      <c r="T674" s="1059"/>
      <c r="U674" s="1059"/>
      <c r="V674" s="1059"/>
      <c r="W674" s="1059"/>
      <c r="X674" s="1059"/>
      <c r="Y674" s="1059"/>
      <c r="Z674" s="1059"/>
    </row>
    <row r="675" spans="1:26" ht="12.75" customHeight="1">
      <c r="A675" s="1059"/>
      <c r="B675" s="1059"/>
      <c r="C675" s="1059"/>
      <c r="D675" s="1059"/>
      <c r="E675" s="1059"/>
      <c r="F675" s="1059"/>
      <c r="G675" s="1059"/>
      <c r="H675" s="1059"/>
      <c r="I675" s="1059"/>
      <c r="J675" s="1059"/>
      <c r="K675" s="1059"/>
      <c r="L675" s="1059"/>
      <c r="M675" s="1059"/>
      <c r="N675" s="1059"/>
      <c r="O675" s="1059"/>
      <c r="P675" s="1059"/>
      <c r="Q675" s="1059"/>
      <c r="R675" s="1059"/>
      <c r="S675" s="1059"/>
      <c r="T675" s="1059"/>
      <c r="U675" s="1059"/>
      <c r="V675" s="1059"/>
      <c r="W675" s="1059"/>
      <c r="X675" s="1059"/>
      <c r="Y675" s="1059"/>
      <c r="Z675" s="1059"/>
    </row>
    <row r="676" spans="1:26" ht="12.75" customHeight="1">
      <c r="A676" s="1059"/>
      <c r="B676" s="1059"/>
      <c r="C676" s="1059"/>
      <c r="D676" s="1059"/>
      <c r="E676" s="1059"/>
      <c r="F676" s="1059"/>
      <c r="G676" s="1059"/>
      <c r="H676" s="1059"/>
      <c r="I676" s="1059"/>
      <c r="J676" s="1059"/>
      <c r="K676" s="1059"/>
      <c r="L676" s="1059"/>
      <c r="M676" s="1059"/>
      <c r="N676" s="1059"/>
      <c r="O676" s="1059"/>
      <c r="P676" s="1059"/>
      <c r="Q676" s="1059"/>
      <c r="R676" s="1059"/>
      <c r="S676" s="1059"/>
      <c r="T676" s="1059"/>
      <c r="U676" s="1059"/>
      <c r="V676" s="1059"/>
      <c r="W676" s="1059"/>
      <c r="X676" s="1059"/>
      <c r="Y676" s="1059"/>
      <c r="Z676" s="1059"/>
    </row>
    <row r="677" spans="1:26" ht="12.75" customHeight="1">
      <c r="A677" s="1059"/>
      <c r="B677" s="1059"/>
      <c r="C677" s="1059"/>
      <c r="D677" s="1059"/>
      <c r="E677" s="1059"/>
      <c r="F677" s="1059"/>
      <c r="G677" s="1059"/>
      <c r="H677" s="1059"/>
      <c r="I677" s="1059"/>
      <c r="J677" s="1059"/>
      <c r="K677" s="1059"/>
      <c r="L677" s="1059"/>
      <c r="M677" s="1059"/>
      <c r="N677" s="1059"/>
      <c r="O677" s="1059"/>
      <c r="P677" s="1059"/>
      <c r="Q677" s="1059"/>
      <c r="R677" s="1059"/>
      <c r="S677" s="1059"/>
      <c r="T677" s="1059"/>
      <c r="U677" s="1059"/>
      <c r="V677" s="1059"/>
      <c r="W677" s="1059"/>
      <c r="X677" s="1059"/>
      <c r="Y677" s="1059"/>
      <c r="Z677" s="1059"/>
    </row>
    <row r="678" spans="1:26" ht="12.75" customHeight="1">
      <c r="A678" s="1059"/>
      <c r="B678" s="1059"/>
      <c r="C678" s="1059"/>
      <c r="D678" s="1059"/>
      <c r="E678" s="1059"/>
      <c r="F678" s="1059"/>
      <c r="G678" s="1059"/>
      <c r="H678" s="1059"/>
      <c r="I678" s="1059"/>
      <c r="J678" s="1059"/>
      <c r="K678" s="1059"/>
      <c r="L678" s="1059"/>
      <c r="M678" s="1059"/>
      <c r="N678" s="1059"/>
      <c r="O678" s="1059"/>
      <c r="P678" s="1059"/>
      <c r="Q678" s="1059"/>
      <c r="R678" s="1059"/>
      <c r="S678" s="1059"/>
      <c r="T678" s="1059"/>
      <c r="U678" s="1059"/>
      <c r="V678" s="1059"/>
      <c r="W678" s="1059"/>
      <c r="X678" s="1059"/>
      <c r="Y678" s="1059"/>
      <c r="Z678" s="1059"/>
    </row>
    <row r="679" spans="1:26" ht="12.75" customHeight="1">
      <c r="A679" s="1059"/>
      <c r="B679" s="1059"/>
      <c r="C679" s="1059"/>
      <c r="D679" s="1059"/>
      <c r="E679" s="1059"/>
      <c r="F679" s="1059"/>
      <c r="G679" s="1059"/>
      <c r="H679" s="1059"/>
      <c r="I679" s="1059"/>
      <c r="J679" s="1059"/>
      <c r="K679" s="1059"/>
      <c r="L679" s="1059"/>
      <c r="M679" s="1059"/>
      <c r="N679" s="1059"/>
      <c r="O679" s="1059"/>
      <c r="P679" s="1059"/>
      <c r="Q679" s="1059"/>
      <c r="R679" s="1059"/>
      <c r="S679" s="1059"/>
      <c r="T679" s="1059"/>
      <c r="U679" s="1059"/>
      <c r="V679" s="1059"/>
      <c r="W679" s="1059"/>
      <c r="X679" s="1059"/>
      <c r="Y679" s="1059"/>
      <c r="Z679" s="1059"/>
    </row>
    <row r="680" spans="1:26" ht="12.75" customHeight="1">
      <c r="A680" s="1059"/>
      <c r="B680" s="1059"/>
      <c r="C680" s="1059"/>
      <c r="D680" s="1059"/>
      <c r="E680" s="1059"/>
      <c r="F680" s="1059"/>
      <c r="G680" s="1059"/>
      <c r="H680" s="1059"/>
      <c r="I680" s="1059"/>
      <c r="J680" s="1059"/>
      <c r="K680" s="1059"/>
      <c r="L680" s="1059"/>
      <c r="M680" s="1059"/>
      <c r="N680" s="1059"/>
      <c r="O680" s="1059"/>
      <c r="P680" s="1059"/>
      <c r="Q680" s="1059"/>
      <c r="R680" s="1059"/>
      <c r="S680" s="1059"/>
      <c r="T680" s="1059"/>
      <c r="U680" s="1059"/>
      <c r="V680" s="1059"/>
      <c r="W680" s="1059"/>
      <c r="X680" s="1059"/>
      <c r="Y680" s="1059"/>
      <c r="Z680" s="1059"/>
    </row>
    <row r="681" spans="1:26" ht="12.75" customHeight="1">
      <c r="A681" s="1059"/>
      <c r="B681" s="1059"/>
      <c r="C681" s="1059"/>
      <c r="D681" s="1059"/>
      <c r="E681" s="1059"/>
      <c r="F681" s="1059"/>
      <c r="G681" s="1059"/>
      <c r="H681" s="1059"/>
      <c r="I681" s="1059"/>
      <c r="J681" s="1059"/>
      <c r="K681" s="1059"/>
      <c r="L681" s="1059"/>
      <c r="M681" s="1059"/>
      <c r="N681" s="1059"/>
      <c r="O681" s="1059"/>
      <c r="P681" s="1059"/>
      <c r="Q681" s="1059"/>
      <c r="R681" s="1059"/>
      <c r="S681" s="1059"/>
      <c r="T681" s="1059"/>
      <c r="U681" s="1059"/>
      <c r="V681" s="1059"/>
      <c r="W681" s="1059"/>
      <c r="X681" s="1059"/>
      <c r="Y681" s="1059"/>
      <c r="Z681" s="1059"/>
    </row>
    <row r="682" spans="1:26" ht="12.75" customHeight="1">
      <c r="A682" s="1059"/>
      <c r="B682" s="1059"/>
      <c r="C682" s="1059"/>
      <c r="D682" s="1059"/>
      <c r="E682" s="1059"/>
      <c r="F682" s="1059"/>
      <c r="G682" s="1059"/>
      <c r="H682" s="1059"/>
      <c r="I682" s="1059"/>
      <c r="J682" s="1059"/>
      <c r="K682" s="1059"/>
      <c r="L682" s="1059"/>
      <c r="M682" s="1059"/>
      <c r="N682" s="1059"/>
      <c r="O682" s="1059"/>
      <c r="P682" s="1059"/>
      <c r="Q682" s="1059"/>
      <c r="R682" s="1059"/>
      <c r="S682" s="1059"/>
      <c r="T682" s="1059"/>
      <c r="U682" s="1059"/>
      <c r="V682" s="1059"/>
      <c r="W682" s="1059"/>
      <c r="X682" s="1059"/>
      <c r="Y682" s="1059"/>
      <c r="Z682" s="1059"/>
    </row>
    <row r="683" spans="1:26" ht="12.75" customHeight="1">
      <c r="A683" s="1059"/>
      <c r="B683" s="1059"/>
      <c r="C683" s="1059"/>
      <c r="D683" s="1059"/>
      <c r="E683" s="1059"/>
      <c r="F683" s="1059"/>
      <c r="G683" s="1059"/>
      <c r="H683" s="1059"/>
      <c r="I683" s="1059"/>
      <c r="J683" s="1059"/>
      <c r="K683" s="1059"/>
      <c r="L683" s="1059"/>
      <c r="M683" s="1059"/>
      <c r="N683" s="1059"/>
      <c r="O683" s="1059"/>
      <c r="P683" s="1059"/>
      <c r="Q683" s="1059"/>
      <c r="R683" s="1059"/>
      <c r="S683" s="1059"/>
      <c r="T683" s="1059"/>
      <c r="U683" s="1059"/>
      <c r="V683" s="1059"/>
      <c r="W683" s="1059"/>
      <c r="X683" s="1059"/>
      <c r="Y683" s="1059"/>
      <c r="Z683" s="1059"/>
    </row>
    <row r="684" spans="1:26" ht="12.75" customHeight="1">
      <c r="A684" s="1059"/>
      <c r="B684" s="1059"/>
      <c r="C684" s="1059"/>
      <c r="D684" s="1059"/>
      <c r="E684" s="1059"/>
      <c r="F684" s="1059"/>
      <c r="G684" s="1059"/>
      <c r="H684" s="1059"/>
      <c r="I684" s="1059"/>
      <c r="J684" s="1059"/>
      <c r="K684" s="1059"/>
      <c r="L684" s="1059"/>
      <c r="M684" s="1059"/>
      <c r="N684" s="1059"/>
      <c r="O684" s="1059"/>
      <c r="P684" s="1059"/>
      <c r="Q684" s="1059"/>
      <c r="R684" s="1059"/>
      <c r="S684" s="1059"/>
      <c r="T684" s="1059"/>
      <c r="U684" s="1059"/>
      <c r="V684" s="1059"/>
      <c r="W684" s="1059"/>
      <c r="X684" s="1059"/>
      <c r="Y684" s="1059"/>
      <c r="Z684" s="1059"/>
    </row>
    <row r="685" spans="1:26" ht="12.75" customHeight="1">
      <c r="A685" s="1059"/>
      <c r="B685" s="1059"/>
      <c r="C685" s="1059"/>
      <c r="D685" s="1059"/>
      <c r="E685" s="1059"/>
      <c r="F685" s="1059"/>
      <c r="G685" s="1059"/>
      <c r="H685" s="1059"/>
      <c r="I685" s="1059"/>
      <c r="J685" s="1059"/>
      <c r="K685" s="1059"/>
      <c r="L685" s="1059"/>
      <c r="M685" s="1059"/>
      <c r="N685" s="1059"/>
      <c r="O685" s="1059"/>
      <c r="P685" s="1059"/>
      <c r="Q685" s="1059"/>
      <c r="R685" s="1059"/>
      <c r="S685" s="1059"/>
      <c r="T685" s="1059"/>
      <c r="U685" s="1059"/>
      <c r="V685" s="1059"/>
      <c r="W685" s="1059"/>
      <c r="X685" s="1059"/>
      <c r="Y685" s="1059"/>
      <c r="Z685" s="1059"/>
    </row>
    <row r="686" spans="1:26" ht="12.75" customHeight="1">
      <c r="A686" s="1059"/>
      <c r="B686" s="1059"/>
      <c r="C686" s="1059"/>
      <c r="D686" s="1059"/>
      <c r="E686" s="1059"/>
      <c r="F686" s="1059"/>
      <c r="G686" s="1059"/>
      <c r="H686" s="1059"/>
      <c r="I686" s="1059"/>
      <c r="J686" s="1059"/>
      <c r="K686" s="1059"/>
      <c r="L686" s="1059"/>
      <c r="M686" s="1059"/>
      <c r="N686" s="1059"/>
      <c r="O686" s="1059"/>
      <c r="P686" s="1059"/>
      <c r="Q686" s="1059"/>
      <c r="R686" s="1059"/>
      <c r="S686" s="1059"/>
      <c r="T686" s="1059"/>
      <c r="U686" s="1059"/>
      <c r="V686" s="1059"/>
      <c r="W686" s="1059"/>
      <c r="X686" s="1059"/>
      <c r="Y686" s="1059"/>
      <c r="Z686" s="1059"/>
    </row>
    <row r="687" spans="1:26" ht="12.75" customHeight="1">
      <c r="A687" s="1059"/>
      <c r="B687" s="1059"/>
      <c r="C687" s="1059"/>
      <c r="D687" s="1059"/>
      <c r="E687" s="1059"/>
      <c r="F687" s="1059"/>
      <c r="G687" s="1059"/>
      <c r="H687" s="1059"/>
      <c r="I687" s="1059"/>
      <c r="J687" s="1059"/>
      <c r="K687" s="1059"/>
      <c r="L687" s="1059"/>
      <c r="M687" s="1059"/>
      <c r="N687" s="1059"/>
      <c r="O687" s="1059"/>
      <c r="P687" s="1059"/>
      <c r="Q687" s="1059"/>
      <c r="R687" s="1059"/>
      <c r="S687" s="1059"/>
      <c r="T687" s="1059"/>
      <c r="U687" s="1059"/>
      <c r="V687" s="1059"/>
      <c r="W687" s="1059"/>
      <c r="X687" s="1059"/>
      <c r="Y687" s="1059"/>
      <c r="Z687" s="1059"/>
    </row>
    <row r="688" spans="1:26" ht="12.75" customHeight="1">
      <c r="A688" s="1059"/>
      <c r="B688" s="1059"/>
      <c r="C688" s="1059"/>
      <c r="D688" s="1059"/>
      <c r="E688" s="1059"/>
      <c r="F688" s="1059"/>
      <c r="G688" s="1059"/>
      <c r="H688" s="1059"/>
      <c r="I688" s="1059"/>
      <c r="J688" s="1059"/>
      <c r="K688" s="1059"/>
      <c r="L688" s="1059"/>
      <c r="M688" s="1059"/>
      <c r="N688" s="1059"/>
      <c r="O688" s="1059"/>
      <c r="P688" s="1059"/>
      <c r="Q688" s="1059"/>
      <c r="R688" s="1059"/>
      <c r="S688" s="1059"/>
      <c r="T688" s="1059"/>
      <c r="U688" s="1059"/>
      <c r="V688" s="1059"/>
      <c r="W688" s="1059"/>
      <c r="X688" s="1059"/>
      <c r="Y688" s="1059"/>
      <c r="Z688" s="1059"/>
    </row>
    <row r="689" spans="1:26" ht="12.75" customHeight="1">
      <c r="A689" s="1059"/>
      <c r="B689" s="1059"/>
      <c r="C689" s="1059"/>
      <c r="D689" s="1059"/>
      <c r="E689" s="1059"/>
      <c r="F689" s="1059"/>
      <c r="G689" s="1059"/>
      <c r="H689" s="1059"/>
      <c r="I689" s="1059"/>
      <c r="J689" s="1059"/>
      <c r="K689" s="1059"/>
      <c r="L689" s="1059"/>
      <c r="M689" s="1059"/>
      <c r="N689" s="1059"/>
      <c r="O689" s="1059"/>
      <c r="P689" s="1059"/>
      <c r="Q689" s="1059"/>
      <c r="R689" s="1059"/>
      <c r="S689" s="1059"/>
      <c r="T689" s="1059"/>
      <c r="U689" s="1059"/>
      <c r="V689" s="1059"/>
      <c r="W689" s="1059"/>
      <c r="X689" s="1059"/>
      <c r="Y689" s="1059"/>
      <c r="Z689" s="1059"/>
    </row>
    <row r="690" spans="1:26" ht="12.75" customHeight="1">
      <c r="A690" s="1059"/>
      <c r="B690" s="1059"/>
      <c r="C690" s="1059"/>
      <c r="D690" s="1059"/>
      <c r="E690" s="1059"/>
      <c r="F690" s="1059"/>
      <c r="G690" s="1059"/>
      <c r="H690" s="1059"/>
      <c r="I690" s="1059"/>
      <c r="J690" s="1059"/>
      <c r="K690" s="1059"/>
      <c r="L690" s="1059"/>
      <c r="M690" s="1059"/>
      <c r="N690" s="1059"/>
      <c r="O690" s="1059"/>
      <c r="P690" s="1059"/>
      <c r="Q690" s="1059"/>
      <c r="R690" s="1059"/>
      <c r="S690" s="1059"/>
      <c r="T690" s="1059"/>
      <c r="U690" s="1059"/>
      <c r="V690" s="1059"/>
      <c r="W690" s="1059"/>
      <c r="X690" s="1059"/>
      <c r="Y690" s="1059"/>
      <c r="Z690" s="1059"/>
    </row>
    <row r="691" spans="1:26" ht="12.75" customHeight="1">
      <c r="A691" s="1059"/>
      <c r="B691" s="1059"/>
      <c r="C691" s="1059"/>
      <c r="D691" s="1059"/>
      <c r="E691" s="1059"/>
      <c r="F691" s="1059"/>
      <c r="G691" s="1059"/>
      <c r="H691" s="1059"/>
      <c r="I691" s="1059"/>
      <c r="J691" s="1059"/>
      <c r="K691" s="1059"/>
      <c r="L691" s="1059"/>
      <c r="M691" s="1059"/>
      <c r="N691" s="1059"/>
      <c r="O691" s="1059"/>
      <c r="P691" s="1059"/>
      <c r="Q691" s="1059"/>
      <c r="R691" s="1059"/>
      <c r="S691" s="1059"/>
      <c r="T691" s="1059"/>
      <c r="U691" s="1059"/>
      <c r="V691" s="1059"/>
      <c r="W691" s="1059"/>
      <c r="X691" s="1059"/>
      <c r="Y691" s="1059"/>
      <c r="Z691" s="1059"/>
    </row>
    <row r="692" spans="1:26" ht="12.75" customHeight="1">
      <c r="A692" s="1059"/>
      <c r="B692" s="1059"/>
      <c r="C692" s="1059"/>
      <c r="D692" s="1059"/>
      <c r="E692" s="1059"/>
      <c r="F692" s="1059"/>
      <c r="G692" s="1059"/>
      <c r="H692" s="1059"/>
      <c r="I692" s="1059"/>
      <c r="J692" s="1059"/>
      <c r="K692" s="1059"/>
      <c r="L692" s="1059"/>
      <c r="M692" s="1059"/>
      <c r="N692" s="1059"/>
      <c r="O692" s="1059"/>
      <c r="P692" s="1059"/>
      <c r="Q692" s="1059"/>
      <c r="R692" s="1059"/>
      <c r="S692" s="1059"/>
      <c r="T692" s="1059"/>
      <c r="U692" s="1059"/>
      <c r="V692" s="1059"/>
      <c r="W692" s="1059"/>
      <c r="X692" s="1059"/>
      <c r="Y692" s="1059"/>
      <c r="Z692" s="1059"/>
    </row>
    <row r="693" spans="1:26" ht="12.75" customHeight="1">
      <c r="A693" s="1059"/>
      <c r="B693" s="1059"/>
      <c r="C693" s="1059"/>
      <c r="D693" s="1059"/>
      <c r="E693" s="1059"/>
      <c r="F693" s="1059"/>
      <c r="G693" s="1059"/>
      <c r="H693" s="1059"/>
      <c r="I693" s="1059"/>
      <c r="J693" s="1059"/>
      <c r="K693" s="1059"/>
      <c r="L693" s="1059"/>
      <c r="M693" s="1059"/>
      <c r="N693" s="1059"/>
      <c r="O693" s="1059"/>
      <c r="P693" s="1059"/>
      <c r="Q693" s="1059"/>
      <c r="R693" s="1059"/>
      <c r="S693" s="1059"/>
      <c r="T693" s="1059"/>
      <c r="U693" s="1059"/>
      <c r="V693" s="1059"/>
      <c r="W693" s="1059"/>
      <c r="X693" s="1059"/>
      <c r="Y693" s="1059"/>
      <c r="Z693" s="1059"/>
    </row>
    <row r="694" spans="1:26" ht="12.75" customHeight="1">
      <c r="A694" s="1059"/>
      <c r="B694" s="1059"/>
      <c r="C694" s="1059"/>
      <c r="D694" s="1059"/>
      <c r="E694" s="1059"/>
      <c r="F694" s="1059"/>
      <c r="G694" s="1059"/>
      <c r="H694" s="1059"/>
      <c r="I694" s="1059"/>
      <c r="J694" s="1059"/>
      <c r="K694" s="1059"/>
      <c r="L694" s="1059"/>
      <c r="M694" s="1059"/>
      <c r="N694" s="1059"/>
      <c r="O694" s="1059"/>
      <c r="P694" s="1059"/>
      <c r="Q694" s="1059"/>
      <c r="R694" s="1059"/>
      <c r="S694" s="1059"/>
      <c r="T694" s="1059"/>
      <c r="U694" s="1059"/>
      <c r="V694" s="1059"/>
      <c r="W694" s="1059"/>
      <c r="X694" s="1059"/>
      <c r="Y694" s="1059"/>
      <c r="Z694" s="1059"/>
    </row>
    <row r="695" spans="1:26" ht="12.75" customHeight="1">
      <c r="A695" s="1059"/>
      <c r="B695" s="1059"/>
      <c r="C695" s="1059"/>
      <c r="D695" s="1059"/>
      <c r="E695" s="1059"/>
      <c r="F695" s="1059"/>
      <c r="G695" s="1059"/>
      <c r="H695" s="1059"/>
      <c r="I695" s="1059"/>
      <c r="J695" s="1059"/>
      <c r="K695" s="1059"/>
      <c r="L695" s="1059"/>
      <c r="M695" s="1059"/>
      <c r="N695" s="1059"/>
      <c r="O695" s="1059"/>
      <c r="P695" s="1059"/>
      <c r="Q695" s="1059"/>
      <c r="R695" s="1059"/>
      <c r="S695" s="1059"/>
      <c r="T695" s="1059"/>
      <c r="U695" s="1059"/>
      <c r="V695" s="1059"/>
      <c r="W695" s="1059"/>
      <c r="X695" s="1059"/>
      <c r="Y695" s="1059"/>
      <c r="Z695" s="1059"/>
    </row>
    <row r="696" spans="1:26" ht="12.75" customHeight="1">
      <c r="A696" s="1059"/>
      <c r="B696" s="1059"/>
      <c r="C696" s="1059"/>
      <c r="D696" s="1059"/>
      <c r="E696" s="1059"/>
      <c r="F696" s="1059"/>
      <c r="G696" s="1059"/>
      <c r="H696" s="1059"/>
      <c r="I696" s="1059"/>
      <c r="J696" s="1059"/>
      <c r="K696" s="1059"/>
      <c r="L696" s="1059"/>
      <c r="M696" s="1059"/>
      <c r="N696" s="1059"/>
      <c r="O696" s="1059"/>
      <c r="P696" s="1059"/>
      <c r="Q696" s="1059"/>
      <c r="R696" s="1059"/>
      <c r="S696" s="1059"/>
      <c r="T696" s="1059"/>
      <c r="U696" s="1059"/>
      <c r="V696" s="1059"/>
      <c r="W696" s="1059"/>
      <c r="X696" s="1059"/>
      <c r="Y696" s="1059"/>
      <c r="Z696" s="1059"/>
    </row>
    <row r="697" spans="1:26" ht="12.75" customHeight="1">
      <c r="A697" s="1059"/>
      <c r="B697" s="1059"/>
      <c r="C697" s="1059"/>
      <c r="D697" s="1059"/>
      <c r="E697" s="1059"/>
      <c r="F697" s="1059"/>
      <c r="G697" s="1059"/>
      <c r="H697" s="1059"/>
      <c r="I697" s="1059"/>
      <c r="J697" s="1059"/>
      <c r="K697" s="1059"/>
      <c r="L697" s="1059"/>
      <c r="M697" s="1059"/>
      <c r="N697" s="1059"/>
      <c r="O697" s="1059"/>
      <c r="P697" s="1059"/>
      <c r="Q697" s="1059"/>
      <c r="R697" s="1059"/>
      <c r="S697" s="1059"/>
      <c r="T697" s="1059"/>
      <c r="U697" s="1059"/>
      <c r="V697" s="1059"/>
      <c r="W697" s="1059"/>
      <c r="X697" s="1059"/>
      <c r="Y697" s="1059"/>
      <c r="Z697" s="1059"/>
    </row>
    <row r="698" spans="1:26" ht="12.75" customHeight="1">
      <c r="A698" s="1059"/>
      <c r="B698" s="1059"/>
      <c r="C698" s="1059"/>
      <c r="D698" s="1059"/>
      <c r="E698" s="1059"/>
      <c r="F698" s="1059"/>
      <c r="G698" s="1059"/>
      <c r="H698" s="1059"/>
      <c r="I698" s="1059"/>
      <c r="J698" s="1059"/>
      <c r="K698" s="1059"/>
      <c r="L698" s="1059"/>
      <c r="M698" s="1059"/>
      <c r="N698" s="1059"/>
      <c r="O698" s="1059"/>
      <c r="P698" s="1059"/>
      <c r="Q698" s="1059"/>
      <c r="R698" s="1059"/>
      <c r="S698" s="1059"/>
      <c r="T698" s="1059"/>
      <c r="U698" s="1059"/>
      <c r="V698" s="1059"/>
      <c r="W698" s="1059"/>
      <c r="X698" s="1059"/>
      <c r="Y698" s="1059"/>
      <c r="Z698" s="1059"/>
    </row>
    <row r="699" spans="1:26" ht="12.75" customHeight="1">
      <c r="A699" s="1059"/>
      <c r="B699" s="1059"/>
      <c r="C699" s="1059"/>
      <c r="D699" s="1059"/>
      <c r="E699" s="1059"/>
      <c r="F699" s="1059"/>
      <c r="G699" s="1059"/>
      <c r="H699" s="1059"/>
      <c r="I699" s="1059"/>
      <c r="J699" s="1059"/>
      <c r="K699" s="1059"/>
      <c r="L699" s="1059"/>
      <c r="M699" s="1059"/>
      <c r="N699" s="1059"/>
      <c r="O699" s="1059"/>
      <c r="P699" s="1059"/>
      <c r="Q699" s="1059"/>
      <c r="R699" s="1059"/>
      <c r="S699" s="1059"/>
      <c r="T699" s="1059"/>
      <c r="U699" s="1059"/>
      <c r="V699" s="1059"/>
      <c r="W699" s="1059"/>
      <c r="X699" s="1059"/>
      <c r="Y699" s="1059"/>
      <c r="Z699" s="1059"/>
    </row>
    <row r="700" spans="1:26" ht="12.75" customHeight="1">
      <c r="A700" s="1059"/>
      <c r="B700" s="1059"/>
      <c r="C700" s="1059"/>
      <c r="D700" s="1059"/>
      <c r="E700" s="1059"/>
      <c r="F700" s="1059"/>
      <c r="G700" s="1059"/>
      <c r="H700" s="1059"/>
      <c r="I700" s="1059"/>
      <c r="J700" s="1059"/>
      <c r="K700" s="1059"/>
      <c r="L700" s="1059"/>
      <c r="M700" s="1059"/>
      <c r="N700" s="1059"/>
      <c r="O700" s="1059"/>
      <c r="P700" s="1059"/>
      <c r="Q700" s="1059"/>
      <c r="R700" s="1059"/>
      <c r="S700" s="1059"/>
      <c r="T700" s="1059"/>
      <c r="U700" s="1059"/>
      <c r="V700" s="1059"/>
      <c r="W700" s="1059"/>
      <c r="X700" s="1059"/>
      <c r="Y700" s="1059"/>
      <c r="Z700" s="1059"/>
    </row>
    <row r="701" spans="1:26" ht="12.75" customHeight="1">
      <c r="A701" s="1059"/>
      <c r="B701" s="1059"/>
      <c r="C701" s="1059"/>
      <c r="D701" s="1059"/>
      <c r="E701" s="1059"/>
      <c r="F701" s="1059"/>
      <c r="G701" s="1059"/>
      <c r="H701" s="1059"/>
      <c r="I701" s="1059"/>
      <c r="J701" s="1059"/>
      <c r="K701" s="1059"/>
      <c r="L701" s="1059"/>
      <c r="M701" s="1059"/>
      <c r="N701" s="1059"/>
      <c r="O701" s="1059"/>
      <c r="P701" s="1059"/>
      <c r="Q701" s="1059"/>
      <c r="R701" s="1059"/>
      <c r="S701" s="1059"/>
      <c r="T701" s="1059"/>
      <c r="U701" s="1059"/>
      <c r="V701" s="1059"/>
      <c r="W701" s="1059"/>
      <c r="X701" s="1059"/>
      <c r="Y701" s="1059"/>
      <c r="Z701" s="1059"/>
    </row>
    <row r="702" spans="1:26" ht="12.75" customHeight="1">
      <c r="A702" s="1059"/>
      <c r="B702" s="1059"/>
      <c r="C702" s="1059"/>
      <c r="D702" s="1059"/>
      <c r="E702" s="1059"/>
      <c r="F702" s="1059"/>
      <c r="G702" s="1059"/>
      <c r="H702" s="1059"/>
      <c r="I702" s="1059"/>
      <c r="J702" s="1059"/>
      <c r="K702" s="1059"/>
      <c r="L702" s="1059"/>
      <c r="M702" s="1059"/>
      <c r="N702" s="1059"/>
      <c r="O702" s="1059"/>
      <c r="P702" s="1059"/>
      <c r="Q702" s="1059"/>
      <c r="R702" s="1059"/>
      <c r="S702" s="1059"/>
      <c r="T702" s="1059"/>
      <c r="U702" s="1059"/>
      <c r="V702" s="1059"/>
      <c r="W702" s="1059"/>
      <c r="X702" s="1059"/>
      <c r="Y702" s="1059"/>
      <c r="Z702" s="1059"/>
    </row>
    <row r="703" spans="1:26" ht="12.75" customHeight="1">
      <c r="A703" s="1059"/>
      <c r="B703" s="1059"/>
      <c r="C703" s="1059"/>
      <c r="D703" s="1059"/>
      <c r="E703" s="1059"/>
      <c r="F703" s="1059"/>
      <c r="G703" s="1059"/>
      <c r="H703" s="1059"/>
      <c r="I703" s="1059"/>
      <c r="J703" s="1059"/>
      <c r="K703" s="1059"/>
      <c r="L703" s="1059"/>
      <c r="M703" s="1059"/>
      <c r="N703" s="1059"/>
      <c r="O703" s="1059"/>
      <c r="P703" s="1059"/>
      <c r="Q703" s="1059"/>
      <c r="R703" s="1059"/>
      <c r="S703" s="1059"/>
      <c r="T703" s="1059"/>
      <c r="U703" s="1059"/>
      <c r="V703" s="1059"/>
      <c r="W703" s="1059"/>
      <c r="X703" s="1059"/>
      <c r="Y703" s="1059"/>
      <c r="Z703" s="1059"/>
    </row>
    <row r="704" spans="1:26" ht="12.75" customHeight="1">
      <c r="A704" s="1059"/>
      <c r="B704" s="1059"/>
      <c r="C704" s="1059"/>
      <c r="D704" s="1059"/>
      <c r="E704" s="1059"/>
      <c r="F704" s="1059"/>
      <c r="G704" s="1059"/>
      <c r="H704" s="1059"/>
      <c r="I704" s="1059"/>
      <c r="J704" s="1059"/>
      <c r="K704" s="1059"/>
      <c r="L704" s="1059"/>
      <c r="M704" s="1059"/>
      <c r="N704" s="1059"/>
      <c r="O704" s="1059"/>
      <c r="P704" s="1059"/>
      <c r="Q704" s="1059"/>
      <c r="R704" s="1059"/>
      <c r="S704" s="1059"/>
      <c r="T704" s="1059"/>
      <c r="U704" s="1059"/>
      <c r="V704" s="1059"/>
      <c r="W704" s="1059"/>
      <c r="X704" s="1059"/>
      <c r="Y704" s="1059"/>
      <c r="Z704" s="1059"/>
    </row>
    <row r="705" spans="1:26" ht="12.75" customHeight="1">
      <c r="A705" s="1059"/>
      <c r="B705" s="1059"/>
      <c r="C705" s="1059"/>
      <c r="D705" s="1059"/>
      <c r="E705" s="1059"/>
      <c r="F705" s="1059"/>
      <c r="G705" s="1059"/>
      <c r="H705" s="1059"/>
      <c r="I705" s="1059"/>
      <c r="J705" s="1059"/>
      <c r="K705" s="1059"/>
      <c r="L705" s="1059"/>
      <c r="M705" s="1059"/>
      <c r="N705" s="1059"/>
      <c r="O705" s="1059"/>
      <c r="P705" s="1059"/>
      <c r="Q705" s="1059"/>
      <c r="R705" s="1059"/>
      <c r="S705" s="1059"/>
      <c r="T705" s="1059"/>
      <c r="U705" s="1059"/>
      <c r="V705" s="1059"/>
      <c r="W705" s="1059"/>
      <c r="X705" s="1059"/>
      <c r="Y705" s="1059"/>
      <c r="Z705" s="1059"/>
    </row>
    <row r="706" spans="1:26" ht="12.75" customHeight="1">
      <c r="A706" s="1059"/>
      <c r="B706" s="1059"/>
      <c r="C706" s="1059"/>
      <c r="D706" s="1059"/>
      <c r="E706" s="1059"/>
      <c r="F706" s="1059"/>
      <c r="G706" s="1059"/>
      <c r="H706" s="1059"/>
      <c r="I706" s="1059"/>
      <c r="J706" s="1059"/>
      <c r="K706" s="1059"/>
      <c r="L706" s="1059"/>
      <c r="M706" s="1059"/>
      <c r="N706" s="1059"/>
      <c r="O706" s="1059"/>
      <c r="P706" s="1059"/>
      <c r="Q706" s="1059"/>
      <c r="R706" s="1059"/>
      <c r="S706" s="1059"/>
      <c r="T706" s="1059"/>
      <c r="U706" s="1059"/>
      <c r="V706" s="1059"/>
      <c r="W706" s="1059"/>
      <c r="X706" s="1059"/>
      <c r="Y706" s="1059"/>
      <c r="Z706" s="1059"/>
    </row>
    <row r="707" spans="1:26" ht="12.75" customHeight="1">
      <c r="A707" s="1059"/>
      <c r="B707" s="1059"/>
      <c r="C707" s="1059"/>
      <c r="D707" s="1059"/>
      <c r="E707" s="1059"/>
      <c r="F707" s="1059"/>
      <c r="G707" s="1059"/>
      <c r="H707" s="1059"/>
      <c r="I707" s="1059"/>
      <c r="J707" s="1059"/>
      <c r="K707" s="1059"/>
      <c r="L707" s="1059"/>
      <c r="M707" s="1059"/>
      <c r="N707" s="1059"/>
      <c r="O707" s="1059"/>
      <c r="P707" s="1059"/>
      <c r="Q707" s="1059"/>
      <c r="R707" s="1059"/>
      <c r="S707" s="1059"/>
      <c r="T707" s="1059"/>
      <c r="U707" s="1059"/>
      <c r="V707" s="1059"/>
      <c r="W707" s="1059"/>
      <c r="X707" s="1059"/>
      <c r="Y707" s="1059"/>
      <c r="Z707" s="1059"/>
    </row>
    <row r="708" spans="1:26" ht="12.75" customHeight="1">
      <c r="A708" s="1059"/>
      <c r="B708" s="1059"/>
      <c r="C708" s="1059"/>
      <c r="D708" s="1059"/>
      <c r="E708" s="1059"/>
      <c r="F708" s="1059"/>
      <c r="G708" s="1059"/>
      <c r="H708" s="1059"/>
      <c r="I708" s="1059"/>
      <c r="J708" s="1059"/>
      <c r="K708" s="1059"/>
      <c r="L708" s="1059"/>
      <c r="M708" s="1059"/>
      <c r="N708" s="1059"/>
      <c r="O708" s="1059"/>
      <c r="P708" s="1059"/>
      <c r="Q708" s="1059"/>
      <c r="R708" s="1059"/>
      <c r="S708" s="1059"/>
      <c r="T708" s="1059"/>
      <c r="U708" s="1059"/>
      <c r="V708" s="1059"/>
      <c r="W708" s="1059"/>
      <c r="X708" s="1059"/>
      <c r="Y708" s="1059"/>
      <c r="Z708" s="1059"/>
    </row>
    <row r="709" spans="1:26" ht="12.75" customHeight="1">
      <c r="A709" s="1059"/>
      <c r="B709" s="1059"/>
      <c r="C709" s="1059"/>
      <c r="D709" s="1059"/>
      <c r="E709" s="1059"/>
      <c r="F709" s="1059"/>
      <c r="G709" s="1059"/>
      <c r="H709" s="1059"/>
      <c r="I709" s="1059"/>
      <c r="J709" s="1059"/>
      <c r="K709" s="1059"/>
      <c r="L709" s="1059"/>
      <c r="M709" s="1059"/>
      <c r="N709" s="1059"/>
      <c r="O709" s="1059"/>
      <c r="P709" s="1059"/>
      <c r="Q709" s="1059"/>
      <c r="R709" s="1059"/>
      <c r="S709" s="1059"/>
      <c r="T709" s="1059"/>
      <c r="U709" s="1059"/>
      <c r="V709" s="1059"/>
      <c r="W709" s="1059"/>
      <c r="X709" s="1059"/>
      <c r="Y709" s="1059"/>
      <c r="Z709" s="1059"/>
    </row>
    <row r="710" spans="1:26" ht="12.75" customHeight="1">
      <c r="A710" s="1059"/>
      <c r="B710" s="1059"/>
      <c r="C710" s="1059"/>
      <c r="D710" s="1059"/>
      <c r="E710" s="1059"/>
      <c r="F710" s="1059"/>
      <c r="G710" s="1059"/>
      <c r="H710" s="1059"/>
      <c r="I710" s="1059"/>
      <c r="J710" s="1059"/>
      <c r="K710" s="1059"/>
      <c r="L710" s="1059"/>
      <c r="M710" s="1059"/>
      <c r="N710" s="1059"/>
      <c r="O710" s="1059"/>
      <c r="P710" s="1059"/>
      <c r="Q710" s="1059"/>
      <c r="R710" s="1059"/>
      <c r="S710" s="1059"/>
      <c r="T710" s="1059"/>
      <c r="U710" s="1059"/>
      <c r="V710" s="1059"/>
      <c r="W710" s="1059"/>
      <c r="X710" s="1059"/>
      <c r="Y710" s="1059"/>
      <c r="Z710" s="1059"/>
    </row>
    <row r="711" spans="1:26" ht="12.75" customHeight="1">
      <c r="A711" s="1059"/>
      <c r="B711" s="1059"/>
      <c r="C711" s="1059"/>
      <c r="D711" s="1059"/>
      <c r="E711" s="1059"/>
      <c r="F711" s="1059"/>
      <c r="G711" s="1059"/>
      <c r="H711" s="1059"/>
      <c r="I711" s="1059"/>
      <c r="J711" s="1059"/>
      <c r="K711" s="1059"/>
      <c r="L711" s="1059"/>
      <c r="M711" s="1059"/>
      <c r="N711" s="1059"/>
      <c r="O711" s="1059"/>
      <c r="P711" s="1059"/>
      <c r="Q711" s="1059"/>
      <c r="R711" s="1059"/>
      <c r="S711" s="1059"/>
      <c r="T711" s="1059"/>
      <c r="U711" s="1059"/>
      <c r="V711" s="1059"/>
      <c r="W711" s="1059"/>
      <c r="X711" s="1059"/>
      <c r="Y711" s="1059"/>
      <c r="Z711" s="1059"/>
    </row>
    <row r="712" spans="1:26" ht="12.75" customHeight="1">
      <c r="A712" s="1059"/>
      <c r="B712" s="1059"/>
      <c r="C712" s="1059"/>
      <c r="D712" s="1059"/>
      <c r="E712" s="1059"/>
      <c r="F712" s="1059"/>
      <c r="G712" s="1059"/>
      <c r="H712" s="1059"/>
      <c r="I712" s="1059"/>
      <c r="J712" s="1059"/>
      <c r="K712" s="1059"/>
      <c r="L712" s="1059"/>
      <c r="M712" s="1059"/>
      <c r="N712" s="1059"/>
      <c r="O712" s="1059"/>
      <c r="P712" s="1059"/>
      <c r="Q712" s="1059"/>
      <c r="R712" s="1059"/>
      <c r="S712" s="1059"/>
      <c r="T712" s="1059"/>
      <c r="U712" s="1059"/>
      <c r="V712" s="1059"/>
      <c r="W712" s="1059"/>
      <c r="X712" s="1059"/>
      <c r="Y712" s="1059"/>
      <c r="Z712" s="1059"/>
    </row>
    <row r="713" spans="1:26" ht="12.75" customHeight="1">
      <c r="A713" s="1059"/>
      <c r="B713" s="1059"/>
      <c r="C713" s="1059"/>
      <c r="D713" s="1059"/>
      <c r="E713" s="1059"/>
      <c r="F713" s="1059"/>
      <c r="G713" s="1059"/>
      <c r="H713" s="1059"/>
      <c r="I713" s="1059"/>
      <c r="J713" s="1059"/>
      <c r="K713" s="1059"/>
      <c r="L713" s="1059"/>
      <c r="M713" s="1059"/>
      <c r="N713" s="1059"/>
      <c r="O713" s="1059"/>
      <c r="P713" s="1059"/>
      <c r="Q713" s="1059"/>
      <c r="R713" s="1059"/>
      <c r="S713" s="1059"/>
      <c r="T713" s="1059"/>
      <c r="U713" s="1059"/>
      <c r="V713" s="1059"/>
      <c r="W713" s="1059"/>
      <c r="X713" s="1059"/>
      <c r="Y713" s="1059"/>
      <c r="Z713" s="1059"/>
    </row>
    <row r="714" spans="1:26" ht="12.75" customHeight="1">
      <c r="A714" s="1059"/>
      <c r="B714" s="1059"/>
      <c r="C714" s="1059"/>
      <c r="D714" s="1059"/>
      <c r="E714" s="1059"/>
      <c r="F714" s="1059"/>
      <c r="G714" s="1059"/>
      <c r="H714" s="1059"/>
      <c r="I714" s="1059"/>
      <c r="J714" s="1059"/>
      <c r="K714" s="1059"/>
      <c r="L714" s="1059"/>
      <c r="M714" s="1059"/>
      <c r="N714" s="1059"/>
      <c r="O714" s="1059"/>
      <c r="P714" s="1059"/>
      <c r="Q714" s="1059"/>
      <c r="R714" s="1059"/>
      <c r="S714" s="1059"/>
      <c r="T714" s="1059"/>
      <c r="U714" s="1059"/>
      <c r="V714" s="1059"/>
      <c r="W714" s="1059"/>
      <c r="X714" s="1059"/>
      <c r="Y714" s="1059"/>
      <c r="Z714" s="1059"/>
    </row>
    <row r="715" spans="1:26" ht="12.75" customHeight="1">
      <c r="A715" s="1059"/>
      <c r="B715" s="1059"/>
      <c r="C715" s="1059"/>
      <c r="D715" s="1059"/>
      <c r="E715" s="1059"/>
      <c r="F715" s="1059"/>
      <c r="G715" s="1059"/>
      <c r="H715" s="1059"/>
      <c r="I715" s="1059"/>
      <c r="J715" s="1059"/>
      <c r="K715" s="1059"/>
      <c r="L715" s="1059"/>
      <c r="M715" s="1059"/>
      <c r="N715" s="1059"/>
      <c r="O715" s="1059"/>
      <c r="P715" s="1059"/>
      <c r="Q715" s="1059"/>
      <c r="R715" s="1059"/>
      <c r="S715" s="1059"/>
      <c r="T715" s="1059"/>
      <c r="U715" s="1059"/>
      <c r="V715" s="1059"/>
      <c r="W715" s="1059"/>
      <c r="X715" s="1059"/>
      <c r="Y715" s="1059"/>
      <c r="Z715" s="1059"/>
    </row>
    <row r="716" spans="1:26" ht="12.75" customHeight="1">
      <c r="A716" s="1059"/>
      <c r="B716" s="1059"/>
      <c r="C716" s="1059"/>
      <c r="D716" s="1059"/>
      <c r="E716" s="1059"/>
      <c r="F716" s="1059"/>
      <c r="G716" s="1059"/>
      <c r="H716" s="1059"/>
      <c r="I716" s="1059"/>
      <c r="J716" s="1059"/>
      <c r="K716" s="1059"/>
      <c r="L716" s="1059"/>
      <c r="M716" s="1059"/>
      <c r="N716" s="1059"/>
      <c r="O716" s="1059"/>
      <c r="P716" s="1059"/>
      <c r="Q716" s="1059"/>
      <c r="R716" s="1059"/>
      <c r="S716" s="1059"/>
      <c r="T716" s="1059"/>
      <c r="U716" s="1059"/>
      <c r="V716" s="1059"/>
      <c r="W716" s="1059"/>
      <c r="X716" s="1059"/>
      <c r="Y716" s="1059"/>
      <c r="Z716" s="1059"/>
    </row>
    <row r="717" spans="1:26" ht="12.75" customHeight="1">
      <c r="A717" s="1059"/>
      <c r="B717" s="1059"/>
      <c r="C717" s="1059"/>
      <c r="D717" s="1059"/>
      <c r="E717" s="1059"/>
      <c r="F717" s="1059"/>
      <c r="G717" s="1059"/>
      <c r="H717" s="1059"/>
      <c r="I717" s="1059"/>
      <c r="J717" s="1059"/>
      <c r="K717" s="1059"/>
      <c r="L717" s="1059"/>
      <c r="M717" s="1059"/>
      <c r="N717" s="1059"/>
      <c r="O717" s="1059"/>
      <c r="P717" s="1059"/>
      <c r="Q717" s="1059"/>
      <c r="R717" s="1059"/>
      <c r="S717" s="1059"/>
      <c r="T717" s="1059"/>
      <c r="U717" s="1059"/>
      <c r="V717" s="1059"/>
      <c r="W717" s="1059"/>
      <c r="X717" s="1059"/>
      <c r="Y717" s="1059"/>
      <c r="Z717" s="1059"/>
    </row>
    <row r="718" spans="1:26" ht="12.75" customHeight="1">
      <c r="A718" s="1059"/>
      <c r="B718" s="1059"/>
      <c r="C718" s="1059"/>
      <c r="D718" s="1059"/>
      <c r="E718" s="1059"/>
      <c r="F718" s="1059"/>
      <c r="G718" s="1059"/>
      <c r="H718" s="1059"/>
      <c r="I718" s="1059"/>
      <c r="J718" s="1059"/>
      <c r="K718" s="1059"/>
      <c r="L718" s="1059"/>
      <c r="M718" s="1059"/>
      <c r="N718" s="1059"/>
      <c r="O718" s="1059"/>
      <c r="P718" s="1059"/>
      <c r="Q718" s="1059"/>
      <c r="R718" s="1059"/>
      <c r="S718" s="1059"/>
      <c r="T718" s="1059"/>
      <c r="U718" s="1059"/>
      <c r="V718" s="1059"/>
      <c r="W718" s="1059"/>
      <c r="X718" s="1059"/>
      <c r="Y718" s="1059"/>
      <c r="Z718" s="1059"/>
    </row>
    <row r="719" spans="1:26" ht="12.75" customHeight="1">
      <c r="A719" s="1059"/>
      <c r="B719" s="1059"/>
      <c r="C719" s="1059"/>
      <c r="D719" s="1059"/>
      <c r="E719" s="1059"/>
      <c r="F719" s="1059"/>
      <c r="G719" s="1059"/>
      <c r="H719" s="1059"/>
      <c r="I719" s="1059"/>
      <c r="J719" s="1059"/>
      <c r="K719" s="1059"/>
      <c r="L719" s="1059"/>
      <c r="M719" s="1059"/>
      <c r="N719" s="1059"/>
      <c r="O719" s="1059"/>
      <c r="P719" s="1059"/>
      <c r="Q719" s="1059"/>
      <c r="R719" s="1059"/>
      <c r="S719" s="1059"/>
      <c r="T719" s="1059"/>
      <c r="U719" s="1059"/>
      <c r="V719" s="1059"/>
      <c r="W719" s="1059"/>
      <c r="X719" s="1059"/>
      <c r="Y719" s="1059"/>
      <c r="Z719" s="1059"/>
    </row>
    <row r="720" spans="1:26" ht="12.75" customHeight="1">
      <c r="A720" s="1059"/>
      <c r="B720" s="1059"/>
      <c r="C720" s="1059"/>
      <c r="D720" s="1059"/>
      <c r="E720" s="1059"/>
      <c r="F720" s="1059"/>
      <c r="G720" s="1059"/>
      <c r="H720" s="1059"/>
      <c r="I720" s="1059"/>
      <c r="J720" s="1059"/>
      <c r="K720" s="1059"/>
      <c r="L720" s="1059"/>
      <c r="M720" s="1059"/>
      <c r="N720" s="1059"/>
      <c r="O720" s="1059"/>
      <c r="P720" s="1059"/>
      <c r="Q720" s="1059"/>
      <c r="R720" s="1059"/>
      <c r="S720" s="1059"/>
      <c r="T720" s="1059"/>
      <c r="U720" s="1059"/>
      <c r="V720" s="1059"/>
      <c r="W720" s="1059"/>
      <c r="X720" s="1059"/>
      <c r="Y720" s="1059"/>
      <c r="Z720" s="1059"/>
    </row>
    <row r="721" spans="1:26" ht="12.75" customHeight="1">
      <c r="A721" s="1059"/>
      <c r="B721" s="1059"/>
      <c r="C721" s="1059"/>
      <c r="D721" s="1059"/>
      <c r="E721" s="1059"/>
      <c r="F721" s="1059"/>
      <c r="G721" s="1059"/>
      <c r="H721" s="1059"/>
      <c r="I721" s="1059"/>
      <c r="J721" s="1059"/>
      <c r="K721" s="1059"/>
      <c r="L721" s="1059"/>
      <c r="M721" s="1059"/>
      <c r="N721" s="1059"/>
      <c r="O721" s="1059"/>
      <c r="P721" s="1059"/>
      <c r="Q721" s="1059"/>
      <c r="R721" s="1059"/>
      <c r="S721" s="1059"/>
      <c r="T721" s="1059"/>
      <c r="U721" s="1059"/>
      <c r="V721" s="1059"/>
      <c r="W721" s="1059"/>
      <c r="X721" s="1059"/>
      <c r="Y721" s="1059"/>
      <c r="Z721" s="1059"/>
    </row>
    <row r="722" spans="1:26" ht="12.75" customHeight="1">
      <c r="A722" s="1059"/>
      <c r="B722" s="1059"/>
      <c r="C722" s="1059"/>
      <c r="D722" s="1059"/>
      <c r="E722" s="1059"/>
      <c r="F722" s="1059"/>
      <c r="G722" s="1059"/>
      <c r="H722" s="1059"/>
      <c r="I722" s="1059"/>
      <c r="J722" s="1059"/>
      <c r="K722" s="1059"/>
      <c r="L722" s="1059"/>
      <c r="M722" s="1059"/>
      <c r="N722" s="1059"/>
      <c r="O722" s="1059"/>
      <c r="P722" s="1059"/>
      <c r="Q722" s="1059"/>
      <c r="R722" s="1059"/>
      <c r="S722" s="1059"/>
      <c r="T722" s="1059"/>
      <c r="U722" s="1059"/>
      <c r="V722" s="1059"/>
      <c r="W722" s="1059"/>
      <c r="X722" s="1059"/>
      <c r="Y722" s="1059"/>
      <c r="Z722" s="1059"/>
    </row>
    <row r="723" spans="1:26" ht="12.75" customHeight="1">
      <c r="A723" s="1059"/>
      <c r="B723" s="1059"/>
      <c r="C723" s="1059"/>
      <c r="D723" s="1059"/>
      <c r="E723" s="1059"/>
      <c r="F723" s="1059"/>
      <c r="G723" s="1059"/>
      <c r="H723" s="1059"/>
      <c r="I723" s="1059"/>
      <c r="J723" s="1059"/>
      <c r="K723" s="1059"/>
      <c r="L723" s="1059"/>
      <c r="M723" s="1059"/>
      <c r="N723" s="1059"/>
      <c r="O723" s="1059"/>
      <c r="P723" s="1059"/>
      <c r="Q723" s="1059"/>
      <c r="R723" s="1059"/>
      <c r="S723" s="1059"/>
      <c r="T723" s="1059"/>
      <c r="U723" s="1059"/>
      <c r="V723" s="1059"/>
      <c r="W723" s="1059"/>
      <c r="X723" s="1059"/>
      <c r="Y723" s="1059"/>
      <c r="Z723" s="1059"/>
    </row>
    <row r="724" spans="1:26" ht="12.75" customHeight="1">
      <c r="A724" s="1059"/>
      <c r="B724" s="1059"/>
      <c r="C724" s="1059"/>
      <c r="D724" s="1059"/>
      <c r="E724" s="1059"/>
      <c r="F724" s="1059"/>
      <c r="G724" s="1059"/>
      <c r="H724" s="1059"/>
      <c r="I724" s="1059"/>
      <c r="J724" s="1059"/>
      <c r="K724" s="1059"/>
      <c r="L724" s="1059"/>
      <c r="M724" s="1059"/>
      <c r="N724" s="1059"/>
      <c r="O724" s="1059"/>
      <c r="P724" s="1059"/>
      <c r="Q724" s="1059"/>
      <c r="R724" s="1059"/>
      <c r="S724" s="1059"/>
      <c r="T724" s="1059"/>
      <c r="U724" s="1059"/>
      <c r="V724" s="1059"/>
      <c r="W724" s="1059"/>
      <c r="X724" s="1059"/>
      <c r="Y724" s="1059"/>
      <c r="Z724" s="1059"/>
    </row>
    <row r="725" spans="1:26" ht="12.75" customHeight="1">
      <c r="A725" s="1059"/>
      <c r="B725" s="1059"/>
      <c r="C725" s="1059"/>
      <c r="D725" s="1059"/>
      <c r="E725" s="1059"/>
      <c r="F725" s="1059"/>
      <c r="G725" s="1059"/>
      <c r="H725" s="1059"/>
      <c r="I725" s="1059"/>
      <c r="J725" s="1059"/>
      <c r="K725" s="1059"/>
      <c r="L725" s="1059"/>
      <c r="M725" s="1059"/>
      <c r="N725" s="1059"/>
      <c r="O725" s="1059"/>
      <c r="P725" s="1059"/>
      <c r="Q725" s="1059"/>
      <c r="R725" s="1059"/>
      <c r="S725" s="1059"/>
      <c r="T725" s="1059"/>
      <c r="U725" s="1059"/>
      <c r="V725" s="1059"/>
      <c r="W725" s="1059"/>
      <c r="X725" s="1059"/>
      <c r="Y725" s="1059"/>
      <c r="Z725" s="1059"/>
    </row>
    <row r="726" spans="1:26" ht="12.75" customHeight="1">
      <c r="A726" s="1059"/>
      <c r="B726" s="1059"/>
      <c r="C726" s="1059"/>
      <c r="D726" s="1059"/>
      <c r="E726" s="1059"/>
      <c r="F726" s="1059"/>
      <c r="G726" s="1059"/>
      <c r="H726" s="1059"/>
      <c r="I726" s="1059"/>
      <c r="J726" s="1059"/>
      <c r="K726" s="1059"/>
      <c r="L726" s="1059"/>
      <c r="M726" s="1059"/>
      <c r="N726" s="1059"/>
      <c r="O726" s="1059"/>
      <c r="P726" s="1059"/>
      <c r="Q726" s="1059"/>
      <c r="R726" s="1059"/>
      <c r="S726" s="1059"/>
      <c r="T726" s="1059"/>
      <c r="U726" s="1059"/>
      <c r="V726" s="1059"/>
      <c r="W726" s="1059"/>
      <c r="X726" s="1059"/>
      <c r="Y726" s="1059"/>
      <c r="Z726" s="1059"/>
    </row>
    <row r="727" spans="1:26" ht="12.75" customHeight="1">
      <c r="A727" s="1059"/>
      <c r="B727" s="1059"/>
      <c r="C727" s="1059"/>
      <c r="D727" s="1059"/>
      <c r="E727" s="1059"/>
      <c r="F727" s="1059"/>
      <c r="G727" s="1059"/>
      <c r="H727" s="1059"/>
      <c r="I727" s="1059"/>
      <c r="J727" s="1059"/>
      <c r="K727" s="1059"/>
      <c r="L727" s="1059"/>
      <c r="M727" s="1059"/>
      <c r="N727" s="1059"/>
      <c r="O727" s="1059"/>
      <c r="P727" s="1059"/>
      <c r="Q727" s="1059"/>
      <c r="R727" s="1059"/>
      <c r="S727" s="1059"/>
      <c r="T727" s="1059"/>
      <c r="U727" s="1059"/>
      <c r="V727" s="1059"/>
      <c r="W727" s="1059"/>
      <c r="X727" s="1059"/>
      <c r="Y727" s="1059"/>
      <c r="Z727" s="1059"/>
    </row>
    <row r="728" spans="1:26" ht="12.75" customHeight="1">
      <c r="A728" s="1059"/>
      <c r="B728" s="1059"/>
      <c r="C728" s="1059"/>
      <c r="D728" s="1059"/>
      <c r="E728" s="1059"/>
      <c r="F728" s="1059"/>
      <c r="G728" s="1059"/>
      <c r="H728" s="1059"/>
      <c r="I728" s="1059"/>
      <c r="J728" s="1059"/>
      <c r="K728" s="1059"/>
      <c r="L728" s="1059"/>
      <c r="M728" s="1059"/>
      <c r="N728" s="1059"/>
      <c r="O728" s="1059"/>
      <c r="P728" s="1059"/>
      <c r="Q728" s="1059"/>
      <c r="R728" s="1059"/>
      <c r="S728" s="1059"/>
      <c r="T728" s="1059"/>
      <c r="U728" s="1059"/>
      <c r="V728" s="1059"/>
      <c r="W728" s="1059"/>
      <c r="X728" s="1059"/>
      <c r="Y728" s="1059"/>
      <c r="Z728" s="1059"/>
    </row>
    <row r="729" spans="1:26" ht="12.75" customHeight="1">
      <c r="A729" s="1059"/>
      <c r="B729" s="1059"/>
      <c r="C729" s="1059"/>
      <c r="D729" s="1059"/>
      <c r="E729" s="1059"/>
      <c r="F729" s="1059"/>
      <c r="G729" s="1059"/>
      <c r="H729" s="1059"/>
      <c r="I729" s="1059"/>
      <c r="J729" s="1059"/>
      <c r="K729" s="1059"/>
      <c r="L729" s="1059"/>
      <c r="M729" s="1059"/>
      <c r="N729" s="1059"/>
      <c r="O729" s="1059"/>
      <c r="P729" s="1059"/>
      <c r="Q729" s="1059"/>
      <c r="R729" s="1059"/>
      <c r="S729" s="1059"/>
      <c r="T729" s="1059"/>
      <c r="U729" s="1059"/>
      <c r="V729" s="1059"/>
      <c r="W729" s="1059"/>
      <c r="X729" s="1059"/>
      <c r="Y729" s="1059"/>
      <c r="Z729" s="1059"/>
    </row>
    <row r="730" spans="1:26" ht="12.75" customHeight="1">
      <c r="A730" s="1059"/>
      <c r="B730" s="1059"/>
      <c r="C730" s="1059"/>
      <c r="D730" s="1059"/>
      <c r="E730" s="1059"/>
      <c r="F730" s="1059"/>
      <c r="G730" s="1059"/>
      <c r="H730" s="1059"/>
      <c r="I730" s="1059"/>
      <c r="J730" s="1059"/>
      <c r="K730" s="1059"/>
      <c r="L730" s="1059"/>
      <c r="M730" s="1059"/>
      <c r="N730" s="1059"/>
      <c r="O730" s="1059"/>
      <c r="P730" s="1059"/>
      <c r="Q730" s="1059"/>
      <c r="R730" s="1059"/>
      <c r="S730" s="1059"/>
      <c r="T730" s="1059"/>
      <c r="U730" s="1059"/>
      <c r="V730" s="1059"/>
      <c r="W730" s="1059"/>
      <c r="X730" s="1059"/>
      <c r="Y730" s="1059"/>
      <c r="Z730" s="1059"/>
    </row>
    <row r="731" spans="1:26" ht="12.75" customHeight="1">
      <c r="A731" s="1059"/>
      <c r="B731" s="1059"/>
      <c r="C731" s="1059"/>
      <c r="D731" s="1059"/>
      <c r="E731" s="1059"/>
      <c r="F731" s="1059"/>
      <c r="G731" s="1059"/>
      <c r="H731" s="1059"/>
      <c r="I731" s="1059"/>
      <c r="J731" s="1059"/>
      <c r="K731" s="1059"/>
      <c r="L731" s="1059"/>
      <c r="M731" s="1059"/>
      <c r="N731" s="1059"/>
      <c r="O731" s="1059"/>
      <c r="P731" s="1059"/>
      <c r="Q731" s="1059"/>
      <c r="R731" s="1059"/>
      <c r="S731" s="1059"/>
      <c r="T731" s="1059"/>
      <c r="U731" s="1059"/>
      <c r="V731" s="1059"/>
      <c r="W731" s="1059"/>
      <c r="X731" s="1059"/>
      <c r="Y731" s="1059"/>
      <c r="Z731" s="1059"/>
    </row>
    <row r="732" spans="1:26" ht="12.75" customHeight="1">
      <c r="A732" s="1059"/>
      <c r="B732" s="1059"/>
      <c r="C732" s="1059"/>
      <c r="D732" s="1059"/>
      <c r="E732" s="1059"/>
      <c r="F732" s="1059"/>
      <c r="G732" s="1059"/>
      <c r="H732" s="1059"/>
      <c r="I732" s="1059"/>
      <c r="J732" s="1059"/>
      <c r="K732" s="1059"/>
      <c r="L732" s="1059"/>
      <c r="M732" s="1059"/>
      <c r="N732" s="1059"/>
      <c r="O732" s="1059"/>
      <c r="P732" s="1059"/>
      <c r="Q732" s="1059"/>
      <c r="R732" s="1059"/>
      <c r="S732" s="1059"/>
      <c r="T732" s="1059"/>
      <c r="U732" s="1059"/>
      <c r="V732" s="1059"/>
      <c r="W732" s="1059"/>
      <c r="X732" s="1059"/>
      <c r="Y732" s="1059"/>
      <c r="Z732" s="1059"/>
    </row>
    <row r="733" spans="1:26" ht="12.75" customHeight="1">
      <c r="A733" s="1059"/>
      <c r="B733" s="1059"/>
      <c r="C733" s="1059"/>
      <c r="D733" s="1059"/>
      <c r="E733" s="1059"/>
      <c r="F733" s="1059"/>
      <c r="G733" s="1059"/>
      <c r="H733" s="1059"/>
      <c r="I733" s="1059"/>
      <c r="J733" s="1059"/>
      <c r="K733" s="1059"/>
      <c r="L733" s="1059"/>
      <c r="M733" s="1059"/>
      <c r="N733" s="1059"/>
      <c r="O733" s="1059"/>
      <c r="P733" s="1059"/>
      <c r="Q733" s="1059"/>
      <c r="R733" s="1059"/>
      <c r="S733" s="1059"/>
      <c r="T733" s="1059"/>
      <c r="U733" s="1059"/>
      <c r="V733" s="1059"/>
      <c r="W733" s="1059"/>
      <c r="X733" s="1059"/>
      <c r="Y733" s="1059"/>
      <c r="Z733" s="1059"/>
    </row>
    <row r="734" spans="1:26" ht="12.75" customHeight="1">
      <c r="A734" s="1059"/>
      <c r="B734" s="1059"/>
      <c r="C734" s="1059"/>
      <c r="D734" s="1059"/>
      <c r="E734" s="1059"/>
      <c r="F734" s="1059"/>
      <c r="G734" s="1059"/>
      <c r="H734" s="1059"/>
      <c r="I734" s="1059"/>
      <c r="J734" s="1059"/>
      <c r="K734" s="1059"/>
      <c r="L734" s="1059"/>
      <c r="M734" s="1059"/>
      <c r="N734" s="1059"/>
      <c r="O734" s="1059"/>
      <c r="P734" s="1059"/>
      <c r="Q734" s="1059"/>
      <c r="R734" s="1059"/>
      <c r="S734" s="1059"/>
      <c r="T734" s="1059"/>
      <c r="U734" s="1059"/>
      <c r="V734" s="1059"/>
      <c r="W734" s="1059"/>
      <c r="X734" s="1059"/>
      <c r="Y734" s="1059"/>
      <c r="Z734" s="1059"/>
    </row>
    <row r="735" spans="1:26" ht="12.75" customHeight="1">
      <c r="A735" s="1059"/>
      <c r="B735" s="1059"/>
      <c r="C735" s="1059"/>
      <c r="D735" s="1059"/>
      <c r="E735" s="1059"/>
      <c r="F735" s="1059"/>
      <c r="G735" s="1059"/>
      <c r="H735" s="1059"/>
      <c r="I735" s="1059"/>
      <c r="J735" s="1059"/>
      <c r="K735" s="1059"/>
      <c r="L735" s="1059"/>
      <c r="M735" s="1059"/>
      <c r="N735" s="1059"/>
      <c r="O735" s="1059"/>
      <c r="P735" s="1059"/>
      <c r="Q735" s="1059"/>
      <c r="R735" s="1059"/>
      <c r="S735" s="1059"/>
      <c r="T735" s="1059"/>
      <c r="U735" s="1059"/>
      <c r="V735" s="1059"/>
      <c r="W735" s="1059"/>
      <c r="X735" s="1059"/>
      <c r="Y735" s="1059"/>
      <c r="Z735" s="1059"/>
    </row>
    <row r="736" spans="1:26" ht="12.75" customHeight="1">
      <c r="A736" s="1059"/>
      <c r="B736" s="1059"/>
      <c r="C736" s="1059"/>
      <c r="D736" s="1059"/>
      <c r="E736" s="1059"/>
      <c r="F736" s="1059"/>
      <c r="G736" s="1059"/>
      <c r="H736" s="1059"/>
      <c r="I736" s="1059"/>
      <c r="J736" s="1059"/>
      <c r="K736" s="1059"/>
      <c r="L736" s="1059"/>
      <c r="M736" s="1059"/>
      <c r="N736" s="1059"/>
      <c r="O736" s="1059"/>
      <c r="P736" s="1059"/>
      <c r="Q736" s="1059"/>
      <c r="R736" s="1059"/>
      <c r="S736" s="1059"/>
      <c r="T736" s="1059"/>
      <c r="U736" s="1059"/>
      <c r="V736" s="1059"/>
      <c r="W736" s="1059"/>
      <c r="X736" s="1059"/>
      <c r="Y736" s="1059"/>
      <c r="Z736" s="1059"/>
    </row>
    <row r="737" spans="1:26" ht="12.75" customHeight="1">
      <c r="A737" s="1059"/>
      <c r="B737" s="1059"/>
      <c r="C737" s="1059"/>
      <c r="D737" s="1059"/>
      <c r="E737" s="1059"/>
      <c r="F737" s="1059"/>
      <c r="G737" s="1059"/>
      <c r="H737" s="1059"/>
      <c r="I737" s="1059"/>
      <c r="J737" s="1059"/>
      <c r="K737" s="1059"/>
      <c r="L737" s="1059"/>
      <c r="M737" s="1059"/>
      <c r="N737" s="1059"/>
      <c r="O737" s="1059"/>
      <c r="P737" s="1059"/>
      <c r="Q737" s="1059"/>
      <c r="R737" s="1059"/>
      <c r="S737" s="1059"/>
      <c r="T737" s="1059"/>
      <c r="U737" s="1059"/>
      <c r="V737" s="1059"/>
      <c r="W737" s="1059"/>
      <c r="X737" s="1059"/>
      <c r="Y737" s="1059"/>
      <c r="Z737" s="1059"/>
    </row>
    <row r="738" spans="1:26" ht="12.75" customHeight="1">
      <c r="A738" s="1059"/>
      <c r="B738" s="1059"/>
      <c r="C738" s="1059"/>
      <c r="D738" s="1059"/>
      <c r="E738" s="1059"/>
      <c r="F738" s="1059"/>
      <c r="G738" s="1059"/>
      <c r="H738" s="1059"/>
      <c r="I738" s="1059"/>
      <c r="J738" s="1059"/>
      <c r="K738" s="1059"/>
      <c r="L738" s="1059"/>
      <c r="M738" s="1059"/>
      <c r="N738" s="1059"/>
      <c r="O738" s="1059"/>
      <c r="P738" s="1059"/>
      <c r="Q738" s="1059"/>
      <c r="R738" s="1059"/>
      <c r="S738" s="1059"/>
      <c r="T738" s="1059"/>
      <c r="U738" s="1059"/>
      <c r="V738" s="1059"/>
      <c r="W738" s="1059"/>
      <c r="X738" s="1059"/>
      <c r="Y738" s="1059"/>
      <c r="Z738" s="1059"/>
    </row>
    <row r="739" spans="1:26" ht="12.75" customHeight="1">
      <c r="A739" s="1059"/>
      <c r="B739" s="1059"/>
      <c r="C739" s="1059"/>
      <c r="D739" s="1059"/>
      <c r="E739" s="1059"/>
      <c r="F739" s="1059"/>
      <c r="G739" s="1059"/>
      <c r="H739" s="1059"/>
      <c r="I739" s="1059"/>
      <c r="J739" s="1059"/>
      <c r="K739" s="1059"/>
      <c r="L739" s="1059"/>
      <c r="M739" s="1059"/>
      <c r="N739" s="1059"/>
      <c r="O739" s="1059"/>
      <c r="P739" s="1059"/>
      <c r="Q739" s="1059"/>
      <c r="R739" s="1059"/>
      <c r="S739" s="1059"/>
      <c r="T739" s="1059"/>
      <c r="U739" s="1059"/>
      <c r="V739" s="1059"/>
      <c r="W739" s="1059"/>
      <c r="X739" s="1059"/>
      <c r="Y739" s="1059"/>
      <c r="Z739" s="1059"/>
    </row>
    <row r="740" spans="1:26" ht="12.75" customHeight="1">
      <c r="A740" s="1059"/>
      <c r="B740" s="1059"/>
      <c r="C740" s="1059"/>
      <c r="D740" s="1059"/>
      <c r="E740" s="1059"/>
      <c r="F740" s="1059"/>
      <c r="G740" s="1059"/>
      <c r="H740" s="1059"/>
      <c r="I740" s="1059"/>
      <c r="J740" s="1059"/>
      <c r="K740" s="1059"/>
      <c r="L740" s="1059"/>
      <c r="M740" s="1059"/>
      <c r="N740" s="1059"/>
      <c r="O740" s="1059"/>
      <c r="P740" s="1059"/>
      <c r="Q740" s="1059"/>
      <c r="R740" s="1059"/>
      <c r="S740" s="1059"/>
      <c r="T740" s="1059"/>
      <c r="U740" s="1059"/>
      <c r="V740" s="1059"/>
      <c r="W740" s="1059"/>
      <c r="X740" s="1059"/>
      <c r="Y740" s="1059"/>
      <c r="Z740" s="1059"/>
    </row>
    <row r="741" spans="1:26" ht="12.75" customHeight="1">
      <c r="A741" s="1059"/>
      <c r="B741" s="1059"/>
      <c r="C741" s="1059"/>
      <c r="D741" s="1059"/>
      <c r="E741" s="1059"/>
      <c r="F741" s="1059"/>
      <c r="G741" s="1059"/>
      <c r="H741" s="1059"/>
      <c r="I741" s="1059"/>
      <c r="J741" s="1059"/>
      <c r="K741" s="1059"/>
      <c r="L741" s="1059"/>
      <c r="M741" s="1059"/>
      <c r="N741" s="1059"/>
      <c r="O741" s="1059"/>
      <c r="P741" s="1059"/>
      <c r="Q741" s="1059"/>
      <c r="R741" s="1059"/>
      <c r="S741" s="1059"/>
      <c r="T741" s="1059"/>
      <c r="U741" s="1059"/>
      <c r="V741" s="1059"/>
      <c r="W741" s="1059"/>
      <c r="X741" s="1059"/>
      <c r="Y741" s="1059"/>
      <c r="Z741" s="1059"/>
    </row>
    <row r="742" spans="1:26" ht="12.75" customHeight="1">
      <c r="A742" s="1059"/>
      <c r="B742" s="1059"/>
      <c r="C742" s="1059"/>
      <c r="D742" s="1059"/>
      <c r="E742" s="1059"/>
      <c r="F742" s="1059"/>
      <c r="G742" s="1059"/>
      <c r="H742" s="1059"/>
      <c r="I742" s="1059"/>
      <c r="J742" s="1059"/>
      <c r="K742" s="1059"/>
      <c r="L742" s="1059"/>
      <c r="M742" s="1059"/>
      <c r="N742" s="1059"/>
      <c r="O742" s="1059"/>
      <c r="P742" s="1059"/>
      <c r="Q742" s="1059"/>
      <c r="R742" s="1059"/>
      <c r="S742" s="1059"/>
      <c r="T742" s="1059"/>
      <c r="U742" s="1059"/>
      <c r="V742" s="1059"/>
      <c r="W742" s="1059"/>
      <c r="X742" s="1059"/>
      <c r="Y742" s="1059"/>
      <c r="Z742" s="1059"/>
    </row>
    <row r="743" spans="1:26" ht="12.75" customHeight="1">
      <c r="A743" s="1059"/>
      <c r="B743" s="1059"/>
      <c r="C743" s="1059"/>
      <c r="D743" s="1059"/>
      <c r="E743" s="1059"/>
      <c r="F743" s="1059"/>
      <c r="G743" s="1059"/>
      <c r="H743" s="1059"/>
      <c r="I743" s="1059"/>
      <c r="J743" s="1059"/>
      <c r="K743" s="1059"/>
      <c r="L743" s="1059"/>
      <c r="M743" s="1059"/>
      <c r="N743" s="1059"/>
      <c r="O743" s="1059"/>
      <c r="P743" s="1059"/>
      <c r="Q743" s="1059"/>
      <c r="R743" s="1059"/>
      <c r="S743" s="1059"/>
      <c r="T743" s="1059"/>
      <c r="U743" s="1059"/>
      <c r="V743" s="1059"/>
      <c r="W743" s="1059"/>
      <c r="X743" s="1059"/>
      <c r="Y743" s="1059"/>
      <c r="Z743" s="1059"/>
    </row>
    <row r="744" spans="1:26" ht="12.75" customHeight="1">
      <c r="A744" s="1059"/>
      <c r="B744" s="1059"/>
      <c r="C744" s="1059"/>
      <c r="D744" s="1059"/>
      <c r="E744" s="1059"/>
      <c r="F744" s="1059"/>
      <c r="G744" s="1059"/>
      <c r="H744" s="1059"/>
      <c r="I744" s="1059"/>
      <c r="J744" s="1059"/>
      <c r="K744" s="1059"/>
      <c r="L744" s="1059"/>
      <c r="M744" s="1059"/>
      <c r="N744" s="1059"/>
      <c r="O744" s="1059"/>
      <c r="P744" s="1059"/>
      <c r="Q744" s="1059"/>
      <c r="R744" s="1059"/>
      <c r="S744" s="1059"/>
      <c r="T744" s="1059"/>
      <c r="U744" s="1059"/>
      <c r="V744" s="1059"/>
      <c r="W744" s="1059"/>
      <c r="X744" s="1059"/>
      <c r="Y744" s="1059"/>
      <c r="Z744" s="1059"/>
    </row>
    <row r="745" spans="1:26" ht="12.75" customHeight="1">
      <c r="A745" s="1059"/>
      <c r="B745" s="1059"/>
      <c r="C745" s="1059"/>
      <c r="D745" s="1059"/>
      <c r="E745" s="1059"/>
      <c r="F745" s="1059"/>
      <c r="G745" s="1059"/>
      <c r="H745" s="1059"/>
      <c r="I745" s="1059"/>
      <c r="J745" s="1059"/>
      <c r="K745" s="1059"/>
      <c r="L745" s="1059"/>
      <c r="M745" s="1059"/>
      <c r="N745" s="1059"/>
      <c r="O745" s="1059"/>
      <c r="P745" s="1059"/>
      <c r="Q745" s="1059"/>
      <c r="R745" s="1059"/>
      <c r="S745" s="1059"/>
      <c r="T745" s="1059"/>
      <c r="U745" s="1059"/>
      <c r="V745" s="1059"/>
      <c r="W745" s="1059"/>
      <c r="X745" s="1059"/>
      <c r="Y745" s="1059"/>
      <c r="Z745" s="1059"/>
    </row>
    <row r="746" spans="1:26" ht="12.75" customHeight="1">
      <c r="A746" s="1059"/>
      <c r="B746" s="1059"/>
      <c r="C746" s="1059"/>
      <c r="D746" s="1059"/>
      <c r="E746" s="1059"/>
      <c r="F746" s="1059"/>
      <c r="G746" s="1059"/>
      <c r="H746" s="1059"/>
      <c r="I746" s="1059"/>
      <c r="J746" s="1059"/>
      <c r="K746" s="1059"/>
      <c r="L746" s="1059"/>
      <c r="M746" s="1059"/>
      <c r="N746" s="1059"/>
      <c r="O746" s="1059"/>
      <c r="P746" s="1059"/>
      <c r="Q746" s="1059"/>
      <c r="R746" s="1059"/>
      <c r="S746" s="1059"/>
      <c r="T746" s="1059"/>
      <c r="U746" s="1059"/>
      <c r="V746" s="1059"/>
      <c r="W746" s="1059"/>
      <c r="X746" s="1059"/>
      <c r="Y746" s="1059"/>
      <c r="Z746" s="1059"/>
    </row>
    <row r="747" spans="1:26" ht="12.75" customHeight="1">
      <c r="A747" s="1059"/>
      <c r="B747" s="1059"/>
      <c r="C747" s="1059"/>
      <c r="D747" s="1059"/>
      <c r="E747" s="1059"/>
      <c r="F747" s="1059"/>
      <c r="G747" s="1059"/>
      <c r="H747" s="1059"/>
      <c r="I747" s="1059"/>
      <c r="J747" s="1059"/>
      <c r="K747" s="1059"/>
      <c r="L747" s="1059"/>
      <c r="M747" s="1059"/>
      <c r="N747" s="1059"/>
      <c r="O747" s="1059"/>
      <c r="P747" s="1059"/>
      <c r="Q747" s="1059"/>
      <c r="R747" s="1059"/>
      <c r="S747" s="1059"/>
      <c r="T747" s="1059"/>
      <c r="U747" s="1059"/>
      <c r="V747" s="1059"/>
      <c r="W747" s="1059"/>
      <c r="X747" s="1059"/>
      <c r="Y747" s="1059"/>
      <c r="Z747" s="1059"/>
    </row>
    <row r="748" spans="1:26" ht="12.75" customHeight="1">
      <c r="A748" s="1059"/>
      <c r="B748" s="1059"/>
      <c r="C748" s="1059"/>
      <c r="D748" s="1059"/>
      <c r="E748" s="1059"/>
      <c r="F748" s="1059"/>
      <c r="G748" s="1059"/>
      <c r="H748" s="1059"/>
      <c r="I748" s="1059"/>
      <c r="J748" s="1059"/>
      <c r="K748" s="1059"/>
      <c r="L748" s="1059"/>
      <c r="M748" s="1059"/>
      <c r="N748" s="1059"/>
      <c r="O748" s="1059"/>
      <c r="P748" s="1059"/>
      <c r="Q748" s="1059"/>
      <c r="R748" s="1059"/>
      <c r="S748" s="1059"/>
      <c r="T748" s="1059"/>
      <c r="U748" s="1059"/>
      <c r="V748" s="1059"/>
      <c r="W748" s="1059"/>
      <c r="X748" s="1059"/>
      <c r="Y748" s="1059"/>
      <c r="Z748" s="1059"/>
    </row>
    <row r="749" spans="1:26" ht="12.75" customHeight="1">
      <c r="A749" s="1059"/>
      <c r="B749" s="1059"/>
      <c r="C749" s="1059"/>
      <c r="D749" s="1059"/>
      <c r="E749" s="1059"/>
      <c r="F749" s="1059"/>
      <c r="G749" s="1059"/>
      <c r="H749" s="1059"/>
      <c r="I749" s="1059"/>
      <c r="J749" s="1059"/>
      <c r="K749" s="1059"/>
      <c r="L749" s="1059"/>
      <c r="M749" s="1059"/>
      <c r="N749" s="1059"/>
      <c r="O749" s="1059"/>
      <c r="P749" s="1059"/>
      <c r="Q749" s="1059"/>
      <c r="R749" s="1059"/>
      <c r="S749" s="1059"/>
      <c r="T749" s="1059"/>
      <c r="U749" s="1059"/>
      <c r="V749" s="1059"/>
      <c r="W749" s="1059"/>
      <c r="X749" s="1059"/>
      <c r="Y749" s="1059"/>
      <c r="Z749" s="1059"/>
    </row>
    <row r="750" spans="1:26" ht="12.75" customHeight="1">
      <c r="A750" s="1059"/>
      <c r="B750" s="1059"/>
      <c r="C750" s="1059"/>
      <c r="D750" s="1059"/>
      <c r="E750" s="1059"/>
      <c r="F750" s="1059"/>
      <c r="G750" s="1059"/>
      <c r="H750" s="1059"/>
      <c r="I750" s="1059"/>
      <c r="J750" s="1059"/>
      <c r="K750" s="1059"/>
      <c r="L750" s="1059"/>
      <c r="M750" s="1059"/>
      <c r="N750" s="1059"/>
      <c r="O750" s="1059"/>
      <c r="P750" s="1059"/>
      <c r="Q750" s="1059"/>
      <c r="R750" s="1059"/>
      <c r="S750" s="1059"/>
      <c r="T750" s="1059"/>
      <c r="U750" s="1059"/>
      <c r="V750" s="1059"/>
      <c r="W750" s="1059"/>
      <c r="X750" s="1059"/>
      <c r="Y750" s="1059"/>
      <c r="Z750" s="1059"/>
    </row>
    <row r="751" spans="1:26" ht="12.75" customHeight="1">
      <c r="A751" s="1059"/>
      <c r="B751" s="1059"/>
      <c r="C751" s="1059"/>
      <c r="D751" s="1059"/>
      <c r="E751" s="1059"/>
      <c r="F751" s="1059"/>
      <c r="G751" s="1059"/>
      <c r="H751" s="1059"/>
      <c r="I751" s="1059"/>
      <c r="J751" s="1059"/>
      <c r="K751" s="1059"/>
      <c r="L751" s="1059"/>
      <c r="M751" s="1059"/>
      <c r="N751" s="1059"/>
      <c r="O751" s="1059"/>
      <c r="P751" s="1059"/>
      <c r="Q751" s="1059"/>
      <c r="R751" s="1059"/>
      <c r="S751" s="1059"/>
      <c r="T751" s="1059"/>
      <c r="U751" s="1059"/>
      <c r="V751" s="1059"/>
      <c r="W751" s="1059"/>
      <c r="X751" s="1059"/>
      <c r="Y751" s="1059"/>
      <c r="Z751" s="1059"/>
    </row>
    <row r="752" spans="1:26" ht="12.75" customHeight="1">
      <c r="A752" s="1059"/>
      <c r="B752" s="1059"/>
      <c r="C752" s="1059"/>
      <c r="D752" s="1059"/>
      <c r="E752" s="1059"/>
      <c r="F752" s="1059"/>
      <c r="G752" s="1059"/>
      <c r="H752" s="1059"/>
      <c r="I752" s="1059"/>
      <c r="J752" s="1059"/>
      <c r="K752" s="1059"/>
      <c r="L752" s="1059"/>
      <c r="M752" s="1059"/>
      <c r="N752" s="1059"/>
      <c r="O752" s="1059"/>
      <c r="P752" s="1059"/>
      <c r="Q752" s="1059"/>
      <c r="R752" s="1059"/>
      <c r="S752" s="1059"/>
      <c r="T752" s="1059"/>
      <c r="U752" s="1059"/>
      <c r="V752" s="1059"/>
      <c r="W752" s="1059"/>
      <c r="X752" s="1059"/>
      <c r="Y752" s="1059"/>
      <c r="Z752" s="1059"/>
    </row>
    <row r="753" spans="1:26" ht="12.75" customHeight="1">
      <c r="A753" s="1059"/>
      <c r="B753" s="1059"/>
      <c r="C753" s="1059"/>
      <c r="D753" s="1059"/>
      <c r="E753" s="1059"/>
      <c r="F753" s="1059"/>
      <c r="G753" s="1059"/>
      <c r="H753" s="1059"/>
      <c r="I753" s="1059"/>
      <c r="J753" s="1059"/>
      <c r="K753" s="1059"/>
      <c r="L753" s="1059"/>
      <c r="M753" s="1059"/>
      <c r="N753" s="1059"/>
      <c r="O753" s="1059"/>
      <c r="P753" s="1059"/>
      <c r="Q753" s="1059"/>
      <c r="R753" s="1059"/>
      <c r="S753" s="1059"/>
      <c r="T753" s="1059"/>
      <c r="U753" s="1059"/>
      <c r="V753" s="1059"/>
      <c r="W753" s="1059"/>
      <c r="X753" s="1059"/>
      <c r="Y753" s="1059"/>
      <c r="Z753" s="1059"/>
    </row>
    <row r="754" spans="1:26" ht="12.75" customHeight="1">
      <c r="A754" s="1059"/>
      <c r="B754" s="1059"/>
      <c r="C754" s="1059"/>
      <c r="D754" s="1059"/>
      <c r="E754" s="1059"/>
      <c r="F754" s="1059"/>
      <c r="G754" s="1059"/>
      <c r="H754" s="1059"/>
      <c r="I754" s="1059"/>
      <c r="J754" s="1059"/>
      <c r="K754" s="1059"/>
      <c r="L754" s="1059"/>
      <c r="M754" s="1059"/>
      <c r="N754" s="1059"/>
      <c r="O754" s="1059"/>
      <c r="P754" s="1059"/>
      <c r="Q754" s="1059"/>
      <c r="R754" s="1059"/>
      <c r="S754" s="1059"/>
      <c r="T754" s="1059"/>
      <c r="U754" s="1059"/>
      <c r="V754" s="1059"/>
      <c r="W754" s="1059"/>
      <c r="X754" s="1059"/>
      <c r="Y754" s="1059"/>
      <c r="Z754" s="1059"/>
    </row>
    <row r="755" spans="1:26" ht="12.75" customHeight="1">
      <c r="A755" s="1059"/>
      <c r="B755" s="1059"/>
      <c r="C755" s="1059"/>
      <c r="D755" s="1059"/>
      <c r="E755" s="1059"/>
      <c r="F755" s="1059"/>
      <c r="G755" s="1059"/>
      <c r="H755" s="1059"/>
      <c r="I755" s="1059"/>
      <c r="J755" s="1059"/>
      <c r="K755" s="1059"/>
      <c r="L755" s="1059"/>
      <c r="M755" s="1059"/>
      <c r="N755" s="1059"/>
      <c r="O755" s="1059"/>
      <c r="P755" s="1059"/>
      <c r="Q755" s="1059"/>
      <c r="R755" s="1059"/>
      <c r="S755" s="1059"/>
      <c r="T755" s="1059"/>
      <c r="U755" s="1059"/>
      <c r="V755" s="1059"/>
      <c r="W755" s="1059"/>
      <c r="X755" s="1059"/>
      <c r="Y755" s="1059"/>
      <c r="Z755" s="1059"/>
    </row>
    <row r="756" spans="1:26" ht="12.75" customHeight="1">
      <c r="A756" s="1059"/>
      <c r="B756" s="1059"/>
      <c r="C756" s="1059"/>
      <c r="D756" s="1059"/>
      <c r="E756" s="1059"/>
      <c r="F756" s="1059"/>
      <c r="G756" s="1059"/>
      <c r="H756" s="1059"/>
      <c r="I756" s="1059"/>
      <c r="J756" s="1059"/>
      <c r="K756" s="1059"/>
      <c r="L756" s="1059"/>
      <c r="M756" s="1059"/>
      <c r="N756" s="1059"/>
      <c r="O756" s="1059"/>
      <c r="P756" s="1059"/>
      <c r="Q756" s="1059"/>
      <c r="R756" s="1059"/>
      <c r="S756" s="1059"/>
      <c r="T756" s="1059"/>
      <c r="U756" s="1059"/>
      <c r="V756" s="1059"/>
      <c r="W756" s="1059"/>
      <c r="X756" s="1059"/>
      <c r="Y756" s="1059"/>
      <c r="Z756" s="1059"/>
    </row>
    <row r="757" spans="1:26" ht="12.75" customHeight="1">
      <c r="A757" s="1059"/>
      <c r="B757" s="1059"/>
      <c r="C757" s="1059"/>
      <c r="D757" s="1059"/>
      <c r="E757" s="1059"/>
      <c r="F757" s="1059"/>
      <c r="G757" s="1059"/>
      <c r="H757" s="1059"/>
      <c r="I757" s="1059"/>
      <c r="J757" s="1059"/>
      <c r="K757" s="1059"/>
      <c r="L757" s="1059"/>
      <c r="M757" s="1059"/>
      <c r="N757" s="1059"/>
      <c r="O757" s="1059"/>
      <c r="P757" s="1059"/>
      <c r="Q757" s="1059"/>
      <c r="R757" s="1059"/>
      <c r="S757" s="1059"/>
      <c r="T757" s="1059"/>
      <c r="U757" s="1059"/>
      <c r="V757" s="1059"/>
      <c r="W757" s="1059"/>
      <c r="X757" s="1059"/>
      <c r="Y757" s="1059"/>
      <c r="Z757" s="1059"/>
    </row>
    <row r="758" spans="1:26" ht="12.75" customHeight="1">
      <c r="A758" s="1059"/>
      <c r="B758" s="1059"/>
      <c r="C758" s="1059"/>
      <c r="D758" s="1059"/>
      <c r="E758" s="1059"/>
      <c r="F758" s="1059"/>
      <c r="G758" s="1059"/>
      <c r="H758" s="1059"/>
      <c r="I758" s="1059"/>
      <c r="J758" s="1059"/>
      <c r="K758" s="1059"/>
      <c r="L758" s="1059"/>
      <c r="M758" s="1059"/>
      <c r="N758" s="1059"/>
      <c r="O758" s="1059"/>
      <c r="P758" s="1059"/>
      <c r="Q758" s="1059"/>
      <c r="R758" s="1059"/>
      <c r="S758" s="1059"/>
      <c r="T758" s="1059"/>
      <c r="U758" s="1059"/>
      <c r="V758" s="1059"/>
      <c r="W758" s="1059"/>
      <c r="X758" s="1059"/>
      <c r="Y758" s="1059"/>
      <c r="Z758" s="1059"/>
    </row>
    <row r="759" spans="1:26" ht="12.75" customHeight="1">
      <c r="A759" s="1059"/>
      <c r="B759" s="1059"/>
      <c r="C759" s="1059"/>
      <c r="D759" s="1059"/>
      <c r="E759" s="1059"/>
      <c r="F759" s="1059"/>
      <c r="G759" s="1059"/>
      <c r="H759" s="1059"/>
      <c r="I759" s="1059"/>
      <c r="J759" s="1059"/>
      <c r="K759" s="1059"/>
      <c r="L759" s="1059"/>
      <c r="M759" s="1059"/>
      <c r="N759" s="1059"/>
      <c r="O759" s="1059"/>
      <c r="P759" s="1059"/>
      <c r="Q759" s="1059"/>
      <c r="R759" s="1059"/>
      <c r="S759" s="1059"/>
      <c r="T759" s="1059"/>
      <c r="U759" s="1059"/>
      <c r="V759" s="1059"/>
      <c r="W759" s="1059"/>
      <c r="X759" s="1059"/>
      <c r="Y759" s="1059"/>
      <c r="Z759" s="1059"/>
    </row>
    <row r="760" spans="1:26" ht="12.75" customHeight="1">
      <c r="A760" s="1059"/>
      <c r="B760" s="1059"/>
      <c r="C760" s="1059"/>
      <c r="D760" s="1059"/>
      <c r="E760" s="1059"/>
      <c r="F760" s="1059"/>
      <c r="G760" s="1059"/>
      <c r="H760" s="1059"/>
      <c r="I760" s="1059"/>
      <c r="J760" s="1059"/>
      <c r="K760" s="1059"/>
      <c r="L760" s="1059"/>
      <c r="M760" s="1059"/>
      <c r="N760" s="1059"/>
      <c r="O760" s="1059"/>
      <c r="P760" s="1059"/>
      <c r="Q760" s="1059"/>
      <c r="R760" s="1059"/>
      <c r="S760" s="1059"/>
      <c r="T760" s="1059"/>
      <c r="U760" s="1059"/>
      <c r="V760" s="1059"/>
      <c r="W760" s="1059"/>
      <c r="X760" s="1059"/>
      <c r="Y760" s="1059"/>
      <c r="Z760" s="1059"/>
    </row>
    <row r="761" spans="1:26" ht="12.75" customHeight="1">
      <c r="A761" s="1059"/>
      <c r="B761" s="1059"/>
      <c r="C761" s="1059"/>
      <c r="D761" s="1059"/>
      <c r="E761" s="1059"/>
      <c r="F761" s="1059"/>
      <c r="G761" s="1059"/>
      <c r="H761" s="1059"/>
      <c r="I761" s="1059"/>
      <c r="J761" s="1059"/>
      <c r="K761" s="1059"/>
      <c r="L761" s="1059"/>
      <c r="M761" s="1059"/>
      <c r="N761" s="1059"/>
      <c r="O761" s="1059"/>
      <c r="P761" s="1059"/>
      <c r="Q761" s="1059"/>
      <c r="R761" s="1059"/>
      <c r="S761" s="1059"/>
      <c r="T761" s="1059"/>
      <c r="U761" s="1059"/>
      <c r="V761" s="1059"/>
      <c r="W761" s="1059"/>
      <c r="X761" s="1059"/>
      <c r="Y761" s="1059"/>
      <c r="Z761" s="1059"/>
    </row>
    <row r="762" spans="1:26" ht="12.75" customHeight="1">
      <c r="A762" s="1059"/>
      <c r="B762" s="1059"/>
      <c r="C762" s="1059"/>
      <c r="D762" s="1059"/>
      <c r="E762" s="1059"/>
      <c r="F762" s="1059"/>
      <c r="G762" s="1059"/>
      <c r="H762" s="1059"/>
      <c r="I762" s="1059"/>
      <c r="J762" s="1059"/>
      <c r="K762" s="1059"/>
      <c r="L762" s="1059"/>
      <c r="M762" s="1059"/>
      <c r="N762" s="1059"/>
      <c r="O762" s="1059"/>
      <c r="P762" s="1059"/>
      <c r="Q762" s="1059"/>
      <c r="R762" s="1059"/>
      <c r="S762" s="1059"/>
      <c r="T762" s="1059"/>
      <c r="U762" s="1059"/>
      <c r="V762" s="1059"/>
      <c r="W762" s="1059"/>
      <c r="X762" s="1059"/>
      <c r="Y762" s="1059"/>
      <c r="Z762" s="1059"/>
    </row>
    <row r="763" spans="1:26" ht="12.75" customHeight="1">
      <c r="A763" s="1059"/>
      <c r="B763" s="1059"/>
      <c r="C763" s="1059"/>
      <c r="D763" s="1059"/>
      <c r="E763" s="1059"/>
      <c r="F763" s="1059"/>
      <c r="G763" s="1059"/>
      <c r="H763" s="1059"/>
      <c r="I763" s="1059"/>
      <c r="J763" s="1059"/>
      <c r="K763" s="1059"/>
      <c r="L763" s="1059"/>
      <c r="M763" s="1059"/>
      <c r="N763" s="1059"/>
      <c r="O763" s="1059"/>
      <c r="P763" s="1059"/>
      <c r="Q763" s="1059"/>
      <c r="R763" s="1059"/>
      <c r="S763" s="1059"/>
      <c r="T763" s="1059"/>
      <c r="U763" s="1059"/>
      <c r="V763" s="1059"/>
      <c r="W763" s="1059"/>
      <c r="X763" s="1059"/>
      <c r="Y763" s="1059"/>
      <c r="Z763" s="1059"/>
    </row>
    <row r="764" spans="1:26" ht="12.75" customHeight="1">
      <c r="A764" s="1059"/>
      <c r="B764" s="1059"/>
      <c r="C764" s="1059"/>
      <c r="D764" s="1059"/>
      <c r="E764" s="1059"/>
      <c r="F764" s="1059"/>
      <c r="G764" s="1059"/>
      <c r="H764" s="1059"/>
      <c r="I764" s="1059"/>
      <c r="J764" s="1059"/>
      <c r="K764" s="1059"/>
      <c r="L764" s="1059"/>
      <c r="M764" s="1059"/>
      <c r="N764" s="1059"/>
      <c r="O764" s="1059"/>
      <c r="P764" s="1059"/>
      <c r="Q764" s="1059"/>
      <c r="R764" s="1059"/>
      <c r="S764" s="1059"/>
      <c r="T764" s="1059"/>
      <c r="U764" s="1059"/>
      <c r="V764" s="1059"/>
      <c r="W764" s="1059"/>
      <c r="X764" s="1059"/>
      <c r="Y764" s="1059"/>
      <c r="Z764" s="1059"/>
    </row>
    <row r="765" spans="1:26" ht="12.75" customHeight="1">
      <c r="A765" s="1059"/>
      <c r="B765" s="1059"/>
      <c r="C765" s="1059"/>
      <c r="D765" s="1059"/>
      <c r="E765" s="1059"/>
      <c r="F765" s="1059"/>
      <c r="G765" s="1059"/>
      <c r="H765" s="1059"/>
      <c r="I765" s="1059"/>
      <c r="J765" s="1059"/>
      <c r="K765" s="1059"/>
      <c r="L765" s="1059"/>
      <c r="M765" s="1059"/>
      <c r="N765" s="1059"/>
      <c r="O765" s="1059"/>
      <c r="P765" s="1059"/>
      <c r="Q765" s="1059"/>
      <c r="R765" s="1059"/>
      <c r="S765" s="1059"/>
      <c r="T765" s="1059"/>
      <c r="U765" s="1059"/>
      <c r="V765" s="1059"/>
      <c r="W765" s="1059"/>
      <c r="X765" s="1059"/>
      <c r="Y765" s="1059"/>
      <c r="Z765" s="1059"/>
    </row>
    <row r="766" spans="1:26" ht="12.75" customHeight="1">
      <c r="A766" s="1059"/>
      <c r="B766" s="1059"/>
      <c r="C766" s="1059"/>
      <c r="D766" s="1059"/>
      <c r="E766" s="1059"/>
      <c r="F766" s="1059"/>
      <c r="G766" s="1059"/>
      <c r="H766" s="1059"/>
      <c r="I766" s="1059"/>
      <c r="J766" s="1059"/>
      <c r="K766" s="1059"/>
      <c r="L766" s="1059"/>
      <c r="M766" s="1059"/>
      <c r="N766" s="1059"/>
      <c r="O766" s="1059"/>
      <c r="P766" s="1059"/>
      <c r="Q766" s="1059"/>
      <c r="R766" s="1059"/>
      <c r="S766" s="1059"/>
      <c r="T766" s="1059"/>
      <c r="U766" s="1059"/>
      <c r="V766" s="1059"/>
      <c r="W766" s="1059"/>
      <c r="X766" s="1059"/>
      <c r="Y766" s="1059"/>
      <c r="Z766" s="1059"/>
    </row>
    <row r="767" spans="1:26" ht="12.75" customHeight="1">
      <c r="A767" s="1059"/>
      <c r="B767" s="1059"/>
      <c r="C767" s="1059"/>
      <c r="D767" s="1059"/>
      <c r="E767" s="1059"/>
      <c r="F767" s="1059"/>
      <c r="G767" s="1059"/>
      <c r="H767" s="1059"/>
      <c r="I767" s="1059"/>
      <c r="J767" s="1059"/>
      <c r="K767" s="1059"/>
      <c r="L767" s="1059"/>
      <c r="M767" s="1059"/>
      <c r="N767" s="1059"/>
      <c r="O767" s="1059"/>
      <c r="P767" s="1059"/>
      <c r="Q767" s="1059"/>
      <c r="R767" s="1059"/>
      <c r="S767" s="1059"/>
      <c r="T767" s="1059"/>
      <c r="U767" s="1059"/>
      <c r="V767" s="1059"/>
      <c r="W767" s="1059"/>
      <c r="X767" s="1059"/>
      <c r="Y767" s="1059"/>
      <c r="Z767" s="1059"/>
    </row>
    <row r="768" spans="1:26" ht="12.75" customHeight="1">
      <c r="A768" s="1059"/>
      <c r="B768" s="1059"/>
      <c r="C768" s="1059"/>
      <c r="D768" s="1059"/>
      <c r="E768" s="1059"/>
      <c r="F768" s="1059"/>
      <c r="G768" s="1059"/>
      <c r="H768" s="1059"/>
      <c r="I768" s="1059"/>
      <c r="J768" s="1059"/>
      <c r="K768" s="1059"/>
      <c r="L768" s="1059"/>
      <c r="M768" s="1059"/>
      <c r="N768" s="1059"/>
      <c r="O768" s="1059"/>
      <c r="P768" s="1059"/>
      <c r="Q768" s="1059"/>
      <c r="R768" s="1059"/>
      <c r="S768" s="1059"/>
      <c r="T768" s="1059"/>
      <c r="U768" s="1059"/>
      <c r="V768" s="1059"/>
      <c r="W768" s="1059"/>
      <c r="X768" s="1059"/>
      <c r="Y768" s="1059"/>
      <c r="Z768" s="1059"/>
    </row>
    <row r="769" spans="1:26" ht="12.75" customHeight="1">
      <c r="A769" s="1059"/>
      <c r="B769" s="1059"/>
      <c r="C769" s="1059"/>
      <c r="D769" s="1059"/>
      <c r="E769" s="1059"/>
      <c r="F769" s="1059"/>
      <c r="G769" s="1059"/>
      <c r="H769" s="1059"/>
      <c r="I769" s="1059"/>
      <c r="J769" s="1059"/>
      <c r="K769" s="1059"/>
      <c r="L769" s="1059"/>
      <c r="M769" s="1059"/>
      <c r="N769" s="1059"/>
      <c r="O769" s="1059"/>
      <c r="P769" s="1059"/>
      <c r="Q769" s="1059"/>
      <c r="R769" s="1059"/>
      <c r="S769" s="1059"/>
      <c r="T769" s="1059"/>
      <c r="U769" s="1059"/>
      <c r="V769" s="1059"/>
      <c r="W769" s="1059"/>
      <c r="X769" s="1059"/>
      <c r="Y769" s="1059"/>
      <c r="Z769" s="1059"/>
    </row>
    <row r="770" spans="1:26" ht="12.75" customHeight="1">
      <c r="A770" s="1059"/>
      <c r="B770" s="1059"/>
      <c r="C770" s="1059"/>
      <c r="D770" s="1059"/>
      <c r="E770" s="1059"/>
      <c r="F770" s="1059"/>
      <c r="G770" s="1059"/>
      <c r="H770" s="1059"/>
      <c r="I770" s="1059"/>
      <c r="J770" s="1059"/>
      <c r="K770" s="1059"/>
      <c r="L770" s="1059"/>
      <c r="M770" s="1059"/>
      <c r="N770" s="1059"/>
      <c r="O770" s="1059"/>
      <c r="P770" s="1059"/>
      <c r="Q770" s="1059"/>
      <c r="R770" s="1059"/>
      <c r="S770" s="1059"/>
      <c r="T770" s="1059"/>
      <c r="U770" s="1059"/>
      <c r="V770" s="1059"/>
      <c r="W770" s="1059"/>
      <c r="X770" s="1059"/>
      <c r="Y770" s="1059"/>
      <c r="Z770" s="1059"/>
    </row>
    <row r="771" spans="1:26" ht="12.75" customHeight="1">
      <c r="A771" s="1059"/>
      <c r="B771" s="1059"/>
      <c r="C771" s="1059"/>
      <c r="D771" s="1059"/>
      <c r="E771" s="1059"/>
      <c r="F771" s="1059"/>
      <c r="G771" s="1059"/>
      <c r="H771" s="1059"/>
      <c r="I771" s="1059"/>
      <c r="J771" s="1059"/>
      <c r="K771" s="1059"/>
      <c r="L771" s="1059"/>
      <c r="M771" s="1059"/>
      <c r="N771" s="1059"/>
      <c r="O771" s="1059"/>
      <c r="P771" s="1059"/>
      <c r="Q771" s="1059"/>
      <c r="R771" s="1059"/>
      <c r="S771" s="1059"/>
      <c r="T771" s="1059"/>
      <c r="U771" s="1059"/>
      <c r="V771" s="1059"/>
      <c r="W771" s="1059"/>
      <c r="X771" s="1059"/>
      <c r="Y771" s="1059"/>
      <c r="Z771" s="1059"/>
    </row>
    <row r="772" spans="1:26" ht="12.75" customHeight="1">
      <c r="A772" s="1059"/>
      <c r="B772" s="1059"/>
      <c r="C772" s="1059"/>
      <c r="D772" s="1059"/>
      <c r="E772" s="1059"/>
      <c r="F772" s="1059"/>
      <c r="G772" s="1059"/>
      <c r="H772" s="1059"/>
      <c r="I772" s="1059"/>
      <c r="J772" s="1059"/>
      <c r="K772" s="1059"/>
      <c r="L772" s="1059"/>
      <c r="M772" s="1059"/>
      <c r="N772" s="1059"/>
      <c r="O772" s="1059"/>
      <c r="P772" s="1059"/>
      <c r="Q772" s="1059"/>
      <c r="R772" s="1059"/>
      <c r="S772" s="1059"/>
      <c r="T772" s="1059"/>
      <c r="U772" s="1059"/>
      <c r="V772" s="1059"/>
      <c r="W772" s="1059"/>
      <c r="X772" s="1059"/>
      <c r="Y772" s="1059"/>
      <c r="Z772" s="1059"/>
    </row>
    <row r="773" spans="1:26" ht="12.75" customHeight="1">
      <c r="A773" s="1059"/>
      <c r="B773" s="1059"/>
      <c r="C773" s="1059"/>
      <c r="D773" s="1059"/>
      <c r="E773" s="1059"/>
      <c r="F773" s="1059"/>
      <c r="G773" s="1059"/>
      <c r="H773" s="1059"/>
      <c r="I773" s="1059"/>
      <c r="J773" s="1059"/>
      <c r="K773" s="1059"/>
      <c r="L773" s="1059"/>
      <c r="M773" s="1059"/>
      <c r="N773" s="1059"/>
      <c r="O773" s="1059"/>
      <c r="P773" s="1059"/>
      <c r="Q773" s="1059"/>
      <c r="R773" s="1059"/>
      <c r="S773" s="1059"/>
      <c r="T773" s="1059"/>
      <c r="U773" s="1059"/>
      <c r="V773" s="1059"/>
      <c r="W773" s="1059"/>
      <c r="X773" s="1059"/>
      <c r="Y773" s="1059"/>
      <c r="Z773" s="1059"/>
    </row>
    <row r="774" spans="1:26" ht="12.75" customHeight="1">
      <c r="A774" s="1059"/>
      <c r="B774" s="1059"/>
      <c r="C774" s="1059"/>
      <c r="D774" s="1059"/>
      <c r="E774" s="1059"/>
      <c r="F774" s="1059"/>
      <c r="G774" s="1059"/>
      <c r="H774" s="1059"/>
      <c r="I774" s="1059"/>
      <c r="J774" s="1059"/>
      <c r="K774" s="1059"/>
      <c r="L774" s="1059"/>
      <c r="M774" s="1059"/>
      <c r="N774" s="1059"/>
      <c r="O774" s="1059"/>
      <c r="P774" s="1059"/>
      <c r="Q774" s="1059"/>
      <c r="R774" s="1059"/>
      <c r="S774" s="1059"/>
      <c r="T774" s="1059"/>
      <c r="U774" s="1059"/>
      <c r="V774" s="1059"/>
      <c r="W774" s="1059"/>
      <c r="X774" s="1059"/>
      <c r="Y774" s="1059"/>
      <c r="Z774" s="1059"/>
    </row>
    <row r="775" spans="1:26" ht="12.75" customHeight="1">
      <c r="A775" s="1059"/>
      <c r="B775" s="1059"/>
      <c r="C775" s="1059"/>
      <c r="D775" s="1059"/>
      <c r="E775" s="1059"/>
      <c r="F775" s="1059"/>
      <c r="G775" s="1059"/>
      <c r="H775" s="1059"/>
      <c r="I775" s="1059"/>
      <c r="J775" s="1059"/>
      <c r="K775" s="1059"/>
      <c r="L775" s="1059"/>
      <c r="M775" s="1059"/>
      <c r="N775" s="1059"/>
      <c r="O775" s="1059"/>
      <c r="P775" s="1059"/>
      <c r="Q775" s="1059"/>
      <c r="R775" s="1059"/>
      <c r="S775" s="1059"/>
      <c r="T775" s="1059"/>
      <c r="U775" s="1059"/>
      <c r="V775" s="1059"/>
      <c r="W775" s="1059"/>
      <c r="X775" s="1059"/>
      <c r="Y775" s="1059"/>
      <c r="Z775" s="1059"/>
    </row>
    <row r="776" spans="1:26" ht="12.75" customHeight="1">
      <c r="A776" s="1059"/>
      <c r="B776" s="1059"/>
      <c r="C776" s="1059"/>
      <c r="D776" s="1059"/>
      <c r="E776" s="1059"/>
      <c r="F776" s="1059"/>
      <c r="G776" s="1059"/>
      <c r="H776" s="1059"/>
      <c r="I776" s="1059"/>
      <c r="J776" s="1059"/>
      <c r="K776" s="1059"/>
      <c r="L776" s="1059"/>
      <c r="M776" s="1059"/>
      <c r="N776" s="1059"/>
      <c r="O776" s="1059"/>
      <c r="P776" s="1059"/>
      <c r="Q776" s="1059"/>
      <c r="R776" s="1059"/>
      <c r="S776" s="1059"/>
      <c r="T776" s="1059"/>
      <c r="U776" s="1059"/>
      <c r="V776" s="1059"/>
      <c r="W776" s="1059"/>
      <c r="X776" s="1059"/>
      <c r="Y776" s="1059"/>
      <c r="Z776" s="1059"/>
    </row>
    <row r="777" spans="1:26" ht="12.75" customHeight="1">
      <c r="A777" s="1059"/>
      <c r="B777" s="1059"/>
      <c r="C777" s="1059"/>
      <c r="D777" s="1059"/>
      <c r="E777" s="1059"/>
      <c r="F777" s="1059"/>
      <c r="G777" s="1059"/>
      <c r="H777" s="1059"/>
      <c r="I777" s="1059"/>
      <c r="J777" s="1059"/>
      <c r="K777" s="1059"/>
      <c r="L777" s="1059"/>
      <c r="M777" s="1059"/>
      <c r="N777" s="1059"/>
      <c r="O777" s="1059"/>
      <c r="P777" s="1059"/>
      <c r="Q777" s="1059"/>
      <c r="R777" s="1059"/>
      <c r="S777" s="1059"/>
      <c r="T777" s="1059"/>
      <c r="U777" s="1059"/>
      <c r="V777" s="1059"/>
      <c r="W777" s="1059"/>
      <c r="X777" s="1059"/>
      <c r="Y777" s="1059"/>
      <c r="Z777" s="1059"/>
    </row>
    <row r="778" spans="1:26" ht="12.75" customHeight="1">
      <c r="A778" s="1059"/>
      <c r="B778" s="1059"/>
      <c r="C778" s="1059"/>
      <c r="D778" s="1059"/>
      <c r="E778" s="1059"/>
      <c r="F778" s="1059"/>
      <c r="G778" s="1059"/>
      <c r="H778" s="1059"/>
      <c r="I778" s="1059"/>
      <c r="J778" s="1059"/>
      <c r="K778" s="1059"/>
      <c r="L778" s="1059"/>
      <c r="M778" s="1059"/>
      <c r="N778" s="1059"/>
      <c r="O778" s="1059"/>
      <c r="P778" s="1059"/>
      <c r="Q778" s="1059"/>
      <c r="R778" s="1059"/>
      <c r="S778" s="1059"/>
      <c r="T778" s="1059"/>
      <c r="U778" s="1059"/>
      <c r="V778" s="1059"/>
      <c r="W778" s="1059"/>
      <c r="X778" s="1059"/>
      <c r="Y778" s="1059"/>
      <c r="Z778" s="1059"/>
    </row>
    <row r="779" spans="1:26" ht="12.75" customHeight="1">
      <c r="A779" s="1059"/>
      <c r="B779" s="1059"/>
      <c r="C779" s="1059"/>
      <c r="D779" s="1059"/>
      <c r="E779" s="1059"/>
      <c r="F779" s="1059"/>
      <c r="G779" s="1059"/>
      <c r="H779" s="1059"/>
      <c r="I779" s="1059"/>
      <c r="J779" s="1059"/>
      <c r="K779" s="1059"/>
      <c r="L779" s="1059"/>
      <c r="M779" s="1059"/>
      <c r="N779" s="1059"/>
      <c r="O779" s="1059"/>
      <c r="P779" s="1059"/>
      <c r="Q779" s="1059"/>
      <c r="R779" s="1059"/>
      <c r="S779" s="1059"/>
      <c r="T779" s="1059"/>
      <c r="U779" s="1059"/>
      <c r="V779" s="1059"/>
      <c r="W779" s="1059"/>
      <c r="X779" s="1059"/>
      <c r="Y779" s="1059"/>
      <c r="Z779" s="1059"/>
    </row>
    <row r="780" spans="1:26" ht="12.75" customHeight="1">
      <c r="A780" s="1059"/>
      <c r="B780" s="1059"/>
      <c r="C780" s="1059"/>
      <c r="D780" s="1059"/>
      <c r="E780" s="1059"/>
      <c r="F780" s="1059"/>
      <c r="G780" s="1059"/>
      <c r="H780" s="1059"/>
      <c r="I780" s="1059"/>
      <c r="J780" s="1059"/>
      <c r="K780" s="1059"/>
      <c r="L780" s="1059"/>
      <c r="M780" s="1059"/>
      <c r="N780" s="1059"/>
      <c r="O780" s="1059"/>
      <c r="P780" s="1059"/>
      <c r="Q780" s="1059"/>
      <c r="R780" s="1059"/>
      <c r="S780" s="1059"/>
      <c r="T780" s="1059"/>
      <c r="U780" s="1059"/>
      <c r="V780" s="1059"/>
      <c r="W780" s="1059"/>
      <c r="X780" s="1059"/>
      <c r="Y780" s="1059"/>
      <c r="Z780" s="1059"/>
    </row>
    <row r="781" spans="1:26" ht="12.75" customHeight="1">
      <c r="A781" s="1059"/>
      <c r="B781" s="1059"/>
      <c r="C781" s="1059"/>
      <c r="D781" s="1059"/>
      <c r="E781" s="1059"/>
      <c r="F781" s="1059"/>
      <c r="G781" s="1059"/>
      <c r="H781" s="1059"/>
      <c r="I781" s="1059"/>
      <c r="J781" s="1059"/>
      <c r="K781" s="1059"/>
      <c r="L781" s="1059"/>
      <c r="M781" s="1059"/>
      <c r="N781" s="1059"/>
      <c r="O781" s="1059"/>
      <c r="P781" s="1059"/>
      <c r="Q781" s="1059"/>
      <c r="R781" s="1059"/>
      <c r="S781" s="1059"/>
      <c r="T781" s="1059"/>
      <c r="U781" s="1059"/>
      <c r="V781" s="1059"/>
      <c r="W781" s="1059"/>
      <c r="X781" s="1059"/>
      <c r="Y781" s="1059"/>
      <c r="Z781" s="1059"/>
    </row>
    <row r="782" spans="1:26" ht="12.75" customHeight="1">
      <c r="A782" s="1059"/>
      <c r="B782" s="1059"/>
      <c r="C782" s="1059"/>
      <c r="D782" s="1059"/>
      <c r="E782" s="1059"/>
      <c r="F782" s="1059"/>
      <c r="G782" s="1059"/>
      <c r="H782" s="1059"/>
      <c r="I782" s="1059"/>
      <c r="J782" s="1059"/>
      <c r="K782" s="1059"/>
      <c r="L782" s="1059"/>
      <c r="M782" s="1059"/>
      <c r="N782" s="1059"/>
      <c r="O782" s="1059"/>
      <c r="P782" s="1059"/>
      <c r="Q782" s="1059"/>
      <c r="R782" s="1059"/>
      <c r="S782" s="1059"/>
      <c r="T782" s="1059"/>
      <c r="U782" s="1059"/>
      <c r="V782" s="1059"/>
      <c r="W782" s="1059"/>
      <c r="X782" s="1059"/>
      <c r="Y782" s="1059"/>
      <c r="Z782" s="1059"/>
    </row>
    <row r="783" spans="1:26" ht="12.75" customHeight="1">
      <c r="A783" s="1059"/>
      <c r="B783" s="1059"/>
      <c r="C783" s="1059"/>
      <c r="D783" s="1059"/>
      <c r="E783" s="1059"/>
      <c r="F783" s="1059"/>
      <c r="G783" s="1059"/>
      <c r="H783" s="1059"/>
      <c r="I783" s="1059"/>
      <c r="J783" s="1059"/>
      <c r="K783" s="1059"/>
      <c r="L783" s="1059"/>
      <c r="M783" s="1059"/>
      <c r="N783" s="1059"/>
      <c r="O783" s="1059"/>
      <c r="P783" s="1059"/>
      <c r="Q783" s="1059"/>
      <c r="R783" s="1059"/>
      <c r="S783" s="1059"/>
      <c r="T783" s="1059"/>
      <c r="U783" s="1059"/>
      <c r="V783" s="1059"/>
      <c r="W783" s="1059"/>
      <c r="X783" s="1059"/>
      <c r="Y783" s="1059"/>
      <c r="Z783" s="1059"/>
    </row>
    <row r="784" spans="1:26" ht="12.75" customHeight="1">
      <c r="A784" s="1059"/>
      <c r="B784" s="1059"/>
      <c r="C784" s="1059"/>
      <c r="D784" s="1059"/>
      <c r="E784" s="1059"/>
      <c r="F784" s="1059"/>
      <c r="G784" s="1059"/>
      <c r="H784" s="1059"/>
      <c r="I784" s="1059"/>
      <c r="J784" s="1059"/>
      <c r="K784" s="1059"/>
      <c r="L784" s="1059"/>
      <c r="M784" s="1059"/>
      <c r="N784" s="1059"/>
      <c r="O784" s="1059"/>
      <c r="P784" s="1059"/>
      <c r="Q784" s="1059"/>
      <c r="R784" s="1059"/>
      <c r="S784" s="1059"/>
      <c r="T784" s="1059"/>
      <c r="U784" s="1059"/>
      <c r="V784" s="1059"/>
      <c r="W784" s="1059"/>
      <c r="X784" s="1059"/>
      <c r="Y784" s="1059"/>
      <c r="Z784" s="1059"/>
    </row>
    <row r="785" spans="1:26" ht="12.75" customHeight="1">
      <c r="A785" s="1059"/>
      <c r="B785" s="1059"/>
      <c r="C785" s="1059"/>
      <c r="D785" s="1059"/>
      <c r="E785" s="1059"/>
      <c r="F785" s="1059"/>
      <c r="G785" s="1059"/>
      <c r="H785" s="1059"/>
      <c r="I785" s="1059"/>
      <c r="J785" s="1059"/>
      <c r="K785" s="1059"/>
      <c r="L785" s="1059"/>
      <c r="M785" s="1059"/>
      <c r="N785" s="1059"/>
      <c r="O785" s="1059"/>
      <c r="P785" s="1059"/>
      <c r="Q785" s="1059"/>
      <c r="R785" s="1059"/>
      <c r="S785" s="1059"/>
      <c r="T785" s="1059"/>
      <c r="U785" s="1059"/>
      <c r="V785" s="1059"/>
      <c r="W785" s="1059"/>
      <c r="X785" s="1059"/>
      <c r="Y785" s="1059"/>
      <c r="Z785" s="1059"/>
    </row>
    <row r="786" spans="1:26" ht="12.75" customHeight="1">
      <c r="A786" s="1059"/>
      <c r="B786" s="1059"/>
      <c r="C786" s="1059"/>
      <c r="D786" s="1059"/>
      <c r="E786" s="1059"/>
      <c r="F786" s="1059"/>
      <c r="G786" s="1059"/>
      <c r="H786" s="1059"/>
      <c r="I786" s="1059"/>
      <c r="J786" s="1059"/>
      <c r="K786" s="1059"/>
      <c r="L786" s="1059"/>
      <c r="M786" s="1059"/>
      <c r="N786" s="1059"/>
      <c r="O786" s="1059"/>
      <c r="P786" s="1059"/>
      <c r="Q786" s="1059"/>
      <c r="R786" s="1059"/>
      <c r="S786" s="1059"/>
      <c r="T786" s="1059"/>
      <c r="U786" s="1059"/>
      <c r="V786" s="1059"/>
      <c r="W786" s="1059"/>
      <c r="X786" s="1059"/>
      <c r="Y786" s="1059"/>
      <c r="Z786" s="1059"/>
    </row>
    <row r="787" spans="1:26" ht="12.75" customHeight="1">
      <c r="A787" s="1059"/>
      <c r="B787" s="1059"/>
      <c r="C787" s="1059"/>
      <c r="D787" s="1059"/>
      <c r="E787" s="1059"/>
      <c r="F787" s="1059"/>
      <c r="G787" s="1059"/>
      <c r="H787" s="1059"/>
      <c r="I787" s="1059"/>
      <c r="J787" s="1059"/>
      <c r="K787" s="1059"/>
      <c r="L787" s="1059"/>
      <c r="M787" s="1059"/>
      <c r="N787" s="1059"/>
      <c r="O787" s="1059"/>
      <c r="P787" s="1059"/>
      <c r="Q787" s="1059"/>
      <c r="R787" s="1059"/>
      <c r="S787" s="1059"/>
      <c r="T787" s="1059"/>
      <c r="U787" s="1059"/>
      <c r="V787" s="1059"/>
      <c r="W787" s="1059"/>
      <c r="X787" s="1059"/>
      <c r="Y787" s="1059"/>
      <c r="Z787" s="1059"/>
    </row>
    <row r="788" spans="1:26" ht="12.75" customHeight="1">
      <c r="A788" s="1059"/>
      <c r="B788" s="1059"/>
      <c r="C788" s="1059"/>
      <c r="D788" s="1059"/>
      <c r="E788" s="1059"/>
      <c r="F788" s="1059"/>
      <c r="G788" s="1059"/>
      <c r="H788" s="1059"/>
      <c r="I788" s="1059"/>
      <c r="J788" s="1059"/>
      <c r="K788" s="1059"/>
      <c r="L788" s="1059"/>
      <c r="M788" s="1059"/>
      <c r="N788" s="1059"/>
      <c r="O788" s="1059"/>
      <c r="P788" s="1059"/>
      <c r="Q788" s="1059"/>
      <c r="R788" s="1059"/>
      <c r="S788" s="1059"/>
      <c r="T788" s="1059"/>
      <c r="U788" s="1059"/>
      <c r="V788" s="1059"/>
      <c r="W788" s="1059"/>
      <c r="X788" s="1059"/>
      <c r="Y788" s="1059"/>
      <c r="Z788" s="1059"/>
    </row>
    <row r="789" spans="1:26" ht="12.75" customHeight="1">
      <c r="A789" s="1059"/>
      <c r="B789" s="1059"/>
      <c r="C789" s="1059"/>
      <c r="D789" s="1059"/>
      <c r="E789" s="1059"/>
      <c r="F789" s="1059"/>
      <c r="G789" s="1059"/>
      <c r="H789" s="1059"/>
      <c r="I789" s="1059"/>
      <c r="J789" s="1059"/>
      <c r="K789" s="1059"/>
      <c r="L789" s="1059"/>
      <c r="M789" s="1059"/>
      <c r="N789" s="1059"/>
      <c r="O789" s="1059"/>
      <c r="P789" s="1059"/>
      <c r="Q789" s="1059"/>
      <c r="R789" s="1059"/>
      <c r="S789" s="1059"/>
      <c r="T789" s="1059"/>
      <c r="U789" s="1059"/>
      <c r="V789" s="1059"/>
      <c r="W789" s="1059"/>
      <c r="X789" s="1059"/>
      <c r="Y789" s="1059"/>
      <c r="Z789" s="1059"/>
    </row>
    <row r="790" spans="1:26" ht="12.75" customHeight="1">
      <c r="A790" s="1059"/>
      <c r="B790" s="1059"/>
      <c r="C790" s="1059"/>
      <c r="D790" s="1059"/>
      <c r="E790" s="1059"/>
      <c r="F790" s="1059"/>
      <c r="G790" s="1059"/>
      <c r="H790" s="1059"/>
      <c r="I790" s="1059"/>
      <c r="J790" s="1059"/>
      <c r="K790" s="1059"/>
      <c r="L790" s="1059"/>
      <c r="M790" s="1059"/>
      <c r="N790" s="1059"/>
      <c r="O790" s="1059"/>
      <c r="P790" s="1059"/>
      <c r="Q790" s="1059"/>
      <c r="R790" s="1059"/>
      <c r="S790" s="1059"/>
      <c r="T790" s="1059"/>
      <c r="U790" s="1059"/>
      <c r="V790" s="1059"/>
      <c r="W790" s="1059"/>
      <c r="X790" s="1059"/>
      <c r="Y790" s="1059"/>
      <c r="Z790" s="1059"/>
    </row>
    <row r="791" spans="1:26" ht="12.75" customHeight="1">
      <c r="A791" s="1059"/>
      <c r="B791" s="1059"/>
      <c r="C791" s="1059"/>
      <c r="D791" s="1059"/>
      <c r="E791" s="1059"/>
      <c r="F791" s="1059"/>
      <c r="G791" s="1059"/>
      <c r="H791" s="1059"/>
      <c r="I791" s="1059"/>
      <c r="J791" s="1059"/>
      <c r="K791" s="1059"/>
      <c r="L791" s="1059"/>
      <c r="M791" s="1059"/>
      <c r="N791" s="1059"/>
      <c r="O791" s="1059"/>
      <c r="P791" s="1059"/>
      <c r="Q791" s="1059"/>
      <c r="R791" s="1059"/>
      <c r="S791" s="1059"/>
      <c r="T791" s="1059"/>
      <c r="U791" s="1059"/>
      <c r="V791" s="1059"/>
      <c r="W791" s="1059"/>
      <c r="X791" s="1059"/>
      <c r="Y791" s="1059"/>
      <c r="Z791" s="1059"/>
    </row>
    <row r="792" spans="1:26" ht="12.75" customHeight="1">
      <c r="A792" s="1059"/>
      <c r="B792" s="1059"/>
      <c r="C792" s="1059"/>
      <c r="D792" s="1059"/>
      <c r="E792" s="1059"/>
      <c r="F792" s="1059"/>
      <c r="G792" s="1059"/>
      <c r="H792" s="1059"/>
      <c r="I792" s="1059"/>
      <c r="J792" s="1059"/>
      <c r="K792" s="1059"/>
      <c r="L792" s="1059"/>
      <c r="M792" s="1059"/>
      <c r="N792" s="1059"/>
      <c r="O792" s="1059"/>
      <c r="P792" s="1059"/>
      <c r="Q792" s="1059"/>
      <c r="R792" s="1059"/>
      <c r="S792" s="1059"/>
      <c r="T792" s="1059"/>
      <c r="U792" s="1059"/>
      <c r="V792" s="1059"/>
      <c r="W792" s="1059"/>
      <c r="X792" s="1059"/>
      <c r="Y792" s="1059"/>
      <c r="Z792" s="1059"/>
    </row>
    <row r="793" spans="1:26" ht="12.75" customHeight="1">
      <c r="A793" s="1059"/>
      <c r="B793" s="1059"/>
      <c r="C793" s="1059"/>
      <c r="D793" s="1059"/>
      <c r="E793" s="1059"/>
      <c r="F793" s="1059"/>
      <c r="G793" s="1059"/>
      <c r="H793" s="1059"/>
      <c r="I793" s="1059"/>
      <c r="J793" s="1059"/>
      <c r="K793" s="1059"/>
      <c r="L793" s="1059"/>
      <c r="M793" s="1059"/>
      <c r="N793" s="1059"/>
      <c r="O793" s="1059"/>
      <c r="P793" s="1059"/>
      <c r="Q793" s="1059"/>
      <c r="R793" s="1059"/>
      <c r="S793" s="1059"/>
      <c r="T793" s="1059"/>
      <c r="U793" s="1059"/>
      <c r="V793" s="1059"/>
      <c r="W793" s="1059"/>
      <c r="X793" s="1059"/>
      <c r="Y793" s="1059"/>
      <c r="Z793" s="1059"/>
    </row>
    <row r="794" spans="1:26" ht="12.75" customHeight="1">
      <c r="A794" s="1059"/>
      <c r="B794" s="1059"/>
      <c r="C794" s="1059"/>
      <c r="D794" s="1059"/>
      <c r="E794" s="1059"/>
      <c r="F794" s="1059"/>
      <c r="G794" s="1059"/>
      <c r="H794" s="1059"/>
      <c r="I794" s="1059"/>
      <c r="J794" s="1059"/>
      <c r="K794" s="1059"/>
      <c r="L794" s="1059"/>
      <c r="M794" s="1059"/>
      <c r="N794" s="1059"/>
      <c r="O794" s="1059"/>
      <c r="P794" s="1059"/>
      <c r="Q794" s="1059"/>
      <c r="R794" s="1059"/>
      <c r="S794" s="1059"/>
      <c r="T794" s="1059"/>
      <c r="U794" s="1059"/>
      <c r="V794" s="1059"/>
      <c r="W794" s="1059"/>
      <c r="X794" s="1059"/>
      <c r="Y794" s="1059"/>
      <c r="Z794" s="1059"/>
    </row>
    <row r="795" spans="1:26" ht="12.75" customHeight="1">
      <c r="A795" s="1059"/>
      <c r="B795" s="1059"/>
      <c r="C795" s="1059"/>
      <c r="D795" s="1059"/>
      <c r="E795" s="1059"/>
      <c r="F795" s="1059"/>
      <c r="G795" s="1059"/>
      <c r="H795" s="1059"/>
      <c r="I795" s="1059"/>
      <c r="J795" s="1059"/>
      <c r="K795" s="1059"/>
      <c r="L795" s="1059"/>
      <c r="M795" s="1059"/>
      <c r="N795" s="1059"/>
      <c r="O795" s="1059"/>
      <c r="P795" s="1059"/>
      <c r="Q795" s="1059"/>
      <c r="R795" s="1059"/>
      <c r="S795" s="1059"/>
      <c r="T795" s="1059"/>
      <c r="U795" s="1059"/>
      <c r="V795" s="1059"/>
      <c r="W795" s="1059"/>
      <c r="X795" s="1059"/>
      <c r="Y795" s="1059"/>
      <c r="Z795" s="1059"/>
    </row>
    <row r="796" spans="1:26" ht="12.75" customHeight="1">
      <c r="A796" s="1059"/>
      <c r="B796" s="1059"/>
      <c r="C796" s="1059"/>
      <c r="D796" s="1059"/>
      <c r="E796" s="1059"/>
      <c r="F796" s="1059"/>
      <c r="G796" s="1059"/>
      <c r="H796" s="1059"/>
      <c r="I796" s="1059"/>
      <c r="J796" s="1059"/>
      <c r="K796" s="1059"/>
      <c r="L796" s="1059"/>
      <c r="M796" s="1059"/>
      <c r="N796" s="1059"/>
      <c r="O796" s="1059"/>
      <c r="P796" s="1059"/>
      <c r="Q796" s="1059"/>
      <c r="R796" s="1059"/>
      <c r="S796" s="1059"/>
      <c r="T796" s="1059"/>
      <c r="U796" s="1059"/>
      <c r="V796" s="1059"/>
      <c r="W796" s="1059"/>
      <c r="X796" s="1059"/>
      <c r="Y796" s="1059"/>
      <c r="Z796" s="1059"/>
    </row>
    <row r="797" spans="1:26" ht="12.75" customHeight="1">
      <c r="A797" s="1059"/>
      <c r="B797" s="1059"/>
      <c r="C797" s="1059"/>
      <c r="D797" s="1059"/>
      <c r="E797" s="1059"/>
      <c r="F797" s="1059"/>
      <c r="G797" s="1059"/>
      <c r="H797" s="1059"/>
      <c r="I797" s="1059"/>
      <c r="J797" s="1059"/>
      <c r="K797" s="1059"/>
      <c r="L797" s="1059"/>
      <c r="M797" s="1059"/>
      <c r="N797" s="1059"/>
      <c r="O797" s="1059"/>
      <c r="P797" s="1059"/>
      <c r="Q797" s="1059"/>
      <c r="R797" s="1059"/>
      <c r="S797" s="1059"/>
      <c r="T797" s="1059"/>
      <c r="U797" s="1059"/>
      <c r="V797" s="1059"/>
      <c r="W797" s="1059"/>
      <c r="X797" s="1059"/>
      <c r="Y797" s="1059"/>
      <c r="Z797" s="1059"/>
    </row>
    <row r="798" spans="1:26" ht="12.75" customHeight="1">
      <c r="A798" s="1059"/>
      <c r="B798" s="1059"/>
      <c r="C798" s="1059"/>
      <c r="D798" s="1059"/>
      <c r="E798" s="1059"/>
      <c r="F798" s="1059"/>
      <c r="G798" s="1059"/>
      <c r="H798" s="1059"/>
      <c r="I798" s="1059"/>
      <c r="J798" s="1059"/>
      <c r="K798" s="1059"/>
      <c r="L798" s="1059"/>
      <c r="M798" s="1059"/>
      <c r="N798" s="1059"/>
      <c r="O798" s="1059"/>
      <c r="P798" s="1059"/>
      <c r="Q798" s="1059"/>
      <c r="R798" s="1059"/>
      <c r="S798" s="1059"/>
      <c r="T798" s="1059"/>
      <c r="U798" s="1059"/>
      <c r="V798" s="1059"/>
      <c r="W798" s="1059"/>
      <c r="X798" s="1059"/>
      <c r="Y798" s="1059"/>
      <c r="Z798" s="1059"/>
    </row>
    <row r="799" spans="1:26" ht="12.75" customHeight="1">
      <c r="A799" s="1059"/>
      <c r="B799" s="1059"/>
      <c r="C799" s="1059"/>
      <c r="D799" s="1059"/>
      <c r="E799" s="1059"/>
      <c r="F799" s="1059"/>
      <c r="G799" s="1059"/>
      <c r="H799" s="1059"/>
      <c r="I799" s="1059"/>
      <c r="J799" s="1059"/>
      <c r="K799" s="1059"/>
      <c r="L799" s="1059"/>
      <c r="M799" s="1059"/>
      <c r="N799" s="1059"/>
      <c r="O799" s="1059"/>
      <c r="P799" s="1059"/>
      <c r="Q799" s="1059"/>
      <c r="R799" s="1059"/>
      <c r="S799" s="1059"/>
      <c r="T799" s="1059"/>
      <c r="U799" s="1059"/>
      <c r="V799" s="1059"/>
      <c r="W799" s="1059"/>
      <c r="X799" s="1059"/>
      <c r="Y799" s="1059"/>
      <c r="Z799" s="1059"/>
    </row>
    <row r="800" spans="1:26" ht="12.75" customHeight="1">
      <c r="A800" s="1059"/>
      <c r="B800" s="1059"/>
      <c r="C800" s="1059"/>
      <c r="D800" s="1059"/>
      <c r="E800" s="1059"/>
      <c r="F800" s="1059"/>
      <c r="G800" s="1059"/>
      <c r="H800" s="1059"/>
      <c r="I800" s="1059"/>
      <c r="J800" s="1059"/>
      <c r="K800" s="1059"/>
      <c r="L800" s="1059"/>
      <c r="M800" s="1059"/>
      <c r="N800" s="1059"/>
      <c r="O800" s="1059"/>
      <c r="P800" s="1059"/>
      <c r="Q800" s="1059"/>
      <c r="R800" s="1059"/>
      <c r="S800" s="1059"/>
      <c r="T800" s="1059"/>
      <c r="U800" s="1059"/>
      <c r="V800" s="1059"/>
      <c r="W800" s="1059"/>
      <c r="X800" s="1059"/>
      <c r="Y800" s="1059"/>
      <c r="Z800" s="1059"/>
    </row>
    <row r="801" spans="1:26" ht="12.75" customHeight="1">
      <c r="A801" s="1059"/>
      <c r="B801" s="1059"/>
      <c r="C801" s="1059"/>
      <c r="D801" s="1059"/>
      <c r="E801" s="1059"/>
      <c r="F801" s="1059"/>
      <c r="G801" s="1059"/>
      <c r="H801" s="1059"/>
      <c r="I801" s="1059"/>
      <c r="J801" s="1059"/>
      <c r="K801" s="1059"/>
      <c r="L801" s="1059"/>
      <c r="M801" s="1059"/>
      <c r="N801" s="1059"/>
      <c r="O801" s="1059"/>
      <c r="P801" s="1059"/>
      <c r="Q801" s="1059"/>
      <c r="R801" s="1059"/>
      <c r="S801" s="1059"/>
      <c r="T801" s="1059"/>
      <c r="U801" s="1059"/>
      <c r="V801" s="1059"/>
      <c r="W801" s="1059"/>
      <c r="X801" s="1059"/>
      <c r="Y801" s="1059"/>
      <c r="Z801" s="1059"/>
    </row>
    <row r="802" spans="1:26" ht="12.75" customHeight="1">
      <c r="A802" s="1059"/>
      <c r="B802" s="1059"/>
      <c r="C802" s="1059"/>
      <c r="D802" s="1059"/>
      <c r="E802" s="1059"/>
      <c r="F802" s="1059"/>
      <c r="G802" s="1059"/>
      <c r="H802" s="1059"/>
      <c r="I802" s="1059"/>
      <c r="J802" s="1059"/>
      <c r="K802" s="1059"/>
      <c r="L802" s="1059"/>
      <c r="M802" s="1059"/>
      <c r="N802" s="1059"/>
      <c r="O802" s="1059"/>
      <c r="P802" s="1059"/>
      <c r="Q802" s="1059"/>
      <c r="R802" s="1059"/>
      <c r="S802" s="1059"/>
      <c r="T802" s="1059"/>
      <c r="U802" s="1059"/>
      <c r="V802" s="1059"/>
      <c r="W802" s="1059"/>
      <c r="X802" s="1059"/>
      <c r="Y802" s="1059"/>
      <c r="Z802" s="1059"/>
    </row>
    <row r="803" spans="1:26" ht="12.75" customHeight="1">
      <c r="A803" s="1059"/>
      <c r="B803" s="1059"/>
      <c r="C803" s="1059"/>
      <c r="D803" s="1059"/>
      <c r="E803" s="1059"/>
      <c r="F803" s="1059"/>
      <c r="G803" s="1059"/>
      <c r="H803" s="1059"/>
      <c r="I803" s="1059"/>
      <c r="J803" s="1059"/>
      <c r="K803" s="1059"/>
      <c r="L803" s="1059"/>
      <c r="M803" s="1059"/>
      <c r="N803" s="1059"/>
      <c r="O803" s="1059"/>
      <c r="P803" s="1059"/>
      <c r="Q803" s="1059"/>
      <c r="R803" s="1059"/>
      <c r="S803" s="1059"/>
      <c r="T803" s="1059"/>
      <c r="U803" s="1059"/>
      <c r="V803" s="1059"/>
      <c r="W803" s="1059"/>
      <c r="X803" s="1059"/>
      <c r="Y803" s="1059"/>
      <c r="Z803" s="1059"/>
    </row>
    <row r="804" spans="1:26" ht="12.75" customHeight="1">
      <c r="A804" s="1059"/>
      <c r="B804" s="1059"/>
      <c r="C804" s="1059"/>
      <c r="D804" s="1059"/>
      <c r="E804" s="1059"/>
      <c r="F804" s="1059"/>
      <c r="G804" s="1059"/>
      <c r="H804" s="1059"/>
      <c r="I804" s="1059"/>
      <c r="J804" s="1059"/>
      <c r="K804" s="1059"/>
      <c r="L804" s="1059"/>
      <c r="M804" s="1059"/>
      <c r="N804" s="1059"/>
      <c r="O804" s="1059"/>
      <c r="P804" s="1059"/>
      <c r="Q804" s="1059"/>
      <c r="R804" s="1059"/>
      <c r="S804" s="1059"/>
      <c r="T804" s="1059"/>
      <c r="U804" s="1059"/>
      <c r="V804" s="1059"/>
      <c r="W804" s="1059"/>
      <c r="X804" s="1059"/>
      <c r="Y804" s="1059"/>
      <c r="Z804" s="1059"/>
    </row>
    <row r="805" spans="1:26" ht="12.75" customHeight="1">
      <c r="A805" s="1059"/>
      <c r="B805" s="1059"/>
      <c r="C805" s="1059"/>
      <c r="D805" s="1059"/>
      <c r="E805" s="1059"/>
      <c r="F805" s="1059"/>
      <c r="G805" s="1059"/>
      <c r="H805" s="1059"/>
      <c r="I805" s="1059"/>
      <c r="J805" s="1059"/>
      <c r="K805" s="1059"/>
      <c r="L805" s="1059"/>
      <c r="M805" s="1059"/>
      <c r="N805" s="1059"/>
      <c r="O805" s="1059"/>
      <c r="P805" s="1059"/>
      <c r="Q805" s="1059"/>
      <c r="R805" s="1059"/>
      <c r="S805" s="1059"/>
      <c r="T805" s="1059"/>
      <c r="U805" s="1059"/>
      <c r="V805" s="1059"/>
      <c r="W805" s="1059"/>
      <c r="X805" s="1059"/>
      <c r="Y805" s="1059"/>
      <c r="Z805" s="1059"/>
    </row>
    <row r="806" spans="1:26" ht="12.75" customHeight="1">
      <c r="A806" s="1059"/>
      <c r="B806" s="1059"/>
      <c r="C806" s="1059"/>
      <c r="D806" s="1059"/>
      <c r="E806" s="1059"/>
      <c r="F806" s="1059"/>
      <c r="G806" s="1059"/>
      <c r="H806" s="1059"/>
      <c r="I806" s="1059"/>
      <c r="J806" s="1059"/>
      <c r="K806" s="1059"/>
      <c r="L806" s="1059"/>
      <c r="M806" s="1059"/>
      <c r="N806" s="1059"/>
      <c r="O806" s="1059"/>
      <c r="P806" s="1059"/>
      <c r="Q806" s="1059"/>
      <c r="R806" s="1059"/>
      <c r="S806" s="1059"/>
      <c r="T806" s="1059"/>
      <c r="U806" s="1059"/>
      <c r="V806" s="1059"/>
      <c r="W806" s="1059"/>
      <c r="X806" s="1059"/>
      <c r="Y806" s="1059"/>
      <c r="Z806" s="1059"/>
    </row>
    <row r="807" spans="1:26" ht="12.75" customHeight="1">
      <c r="A807" s="1059"/>
      <c r="B807" s="1059"/>
      <c r="C807" s="1059"/>
      <c r="D807" s="1059"/>
      <c r="E807" s="1059"/>
      <c r="F807" s="1059"/>
      <c r="G807" s="1059"/>
      <c r="H807" s="1059"/>
      <c r="I807" s="1059"/>
      <c r="J807" s="1059"/>
      <c r="K807" s="1059"/>
      <c r="L807" s="1059"/>
      <c r="M807" s="1059"/>
      <c r="N807" s="1059"/>
      <c r="O807" s="1059"/>
      <c r="P807" s="1059"/>
      <c r="Q807" s="1059"/>
      <c r="R807" s="1059"/>
      <c r="S807" s="1059"/>
      <c r="T807" s="1059"/>
      <c r="U807" s="1059"/>
      <c r="V807" s="1059"/>
      <c r="W807" s="1059"/>
      <c r="X807" s="1059"/>
      <c r="Y807" s="1059"/>
      <c r="Z807" s="1059"/>
    </row>
    <row r="808" spans="1:26" ht="12.75" customHeight="1">
      <c r="A808" s="1059"/>
      <c r="B808" s="1059"/>
      <c r="C808" s="1059"/>
      <c r="D808" s="1059"/>
      <c r="E808" s="1059"/>
      <c r="F808" s="1059"/>
      <c r="G808" s="1059"/>
      <c r="H808" s="1059"/>
      <c r="I808" s="1059"/>
      <c r="J808" s="1059"/>
      <c r="K808" s="1059"/>
      <c r="L808" s="1059"/>
      <c r="M808" s="1059"/>
      <c r="N808" s="1059"/>
      <c r="O808" s="1059"/>
      <c r="P808" s="1059"/>
      <c r="Q808" s="1059"/>
      <c r="R808" s="1059"/>
      <c r="S808" s="1059"/>
      <c r="T808" s="1059"/>
      <c r="U808" s="1059"/>
      <c r="V808" s="1059"/>
      <c r="W808" s="1059"/>
      <c r="X808" s="1059"/>
      <c r="Y808" s="1059"/>
      <c r="Z808" s="1059"/>
    </row>
    <row r="809" spans="1:26" ht="12.75" customHeight="1">
      <c r="A809" s="1059"/>
      <c r="B809" s="1059"/>
      <c r="C809" s="1059"/>
      <c r="D809" s="1059"/>
      <c r="E809" s="1059"/>
      <c r="F809" s="1059"/>
      <c r="G809" s="1059"/>
      <c r="H809" s="1059"/>
      <c r="I809" s="1059"/>
      <c r="J809" s="1059"/>
      <c r="K809" s="1059"/>
      <c r="L809" s="1059"/>
      <c r="M809" s="1059"/>
      <c r="N809" s="1059"/>
      <c r="O809" s="1059"/>
      <c r="P809" s="1059"/>
      <c r="Q809" s="1059"/>
      <c r="R809" s="1059"/>
      <c r="S809" s="1059"/>
      <c r="T809" s="1059"/>
      <c r="U809" s="1059"/>
      <c r="V809" s="1059"/>
      <c r="W809" s="1059"/>
      <c r="X809" s="1059"/>
      <c r="Y809" s="1059"/>
      <c r="Z809" s="1059"/>
    </row>
    <row r="810" spans="1:26" ht="12.75" customHeight="1">
      <c r="A810" s="1059"/>
      <c r="B810" s="1059"/>
      <c r="C810" s="1059"/>
      <c r="D810" s="1059"/>
      <c r="E810" s="1059"/>
      <c r="F810" s="1059"/>
      <c r="G810" s="1059"/>
      <c r="H810" s="1059"/>
      <c r="I810" s="1059"/>
      <c r="J810" s="1059"/>
      <c r="K810" s="1059"/>
      <c r="L810" s="1059"/>
      <c r="M810" s="1059"/>
      <c r="N810" s="1059"/>
      <c r="O810" s="1059"/>
      <c r="P810" s="1059"/>
      <c r="Q810" s="1059"/>
      <c r="R810" s="1059"/>
      <c r="S810" s="1059"/>
      <c r="T810" s="1059"/>
      <c r="U810" s="1059"/>
      <c r="V810" s="1059"/>
      <c r="W810" s="1059"/>
      <c r="X810" s="1059"/>
      <c r="Y810" s="1059"/>
      <c r="Z810" s="1059"/>
    </row>
    <row r="811" spans="1:26" ht="12.75" customHeight="1">
      <c r="A811" s="1059"/>
      <c r="B811" s="1059"/>
      <c r="C811" s="1059"/>
      <c r="D811" s="1059"/>
      <c r="E811" s="1059"/>
      <c r="F811" s="1059"/>
      <c r="G811" s="1059"/>
      <c r="H811" s="1059"/>
      <c r="I811" s="1059"/>
      <c r="J811" s="1059"/>
      <c r="K811" s="1059"/>
      <c r="L811" s="1059"/>
      <c r="M811" s="1059"/>
      <c r="N811" s="1059"/>
      <c r="O811" s="1059"/>
      <c r="P811" s="1059"/>
      <c r="Q811" s="1059"/>
      <c r="R811" s="1059"/>
      <c r="S811" s="1059"/>
      <c r="T811" s="1059"/>
      <c r="U811" s="1059"/>
      <c r="V811" s="1059"/>
      <c r="W811" s="1059"/>
      <c r="X811" s="1059"/>
      <c r="Y811" s="1059"/>
      <c r="Z811" s="1059"/>
    </row>
    <row r="812" spans="1:26" ht="12.75" customHeight="1">
      <c r="A812" s="1059"/>
      <c r="B812" s="1059"/>
      <c r="C812" s="1059"/>
      <c r="D812" s="1059"/>
      <c r="E812" s="1059"/>
      <c r="F812" s="1059"/>
      <c r="G812" s="1059"/>
      <c r="H812" s="1059"/>
      <c r="I812" s="1059"/>
      <c r="J812" s="1059"/>
      <c r="K812" s="1059"/>
      <c r="L812" s="1059"/>
      <c r="M812" s="1059"/>
      <c r="N812" s="1059"/>
      <c r="O812" s="1059"/>
      <c r="P812" s="1059"/>
      <c r="Q812" s="1059"/>
      <c r="R812" s="1059"/>
      <c r="S812" s="1059"/>
      <c r="T812" s="1059"/>
      <c r="U812" s="1059"/>
      <c r="V812" s="1059"/>
      <c r="W812" s="1059"/>
      <c r="X812" s="1059"/>
      <c r="Y812" s="1059"/>
      <c r="Z812" s="1059"/>
    </row>
    <row r="813" spans="1:26" ht="12.75" customHeight="1">
      <c r="A813" s="1059"/>
      <c r="B813" s="1059"/>
      <c r="C813" s="1059"/>
      <c r="D813" s="1059"/>
      <c r="E813" s="1059"/>
      <c r="F813" s="1059"/>
      <c r="G813" s="1059"/>
      <c r="H813" s="1059"/>
      <c r="I813" s="1059"/>
      <c r="J813" s="1059"/>
      <c r="K813" s="1059"/>
      <c r="L813" s="1059"/>
      <c r="M813" s="1059"/>
      <c r="N813" s="1059"/>
      <c r="O813" s="1059"/>
      <c r="P813" s="1059"/>
      <c r="Q813" s="1059"/>
      <c r="R813" s="1059"/>
      <c r="S813" s="1059"/>
      <c r="T813" s="1059"/>
      <c r="U813" s="1059"/>
      <c r="V813" s="1059"/>
      <c r="W813" s="1059"/>
      <c r="X813" s="1059"/>
      <c r="Y813" s="1059"/>
      <c r="Z813" s="1059"/>
    </row>
    <row r="814" spans="1:26" ht="12.75" customHeight="1">
      <c r="A814" s="1059"/>
      <c r="B814" s="1059"/>
      <c r="C814" s="1059"/>
      <c r="D814" s="1059"/>
      <c r="E814" s="1059"/>
      <c r="F814" s="1059"/>
      <c r="G814" s="1059"/>
      <c r="H814" s="1059"/>
      <c r="I814" s="1059"/>
      <c r="J814" s="1059"/>
      <c r="K814" s="1059"/>
      <c r="L814" s="1059"/>
      <c r="M814" s="1059"/>
      <c r="N814" s="1059"/>
      <c r="O814" s="1059"/>
      <c r="P814" s="1059"/>
      <c r="Q814" s="1059"/>
      <c r="R814" s="1059"/>
      <c r="S814" s="1059"/>
      <c r="T814" s="1059"/>
      <c r="U814" s="1059"/>
      <c r="V814" s="1059"/>
      <c r="W814" s="1059"/>
      <c r="X814" s="1059"/>
      <c r="Y814" s="1059"/>
      <c r="Z814" s="1059"/>
    </row>
    <row r="815" spans="1:26" ht="12.75" customHeight="1">
      <c r="A815" s="1059"/>
      <c r="B815" s="1059"/>
      <c r="C815" s="1059"/>
      <c r="D815" s="1059"/>
      <c r="E815" s="1059"/>
      <c r="F815" s="1059"/>
      <c r="G815" s="1059"/>
      <c r="H815" s="1059"/>
      <c r="I815" s="1059"/>
      <c r="J815" s="1059"/>
      <c r="K815" s="1059"/>
      <c r="L815" s="1059"/>
      <c r="M815" s="1059"/>
      <c r="N815" s="1059"/>
      <c r="O815" s="1059"/>
      <c r="P815" s="1059"/>
      <c r="Q815" s="1059"/>
      <c r="R815" s="1059"/>
      <c r="S815" s="1059"/>
      <c r="T815" s="1059"/>
      <c r="U815" s="1059"/>
      <c r="V815" s="1059"/>
      <c r="W815" s="1059"/>
      <c r="X815" s="1059"/>
      <c r="Y815" s="1059"/>
      <c r="Z815" s="1059"/>
    </row>
    <row r="816" spans="1:26" ht="12.75" customHeight="1">
      <c r="A816" s="1059"/>
      <c r="B816" s="1059"/>
      <c r="C816" s="1059"/>
      <c r="D816" s="1059"/>
      <c r="E816" s="1059"/>
      <c r="F816" s="1059"/>
      <c r="G816" s="1059"/>
      <c r="H816" s="1059"/>
      <c r="I816" s="1059"/>
      <c r="J816" s="1059"/>
      <c r="K816" s="1059"/>
      <c r="L816" s="1059"/>
      <c r="M816" s="1059"/>
      <c r="N816" s="1059"/>
      <c r="O816" s="1059"/>
      <c r="P816" s="1059"/>
      <c r="Q816" s="1059"/>
      <c r="R816" s="1059"/>
      <c r="S816" s="1059"/>
      <c r="T816" s="1059"/>
      <c r="U816" s="1059"/>
      <c r="V816" s="1059"/>
      <c r="W816" s="1059"/>
      <c r="X816" s="1059"/>
      <c r="Y816" s="1059"/>
      <c r="Z816" s="1059"/>
    </row>
    <row r="817" spans="1:26" ht="12.75" customHeight="1">
      <c r="A817" s="1059"/>
      <c r="B817" s="1059"/>
      <c r="C817" s="1059"/>
      <c r="D817" s="1059"/>
      <c r="E817" s="1059"/>
      <c r="F817" s="1059"/>
      <c r="G817" s="1059"/>
      <c r="H817" s="1059"/>
      <c r="I817" s="1059"/>
      <c r="J817" s="1059"/>
      <c r="K817" s="1059"/>
      <c r="L817" s="1059"/>
      <c r="M817" s="1059"/>
      <c r="N817" s="1059"/>
      <c r="O817" s="1059"/>
      <c r="P817" s="1059"/>
      <c r="Q817" s="1059"/>
      <c r="R817" s="1059"/>
      <c r="S817" s="1059"/>
      <c r="T817" s="1059"/>
      <c r="U817" s="1059"/>
      <c r="V817" s="1059"/>
      <c r="W817" s="1059"/>
      <c r="X817" s="1059"/>
      <c r="Y817" s="1059"/>
      <c r="Z817" s="1059"/>
    </row>
    <row r="818" spans="1:26" ht="12.75" customHeight="1">
      <c r="A818" s="1059"/>
      <c r="B818" s="1059"/>
      <c r="C818" s="1059"/>
      <c r="D818" s="1059"/>
      <c r="E818" s="1059"/>
      <c r="F818" s="1059"/>
      <c r="G818" s="1059"/>
      <c r="H818" s="1059"/>
      <c r="I818" s="1059"/>
      <c r="J818" s="1059"/>
      <c r="K818" s="1059"/>
      <c r="L818" s="1059"/>
      <c r="M818" s="1059"/>
      <c r="N818" s="1059"/>
      <c r="O818" s="1059"/>
      <c r="P818" s="1059"/>
      <c r="Q818" s="1059"/>
      <c r="R818" s="1059"/>
      <c r="S818" s="1059"/>
      <c r="T818" s="1059"/>
      <c r="U818" s="1059"/>
      <c r="V818" s="1059"/>
      <c r="W818" s="1059"/>
      <c r="X818" s="1059"/>
      <c r="Y818" s="1059"/>
      <c r="Z818" s="1059"/>
    </row>
    <row r="819" spans="1:26" ht="12.75" customHeight="1">
      <c r="A819" s="1059"/>
      <c r="B819" s="1059"/>
      <c r="C819" s="1059"/>
      <c r="D819" s="1059"/>
      <c r="E819" s="1059"/>
      <c r="F819" s="1059"/>
      <c r="G819" s="1059"/>
      <c r="H819" s="1059"/>
      <c r="I819" s="1059"/>
      <c r="J819" s="1059"/>
      <c r="K819" s="1059"/>
      <c r="L819" s="1059"/>
      <c r="M819" s="1059"/>
      <c r="N819" s="1059"/>
      <c r="O819" s="1059"/>
      <c r="P819" s="1059"/>
      <c r="Q819" s="1059"/>
      <c r="R819" s="1059"/>
      <c r="S819" s="1059"/>
      <c r="T819" s="1059"/>
      <c r="U819" s="1059"/>
      <c r="V819" s="1059"/>
      <c r="W819" s="1059"/>
      <c r="X819" s="1059"/>
      <c r="Y819" s="1059"/>
      <c r="Z819" s="1059"/>
    </row>
    <row r="820" spans="1:26" ht="12.75" customHeight="1">
      <c r="A820" s="1059"/>
      <c r="B820" s="1059"/>
      <c r="C820" s="1059"/>
      <c r="D820" s="1059"/>
      <c r="E820" s="1059"/>
      <c r="F820" s="1059"/>
      <c r="G820" s="1059"/>
      <c r="H820" s="1059"/>
      <c r="I820" s="1059"/>
      <c r="J820" s="1059"/>
      <c r="K820" s="1059"/>
      <c r="L820" s="1059"/>
      <c r="M820" s="1059"/>
      <c r="N820" s="1059"/>
      <c r="O820" s="1059"/>
      <c r="P820" s="1059"/>
      <c r="Q820" s="1059"/>
      <c r="R820" s="1059"/>
      <c r="S820" s="1059"/>
      <c r="T820" s="1059"/>
      <c r="U820" s="1059"/>
      <c r="V820" s="1059"/>
      <c r="W820" s="1059"/>
      <c r="X820" s="1059"/>
      <c r="Y820" s="1059"/>
      <c r="Z820" s="1059"/>
    </row>
    <row r="821" spans="1:26" ht="12.75" customHeight="1">
      <c r="A821" s="1059"/>
      <c r="B821" s="1059"/>
      <c r="C821" s="1059"/>
      <c r="D821" s="1059"/>
      <c r="E821" s="1059"/>
      <c r="F821" s="1059"/>
      <c r="G821" s="1059"/>
      <c r="H821" s="1059"/>
      <c r="I821" s="1059"/>
      <c r="J821" s="1059"/>
      <c r="K821" s="1059"/>
      <c r="L821" s="1059"/>
      <c r="M821" s="1059"/>
      <c r="N821" s="1059"/>
      <c r="O821" s="1059"/>
      <c r="P821" s="1059"/>
      <c r="Q821" s="1059"/>
      <c r="R821" s="1059"/>
      <c r="S821" s="1059"/>
      <c r="T821" s="1059"/>
      <c r="U821" s="1059"/>
      <c r="V821" s="1059"/>
      <c r="W821" s="1059"/>
      <c r="X821" s="1059"/>
      <c r="Y821" s="1059"/>
      <c r="Z821" s="1059"/>
    </row>
    <row r="822" spans="1:26" ht="12.75" customHeight="1">
      <c r="A822" s="1059"/>
      <c r="B822" s="1059"/>
      <c r="C822" s="1059"/>
      <c r="D822" s="1059"/>
      <c r="E822" s="1059"/>
      <c r="F822" s="1059"/>
      <c r="G822" s="1059"/>
      <c r="H822" s="1059"/>
      <c r="I822" s="1059"/>
      <c r="J822" s="1059"/>
      <c r="K822" s="1059"/>
      <c r="L822" s="1059"/>
      <c r="M822" s="1059"/>
      <c r="N822" s="1059"/>
      <c r="O822" s="1059"/>
      <c r="P822" s="1059"/>
      <c r="Q822" s="1059"/>
      <c r="R822" s="1059"/>
      <c r="S822" s="1059"/>
      <c r="T822" s="1059"/>
      <c r="U822" s="1059"/>
      <c r="V822" s="1059"/>
      <c r="W822" s="1059"/>
      <c r="X822" s="1059"/>
      <c r="Y822" s="1059"/>
      <c r="Z822" s="1059"/>
    </row>
    <row r="823" spans="1:26" ht="12.75" customHeight="1">
      <c r="A823" s="1059"/>
      <c r="B823" s="1059"/>
      <c r="C823" s="1059"/>
      <c r="D823" s="1059"/>
      <c r="E823" s="1059"/>
      <c r="F823" s="1059"/>
      <c r="G823" s="1059"/>
      <c r="H823" s="1059"/>
      <c r="I823" s="1059"/>
      <c r="J823" s="1059"/>
      <c r="K823" s="1059"/>
      <c r="L823" s="1059"/>
      <c r="M823" s="1059"/>
      <c r="N823" s="1059"/>
      <c r="O823" s="1059"/>
      <c r="P823" s="1059"/>
      <c r="Q823" s="1059"/>
      <c r="R823" s="1059"/>
      <c r="S823" s="1059"/>
      <c r="T823" s="1059"/>
      <c r="U823" s="1059"/>
      <c r="V823" s="1059"/>
      <c r="W823" s="1059"/>
      <c r="X823" s="1059"/>
      <c r="Y823" s="1059"/>
      <c r="Z823" s="1059"/>
    </row>
    <row r="824" spans="1:26" ht="12.75" customHeight="1">
      <c r="A824" s="1059"/>
      <c r="B824" s="1059"/>
      <c r="C824" s="1059"/>
      <c r="D824" s="1059"/>
      <c r="E824" s="1059"/>
      <c r="F824" s="1059"/>
      <c r="G824" s="1059"/>
      <c r="H824" s="1059"/>
      <c r="I824" s="1059"/>
      <c r="J824" s="1059"/>
      <c r="K824" s="1059"/>
      <c r="L824" s="1059"/>
      <c r="M824" s="1059"/>
      <c r="N824" s="1059"/>
      <c r="O824" s="1059"/>
      <c r="P824" s="1059"/>
      <c r="Q824" s="1059"/>
      <c r="R824" s="1059"/>
      <c r="S824" s="1059"/>
      <c r="T824" s="1059"/>
      <c r="U824" s="1059"/>
      <c r="V824" s="1059"/>
      <c r="W824" s="1059"/>
      <c r="X824" s="1059"/>
      <c r="Y824" s="1059"/>
      <c r="Z824" s="1059"/>
    </row>
    <row r="825" spans="1:26" ht="12.75" customHeight="1">
      <c r="A825" s="1059"/>
      <c r="B825" s="1059"/>
      <c r="C825" s="1059"/>
      <c r="D825" s="1059"/>
      <c r="E825" s="1059"/>
      <c r="F825" s="1059"/>
      <c r="G825" s="1059"/>
      <c r="H825" s="1059"/>
      <c r="I825" s="1059"/>
      <c r="J825" s="1059"/>
      <c r="K825" s="1059"/>
      <c r="L825" s="1059"/>
      <c r="M825" s="1059"/>
      <c r="N825" s="1059"/>
      <c r="O825" s="1059"/>
      <c r="P825" s="1059"/>
      <c r="Q825" s="1059"/>
      <c r="R825" s="1059"/>
      <c r="S825" s="1059"/>
      <c r="T825" s="1059"/>
      <c r="U825" s="1059"/>
      <c r="V825" s="1059"/>
      <c r="W825" s="1059"/>
      <c r="X825" s="1059"/>
      <c r="Y825" s="1059"/>
      <c r="Z825" s="1059"/>
    </row>
    <row r="826" spans="1:26" ht="12.75" customHeight="1">
      <c r="A826" s="1059"/>
      <c r="B826" s="1059"/>
      <c r="C826" s="1059"/>
      <c r="D826" s="1059"/>
      <c r="E826" s="1059"/>
      <c r="F826" s="1059"/>
      <c r="G826" s="1059"/>
      <c r="H826" s="1059"/>
      <c r="I826" s="1059"/>
      <c r="J826" s="1059"/>
      <c r="K826" s="1059"/>
      <c r="L826" s="1059"/>
      <c r="M826" s="1059"/>
      <c r="N826" s="1059"/>
      <c r="O826" s="1059"/>
      <c r="P826" s="1059"/>
      <c r="Q826" s="1059"/>
      <c r="R826" s="1059"/>
      <c r="S826" s="1059"/>
      <c r="T826" s="1059"/>
      <c r="U826" s="1059"/>
      <c r="V826" s="1059"/>
      <c r="W826" s="1059"/>
      <c r="X826" s="1059"/>
      <c r="Y826" s="1059"/>
      <c r="Z826" s="1059"/>
    </row>
    <row r="827" spans="1:26" ht="12.75" customHeight="1">
      <c r="A827" s="1059"/>
      <c r="B827" s="1059"/>
      <c r="C827" s="1059"/>
      <c r="D827" s="1059"/>
      <c r="E827" s="1059"/>
      <c r="F827" s="1059"/>
      <c r="G827" s="1059"/>
      <c r="H827" s="1059"/>
      <c r="I827" s="1059"/>
      <c r="J827" s="1059"/>
      <c r="K827" s="1059"/>
      <c r="L827" s="1059"/>
      <c r="M827" s="1059"/>
      <c r="N827" s="1059"/>
      <c r="O827" s="1059"/>
      <c r="P827" s="1059"/>
      <c r="Q827" s="1059"/>
      <c r="R827" s="1059"/>
      <c r="S827" s="1059"/>
      <c r="T827" s="1059"/>
      <c r="U827" s="1059"/>
      <c r="V827" s="1059"/>
      <c r="W827" s="1059"/>
      <c r="X827" s="1059"/>
      <c r="Y827" s="1059"/>
      <c r="Z827" s="1059"/>
    </row>
    <row r="828" spans="1:26" ht="12.75" customHeight="1">
      <c r="A828" s="1059"/>
      <c r="B828" s="1059"/>
      <c r="C828" s="1059"/>
      <c r="D828" s="1059"/>
      <c r="E828" s="1059"/>
      <c r="F828" s="1059"/>
      <c r="G828" s="1059"/>
      <c r="H828" s="1059"/>
      <c r="I828" s="1059"/>
      <c r="J828" s="1059"/>
      <c r="K828" s="1059"/>
      <c r="L828" s="1059"/>
      <c r="M828" s="1059"/>
      <c r="N828" s="1059"/>
      <c r="O828" s="1059"/>
      <c r="P828" s="1059"/>
      <c r="Q828" s="1059"/>
      <c r="R828" s="1059"/>
      <c r="S828" s="1059"/>
      <c r="T828" s="1059"/>
      <c r="U828" s="1059"/>
      <c r="V828" s="1059"/>
      <c r="W828" s="1059"/>
      <c r="X828" s="1059"/>
      <c r="Y828" s="1059"/>
      <c r="Z828" s="1059"/>
    </row>
    <row r="829" spans="1:26" ht="12.75" customHeight="1">
      <c r="A829" s="1059"/>
      <c r="B829" s="1059"/>
      <c r="C829" s="1059"/>
      <c r="D829" s="1059"/>
      <c r="E829" s="1059"/>
      <c r="F829" s="1059"/>
      <c r="G829" s="1059"/>
      <c r="H829" s="1059"/>
      <c r="I829" s="1059"/>
      <c r="J829" s="1059"/>
      <c r="K829" s="1059"/>
      <c r="L829" s="1059"/>
      <c r="M829" s="1059"/>
      <c r="N829" s="1059"/>
      <c r="O829" s="1059"/>
      <c r="P829" s="1059"/>
      <c r="Q829" s="1059"/>
      <c r="R829" s="1059"/>
      <c r="S829" s="1059"/>
      <c r="T829" s="1059"/>
      <c r="U829" s="1059"/>
      <c r="V829" s="1059"/>
      <c r="W829" s="1059"/>
      <c r="X829" s="1059"/>
      <c r="Y829" s="1059"/>
      <c r="Z829" s="1059"/>
    </row>
    <row r="830" spans="1:26" ht="12.75" customHeight="1">
      <c r="A830" s="1059"/>
      <c r="B830" s="1059"/>
      <c r="C830" s="1059"/>
      <c r="D830" s="1059"/>
      <c r="E830" s="1059"/>
      <c r="F830" s="1059"/>
      <c r="G830" s="1059"/>
      <c r="H830" s="1059"/>
      <c r="I830" s="1059"/>
      <c r="J830" s="1059"/>
      <c r="K830" s="1059"/>
      <c r="L830" s="1059"/>
      <c r="M830" s="1059"/>
      <c r="N830" s="1059"/>
      <c r="O830" s="1059"/>
      <c r="P830" s="1059"/>
      <c r="Q830" s="1059"/>
      <c r="R830" s="1059"/>
      <c r="S830" s="1059"/>
      <c r="T830" s="1059"/>
      <c r="U830" s="1059"/>
      <c r="V830" s="1059"/>
      <c r="W830" s="1059"/>
      <c r="X830" s="1059"/>
      <c r="Y830" s="1059"/>
      <c r="Z830" s="1059"/>
    </row>
    <row r="831" spans="1:26" ht="12.75" customHeight="1">
      <c r="A831" s="1059"/>
      <c r="B831" s="1059"/>
      <c r="C831" s="1059"/>
      <c r="D831" s="1059"/>
      <c r="E831" s="1059"/>
      <c r="F831" s="1059"/>
      <c r="G831" s="1059"/>
      <c r="H831" s="1059"/>
      <c r="I831" s="1059"/>
      <c r="J831" s="1059"/>
      <c r="K831" s="1059"/>
      <c r="L831" s="1059"/>
      <c r="M831" s="1059"/>
      <c r="N831" s="1059"/>
      <c r="O831" s="1059"/>
      <c r="P831" s="1059"/>
      <c r="Q831" s="1059"/>
      <c r="R831" s="1059"/>
      <c r="S831" s="1059"/>
      <c r="T831" s="1059"/>
      <c r="U831" s="1059"/>
      <c r="V831" s="1059"/>
      <c r="W831" s="1059"/>
      <c r="X831" s="1059"/>
      <c r="Y831" s="1059"/>
      <c r="Z831" s="1059"/>
    </row>
    <row r="832" spans="1:26" ht="12.75" customHeight="1">
      <c r="A832" s="1059"/>
      <c r="B832" s="1059"/>
      <c r="C832" s="1059"/>
      <c r="D832" s="1059"/>
      <c r="E832" s="1059"/>
      <c r="F832" s="1059"/>
      <c r="G832" s="1059"/>
      <c r="H832" s="1059"/>
      <c r="I832" s="1059"/>
      <c r="J832" s="1059"/>
      <c r="K832" s="1059"/>
      <c r="L832" s="1059"/>
      <c r="M832" s="1059"/>
      <c r="N832" s="1059"/>
      <c r="O832" s="1059"/>
      <c r="P832" s="1059"/>
      <c r="Q832" s="1059"/>
      <c r="R832" s="1059"/>
      <c r="S832" s="1059"/>
      <c r="T832" s="1059"/>
      <c r="U832" s="1059"/>
      <c r="V832" s="1059"/>
      <c r="W832" s="1059"/>
      <c r="X832" s="1059"/>
      <c r="Y832" s="1059"/>
      <c r="Z832" s="1059"/>
    </row>
    <row r="833" spans="1:26" ht="12.75" customHeight="1">
      <c r="A833" s="1059"/>
      <c r="B833" s="1059"/>
      <c r="C833" s="1059"/>
      <c r="D833" s="1059"/>
      <c r="E833" s="1059"/>
      <c r="F833" s="1059"/>
      <c r="G833" s="1059"/>
      <c r="H833" s="1059"/>
      <c r="I833" s="1059"/>
      <c r="J833" s="1059"/>
      <c r="K833" s="1059"/>
      <c r="L833" s="1059"/>
      <c r="M833" s="1059"/>
      <c r="N833" s="1059"/>
      <c r="O833" s="1059"/>
      <c r="P833" s="1059"/>
      <c r="Q833" s="1059"/>
      <c r="R833" s="1059"/>
      <c r="S833" s="1059"/>
      <c r="T833" s="1059"/>
      <c r="U833" s="1059"/>
      <c r="V833" s="1059"/>
      <c r="W833" s="1059"/>
      <c r="X833" s="1059"/>
      <c r="Y833" s="1059"/>
      <c r="Z833" s="1059"/>
    </row>
    <row r="834" spans="1:26" ht="12.75" customHeight="1">
      <c r="A834" s="1059"/>
      <c r="B834" s="1059"/>
      <c r="C834" s="1059"/>
      <c r="D834" s="1059"/>
      <c r="E834" s="1059"/>
      <c r="F834" s="1059"/>
      <c r="G834" s="1059"/>
      <c r="H834" s="1059"/>
      <c r="I834" s="1059"/>
      <c r="J834" s="1059"/>
      <c r="K834" s="1059"/>
      <c r="L834" s="1059"/>
      <c r="M834" s="1059"/>
      <c r="N834" s="1059"/>
      <c r="O834" s="1059"/>
      <c r="P834" s="1059"/>
      <c r="Q834" s="1059"/>
      <c r="R834" s="1059"/>
      <c r="S834" s="1059"/>
      <c r="T834" s="1059"/>
      <c r="U834" s="1059"/>
      <c r="V834" s="1059"/>
      <c r="W834" s="1059"/>
      <c r="X834" s="1059"/>
      <c r="Y834" s="1059"/>
      <c r="Z834" s="1059"/>
    </row>
    <row r="835" spans="1:26" ht="12.75" customHeight="1">
      <c r="A835" s="1059"/>
      <c r="B835" s="1059"/>
      <c r="C835" s="1059"/>
      <c r="D835" s="1059"/>
      <c r="E835" s="1059"/>
      <c r="F835" s="1059"/>
      <c r="G835" s="1059"/>
      <c r="H835" s="1059"/>
      <c r="I835" s="1059"/>
      <c r="J835" s="1059"/>
      <c r="K835" s="1059"/>
      <c r="L835" s="1059"/>
      <c r="M835" s="1059"/>
      <c r="N835" s="1059"/>
      <c r="O835" s="1059"/>
      <c r="P835" s="1059"/>
      <c r="Q835" s="1059"/>
      <c r="R835" s="1059"/>
      <c r="S835" s="1059"/>
      <c r="T835" s="1059"/>
      <c r="U835" s="1059"/>
      <c r="V835" s="1059"/>
      <c r="W835" s="1059"/>
      <c r="X835" s="1059"/>
      <c r="Y835" s="1059"/>
      <c r="Z835" s="1059"/>
    </row>
    <row r="836" spans="1:26" ht="12.75" customHeight="1">
      <c r="A836" s="1059"/>
      <c r="B836" s="1059"/>
      <c r="C836" s="1059"/>
      <c r="D836" s="1059"/>
      <c r="E836" s="1059"/>
      <c r="F836" s="1059"/>
      <c r="G836" s="1059"/>
      <c r="H836" s="1059"/>
      <c r="I836" s="1059"/>
      <c r="J836" s="1059"/>
      <c r="K836" s="1059"/>
      <c r="L836" s="1059"/>
      <c r="M836" s="1059"/>
      <c r="N836" s="1059"/>
      <c r="O836" s="1059"/>
      <c r="P836" s="1059"/>
      <c r="Q836" s="1059"/>
      <c r="R836" s="1059"/>
      <c r="S836" s="1059"/>
      <c r="T836" s="1059"/>
      <c r="U836" s="1059"/>
      <c r="V836" s="1059"/>
      <c r="W836" s="1059"/>
      <c r="X836" s="1059"/>
      <c r="Y836" s="1059"/>
      <c r="Z836" s="1059"/>
    </row>
    <row r="837" spans="1:26" ht="12.75" customHeight="1">
      <c r="A837" s="1059"/>
      <c r="B837" s="1059"/>
      <c r="C837" s="1059"/>
      <c r="D837" s="1059"/>
      <c r="E837" s="1059"/>
      <c r="F837" s="1059"/>
      <c r="G837" s="1059"/>
      <c r="H837" s="1059"/>
      <c r="I837" s="1059"/>
      <c r="J837" s="1059"/>
      <c r="K837" s="1059"/>
      <c r="L837" s="1059"/>
      <c r="M837" s="1059"/>
      <c r="N837" s="1059"/>
      <c r="O837" s="1059"/>
      <c r="P837" s="1059"/>
      <c r="Q837" s="1059"/>
      <c r="R837" s="1059"/>
      <c r="S837" s="1059"/>
      <c r="T837" s="1059"/>
      <c r="U837" s="1059"/>
      <c r="V837" s="1059"/>
      <c r="W837" s="1059"/>
      <c r="X837" s="1059"/>
      <c r="Y837" s="1059"/>
      <c r="Z837" s="1059"/>
    </row>
    <row r="838" spans="1:26" ht="12.75" customHeight="1">
      <c r="A838" s="1059"/>
      <c r="B838" s="1059"/>
      <c r="C838" s="1059"/>
      <c r="D838" s="1059"/>
      <c r="E838" s="1059"/>
      <c r="F838" s="1059"/>
      <c r="G838" s="1059"/>
      <c r="H838" s="1059"/>
      <c r="I838" s="1059"/>
      <c r="J838" s="1059"/>
      <c r="K838" s="1059"/>
      <c r="L838" s="1059"/>
      <c r="M838" s="1059"/>
      <c r="N838" s="1059"/>
      <c r="O838" s="1059"/>
      <c r="P838" s="1059"/>
      <c r="Q838" s="1059"/>
      <c r="R838" s="1059"/>
      <c r="S838" s="1059"/>
      <c r="T838" s="1059"/>
      <c r="U838" s="1059"/>
      <c r="V838" s="1059"/>
      <c r="W838" s="1059"/>
      <c r="X838" s="1059"/>
      <c r="Y838" s="1059"/>
      <c r="Z838" s="1059"/>
    </row>
    <row r="839" spans="1:26" ht="12.75" customHeight="1">
      <c r="A839" s="1059"/>
      <c r="B839" s="1059"/>
      <c r="C839" s="1059"/>
      <c r="D839" s="1059"/>
      <c r="E839" s="1059"/>
      <c r="F839" s="1059"/>
      <c r="G839" s="1059"/>
      <c r="H839" s="1059"/>
      <c r="I839" s="1059"/>
      <c r="J839" s="1059"/>
      <c r="K839" s="1059"/>
      <c r="L839" s="1059"/>
      <c r="M839" s="1059"/>
      <c r="N839" s="1059"/>
      <c r="O839" s="1059"/>
      <c r="P839" s="1059"/>
      <c r="Q839" s="1059"/>
      <c r="R839" s="1059"/>
      <c r="S839" s="1059"/>
      <c r="T839" s="1059"/>
      <c r="U839" s="1059"/>
      <c r="V839" s="1059"/>
      <c r="W839" s="1059"/>
      <c r="X839" s="1059"/>
      <c r="Y839" s="1059"/>
      <c r="Z839" s="1059"/>
    </row>
    <row r="840" spans="1:26" ht="12.75" customHeight="1">
      <c r="A840" s="1059"/>
      <c r="B840" s="1059"/>
      <c r="C840" s="1059"/>
      <c r="D840" s="1059"/>
      <c r="E840" s="1059"/>
      <c r="F840" s="1059"/>
      <c r="G840" s="1059"/>
      <c r="H840" s="1059"/>
      <c r="I840" s="1059"/>
      <c r="J840" s="1059"/>
      <c r="K840" s="1059"/>
      <c r="L840" s="1059"/>
      <c r="M840" s="1059"/>
      <c r="N840" s="1059"/>
      <c r="O840" s="1059"/>
      <c r="P840" s="1059"/>
      <c r="Q840" s="1059"/>
      <c r="R840" s="1059"/>
      <c r="S840" s="1059"/>
      <c r="T840" s="1059"/>
      <c r="U840" s="1059"/>
      <c r="V840" s="1059"/>
      <c r="W840" s="1059"/>
      <c r="X840" s="1059"/>
      <c r="Y840" s="1059"/>
      <c r="Z840" s="1059"/>
    </row>
    <row r="841" spans="1:26" ht="12.75" customHeight="1">
      <c r="A841" s="1059"/>
      <c r="B841" s="1059"/>
      <c r="C841" s="1059"/>
      <c r="D841" s="1059"/>
      <c r="E841" s="1059"/>
      <c r="F841" s="1059"/>
      <c r="G841" s="1059"/>
      <c r="H841" s="1059"/>
      <c r="I841" s="1059"/>
      <c r="J841" s="1059"/>
      <c r="K841" s="1059"/>
      <c r="L841" s="1059"/>
      <c r="M841" s="1059"/>
      <c r="N841" s="1059"/>
      <c r="O841" s="1059"/>
      <c r="P841" s="1059"/>
      <c r="Q841" s="1059"/>
      <c r="R841" s="1059"/>
      <c r="S841" s="1059"/>
      <c r="T841" s="1059"/>
      <c r="U841" s="1059"/>
      <c r="V841" s="1059"/>
      <c r="W841" s="1059"/>
      <c r="X841" s="1059"/>
      <c r="Y841" s="1059"/>
      <c r="Z841" s="1059"/>
    </row>
    <row r="842" spans="1:26" ht="12.75" customHeight="1">
      <c r="A842" s="1059"/>
      <c r="B842" s="1059"/>
      <c r="C842" s="1059"/>
      <c r="D842" s="1059"/>
      <c r="E842" s="1059"/>
      <c r="F842" s="1059"/>
      <c r="G842" s="1059"/>
      <c r="H842" s="1059"/>
      <c r="I842" s="1059"/>
      <c r="J842" s="1059"/>
      <c r="K842" s="1059"/>
      <c r="L842" s="1059"/>
      <c r="M842" s="1059"/>
      <c r="N842" s="1059"/>
      <c r="O842" s="1059"/>
      <c r="P842" s="1059"/>
      <c r="Q842" s="1059"/>
      <c r="R842" s="1059"/>
      <c r="S842" s="1059"/>
      <c r="T842" s="1059"/>
      <c r="U842" s="1059"/>
      <c r="V842" s="1059"/>
      <c r="W842" s="1059"/>
      <c r="X842" s="1059"/>
      <c r="Y842" s="1059"/>
      <c r="Z842" s="1059"/>
    </row>
    <row r="843" spans="1:26" ht="12.75" customHeight="1">
      <c r="A843" s="1059"/>
      <c r="B843" s="1059"/>
      <c r="C843" s="1059"/>
      <c r="D843" s="1059"/>
      <c r="E843" s="1059"/>
      <c r="F843" s="1059"/>
      <c r="G843" s="1059"/>
      <c r="H843" s="1059"/>
      <c r="I843" s="1059"/>
      <c r="J843" s="1059"/>
      <c r="K843" s="1059"/>
      <c r="L843" s="1059"/>
      <c r="M843" s="1059"/>
      <c r="N843" s="1059"/>
      <c r="O843" s="1059"/>
      <c r="P843" s="1059"/>
      <c r="Q843" s="1059"/>
      <c r="R843" s="1059"/>
      <c r="S843" s="1059"/>
      <c r="T843" s="1059"/>
      <c r="U843" s="1059"/>
      <c r="V843" s="1059"/>
      <c r="W843" s="1059"/>
      <c r="X843" s="1059"/>
      <c r="Y843" s="1059"/>
      <c r="Z843" s="1059"/>
    </row>
    <row r="844" spans="1:26" ht="12.75" customHeight="1">
      <c r="A844" s="1059"/>
      <c r="B844" s="1059"/>
      <c r="C844" s="1059"/>
      <c r="D844" s="1059"/>
      <c r="E844" s="1059"/>
      <c r="F844" s="1059"/>
      <c r="G844" s="1059"/>
      <c r="H844" s="1059"/>
      <c r="I844" s="1059"/>
      <c r="J844" s="1059"/>
      <c r="K844" s="1059"/>
      <c r="L844" s="1059"/>
      <c r="M844" s="1059"/>
      <c r="N844" s="1059"/>
      <c r="O844" s="1059"/>
      <c r="P844" s="1059"/>
      <c r="Q844" s="1059"/>
      <c r="R844" s="1059"/>
      <c r="S844" s="1059"/>
      <c r="T844" s="1059"/>
      <c r="U844" s="1059"/>
      <c r="V844" s="1059"/>
      <c r="W844" s="1059"/>
      <c r="X844" s="1059"/>
      <c r="Y844" s="1059"/>
      <c r="Z844" s="1059"/>
    </row>
    <row r="845" spans="1:26" ht="12.75" customHeight="1">
      <c r="A845" s="1059"/>
      <c r="B845" s="1059"/>
      <c r="C845" s="1059"/>
      <c r="D845" s="1059"/>
      <c r="E845" s="1059"/>
      <c r="F845" s="1059"/>
      <c r="G845" s="1059"/>
      <c r="H845" s="1059"/>
      <c r="I845" s="1059"/>
      <c r="J845" s="1059"/>
      <c r="K845" s="1059"/>
      <c r="L845" s="1059"/>
      <c r="M845" s="1059"/>
      <c r="N845" s="1059"/>
      <c r="O845" s="1059"/>
      <c r="P845" s="1059"/>
      <c r="Q845" s="1059"/>
      <c r="R845" s="1059"/>
      <c r="S845" s="1059"/>
      <c r="T845" s="1059"/>
      <c r="U845" s="1059"/>
      <c r="V845" s="1059"/>
      <c r="W845" s="1059"/>
      <c r="X845" s="1059"/>
      <c r="Y845" s="1059"/>
      <c r="Z845" s="1059"/>
    </row>
    <row r="846" spans="1:26" ht="12.75" customHeight="1">
      <c r="A846" s="1059"/>
      <c r="B846" s="1059"/>
      <c r="C846" s="1059"/>
      <c r="D846" s="1059"/>
      <c r="E846" s="1059"/>
      <c r="F846" s="1059"/>
      <c r="G846" s="1059"/>
      <c r="H846" s="1059"/>
      <c r="I846" s="1059"/>
      <c r="J846" s="1059"/>
      <c r="K846" s="1059"/>
      <c r="L846" s="1059"/>
      <c r="M846" s="1059"/>
      <c r="N846" s="1059"/>
      <c r="O846" s="1059"/>
      <c r="P846" s="1059"/>
      <c r="Q846" s="1059"/>
      <c r="R846" s="1059"/>
      <c r="S846" s="1059"/>
      <c r="T846" s="1059"/>
      <c r="U846" s="1059"/>
      <c r="V846" s="1059"/>
      <c r="W846" s="1059"/>
      <c r="X846" s="1059"/>
      <c r="Y846" s="1059"/>
      <c r="Z846" s="1059"/>
    </row>
    <row r="847" spans="1:26" ht="12.75" customHeight="1">
      <c r="A847" s="1059"/>
      <c r="B847" s="1059"/>
      <c r="C847" s="1059"/>
      <c r="D847" s="1059"/>
      <c r="E847" s="1059"/>
      <c r="F847" s="1059"/>
      <c r="G847" s="1059"/>
      <c r="H847" s="1059"/>
      <c r="I847" s="1059"/>
      <c r="J847" s="1059"/>
      <c r="K847" s="1059"/>
      <c r="L847" s="1059"/>
      <c r="M847" s="1059"/>
      <c r="N847" s="1059"/>
      <c r="O847" s="1059"/>
      <c r="P847" s="1059"/>
      <c r="Q847" s="1059"/>
      <c r="R847" s="1059"/>
      <c r="S847" s="1059"/>
      <c r="T847" s="1059"/>
      <c r="U847" s="1059"/>
      <c r="V847" s="1059"/>
      <c r="W847" s="1059"/>
      <c r="X847" s="1059"/>
      <c r="Y847" s="1059"/>
      <c r="Z847" s="1059"/>
    </row>
    <row r="848" spans="1:26" ht="12.75" customHeight="1">
      <c r="A848" s="1059"/>
      <c r="B848" s="1059"/>
      <c r="C848" s="1059"/>
      <c r="D848" s="1059"/>
      <c r="E848" s="1059"/>
      <c r="F848" s="1059"/>
      <c r="G848" s="1059"/>
      <c r="H848" s="1059"/>
      <c r="I848" s="1059"/>
      <c r="J848" s="1059"/>
      <c r="K848" s="1059"/>
      <c r="L848" s="1059"/>
      <c r="M848" s="1059"/>
      <c r="N848" s="1059"/>
      <c r="O848" s="1059"/>
      <c r="P848" s="1059"/>
      <c r="Q848" s="1059"/>
      <c r="R848" s="1059"/>
      <c r="S848" s="1059"/>
      <c r="T848" s="1059"/>
      <c r="U848" s="1059"/>
      <c r="V848" s="1059"/>
      <c r="W848" s="1059"/>
      <c r="X848" s="1059"/>
      <c r="Y848" s="1059"/>
      <c r="Z848" s="1059"/>
    </row>
    <row r="849" spans="1:26" ht="12.75" customHeight="1">
      <c r="A849" s="1059"/>
      <c r="B849" s="1059"/>
      <c r="C849" s="1059"/>
      <c r="D849" s="1059"/>
      <c r="E849" s="1059"/>
      <c r="F849" s="1059"/>
      <c r="G849" s="1059"/>
      <c r="H849" s="1059"/>
      <c r="I849" s="1059"/>
      <c r="J849" s="1059"/>
      <c r="K849" s="1059"/>
      <c r="L849" s="1059"/>
      <c r="M849" s="1059"/>
      <c r="N849" s="1059"/>
      <c r="O849" s="1059"/>
      <c r="P849" s="1059"/>
      <c r="Q849" s="1059"/>
      <c r="R849" s="1059"/>
      <c r="S849" s="1059"/>
      <c r="T849" s="1059"/>
      <c r="U849" s="1059"/>
      <c r="V849" s="1059"/>
      <c r="W849" s="1059"/>
      <c r="X849" s="1059"/>
      <c r="Y849" s="1059"/>
      <c r="Z849" s="1059"/>
    </row>
    <row r="850" spans="1:26" ht="12.75" customHeight="1">
      <c r="A850" s="1059"/>
      <c r="B850" s="1059"/>
      <c r="C850" s="1059"/>
      <c r="D850" s="1059"/>
      <c r="E850" s="1059"/>
      <c r="F850" s="1059"/>
      <c r="G850" s="1059"/>
      <c r="H850" s="1059"/>
      <c r="I850" s="1059"/>
      <c r="J850" s="1059"/>
      <c r="K850" s="1059"/>
      <c r="L850" s="1059"/>
      <c r="M850" s="1059"/>
      <c r="N850" s="1059"/>
      <c r="O850" s="1059"/>
      <c r="P850" s="1059"/>
      <c r="Q850" s="1059"/>
      <c r="R850" s="1059"/>
      <c r="S850" s="1059"/>
      <c r="T850" s="1059"/>
      <c r="U850" s="1059"/>
      <c r="V850" s="1059"/>
      <c r="W850" s="1059"/>
      <c r="X850" s="1059"/>
      <c r="Y850" s="1059"/>
      <c r="Z850" s="1059"/>
    </row>
    <row r="851" spans="1:26" ht="12.75" customHeight="1">
      <c r="A851" s="1059"/>
      <c r="B851" s="1059"/>
      <c r="C851" s="1059"/>
      <c r="D851" s="1059"/>
      <c r="E851" s="1059"/>
      <c r="F851" s="1059"/>
      <c r="G851" s="1059"/>
      <c r="H851" s="1059"/>
      <c r="I851" s="1059"/>
      <c r="J851" s="1059"/>
      <c r="K851" s="1059"/>
      <c r="L851" s="1059"/>
      <c r="M851" s="1059"/>
      <c r="N851" s="1059"/>
      <c r="O851" s="1059"/>
      <c r="P851" s="1059"/>
      <c r="Q851" s="1059"/>
      <c r="R851" s="1059"/>
      <c r="S851" s="1059"/>
      <c r="T851" s="1059"/>
      <c r="U851" s="1059"/>
      <c r="V851" s="1059"/>
      <c r="W851" s="1059"/>
      <c r="X851" s="1059"/>
      <c r="Y851" s="1059"/>
      <c r="Z851" s="1059"/>
    </row>
    <row r="852" spans="1:26" ht="12.75" customHeight="1">
      <c r="A852" s="1059"/>
      <c r="B852" s="1059"/>
      <c r="C852" s="1059"/>
      <c r="D852" s="1059"/>
      <c r="E852" s="1059"/>
      <c r="F852" s="1059"/>
      <c r="G852" s="1059"/>
      <c r="H852" s="1059"/>
      <c r="I852" s="1059"/>
      <c r="J852" s="1059"/>
      <c r="K852" s="1059"/>
      <c r="L852" s="1059"/>
      <c r="M852" s="1059"/>
      <c r="N852" s="1059"/>
      <c r="O852" s="1059"/>
      <c r="P852" s="1059"/>
      <c r="Q852" s="1059"/>
      <c r="R852" s="1059"/>
      <c r="S852" s="1059"/>
      <c r="T852" s="1059"/>
      <c r="U852" s="1059"/>
      <c r="V852" s="1059"/>
      <c r="W852" s="1059"/>
      <c r="X852" s="1059"/>
      <c r="Y852" s="1059"/>
      <c r="Z852" s="1059"/>
    </row>
    <row r="853" spans="1:26" ht="12.75" customHeight="1">
      <c r="A853" s="1059"/>
      <c r="B853" s="1059"/>
      <c r="C853" s="1059"/>
      <c r="D853" s="1059"/>
      <c r="E853" s="1059"/>
      <c r="F853" s="1059"/>
      <c r="G853" s="1059"/>
      <c r="H853" s="1059"/>
      <c r="I853" s="1059"/>
      <c r="J853" s="1059"/>
      <c r="K853" s="1059"/>
      <c r="L853" s="1059"/>
      <c r="M853" s="1059"/>
      <c r="N853" s="1059"/>
      <c r="O853" s="1059"/>
      <c r="P853" s="1059"/>
      <c r="Q853" s="1059"/>
      <c r="R853" s="1059"/>
      <c r="S853" s="1059"/>
      <c r="T853" s="1059"/>
      <c r="U853" s="1059"/>
      <c r="V853" s="1059"/>
      <c r="W853" s="1059"/>
      <c r="X853" s="1059"/>
      <c r="Y853" s="1059"/>
      <c r="Z853" s="1059"/>
    </row>
    <row r="854" spans="1:26" ht="12.75" customHeight="1">
      <c r="A854" s="1059"/>
      <c r="B854" s="1059"/>
      <c r="C854" s="1059"/>
      <c r="D854" s="1059"/>
      <c r="E854" s="1059"/>
      <c r="F854" s="1059"/>
      <c r="G854" s="1059"/>
      <c r="H854" s="1059"/>
      <c r="I854" s="1059"/>
      <c r="J854" s="1059"/>
      <c r="K854" s="1059"/>
      <c r="L854" s="1059"/>
      <c r="M854" s="1059"/>
      <c r="N854" s="1059"/>
      <c r="O854" s="1059"/>
      <c r="P854" s="1059"/>
      <c r="Q854" s="1059"/>
      <c r="R854" s="1059"/>
      <c r="S854" s="1059"/>
      <c r="T854" s="1059"/>
      <c r="U854" s="1059"/>
      <c r="V854" s="1059"/>
      <c r="W854" s="1059"/>
      <c r="X854" s="1059"/>
      <c r="Y854" s="1059"/>
      <c r="Z854" s="1059"/>
    </row>
    <row r="855" spans="1:26" ht="12.75" customHeight="1">
      <c r="A855" s="1059"/>
      <c r="B855" s="1059"/>
      <c r="C855" s="1059"/>
      <c r="D855" s="1059"/>
      <c r="E855" s="1059"/>
      <c r="F855" s="1059"/>
      <c r="G855" s="1059"/>
      <c r="H855" s="1059"/>
      <c r="I855" s="1059"/>
      <c r="J855" s="1059"/>
      <c r="K855" s="1059"/>
      <c r="L855" s="1059"/>
      <c r="M855" s="1059"/>
      <c r="N855" s="1059"/>
      <c r="O855" s="1059"/>
      <c r="P855" s="1059"/>
      <c r="Q855" s="1059"/>
      <c r="R855" s="1059"/>
      <c r="S855" s="1059"/>
      <c r="T855" s="1059"/>
      <c r="U855" s="1059"/>
      <c r="V855" s="1059"/>
      <c r="W855" s="1059"/>
      <c r="X855" s="1059"/>
      <c r="Y855" s="1059"/>
      <c r="Z855" s="1059"/>
    </row>
    <row r="856" spans="1:26" ht="12.75" customHeight="1">
      <c r="A856" s="1059"/>
      <c r="B856" s="1059"/>
      <c r="C856" s="1059"/>
      <c r="D856" s="1059"/>
      <c r="E856" s="1059"/>
      <c r="F856" s="1059"/>
      <c r="G856" s="1059"/>
      <c r="H856" s="1059"/>
      <c r="I856" s="1059"/>
      <c r="J856" s="1059"/>
      <c r="K856" s="1059"/>
      <c r="L856" s="1059"/>
      <c r="M856" s="1059"/>
      <c r="N856" s="1059"/>
      <c r="O856" s="1059"/>
      <c r="P856" s="1059"/>
      <c r="Q856" s="1059"/>
      <c r="R856" s="1059"/>
      <c r="S856" s="1059"/>
      <c r="T856" s="1059"/>
      <c r="U856" s="1059"/>
      <c r="V856" s="1059"/>
      <c r="W856" s="1059"/>
      <c r="X856" s="1059"/>
      <c r="Y856" s="1059"/>
      <c r="Z856" s="1059"/>
    </row>
    <row r="857" spans="1:26" ht="12.75" customHeight="1">
      <c r="A857" s="1059"/>
      <c r="B857" s="1059"/>
      <c r="C857" s="1059"/>
      <c r="D857" s="1059"/>
      <c r="E857" s="1059"/>
      <c r="F857" s="1059"/>
      <c r="G857" s="1059"/>
      <c r="H857" s="1059"/>
      <c r="I857" s="1059"/>
      <c r="J857" s="1059"/>
      <c r="K857" s="1059"/>
      <c r="L857" s="1059"/>
      <c r="M857" s="1059"/>
      <c r="N857" s="1059"/>
      <c r="O857" s="1059"/>
      <c r="P857" s="1059"/>
      <c r="Q857" s="1059"/>
      <c r="R857" s="1059"/>
      <c r="S857" s="1059"/>
      <c r="T857" s="1059"/>
      <c r="U857" s="1059"/>
      <c r="V857" s="1059"/>
      <c r="W857" s="1059"/>
      <c r="X857" s="1059"/>
      <c r="Y857" s="1059"/>
      <c r="Z857" s="1059"/>
    </row>
    <row r="858" spans="1:26" ht="12.75" customHeight="1">
      <c r="A858" s="1059"/>
      <c r="B858" s="1059"/>
      <c r="C858" s="1059"/>
      <c r="D858" s="1059"/>
      <c r="E858" s="1059"/>
      <c r="F858" s="1059"/>
      <c r="G858" s="1059"/>
      <c r="H858" s="1059"/>
      <c r="I858" s="1059"/>
      <c r="J858" s="1059"/>
      <c r="K858" s="1059"/>
      <c r="L858" s="1059"/>
      <c r="M858" s="1059"/>
      <c r="N858" s="1059"/>
      <c r="O858" s="1059"/>
      <c r="P858" s="1059"/>
      <c r="Q858" s="1059"/>
      <c r="R858" s="1059"/>
      <c r="S858" s="1059"/>
      <c r="T858" s="1059"/>
      <c r="U858" s="1059"/>
      <c r="V858" s="1059"/>
      <c r="W858" s="1059"/>
      <c r="X858" s="1059"/>
      <c r="Y858" s="1059"/>
      <c r="Z858" s="1059"/>
    </row>
    <row r="859" spans="1:26" ht="12.75" customHeight="1">
      <c r="A859" s="1059"/>
      <c r="B859" s="1059"/>
      <c r="C859" s="1059"/>
      <c r="D859" s="1059"/>
      <c r="E859" s="1059"/>
      <c r="F859" s="1059"/>
      <c r="G859" s="1059"/>
      <c r="H859" s="1059"/>
      <c r="I859" s="1059"/>
      <c r="J859" s="1059"/>
      <c r="K859" s="1059"/>
      <c r="L859" s="1059"/>
      <c r="M859" s="1059"/>
      <c r="N859" s="1059"/>
      <c r="O859" s="1059"/>
      <c r="P859" s="1059"/>
      <c r="Q859" s="1059"/>
      <c r="R859" s="1059"/>
      <c r="S859" s="1059"/>
      <c r="T859" s="1059"/>
      <c r="U859" s="1059"/>
      <c r="V859" s="1059"/>
      <c r="W859" s="1059"/>
      <c r="X859" s="1059"/>
      <c r="Y859" s="1059"/>
      <c r="Z859" s="1059"/>
    </row>
    <row r="860" spans="1:26" ht="12.75" customHeight="1">
      <c r="A860" s="1059"/>
      <c r="B860" s="1059"/>
      <c r="C860" s="1059"/>
      <c r="D860" s="1059"/>
      <c r="E860" s="1059"/>
      <c r="F860" s="1059"/>
      <c r="G860" s="1059"/>
      <c r="H860" s="1059"/>
      <c r="I860" s="1059"/>
      <c r="J860" s="1059"/>
      <c r="K860" s="1059"/>
      <c r="L860" s="1059"/>
      <c r="M860" s="1059"/>
      <c r="N860" s="1059"/>
      <c r="O860" s="1059"/>
      <c r="P860" s="1059"/>
      <c r="Q860" s="1059"/>
      <c r="R860" s="1059"/>
      <c r="S860" s="1059"/>
      <c r="T860" s="1059"/>
      <c r="U860" s="1059"/>
      <c r="V860" s="1059"/>
      <c r="W860" s="1059"/>
      <c r="X860" s="1059"/>
      <c r="Y860" s="1059"/>
      <c r="Z860" s="1059"/>
    </row>
    <row r="861" spans="1:26" ht="12.75" customHeight="1">
      <c r="A861" s="1059"/>
      <c r="B861" s="1059"/>
      <c r="C861" s="1059"/>
      <c r="D861" s="1059"/>
      <c r="E861" s="1059"/>
      <c r="F861" s="1059"/>
      <c r="G861" s="1059"/>
      <c r="H861" s="1059"/>
      <c r="I861" s="1059"/>
      <c r="J861" s="1059"/>
      <c r="K861" s="1059"/>
      <c r="L861" s="1059"/>
      <c r="M861" s="1059"/>
      <c r="N861" s="1059"/>
      <c r="O861" s="1059"/>
      <c r="P861" s="1059"/>
      <c r="Q861" s="1059"/>
      <c r="R861" s="1059"/>
      <c r="S861" s="1059"/>
      <c r="T861" s="1059"/>
      <c r="U861" s="1059"/>
      <c r="V861" s="1059"/>
      <c r="W861" s="1059"/>
      <c r="X861" s="1059"/>
      <c r="Y861" s="1059"/>
      <c r="Z861" s="1059"/>
    </row>
    <row r="862" spans="1:26" ht="12.75" customHeight="1">
      <c r="A862" s="1059"/>
      <c r="B862" s="1059"/>
      <c r="C862" s="1059"/>
      <c r="D862" s="1059"/>
      <c r="E862" s="1059"/>
      <c r="F862" s="1059"/>
      <c r="G862" s="1059"/>
      <c r="H862" s="1059"/>
      <c r="I862" s="1059"/>
      <c r="J862" s="1059"/>
      <c r="K862" s="1059"/>
      <c r="L862" s="1059"/>
      <c r="M862" s="1059"/>
      <c r="N862" s="1059"/>
      <c r="O862" s="1059"/>
      <c r="P862" s="1059"/>
      <c r="Q862" s="1059"/>
      <c r="R862" s="1059"/>
      <c r="S862" s="1059"/>
      <c r="T862" s="1059"/>
      <c r="U862" s="1059"/>
      <c r="V862" s="1059"/>
      <c r="W862" s="1059"/>
      <c r="X862" s="1059"/>
      <c r="Y862" s="1059"/>
      <c r="Z862" s="1059"/>
    </row>
    <row r="863" spans="1:26" ht="12.75" customHeight="1">
      <c r="A863" s="1059"/>
      <c r="B863" s="1059"/>
      <c r="C863" s="1059"/>
      <c r="D863" s="1059"/>
      <c r="E863" s="1059"/>
      <c r="F863" s="1059"/>
      <c r="G863" s="1059"/>
      <c r="H863" s="1059"/>
      <c r="I863" s="1059"/>
      <c r="J863" s="1059"/>
      <c r="K863" s="1059"/>
      <c r="L863" s="1059"/>
      <c r="M863" s="1059"/>
      <c r="N863" s="1059"/>
      <c r="O863" s="1059"/>
      <c r="P863" s="1059"/>
      <c r="Q863" s="1059"/>
      <c r="R863" s="1059"/>
      <c r="S863" s="1059"/>
      <c r="T863" s="1059"/>
      <c r="U863" s="1059"/>
      <c r="V863" s="1059"/>
      <c r="W863" s="1059"/>
      <c r="X863" s="1059"/>
      <c r="Y863" s="1059"/>
      <c r="Z863" s="1059"/>
    </row>
    <row r="864" spans="1:26" ht="12.75" customHeight="1">
      <c r="A864" s="1059"/>
      <c r="B864" s="1059"/>
      <c r="C864" s="1059"/>
      <c r="D864" s="1059"/>
      <c r="E864" s="1059"/>
      <c r="F864" s="1059"/>
      <c r="G864" s="1059"/>
      <c r="H864" s="1059"/>
      <c r="I864" s="1059"/>
      <c r="J864" s="1059"/>
      <c r="K864" s="1059"/>
      <c r="L864" s="1059"/>
      <c r="M864" s="1059"/>
      <c r="N864" s="1059"/>
      <c r="O864" s="1059"/>
      <c r="P864" s="1059"/>
      <c r="Q864" s="1059"/>
      <c r="R864" s="1059"/>
      <c r="S864" s="1059"/>
      <c r="T864" s="1059"/>
      <c r="U864" s="1059"/>
      <c r="V864" s="1059"/>
      <c r="W864" s="1059"/>
      <c r="X864" s="1059"/>
      <c r="Y864" s="1059"/>
      <c r="Z864" s="1059"/>
    </row>
    <row r="865" spans="1:26" ht="12.75" customHeight="1">
      <c r="A865" s="1059"/>
      <c r="B865" s="1059"/>
      <c r="C865" s="1059"/>
      <c r="D865" s="1059"/>
      <c r="E865" s="1059"/>
      <c r="F865" s="1059"/>
      <c r="G865" s="1059"/>
      <c r="H865" s="1059"/>
      <c r="I865" s="1059"/>
      <c r="J865" s="1059"/>
      <c r="K865" s="1059"/>
      <c r="L865" s="1059"/>
      <c r="M865" s="1059"/>
      <c r="N865" s="1059"/>
      <c r="O865" s="1059"/>
      <c r="P865" s="1059"/>
      <c r="Q865" s="1059"/>
      <c r="R865" s="1059"/>
      <c r="S865" s="1059"/>
      <c r="T865" s="1059"/>
      <c r="U865" s="1059"/>
      <c r="V865" s="1059"/>
      <c r="W865" s="1059"/>
      <c r="X865" s="1059"/>
      <c r="Y865" s="1059"/>
      <c r="Z865" s="1059"/>
    </row>
    <row r="866" spans="1:26" ht="12.75" customHeight="1">
      <c r="A866" s="1059"/>
      <c r="B866" s="1059"/>
      <c r="C866" s="1059"/>
      <c r="D866" s="1059"/>
      <c r="E866" s="1059"/>
      <c r="F866" s="1059"/>
      <c r="G866" s="1059"/>
      <c r="H866" s="1059"/>
      <c r="I866" s="1059"/>
      <c r="J866" s="1059"/>
      <c r="K866" s="1059"/>
      <c r="L866" s="1059"/>
      <c r="M866" s="1059"/>
      <c r="N866" s="1059"/>
      <c r="O866" s="1059"/>
      <c r="P866" s="1059"/>
      <c r="Q866" s="1059"/>
      <c r="R866" s="1059"/>
      <c r="S866" s="1059"/>
      <c r="T866" s="1059"/>
      <c r="U866" s="1059"/>
      <c r="V866" s="1059"/>
      <c r="W866" s="1059"/>
      <c r="X866" s="1059"/>
      <c r="Y866" s="1059"/>
      <c r="Z866" s="1059"/>
    </row>
    <row r="867" spans="1:26" ht="12.75" customHeight="1">
      <c r="A867" s="1059"/>
      <c r="B867" s="1059"/>
      <c r="C867" s="1059"/>
      <c r="D867" s="1059"/>
      <c r="E867" s="1059"/>
      <c r="F867" s="1059"/>
      <c r="G867" s="1059"/>
      <c r="H867" s="1059"/>
      <c r="I867" s="1059"/>
      <c r="J867" s="1059"/>
      <c r="K867" s="1059"/>
      <c r="L867" s="1059"/>
      <c r="M867" s="1059"/>
      <c r="N867" s="1059"/>
      <c r="O867" s="1059"/>
      <c r="P867" s="1059"/>
      <c r="Q867" s="1059"/>
      <c r="R867" s="1059"/>
      <c r="S867" s="1059"/>
      <c r="T867" s="1059"/>
      <c r="U867" s="1059"/>
      <c r="V867" s="1059"/>
      <c r="W867" s="1059"/>
      <c r="X867" s="1059"/>
      <c r="Y867" s="1059"/>
      <c r="Z867" s="1059"/>
    </row>
    <row r="868" spans="1:26" ht="12.75" customHeight="1">
      <c r="A868" s="1059"/>
      <c r="B868" s="1059"/>
      <c r="C868" s="1059"/>
      <c r="D868" s="1059"/>
      <c r="E868" s="1059"/>
      <c r="F868" s="1059"/>
      <c r="G868" s="1059"/>
      <c r="H868" s="1059"/>
      <c r="I868" s="1059"/>
      <c r="J868" s="1059"/>
      <c r="K868" s="1059"/>
      <c r="L868" s="1059"/>
      <c r="M868" s="1059"/>
      <c r="N868" s="1059"/>
      <c r="O868" s="1059"/>
      <c r="P868" s="1059"/>
      <c r="Q868" s="1059"/>
      <c r="R868" s="1059"/>
      <c r="S868" s="1059"/>
      <c r="T868" s="1059"/>
      <c r="U868" s="1059"/>
      <c r="V868" s="1059"/>
      <c r="W868" s="1059"/>
      <c r="X868" s="1059"/>
      <c r="Y868" s="1059"/>
      <c r="Z868" s="1059"/>
    </row>
    <row r="869" spans="1:26" ht="12.75" customHeight="1">
      <c r="A869" s="1059"/>
      <c r="B869" s="1059"/>
      <c r="C869" s="1059"/>
      <c r="D869" s="1059"/>
      <c r="E869" s="1059"/>
      <c r="F869" s="1059"/>
      <c r="G869" s="1059"/>
      <c r="H869" s="1059"/>
      <c r="I869" s="1059"/>
      <c r="J869" s="1059"/>
      <c r="K869" s="1059"/>
      <c r="L869" s="1059"/>
      <c r="M869" s="1059"/>
      <c r="N869" s="1059"/>
      <c r="O869" s="1059"/>
      <c r="P869" s="1059"/>
      <c r="Q869" s="1059"/>
      <c r="R869" s="1059"/>
      <c r="S869" s="1059"/>
      <c r="T869" s="1059"/>
      <c r="U869" s="1059"/>
      <c r="V869" s="1059"/>
      <c r="W869" s="1059"/>
      <c r="X869" s="1059"/>
      <c r="Y869" s="1059"/>
      <c r="Z869" s="1059"/>
    </row>
    <row r="870" spans="1:26" ht="12.75" customHeight="1">
      <c r="A870" s="1059"/>
      <c r="B870" s="1059"/>
      <c r="C870" s="1059"/>
      <c r="D870" s="1059"/>
      <c r="E870" s="1059"/>
      <c r="F870" s="1059"/>
      <c r="G870" s="1059"/>
      <c r="H870" s="1059"/>
      <c r="I870" s="1059"/>
      <c r="J870" s="1059"/>
      <c r="K870" s="1059"/>
      <c r="L870" s="1059"/>
      <c r="M870" s="1059"/>
      <c r="N870" s="1059"/>
      <c r="O870" s="1059"/>
      <c r="P870" s="1059"/>
      <c r="Q870" s="1059"/>
      <c r="R870" s="1059"/>
      <c r="S870" s="1059"/>
      <c r="T870" s="1059"/>
      <c r="U870" s="1059"/>
      <c r="V870" s="1059"/>
      <c r="W870" s="1059"/>
      <c r="X870" s="1059"/>
      <c r="Y870" s="1059"/>
      <c r="Z870" s="1059"/>
    </row>
    <row r="871" spans="1:26" ht="12.75" customHeight="1">
      <c r="A871" s="1059"/>
      <c r="B871" s="1059"/>
      <c r="C871" s="1059"/>
      <c r="D871" s="1059"/>
      <c r="E871" s="1059"/>
      <c r="F871" s="1059"/>
      <c r="G871" s="1059"/>
      <c r="H871" s="1059"/>
      <c r="I871" s="1059"/>
      <c r="J871" s="1059"/>
      <c r="K871" s="1059"/>
      <c r="L871" s="1059"/>
      <c r="M871" s="1059"/>
      <c r="N871" s="1059"/>
      <c r="O871" s="1059"/>
      <c r="P871" s="1059"/>
      <c r="Q871" s="1059"/>
      <c r="R871" s="1059"/>
      <c r="S871" s="1059"/>
      <c r="T871" s="1059"/>
      <c r="U871" s="1059"/>
      <c r="V871" s="1059"/>
      <c r="W871" s="1059"/>
      <c r="X871" s="1059"/>
      <c r="Y871" s="1059"/>
      <c r="Z871" s="1059"/>
    </row>
    <row r="872" spans="1:26" ht="12.75" customHeight="1">
      <c r="A872" s="1059"/>
      <c r="B872" s="1059"/>
      <c r="C872" s="1059"/>
      <c r="D872" s="1059"/>
      <c r="E872" s="1059"/>
      <c r="F872" s="1059"/>
      <c r="G872" s="1059"/>
      <c r="H872" s="1059"/>
      <c r="I872" s="1059"/>
      <c r="J872" s="1059"/>
      <c r="K872" s="1059"/>
      <c r="L872" s="1059"/>
      <c r="M872" s="1059"/>
      <c r="N872" s="1059"/>
      <c r="O872" s="1059"/>
      <c r="P872" s="1059"/>
      <c r="Q872" s="1059"/>
      <c r="R872" s="1059"/>
      <c r="S872" s="1059"/>
      <c r="T872" s="1059"/>
      <c r="U872" s="1059"/>
      <c r="V872" s="1059"/>
      <c r="W872" s="1059"/>
      <c r="X872" s="1059"/>
      <c r="Y872" s="1059"/>
      <c r="Z872" s="1059"/>
    </row>
    <row r="873" spans="1:26" ht="12.75" customHeight="1">
      <c r="A873" s="1059"/>
      <c r="B873" s="1059"/>
      <c r="C873" s="1059"/>
      <c r="D873" s="1059"/>
      <c r="E873" s="1059"/>
      <c r="F873" s="1059"/>
      <c r="G873" s="1059"/>
      <c r="H873" s="1059"/>
      <c r="I873" s="1059"/>
      <c r="J873" s="1059"/>
      <c r="K873" s="1059"/>
      <c r="L873" s="1059"/>
      <c r="M873" s="1059"/>
      <c r="N873" s="1059"/>
      <c r="O873" s="1059"/>
      <c r="P873" s="1059"/>
      <c r="Q873" s="1059"/>
      <c r="R873" s="1059"/>
      <c r="S873" s="1059"/>
      <c r="T873" s="1059"/>
      <c r="U873" s="1059"/>
      <c r="V873" s="1059"/>
      <c r="W873" s="1059"/>
      <c r="X873" s="1059"/>
      <c r="Y873" s="1059"/>
      <c r="Z873" s="1059"/>
    </row>
    <row r="874" spans="1:26" ht="12.75" customHeight="1">
      <c r="A874" s="1059"/>
      <c r="B874" s="1059"/>
      <c r="C874" s="1059"/>
      <c r="D874" s="1059"/>
      <c r="E874" s="1059"/>
      <c r="F874" s="1059"/>
      <c r="G874" s="1059"/>
      <c r="H874" s="1059"/>
      <c r="I874" s="1059"/>
      <c r="J874" s="1059"/>
      <c r="K874" s="1059"/>
      <c r="L874" s="1059"/>
      <c r="M874" s="1059"/>
      <c r="N874" s="1059"/>
      <c r="O874" s="1059"/>
      <c r="P874" s="1059"/>
      <c r="Q874" s="1059"/>
      <c r="R874" s="1059"/>
      <c r="S874" s="1059"/>
      <c r="T874" s="1059"/>
      <c r="U874" s="1059"/>
      <c r="V874" s="1059"/>
      <c r="W874" s="1059"/>
      <c r="X874" s="1059"/>
      <c r="Y874" s="1059"/>
      <c r="Z874" s="1059"/>
    </row>
    <row r="875" spans="1:26" ht="12.75" customHeight="1">
      <c r="A875" s="1059"/>
      <c r="B875" s="1059"/>
      <c r="C875" s="1059"/>
      <c r="D875" s="1059"/>
      <c r="E875" s="1059"/>
      <c r="F875" s="1059"/>
      <c r="G875" s="1059"/>
      <c r="H875" s="1059"/>
      <c r="I875" s="1059"/>
      <c r="J875" s="1059"/>
      <c r="K875" s="1059"/>
      <c r="L875" s="1059"/>
      <c r="M875" s="1059"/>
      <c r="N875" s="1059"/>
      <c r="O875" s="1059"/>
      <c r="P875" s="1059"/>
      <c r="Q875" s="1059"/>
      <c r="R875" s="1059"/>
      <c r="S875" s="1059"/>
      <c r="T875" s="1059"/>
      <c r="U875" s="1059"/>
      <c r="V875" s="1059"/>
      <c r="W875" s="1059"/>
      <c r="X875" s="1059"/>
      <c r="Y875" s="1059"/>
      <c r="Z875" s="1059"/>
    </row>
    <row r="876" spans="1:26" ht="12.75" customHeight="1">
      <c r="A876" s="1059"/>
      <c r="B876" s="1059"/>
      <c r="C876" s="1059"/>
      <c r="D876" s="1059"/>
      <c r="E876" s="1059"/>
      <c r="F876" s="1059"/>
      <c r="G876" s="1059"/>
      <c r="H876" s="1059"/>
      <c r="I876" s="1059"/>
      <c r="J876" s="1059"/>
      <c r="K876" s="1059"/>
      <c r="L876" s="1059"/>
      <c r="M876" s="1059"/>
      <c r="N876" s="1059"/>
      <c r="O876" s="1059"/>
      <c r="P876" s="1059"/>
      <c r="Q876" s="1059"/>
      <c r="R876" s="1059"/>
      <c r="S876" s="1059"/>
      <c r="T876" s="1059"/>
      <c r="U876" s="1059"/>
      <c r="V876" s="1059"/>
      <c r="W876" s="1059"/>
      <c r="X876" s="1059"/>
      <c r="Y876" s="1059"/>
      <c r="Z876" s="1059"/>
    </row>
    <row r="877" spans="1:26" ht="12.75" customHeight="1">
      <c r="A877" s="1059"/>
      <c r="B877" s="1059"/>
      <c r="C877" s="1059"/>
      <c r="D877" s="1059"/>
      <c r="E877" s="1059"/>
      <c r="F877" s="1059"/>
      <c r="G877" s="1059"/>
      <c r="H877" s="1059"/>
      <c r="I877" s="1059"/>
      <c r="J877" s="1059"/>
      <c r="K877" s="1059"/>
      <c r="L877" s="1059"/>
      <c r="M877" s="1059"/>
      <c r="N877" s="1059"/>
      <c r="O877" s="1059"/>
      <c r="P877" s="1059"/>
      <c r="Q877" s="1059"/>
      <c r="R877" s="1059"/>
      <c r="S877" s="1059"/>
      <c r="T877" s="1059"/>
      <c r="U877" s="1059"/>
      <c r="V877" s="1059"/>
      <c r="W877" s="1059"/>
      <c r="X877" s="1059"/>
      <c r="Y877" s="1059"/>
      <c r="Z877" s="1059"/>
    </row>
    <row r="878" spans="1:26" ht="12.75" customHeight="1">
      <c r="A878" s="1059"/>
      <c r="B878" s="1059"/>
      <c r="C878" s="1059"/>
      <c r="D878" s="1059"/>
      <c r="E878" s="1059"/>
      <c r="F878" s="1059"/>
      <c r="G878" s="1059"/>
      <c r="H878" s="1059"/>
      <c r="I878" s="1059"/>
      <c r="J878" s="1059"/>
      <c r="K878" s="1059"/>
      <c r="L878" s="1059"/>
      <c r="M878" s="1059"/>
      <c r="N878" s="1059"/>
      <c r="O878" s="1059"/>
      <c r="P878" s="1059"/>
      <c r="Q878" s="1059"/>
      <c r="R878" s="1059"/>
      <c r="S878" s="1059"/>
      <c r="T878" s="1059"/>
      <c r="U878" s="1059"/>
      <c r="V878" s="1059"/>
      <c r="W878" s="1059"/>
      <c r="X878" s="1059"/>
      <c r="Y878" s="1059"/>
      <c r="Z878" s="1059"/>
    </row>
    <row r="879" spans="1:26" ht="12.75" customHeight="1">
      <c r="A879" s="1059"/>
      <c r="B879" s="1059"/>
      <c r="C879" s="1059"/>
      <c r="D879" s="1059"/>
      <c r="E879" s="1059"/>
      <c r="F879" s="1059"/>
      <c r="G879" s="1059"/>
      <c r="H879" s="1059"/>
      <c r="I879" s="1059"/>
      <c r="J879" s="1059"/>
      <c r="K879" s="1059"/>
      <c r="L879" s="1059"/>
      <c r="M879" s="1059"/>
      <c r="N879" s="1059"/>
      <c r="O879" s="1059"/>
      <c r="P879" s="1059"/>
      <c r="Q879" s="1059"/>
      <c r="R879" s="1059"/>
      <c r="S879" s="1059"/>
      <c r="T879" s="1059"/>
      <c r="U879" s="1059"/>
      <c r="V879" s="1059"/>
      <c r="W879" s="1059"/>
      <c r="X879" s="1059"/>
      <c r="Y879" s="1059"/>
      <c r="Z879" s="1059"/>
    </row>
    <row r="880" spans="1:26" ht="12.75" customHeight="1">
      <c r="A880" s="1059"/>
      <c r="B880" s="1059"/>
      <c r="C880" s="1059"/>
      <c r="D880" s="1059"/>
      <c r="E880" s="1059"/>
      <c r="F880" s="1059"/>
      <c r="G880" s="1059"/>
      <c r="H880" s="1059"/>
      <c r="I880" s="1059"/>
      <c r="J880" s="1059"/>
      <c r="K880" s="1059"/>
      <c r="L880" s="1059"/>
      <c r="M880" s="1059"/>
      <c r="N880" s="1059"/>
      <c r="O880" s="1059"/>
      <c r="P880" s="1059"/>
      <c r="Q880" s="1059"/>
      <c r="R880" s="1059"/>
      <c r="S880" s="1059"/>
      <c r="T880" s="1059"/>
      <c r="U880" s="1059"/>
      <c r="V880" s="1059"/>
      <c r="W880" s="1059"/>
      <c r="X880" s="1059"/>
      <c r="Y880" s="1059"/>
      <c r="Z880" s="1059"/>
    </row>
    <row r="881" spans="1:26" ht="12.75" customHeight="1">
      <c r="A881" s="1059"/>
      <c r="B881" s="1059"/>
      <c r="C881" s="1059"/>
      <c r="D881" s="1059"/>
      <c r="E881" s="1059"/>
      <c r="F881" s="1059"/>
      <c r="G881" s="1059"/>
      <c r="H881" s="1059"/>
      <c r="I881" s="1059"/>
      <c r="J881" s="1059"/>
      <c r="K881" s="1059"/>
      <c r="L881" s="1059"/>
      <c r="M881" s="1059"/>
      <c r="N881" s="1059"/>
      <c r="O881" s="1059"/>
      <c r="P881" s="1059"/>
      <c r="Q881" s="1059"/>
      <c r="R881" s="1059"/>
      <c r="S881" s="1059"/>
      <c r="T881" s="1059"/>
      <c r="U881" s="1059"/>
      <c r="V881" s="1059"/>
      <c r="W881" s="1059"/>
      <c r="X881" s="1059"/>
      <c r="Y881" s="1059"/>
      <c r="Z881" s="1059"/>
    </row>
    <row r="882" spans="1:26" ht="12.75" customHeight="1">
      <c r="A882" s="1059"/>
      <c r="B882" s="1059"/>
      <c r="C882" s="1059"/>
      <c r="D882" s="1059"/>
      <c r="E882" s="1059"/>
      <c r="F882" s="1059"/>
      <c r="G882" s="1059"/>
      <c r="H882" s="1059"/>
      <c r="I882" s="1059"/>
      <c r="J882" s="1059"/>
      <c r="K882" s="1059"/>
      <c r="L882" s="1059"/>
      <c r="M882" s="1059"/>
      <c r="N882" s="1059"/>
      <c r="O882" s="1059"/>
      <c r="P882" s="1059"/>
      <c r="Q882" s="1059"/>
      <c r="R882" s="1059"/>
      <c r="S882" s="1059"/>
      <c r="T882" s="1059"/>
      <c r="U882" s="1059"/>
      <c r="V882" s="1059"/>
      <c r="W882" s="1059"/>
      <c r="X882" s="1059"/>
      <c r="Y882" s="1059"/>
      <c r="Z882" s="1059"/>
    </row>
    <row r="883" spans="1:26" ht="12.75" customHeight="1">
      <c r="A883" s="1059"/>
      <c r="B883" s="1059"/>
      <c r="C883" s="1059"/>
      <c r="D883" s="1059"/>
      <c r="E883" s="1059"/>
      <c r="F883" s="1059"/>
      <c r="G883" s="1059"/>
      <c r="H883" s="1059"/>
      <c r="I883" s="1059"/>
      <c r="J883" s="1059"/>
      <c r="K883" s="1059"/>
      <c r="L883" s="1059"/>
      <c r="M883" s="1059"/>
      <c r="N883" s="1059"/>
      <c r="O883" s="1059"/>
      <c r="P883" s="1059"/>
      <c r="Q883" s="1059"/>
      <c r="R883" s="1059"/>
      <c r="S883" s="1059"/>
      <c r="T883" s="1059"/>
      <c r="U883" s="1059"/>
      <c r="V883" s="1059"/>
      <c r="W883" s="1059"/>
      <c r="X883" s="1059"/>
      <c r="Y883" s="1059"/>
      <c r="Z883" s="1059"/>
    </row>
    <row r="884" spans="1:26" ht="12.75" customHeight="1">
      <c r="A884" s="1059"/>
      <c r="B884" s="1059"/>
      <c r="C884" s="1059"/>
      <c r="D884" s="1059"/>
      <c r="E884" s="1059"/>
      <c r="F884" s="1059"/>
      <c r="G884" s="1059"/>
      <c r="H884" s="1059"/>
      <c r="I884" s="1059"/>
      <c r="J884" s="1059"/>
      <c r="K884" s="1059"/>
      <c r="L884" s="1059"/>
      <c r="M884" s="1059"/>
      <c r="N884" s="1059"/>
      <c r="O884" s="1059"/>
      <c r="P884" s="1059"/>
      <c r="Q884" s="1059"/>
      <c r="R884" s="1059"/>
      <c r="S884" s="1059"/>
      <c r="T884" s="1059"/>
      <c r="U884" s="1059"/>
      <c r="V884" s="1059"/>
      <c r="W884" s="1059"/>
      <c r="X884" s="1059"/>
      <c r="Y884" s="1059"/>
      <c r="Z884" s="1059"/>
    </row>
    <row r="885" spans="1:26" ht="12.75" customHeight="1">
      <c r="A885" s="1059"/>
      <c r="B885" s="1059"/>
      <c r="C885" s="1059"/>
      <c r="D885" s="1059"/>
      <c r="E885" s="1059"/>
      <c r="F885" s="1059"/>
      <c r="G885" s="1059"/>
      <c r="H885" s="1059"/>
      <c r="I885" s="1059"/>
      <c r="J885" s="1059"/>
      <c r="K885" s="1059"/>
      <c r="L885" s="1059"/>
      <c r="M885" s="1059"/>
      <c r="N885" s="1059"/>
      <c r="O885" s="1059"/>
      <c r="P885" s="1059"/>
      <c r="Q885" s="1059"/>
      <c r="R885" s="1059"/>
      <c r="S885" s="1059"/>
      <c r="T885" s="1059"/>
      <c r="U885" s="1059"/>
      <c r="V885" s="1059"/>
      <c r="W885" s="1059"/>
      <c r="X885" s="1059"/>
      <c r="Y885" s="1059"/>
      <c r="Z885" s="1059"/>
    </row>
    <row r="886" spans="1:26" ht="12.75" customHeight="1">
      <c r="A886" s="1059"/>
      <c r="B886" s="1059"/>
      <c r="C886" s="1059"/>
      <c r="D886" s="1059"/>
      <c r="E886" s="1059"/>
      <c r="F886" s="1059"/>
      <c r="G886" s="1059"/>
      <c r="H886" s="1059"/>
      <c r="I886" s="1059"/>
      <c r="J886" s="1059"/>
      <c r="K886" s="1059"/>
      <c r="L886" s="1059"/>
      <c r="M886" s="1059"/>
      <c r="N886" s="1059"/>
      <c r="O886" s="1059"/>
      <c r="P886" s="1059"/>
      <c r="Q886" s="1059"/>
      <c r="R886" s="1059"/>
      <c r="S886" s="1059"/>
      <c r="T886" s="1059"/>
      <c r="U886" s="1059"/>
      <c r="V886" s="1059"/>
      <c r="W886" s="1059"/>
      <c r="X886" s="1059"/>
      <c r="Y886" s="1059"/>
      <c r="Z886" s="1059"/>
    </row>
    <row r="887" spans="1:26" ht="12.75" customHeight="1">
      <c r="A887" s="1059"/>
      <c r="B887" s="1059"/>
      <c r="C887" s="1059"/>
      <c r="D887" s="1059"/>
      <c r="E887" s="1059"/>
      <c r="F887" s="1059"/>
      <c r="G887" s="1059"/>
      <c r="H887" s="1059"/>
      <c r="I887" s="1059"/>
      <c r="J887" s="1059"/>
      <c r="K887" s="1059"/>
      <c r="L887" s="1059"/>
      <c r="M887" s="1059"/>
      <c r="N887" s="1059"/>
      <c r="O887" s="1059"/>
      <c r="P887" s="1059"/>
      <c r="Q887" s="1059"/>
      <c r="R887" s="1059"/>
      <c r="S887" s="1059"/>
      <c r="T887" s="1059"/>
      <c r="U887" s="1059"/>
      <c r="V887" s="1059"/>
      <c r="W887" s="1059"/>
      <c r="X887" s="1059"/>
      <c r="Y887" s="1059"/>
      <c r="Z887" s="1059"/>
    </row>
    <row r="888" spans="1:26" ht="12.75" customHeight="1">
      <c r="A888" s="1059"/>
      <c r="B888" s="1059"/>
      <c r="C888" s="1059"/>
      <c r="D888" s="1059"/>
      <c r="E888" s="1059"/>
      <c r="F888" s="1059"/>
      <c r="G888" s="1059"/>
      <c r="H888" s="1059"/>
      <c r="I888" s="1059"/>
      <c r="J888" s="1059"/>
      <c r="K888" s="1059"/>
      <c r="L888" s="1059"/>
      <c r="M888" s="1059"/>
      <c r="N888" s="1059"/>
      <c r="O888" s="1059"/>
      <c r="P888" s="1059"/>
      <c r="Q888" s="1059"/>
      <c r="R888" s="1059"/>
      <c r="S888" s="1059"/>
      <c r="T888" s="1059"/>
      <c r="U888" s="1059"/>
      <c r="V888" s="1059"/>
      <c r="W888" s="1059"/>
      <c r="X888" s="1059"/>
      <c r="Y888" s="1059"/>
      <c r="Z888" s="1059"/>
    </row>
    <row r="889" spans="1:26" ht="12.75" customHeight="1">
      <c r="A889" s="1059"/>
      <c r="B889" s="1059"/>
      <c r="C889" s="1059"/>
      <c r="D889" s="1059"/>
      <c r="E889" s="1059"/>
      <c r="F889" s="1059"/>
      <c r="G889" s="1059"/>
      <c r="H889" s="1059"/>
      <c r="I889" s="1059"/>
      <c r="J889" s="1059"/>
      <c r="K889" s="1059"/>
      <c r="L889" s="1059"/>
      <c r="M889" s="1059"/>
      <c r="N889" s="1059"/>
      <c r="O889" s="1059"/>
      <c r="P889" s="1059"/>
      <c r="Q889" s="1059"/>
      <c r="R889" s="1059"/>
      <c r="S889" s="1059"/>
      <c r="T889" s="1059"/>
      <c r="U889" s="1059"/>
      <c r="V889" s="1059"/>
      <c r="W889" s="1059"/>
      <c r="X889" s="1059"/>
      <c r="Y889" s="1059"/>
      <c r="Z889" s="1059"/>
    </row>
    <row r="890" spans="1:26" ht="12.75" customHeight="1">
      <c r="A890" s="1059"/>
      <c r="B890" s="1059"/>
      <c r="C890" s="1059"/>
      <c r="D890" s="1059"/>
      <c r="E890" s="1059"/>
      <c r="F890" s="1059"/>
      <c r="G890" s="1059"/>
      <c r="H890" s="1059"/>
      <c r="I890" s="1059"/>
      <c r="J890" s="1059"/>
      <c r="K890" s="1059"/>
      <c r="L890" s="1059"/>
      <c r="M890" s="1059"/>
      <c r="N890" s="1059"/>
      <c r="O890" s="1059"/>
      <c r="P890" s="1059"/>
      <c r="Q890" s="1059"/>
      <c r="R890" s="1059"/>
      <c r="S890" s="1059"/>
      <c r="T890" s="1059"/>
      <c r="U890" s="1059"/>
      <c r="V890" s="1059"/>
      <c r="W890" s="1059"/>
      <c r="X890" s="1059"/>
      <c r="Y890" s="1059"/>
      <c r="Z890" s="1059"/>
    </row>
    <row r="891" spans="1:26" ht="12.75" customHeight="1">
      <c r="A891" s="1059"/>
      <c r="B891" s="1059"/>
      <c r="C891" s="1059"/>
      <c r="D891" s="1059"/>
      <c r="E891" s="1059"/>
      <c r="F891" s="1059"/>
      <c r="G891" s="1059"/>
      <c r="H891" s="1059"/>
      <c r="I891" s="1059"/>
      <c r="J891" s="1059"/>
      <c r="K891" s="1059"/>
      <c r="L891" s="1059"/>
      <c r="M891" s="1059"/>
      <c r="N891" s="1059"/>
      <c r="O891" s="1059"/>
      <c r="P891" s="1059"/>
      <c r="Q891" s="1059"/>
      <c r="R891" s="1059"/>
      <c r="S891" s="1059"/>
      <c r="T891" s="1059"/>
      <c r="U891" s="1059"/>
      <c r="V891" s="1059"/>
      <c r="W891" s="1059"/>
      <c r="X891" s="1059"/>
      <c r="Y891" s="1059"/>
      <c r="Z891" s="1059"/>
    </row>
    <row r="892" spans="1:26" ht="12.75" customHeight="1">
      <c r="A892" s="1059"/>
      <c r="B892" s="1059"/>
      <c r="C892" s="1059"/>
      <c r="D892" s="1059"/>
      <c r="E892" s="1059"/>
      <c r="F892" s="1059"/>
      <c r="G892" s="1059"/>
      <c r="H892" s="1059"/>
      <c r="I892" s="1059"/>
      <c r="J892" s="1059"/>
      <c r="K892" s="1059"/>
      <c r="L892" s="1059"/>
      <c r="M892" s="1059"/>
      <c r="N892" s="1059"/>
      <c r="O892" s="1059"/>
      <c r="P892" s="1059"/>
      <c r="Q892" s="1059"/>
      <c r="R892" s="1059"/>
      <c r="S892" s="1059"/>
      <c r="T892" s="1059"/>
      <c r="U892" s="1059"/>
      <c r="V892" s="1059"/>
      <c r="W892" s="1059"/>
      <c r="X892" s="1059"/>
      <c r="Y892" s="1059"/>
      <c r="Z892" s="1059"/>
    </row>
    <row r="893" spans="1:26" ht="12.75" customHeight="1">
      <c r="A893" s="1059"/>
      <c r="B893" s="1059"/>
      <c r="C893" s="1059"/>
      <c r="D893" s="1059"/>
      <c r="E893" s="1059"/>
      <c r="F893" s="1059"/>
      <c r="G893" s="1059"/>
      <c r="H893" s="1059"/>
      <c r="I893" s="1059"/>
      <c r="J893" s="1059"/>
      <c r="K893" s="1059"/>
      <c r="L893" s="1059"/>
      <c r="M893" s="1059"/>
      <c r="N893" s="1059"/>
      <c r="O893" s="1059"/>
      <c r="P893" s="1059"/>
      <c r="Q893" s="1059"/>
      <c r="R893" s="1059"/>
      <c r="S893" s="1059"/>
      <c r="T893" s="1059"/>
      <c r="U893" s="1059"/>
      <c r="V893" s="1059"/>
      <c r="W893" s="1059"/>
      <c r="X893" s="1059"/>
      <c r="Y893" s="1059"/>
      <c r="Z893" s="1059"/>
    </row>
    <row r="894" spans="1:26" ht="12.75" customHeight="1">
      <c r="A894" s="1059"/>
      <c r="B894" s="1059"/>
      <c r="C894" s="1059"/>
      <c r="D894" s="1059"/>
      <c r="E894" s="1059"/>
      <c r="F894" s="1059"/>
      <c r="G894" s="1059"/>
      <c r="H894" s="1059"/>
      <c r="I894" s="1059"/>
      <c r="J894" s="1059"/>
      <c r="K894" s="1059"/>
      <c r="L894" s="1059"/>
      <c r="M894" s="1059"/>
      <c r="N894" s="1059"/>
      <c r="O894" s="1059"/>
      <c r="P894" s="1059"/>
      <c r="Q894" s="1059"/>
      <c r="R894" s="1059"/>
      <c r="S894" s="1059"/>
      <c r="T894" s="1059"/>
      <c r="U894" s="1059"/>
      <c r="V894" s="1059"/>
      <c r="W894" s="1059"/>
      <c r="X894" s="1059"/>
      <c r="Y894" s="1059"/>
      <c r="Z894" s="1059"/>
    </row>
    <row r="895" spans="1:26" ht="12.75" customHeight="1">
      <c r="A895" s="1059"/>
      <c r="B895" s="1059"/>
      <c r="C895" s="1059"/>
      <c r="D895" s="1059"/>
      <c r="E895" s="1059"/>
      <c r="F895" s="1059"/>
      <c r="G895" s="1059"/>
      <c r="H895" s="1059"/>
      <c r="I895" s="1059"/>
      <c r="J895" s="1059"/>
      <c r="K895" s="1059"/>
      <c r="L895" s="1059"/>
      <c r="M895" s="1059"/>
      <c r="N895" s="1059"/>
      <c r="O895" s="1059"/>
      <c r="P895" s="1059"/>
      <c r="Q895" s="1059"/>
      <c r="R895" s="1059"/>
      <c r="S895" s="1059"/>
      <c r="T895" s="1059"/>
      <c r="U895" s="1059"/>
      <c r="V895" s="1059"/>
      <c r="W895" s="1059"/>
      <c r="X895" s="1059"/>
      <c r="Y895" s="1059"/>
      <c r="Z895" s="1059"/>
    </row>
    <row r="896" spans="1:26" ht="12.75" customHeight="1">
      <c r="A896" s="1059"/>
      <c r="B896" s="1059"/>
      <c r="C896" s="1059"/>
      <c r="D896" s="1059"/>
      <c r="E896" s="1059"/>
      <c r="F896" s="1059"/>
      <c r="G896" s="1059"/>
      <c r="H896" s="1059"/>
      <c r="I896" s="1059"/>
      <c r="J896" s="1059"/>
      <c r="K896" s="1059"/>
      <c r="L896" s="1059"/>
      <c r="M896" s="1059"/>
      <c r="N896" s="1059"/>
      <c r="O896" s="1059"/>
      <c r="P896" s="1059"/>
      <c r="Q896" s="1059"/>
      <c r="R896" s="1059"/>
      <c r="S896" s="1059"/>
      <c r="T896" s="1059"/>
      <c r="U896" s="1059"/>
      <c r="V896" s="1059"/>
      <c r="W896" s="1059"/>
      <c r="X896" s="1059"/>
      <c r="Y896" s="1059"/>
      <c r="Z896" s="1059"/>
    </row>
    <row r="897" spans="1:26" ht="12.75" customHeight="1">
      <c r="A897" s="1059"/>
      <c r="B897" s="1059"/>
      <c r="C897" s="1059"/>
      <c r="D897" s="1059"/>
      <c r="E897" s="1059"/>
      <c r="F897" s="1059"/>
      <c r="G897" s="1059"/>
      <c r="H897" s="1059"/>
      <c r="I897" s="1059"/>
      <c r="J897" s="1059"/>
      <c r="K897" s="1059"/>
      <c r="L897" s="1059"/>
      <c r="M897" s="1059"/>
      <c r="N897" s="1059"/>
      <c r="O897" s="1059"/>
      <c r="P897" s="1059"/>
      <c r="Q897" s="1059"/>
      <c r="R897" s="1059"/>
      <c r="S897" s="1059"/>
      <c r="T897" s="1059"/>
      <c r="U897" s="1059"/>
      <c r="V897" s="1059"/>
      <c r="W897" s="1059"/>
      <c r="X897" s="1059"/>
      <c r="Y897" s="1059"/>
      <c r="Z897" s="1059"/>
    </row>
    <row r="898" spans="1:26" ht="12.75" customHeight="1">
      <c r="A898" s="1059"/>
      <c r="B898" s="1059"/>
      <c r="C898" s="1059"/>
      <c r="D898" s="1059"/>
      <c r="E898" s="1059"/>
      <c r="F898" s="1059"/>
      <c r="G898" s="1059"/>
      <c r="H898" s="1059"/>
      <c r="I898" s="1059"/>
      <c r="J898" s="1059"/>
      <c r="K898" s="1059"/>
      <c r="L898" s="1059"/>
      <c r="M898" s="1059"/>
      <c r="N898" s="1059"/>
      <c r="O898" s="1059"/>
      <c r="P898" s="1059"/>
      <c r="Q898" s="1059"/>
      <c r="R898" s="1059"/>
      <c r="S898" s="1059"/>
      <c r="T898" s="1059"/>
      <c r="U898" s="1059"/>
      <c r="V898" s="1059"/>
      <c r="W898" s="1059"/>
      <c r="X898" s="1059"/>
      <c r="Y898" s="1059"/>
      <c r="Z898" s="1059"/>
    </row>
    <row r="899" spans="1:26" ht="12.75" customHeight="1">
      <c r="A899" s="1059"/>
      <c r="B899" s="1059"/>
      <c r="C899" s="1059"/>
      <c r="D899" s="1059"/>
      <c r="E899" s="1059"/>
      <c r="F899" s="1059"/>
      <c r="G899" s="1059"/>
      <c r="H899" s="1059"/>
      <c r="I899" s="1059"/>
      <c r="J899" s="1059"/>
      <c r="K899" s="1059"/>
      <c r="L899" s="1059"/>
      <c r="M899" s="1059"/>
      <c r="N899" s="1059"/>
      <c r="O899" s="1059"/>
      <c r="P899" s="1059"/>
      <c r="Q899" s="1059"/>
      <c r="R899" s="1059"/>
      <c r="S899" s="1059"/>
      <c r="T899" s="1059"/>
      <c r="U899" s="1059"/>
      <c r="V899" s="1059"/>
      <c r="W899" s="1059"/>
      <c r="X899" s="1059"/>
      <c r="Y899" s="1059"/>
      <c r="Z899" s="1059"/>
    </row>
    <row r="900" spans="1:26" ht="12.75" customHeight="1">
      <c r="A900" s="1059"/>
      <c r="B900" s="1059"/>
      <c r="C900" s="1059"/>
      <c r="D900" s="1059"/>
      <c r="E900" s="1059"/>
      <c r="F900" s="1059"/>
      <c r="G900" s="1059"/>
      <c r="H900" s="1059"/>
      <c r="I900" s="1059"/>
      <c r="J900" s="1059"/>
      <c r="K900" s="1059"/>
      <c r="L900" s="1059"/>
      <c r="M900" s="1059"/>
      <c r="N900" s="1059"/>
      <c r="O900" s="1059"/>
      <c r="P900" s="1059"/>
      <c r="Q900" s="1059"/>
      <c r="R900" s="1059"/>
      <c r="S900" s="1059"/>
      <c r="T900" s="1059"/>
      <c r="U900" s="1059"/>
      <c r="V900" s="1059"/>
      <c r="W900" s="1059"/>
      <c r="X900" s="1059"/>
      <c r="Y900" s="1059"/>
      <c r="Z900" s="1059"/>
    </row>
    <row r="901" spans="1:26" ht="12.75" customHeight="1">
      <c r="A901" s="1059"/>
      <c r="B901" s="1059"/>
      <c r="C901" s="1059"/>
      <c r="D901" s="1059"/>
      <c r="E901" s="1059"/>
      <c r="F901" s="1059"/>
      <c r="G901" s="1059"/>
      <c r="H901" s="1059"/>
      <c r="I901" s="1059"/>
      <c r="J901" s="1059"/>
      <c r="K901" s="1059"/>
      <c r="L901" s="1059"/>
      <c r="M901" s="1059"/>
      <c r="N901" s="1059"/>
      <c r="O901" s="1059"/>
      <c r="P901" s="1059"/>
      <c r="Q901" s="1059"/>
      <c r="R901" s="1059"/>
      <c r="S901" s="1059"/>
      <c r="T901" s="1059"/>
      <c r="U901" s="1059"/>
      <c r="V901" s="1059"/>
      <c r="W901" s="1059"/>
      <c r="X901" s="1059"/>
      <c r="Y901" s="1059"/>
      <c r="Z901" s="1059"/>
    </row>
    <row r="902" spans="1:26" ht="12.75" customHeight="1">
      <c r="A902" s="1059"/>
      <c r="B902" s="1059"/>
      <c r="C902" s="1059"/>
      <c r="D902" s="1059"/>
      <c r="E902" s="1059"/>
      <c r="F902" s="1059"/>
      <c r="G902" s="1059"/>
      <c r="H902" s="1059"/>
      <c r="I902" s="1059"/>
      <c r="J902" s="1059"/>
      <c r="K902" s="1059"/>
      <c r="L902" s="1059"/>
      <c r="M902" s="1059"/>
      <c r="N902" s="1059"/>
      <c r="O902" s="1059"/>
      <c r="P902" s="1059"/>
      <c r="Q902" s="1059"/>
      <c r="R902" s="1059"/>
      <c r="S902" s="1059"/>
      <c r="T902" s="1059"/>
      <c r="U902" s="1059"/>
      <c r="V902" s="1059"/>
      <c r="W902" s="1059"/>
      <c r="X902" s="1059"/>
      <c r="Y902" s="1059"/>
      <c r="Z902" s="1059"/>
    </row>
    <row r="903" spans="1:26" ht="12.75" customHeight="1">
      <c r="A903" s="1059"/>
      <c r="B903" s="1059"/>
      <c r="C903" s="1059"/>
      <c r="D903" s="1059"/>
      <c r="E903" s="1059"/>
      <c r="F903" s="1059"/>
      <c r="G903" s="1059"/>
      <c r="H903" s="1059"/>
      <c r="I903" s="1059"/>
      <c r="J903" s="1059"/>
      <c r="K903" s="1059"/>
      <c r="L903" s="1059"/>
      <c r="M903" s="1059"/>
      <c r="N903" s="1059"/>
      <c r="O903" s="1059"/>
      <c r="P903" s="1059"/>
      <c r="Q903" s="1059"/>
      <c r="R903" s="1059"/>
      <c r="S903" s="1059"/>
      <c r="T903" s="1059"/>
      <c r="U903" s="1059"/>
      <c r="V903" s="1059"/>
      <c r="W903" s="1059"/>
      <c r="X903" s="1059"/>
      <c r="Y903" s="1059"/>
      <c r="Z903" s="1059"/>
    </row>
    <row r="904" spans="1:26" ht="12.75" customHeight="1">
      <c r="A904" s="1059"/>
      <c r="B904" s="1059"/>
      <c r="C904" s="1059"/>
      <c r="D904" s="1059"/>
      <c r="E904" s="1059"/>
      <c r="F904" s="1059"/>
      <c r="G904" s="1059"/>
      <c r="H904" s="1059"/>
      <c r="I904" s="1059"/>
      <c r="J904" s="1059"/>
      <c r="K904" s="1059"/>
      <c r="L904" s="1059"/>
      <c r="M904" s="1059"/>
      <c r="N904" s="1059"/>
      <c r="O904" s="1059"/>
      <c r="P904" s="1059"/>
      <c r="Q904" s="1059"/>
      <c r="R904" s="1059"/>
      <c r="S904" s="1059"/>
      <c r="T904" s="1059"/>
      <c r="U904" s="1059"/>
      <c r="V904" s="1059"/>
      <c r="W904" s="1059"/>
      <c r="X904" s="1059"/>
      <c r="Y904" s="1059"/>
      <c r="Z904" s="1059"/>
    </row>
    <row r="905" spans="1:26" ht="12.75" customHeight="1">
      <c r="A905" s="1059"/>
      <c r="B905" s="1059"/>
      <c r="C905" s="1059"/>
      <c r="D905" s="1059"/>
      <c r="E905" s="1059"/>
      <c r="F905" s="1059"/>
      <c r="G905" s="1059"/>
      <c r="H905" s="1059"/>
      <c r="I905" s="1059"/>
      <c r="J905" s="1059"/>
      <c r="K905" s="1059"/>
      <c r="L905" s="1059"/>
      <c r="M905" s="1059"/>
      <c r="N905" s="1059"/>
      <c r="O905" s="1059"/>
      <c r="P905" s="1059"/>
      <c r="Q905" s="1059"/>
      <c r="R905" s="1059"/>
      <c r="S905" s="1059"/>
      <c r="T905" s="1059"/>
      <c r="U905" s="1059"/>
      <c r="V905" s="1059"/>
      <c r="W905" s="1059"/>
      <c r="X905" s="1059"/>
      <c r="Y905" s="1059"/>
      <c r="Z905" s="1059"/>
    </row>
    <row r="906" spans="1:26" ht="12.75" customHeight="1">
      <c r="A906" s="1059"/>
      <c r="B906" s="1059"/>
      <c r="C906" s="1059"/>
      <c r="D906" s="1059"/>
      <c r="E906" s="1059"/>
      <c r="F906" s="1059"/>
      <c r="G906" s="1059"/>
      <c r="H906" s="1059"/>
      <c r="I906" s="1059"/>
      <c r="J906" s="1059"/>
      <c r="K906" s="1059"/>
      <c r="L906" s="1059"/>
      <c r="M906" s="1059"/>
      <c r="N906" s="1059"/>
      <c r="O906" s="1059"/>
      <c r="P906" s="1059"/>
      <c r="Q906" s="1059"/>
      <c r="R906" s="1059"/>
      <c r="S906" s="1059"/>
      <c r="T906" s="1059"/>
      <c r="U906" s="1059"/>
      <c r="V906" s="1059"/>
      <c r="W906" s="1059"/>
      <c r="X906" s="1059"/>
      <c r="Y906" s="1059"/>
      <c r="Z906" s="1059"/>
    </row>
    <row r="907" spans="1:26" ht="12.75" customHeight="1">
      <c r="A907" s="1059"/>
      <c r="B907" s="1059"/>
      <c r="C907" s="1059"/>
      <c r="D907" s="1059"/>
      <c r="E907" s="1059"/>
      <c r="F907" s="1059"/>
      <c r="G907" s="1059"/>
      <c r="H907" s="1059"/>
      <c r="I907" s="1059"/>
      <c r="J907" s="1059"/>
      <c r="K907" s="1059"/>
      <c r="L907" s="1059"/>
      <c r="M907" s="1059"/>
      <c r="N907" s="1059"/>
      <c r="O907" s="1059"/>
      <c r="P907" s="1059"/>
      <c r="Q907" s="1059"/>
      <c r="R907" s="1059"/>
      <c r="S907" s="1059"/>
      <c r="T907" s="1059"/>
      <c r="U907" s="1059"/>
      <c r="V907" s="1059"/>
      <c r="W907" s="1059"/>
      <c r="X907" s="1059"/>
      <c r="Y907" s="1059"/>
      <c r="Z907" s="1059"/>
    </row>
    <row r="908" spans="1:26" ht="12.75" customHeight="1">
      <c r="A908" s="1059"/>
      <c r="B908" s="1059"/>
      <c r="C908" s="1059"/>
      <c r="D908" s="1059"/>
      <c r="E908" s="1059"/>
      <c r="F908" s="1059"/>
      <c r="G908" s="1059"/>
      <c r="H908" s="1059"/>
      <c r="I908" s="1059"/>
      <c r="J908" s="1059"/>
      <c r="K908" s="1059"/>
      <c r="L908" s="1059"/>
      <c r="M908" s="1059"/>
      <c r="N908" s="1059"/>
      <c r="O908" s="1059"/>
      <c r="P908" s="1059"/>
      <c r="Q908" s="1059"/>
      <c r="R908" s="1059"/>
      <c r="S908" s="1059"/>
      <c r="T908" s="1059"/>
      <c r="U908" s="1059"/>
      <c r="V908" s="1059"/>
      <c r="W908" s="1059"/>
      <c r="X908" s="1059"/>
      <c r="Y908" s="1059"/>
      <c r="Z908" s="1059"/>
    </row>
    <row r="909" spans="1:26" ht="12.75" customHeight="1">
      <c r="A909" s="1059"/>
      <c r="B909" s="1059"/>
      <c r="C909" s="1059"/>
      <c r="D909" s="1059"/>
      <c r="E909" s="1059"/>
      <c r="F909" s="1059"/>
      <c r="G909" s="1059"/>
      <c r="H909" s="1059"/>
      <c r="I909" s="1059"/>
      <c r="J909" s="1059"/>
      <c r="K909" s="1059"/>
      <c r="L909" s="1059"/>
      <c r="M909" s="1059"/>
      <c r="N909" s="1059"/>
      <c r="O909" s="1059"/>
      <c r="P909" s="1059"/>
      <c r="Q909" s="1059"/>
      <c r="R909" s="1059"/>
      <c r="S909" s="1059"/>
      <c r="T909" s="1059"/>
      <c r="U909" s="1059"/>
      <c r="V909" s="1059"/>
      <c r="W909" s="1059"/>
      <c r="X909" s="1059"/>
      <c r="Y909" s="1059"/>
      <c r="Z909" s="1059"/>
    </row>
    <row r="910" spans="1:26" ht="12.75" customHeight="1">
      <c r="A910" s="1059"/>
      <c r="B910" s="1059"/>
      <c r="C910" s="1059"/>
      <c r="D910" s="1059"/>
      <c r="E910" s="1059"/>
      <c r="F910" s="1059"/>
      <c r="G910" s="1059"/>
      <c r="H910" s="1059"/>
      <c r="I910" s="1059"/>
      <c r="J910" s="1059"/>
      <c r="K910" s="1059"/>
      <c r="L910" s="1059"/>
      <c r="M910" s="1059"/>
      <c r="N910" s="1059"/>
      <c r="O910" s="1059"/>
      <c r="P910" s="1059"/>
      <c r="Q910" s="1059"/>
      <c r="R910" s="1059"/>
      <c r="S910" s="1059"/>
      <c r="T910" s="1059"/>
      <c r="U910" s="1059"/>
      <c r="V910" s="1059"/>
      <c r="W910" s="1059"/>
      <c r="X910" s="1059"/>
      <c r="Y910" s="1059"/>
      <c r="Z910" s="1059"/>
    </row>
    <row r="911" spans="1:26" ht="12.75" customHeight="1">
      <c r="A911" s="1059"/>
      <c r="B911" s="1059"/>
      <c r="C911" s="1059"/>
      <c r="D911" s="1059"/>
      <c r="E911" s="1059"/>
      <c r="F911" s="1059"/>
      <c r="G911" s="1059"/>
      <c r="H911" s="1059"/>
      <c r="I911" s="1059"/>
      <c r="J911" s="1059"/>
      <c r="K911" s="1059"/>
      <c r="L911" s="1059"/>
      <c r="M911" s="1059"/>
      <c r="N911" s="1059"/>
      <c r="O911" s="1059"/>
      <c r="P911" s="1059"/>
      <c r="Q911" s="1059"/>
      <c r="R911" s="1059"/>
      <c r="S911" s="1059"/>
      <c r="T911" s="1059"/>
      <c r="U911" s="1059"/>
      <c r="V911" s="1059"/>
      <c r="W911" s="1059"/>
      <c r="X911" s="1059"/>
      <c r="Y911" s="1059"/>
      <c r="Z911" s="1059"/>
    </row>
    <row r="912" spans="1:26" ht="12.75" customHeight="1">
      <c r="A912" s="1059"/>
      <c r="B912" s="1059"/>
      <c r="C912" s="1059"/>
      <c r="D912" s="1059"/>
      <c r="E912" s="1059"/>
      <c r="F912" s="1059"/>
      <c r="G912" s="1059"/>
      <c r="H912" s="1059"/>
      <c r="I912" s="1059"/>
      <c r="J912" s="1059"/>
      <c r="K912" s="1059"/>
      <c r="L912" s="1059"/>
      <c r="M912" s="1059"/>
      <c r="N912" s="1059"/>
      <c r="O912" s="1059"/>
      <c r="P912" s="1059"/>
      <c r="Q912" s="1059"/>
      <c r="R912" s="1059"/>
      <c r="S912" s="1059"/>
      <c r="T912" s="1059"/>
      <c r="U912" s="1059"/>
      <c r="V912" s="1059"/>
      <c r="W912" s="1059"/>
      <c r="X912" s="1059"/>
      <c r="Y912" s="1059"/>
      <c r="Z912" s="1059"/>
    </row>
    <row r="913" spans="1:26" ht="12.75" customHeight="1">
      <c r="A913" s="1059"/>
      <c r="B913" s="1059"/>
      <c r="C913" s="1059"/>
      <c r="D913" s="1059"/>
      <c r="E913" s="1059"/>
      <c r="F913" s="1059"/>
      <c r="G913" s="1059"/>
      <c r="H913" s="1059"/>
      <c r="I913" s="1059"/>
      <c r="J913" s="1059"/>
      <c r="K913" s="1059"/>
      <c r="L913" s="1059"/>
      <c r="M913" s="1059"/>
      <c r="N913" s="1059"/>
      <c r="O913" s="1059"/>
      <c r="P913" s="1059"/>
      <c r="Q913" s="1059"/>
      <c r="R913" s="1059"/>
      <c r="S913" s="1059"/>
      <c r="T913" s="1059"/>
      <c r="U913" s="1059"/>
      <c r="V913" s="1059"/>
      <c r="W913" s="1059"/>
      <c r="X913" s="1059"/>
      <c r="Y913" s="1059"/>
      <c r="Z913" s="1059"/>
    </row>
    <row r="914" spans="1:26" ht="12.75" customHeight="1">
      <c r="A914" s="1059"/>
      <c r="B914" s="1059"/>
      <c r="C914" s="1059"/>
      <c r="D914" s="1059"/>
      <c r="E914" s="1059"/>
      <c r="F914" s="1059"/>
      <c r="G914" s="1059"/>
      <c r="H914" s="1059"/>
      <c r="I914" s="1059"/>
      <c r="J914" s="1059"/>
      <c r="K914" s="1059"/>
      <c r="L914" s="1059"/>
      <c r="M914" s="1059"/>
      <c r="N914" s="1059"/>
      <c r="O914" s="1059"/>
      <c r="P914" s="1059"/>
      <c r="Q914" s="1059"/>
      <c r="R914" s="1059"/>
      <c r="S914" s="1059"/>
      <c r="T914" s="1059"/>
      <c r="U914" s="1059"/>
      <c r="V914" s="1059"/>
      <c r="W914" s="1059"/>
      <c r="X914" s="1059"/>
      <c r="Y914" s="1059"/>
      <c r="Z914" s="1059"/>
    </row>
    <row r="915" spans="1:26" ht="12.75" customHeight="1">
      <c r="A915" s="1059"/>
      <c r="B915" s="1059"/>
      <c r="C915" s="1059"/>
      <c r="D915" s="1059"/>
      <c r="E915" s="1059"/>
      <c r="F915" s="1059"/>
      <c r="G915" s="1059"/>
      <c r="H915" s="1059"/>
      <c r="I915" s="1059"/>
      <c r="J915" s="1059"/>
      <c r="K915" s="1059"/>
      <c r="L915" s="1059"/>
      <c r="M915" s="1059"/>
      <c r="N915" s="1059"/>
      <c r="O915" s="1059"/>
      <c r="P915" s="1059"/>
      <c r="Q915" s="1059"/>
      <c r="R915" s="1059"/>
      <c r="S915" s="1059"/>
      <c r="T915" s="1059"/>
      <c r="U915" s="1059"/>
      <c r="V915" s="1059"/>
      <c r="W915" s="1059"/>
      <c r="X915" s="1059"/>
      <c r="Y915" s="1059"/>
      <c r="Z915" s="1059"/>
    </row>
    <row r="916" spans="1:26" ht="12.75" customHeight="1">
      <c r="A916" s="1059"/>
      <c r="B916" s="1059"/>
      <c r="C916" s="1059"/>
      <c r="D916" s="1059"/>
      <c r="E916" s="1059"/>
      <c r="F916" s="1059"/>
      <c r="G916" s="1059"/>
      <c r="H916" s="1059"/>
      <c r="I916" s="1059"/>
      <c r="J916" s="1059"/>
      <c r="K916" s="1059"/>
      <c r="L916" s="1059"/>
      <c r="M916" s="1059"/>
      <c r="N916" s="1059"/>
      <c r="O916" s="1059"/>
      <c r="P916" s="1059"/>
      <c r="Q916" s="1059"/>
      <c r="R916" s="1059"/>
      <c r="S916" s="1059"/>
      <c r="T916" s="1059"/>
      <c r="U916" s="1059"/>
      <c r="V916" s="1059"/>
      <c r="W916" s="1059"/>
      <c r="X916" s="1059"/>
      <c r="Y916" s="1059"/>
      <c r="Z916" s="1059"/>
    </row>
    <row r="917" spans="1:26" ht="12.75" customHeight="1">
      <c r="A917" s="1059"/>
      <c r="B917" s="1059"/>
      <c r="C917" s="1059"/>
      <c r="D917" s="1059"/>
      <c r="E917" s="1059"/>
      <c r="F917" s="1059"/>
      <c r="G917" s="1059"/>
      <c r="H917" s="1059"/>
      <c r="I917" s="1059"/>
      <c r="J917" s="1059"/>
      <c r="K917" s="1059"/>
      <c r="L917" s="1059"/>
      <c r="M917" s="1059"/>
      <c r="N917" s="1059"/>
      <c r="O917" s="1059"/>
      <c r="P917" s="1059"/>
      <c r="Q917" s="1059"/>
      <c r="R917" s="1059"/>
      <c r="S917" s="1059"/>
      <c r="T917" s="1059"/>
      <c r="U917" s="1059"/>
      <c r="V917" s="1059"/>
      <c r="W917" s="1059"/>
      <c r="X917" s="1059"/>
      <c r="Y917" s="1059"/>
      <c r="Z917" s="1059"/>
    </row>
    <row r="918" spans="1:26" ht="12.75" customHeight="1">
      <c r="A918" s="1059"/>
      <c r="B918" s="1059"/>
      <c r="C918" s="1059"/>
      <c r="D918" s="1059"/>
      <c r="E918" s="1059"/>
      <c r="F918" s="1059"/>
      <c r="G918" s="1059"/>
      <c r="H918" s="1059"/>
      <c r="I918" s="1059"/>
      <c r="J918" s="1059"/>
      <c r="K918" s="1059"/>
      <c r="L918" s="1059"/>
      <c r="M918" s="1059"/>
      <c r="N918" s="1059"/>
      <c r="O918" s="1059"/>
      <c r="P918" s="1059"/>
      <c r="Q918" s="1059"/>
      <c r="R918" s="1059"/>
      <c r="S918" s="1059"/>
      <c r="T918" s="1059"/>
      <c r="U918" s="1059"/>
      <c r="V918" s="1059"/>
      <c r="W918" s="1059"/>
      <c r="X918" s="1059"/>
      <c r="Y918" s="1059"/>
      <c r="Z918" s="1059"/>
    </row>
    <row r="919" spans="1:26" ht="12.75" customHeight="1">
      <c r="A919" s="1059"/>
      <c r="B919" s="1059"/>
      <c r="C919" s="1059"/>
      <c r="D919" s="1059"/>
      <c r="E919" s="1059"/>
      <c r="F919" s="1059"/>
      <c r="G919" s="1059"/>
      <c r="H919" s="1059"/>
      <c r="I919" s="1059"/>
      <c r="J919" s="1059"/>
      <c r="K919" s="1059"/>
      <c r="L919" s="1059"/>
      <c r="M919" s="1059"/>
      <c r="N919" s="1059"/>
      <c r="O919" s="1059"/>
      <c r="P919" s="1059"/>
      <c r="Q919" s="1059"/>
      <c r="R919" s="1059"/>
      <c r="S919" s="1059"/>
      <c r="T919" s="1059"/>
      <c r="U919" s="1059"/>
      <c r="V919" s="1059"/>
      <c r="W919" s="1059"/>
      <c r="X919" s="1059"/>
      <c r="Y919" s="1059"/>
      <c r="Z919" s="1059"/>
    </row>
    <row r="920" spans="1:26" ht="12.75" customHeight="1">
      <c r="A920" s="1059"/>
      <c r="B920" s="1059"/>
      <c r="C920" s="1059"/>
      <c r="D920" s="1059"/>
      <c r="E920" s="1059"/>
      <c r="F920" s="1059"/>
      <c r="G920" s="1059"/>
      <c r="H920" s="1059"/>
      <c r="I920" s="1059"/>
      <c r="J920" s="1059"/>
      <c r="K920" s="1059"/>
      <c r="L920" s="1059"/>
      <c r="M920" s="1059"/>
      <c r="N920" s="1059"/>
      <c r="O920" s="1059"/>
      <c r="P920" s="1059"/>
      <c r="Q920" s="1059"/>
      <c r="R920" s="1059"/>
      <c r="S920" s="1059"/>
      <c r="T920" s="1059"/>
      <c r="U920" s="1059"/>
      <c r="V920" s="1059"/>
      <c r="W920" s="1059"/>
      <c r="X920" s="1059"/>
      <c r="Y920" s="1059"/>
      <c r="Z920" s="1059"/>
    </row>
    <row r="921" spans="1:26" ht="12.75" customHeight="1">
      <c r="A921" s="1059"/>
      <c r="B921" s="1059"/>
      <c r="C921" s="1059"/>
      <c r="D921" s="1059"/>
      <c r="E921" s="1059"/>
      <c r="F921" s="1059"/>
      <c r="G921" s="1059"/>
      <c r="H921" s="1059"/>
      <c r="I921" s="1059"/>
      <c r="J921" s="1059"/>
      <c r="K921" s="1059"/>
      <c r="L921" s="1059"/>
      <c r="M921" s="1059"/>
      <c r="N921" s="1059"/>
      <c r="O921" s="1059"/>
      <c r="P921" s="1059"/>
      <c r="Q921" s="1059"/>
      <c r="R921" s="1059"/>
      <c r="S921" s="1059"/>
      <c r="T921" s="1059"/>
      <c r="U921" s="1059"/>
      <c r="V921" s="1059"/>
      <c r="W921" s="1059"/>
      <c r="X921" s="1059"/>
      <c r="Y921" s="1059"/>
      <c r="Z921" s="1059"/>
    </row>
    <row r="922" spans="1:26" ht="12.75" customHeight="1">
      <c r="A922" s="1059"/>
      <c r="B922" s="1059"/>
      <c r="C922" s="1059"/>
      <c r="D922" s="1059"/>
      <c r="E922" s="1059"/>
      <c r="F922" s="1059"/>
      <c r="G922" s="1059"/>
      <c r="H922" s="1059"/>
      <c r="I922" s="1059"/>
      <c r="J922" s="1059"/>
      <c r="K922" s="1059"/>
      <c r="L922" s="1059"/>
      <c r="M922" s="1059"/>
      <c r="N922" s="1059"/>
      <c r="O922" s="1059"/>
      <c r="P922" s="1059"/>
      <c r="Q922" s="1059"/>
      <c r="R922" s="1059"/>
      <c r="S922" s="1059"/>
      <c r="T922" s="1059"/>
      <c r="U922" s="1059"/>
      <c r="V922" s="1059"/>
      <c r="W922" s="1059"/>
      <c r="X922" s="1059"/>
      <c r="Y922" s="1059"/>
      <c r="Z922" s="1059"/>
    </row>
    <row r="923" spans="1:26" ht="12.75" customHeight="1">
      <c r="A923" s="1059"/>
      <c r="B923" s="1059"/>
      <c r="C923" s="1059"/>
      <c r="D923" s="1059"/>
      <c r="E923" s="1059"/>
      <c r="F923" s="1059"/>
      <c r="G923" s="1059"/>
      <c r="H923" s="1059"/>
      <c r="I923" s="1059"/>
      <c r="J923" s="1059"/>
      <c r="K923" s="1059"/>
      <c r="L923" s="1059"/>
      <c r="M923" s="1059"/>
      <c r="N923" s="1059"/>
      <c r="O923" s="1059"/>
      <c r="P923" s="1059"/>
      <c r="Q923" s="1059"/>
      <c r="R923" s="1059"/>
      <c r="S923" s="1059"/>
      <c r="T923" s="1059"/>
      <c r="U923" s="1059"/>
      <c r="V923" s="1059"/>
      <c r="W923" s="1059"/>
      <c r="X923" s="1059"/>
      <c r="Y923" s="1059"/>
      <c r="Z923" s="1059"/>
    </row>
    <row r="924" spans="1:26" ht="12.75" customHeight="1">
      <c r="A924" s="1059"/>
      <c r="B924" s="1059"/>
      <c r="C924" s="1059"/>
      <c r="D924" s="1059"/>
      <c r="E924" s="1059"/>
      <c r="F924" s="1059"/>
      <c r="G924" s="1059"/>
      <c r="H924" s="1059"/>
      <c r="I924" s="1059"/>
      <c r="J924" s="1059"/>
      <c r="K924" s="1059"/>
      <c r="L924" s="1059"/>
      <c r="M924" s="1059"/>
      <c r="N924" s="1059"/>
      <c r="O924" s="1059"/>
      <c r="P924" s="1059"/>
      <c r="Q924" s="1059"/>
      <c r="R924" s="1059"/>
      <c r="S924" s="1059"/>
      <c r="T924" s="1059"/>
      <c r="U924" s="1059"/>
      <c r="V924" s="1059"/>
      <c r="W924" s="1059"/>
      <c r="X924" s="1059"/>
      <c r="Y924" s="1059"/>
      <c r="Z924" s="1059"/>
    </row>
    <row r="925" spans="1:26" ht="12.75" customHeight="1">
      <c r="A925" s="1059"/>
      <c r="B925" s="1059"/>
      <c r="C925" s="1059"/>
      <c r="D925" s="1059"/>
      <c r="E925" s="1059"/>
      <c r="F925" s="1059"/>
      <c r="G925" s="1059"/>
      <c r="H925" s="1059"/>
      <c r="I925" s="1059"/>
      <c r="J925" s="1059"/>
      <c r="K925" s="1059"/>
      <c r="L925" s="1059"/>
      <c r="M925" s="1059"/>
      <c r="N925" s="1059"/>
      <c r="O925" s="1059"/>
      <c r="P925" s="1059"/>
      <c r="Q925" s="1059"/>
      <c r="R925" s="1059"/>
      <c r="S925" s="1059"/>
      <c r="T925" s="1059"/>
      <c r="U925" s="1059"/>
      <c r="V925" s="1059"/>
      <c r="W925" s="1059"/>
      <c r="X925" s="1059"/>
      <c r="Y925" s="1059"/>
      <c r="Z925" s="1059"/>
    </row>
    <row r="926" spans="1:26" ht="12.75" customHeight="1">
      <c r="A926" s="1059"/>
      <c r="B926" s="1059"/>
      <c r="C926" s="1059"/>
      <c r="D926" s="1059"/>
      <c r="E926" s="1059"/>
      <c r="F926" s="1059"/>
      <c r="G926" s="1059"/>
      <c r="H926" s="1059"/>
      <c r="I926" s="1059"/>
      <c r="J926" s="1059"/>
      <c r="K926" s="1059"/>
      <c r="L926" s="1059"/>
      <c r="M926" s="1059"/>
      <c r="N926" s="1059"/>
      <c r="O926" s="1059"/>
      <c r="P926" s="1059"/>
      <c r="Q926" s="1059"/>
      <c r="R926" s="1059"/>
      <c r="S926" s="1059"/>
      <c r="T926" s="1059"/>
      <c r="U926" s="1059"/>
      <c r="V926" s="1059"/>
      <c r="W926" s="1059"/>
      <c r="X926" s="1059"/>
      <c r="Y926" s="1059"/>
      <c r="Z926" s="1059"/>
    </row>
    <row r="927" spans="1:26" ht="12.75" customHeight="1">
      <c r="A927" s="1059"/>
      <c r="B927" s="1059"/>
      <c r="C927" s="1059"/>
      <c r="D927" s="1059"/>
      <c r="E927" s="1059"/>
      <c r="F927" s="1059"/>
      <c r="G927" s="1059"/>
      <c r="H927" s="1059"/>
      <c r="I927" s="1059"/>
      <c r="J927" s="1059"/>
      <c r="K927" s="1059"/>
      <c r="L927" s="1059"/>
      <c r="M927" s="1059"/>
      <c r="N927" s="1059"/>
      <c r="O927" s="1059"/>
      <c r="P927" s="1059"/>
      <c r="Q927" s="1059"/>
      <c r="R927" s="1059"/>
      <c r="S927" s="1059"/>
      <c r="T927" s="1059"/>
      <c r="U927" s="1059"/>
      <c r="V927" s="1059"/>
      <c r="W927" s="1059"/>
      <c r="X927" s="1059"/>
      <c r="Y927" s="1059"/>
      <c r="Z927" s="1059"/>
    </row>
    <row r="928" spans="1:26" ht="12.75" customHeight="1">
      <c r="A928" s="1059"/>
      <c r="B928" s="1059"/>
      <c r="C928" s="1059"/>
      <c r="D928" s="1059"/>
      <c r="E928" s="1059"/>
      <c r="F928" s="1059"/>
      <c r="G928" s="1059"/>
      <c r="H928" s="1059"/>
      <c r="I928" s="1059"/>
      <c r="J928" s="1059"/>
      <c r="K928" s="1059"/>
      <c r="L928" s="1059"/>
      <c r="M928" s="1059"/>
      <c r="N928" s="1059"/>
      <c r="O928" s="1059"/>
      <c r="P928" s="1059"/>
      <c r="Q928" s="1059"/>
      <c r="R928" s="1059"/>
      <c r="S928" s="1059"/>
      <c r="T928" s="1059"/>
      <c r="U928" s="1059"/>
      <c r="V928" s="1059"/>
      <c r="W928" s="1059"/>
      <c r="X928" s="1059"/>
      <c r="Y928" s="1059"/>
      <c r="Z928" s="1059"/>
    </row>
    <row r="929" spans="1:26" ht="12.75" customHeight="1">
      <c r="A929" s="1059"/>
      <c r="B929" s="1059"/>
      <c r="C929" s="1059"/>
      <c r="D929" s="1059"/>
      <c r="E929" s="1059"/>
      <c r="F929" s="1059"/>
      <c r="G929" s="1059"/>
      <c r="H929" s="1059"/>
      <c r="I929" s="1059"/>
      <c r="J929" s="1059"/>
      <c r="K929" s="1059"/>
      <c r="L929" s="1059"/>
      <c r="M929" s="1059"/>
      <c r="N929" s="1059"/>
      <c r="O929" s="1059"/>
      <c r="P929" s="1059"/>
      <c r="Q929" s="1059"/>
      <c r="R929" s="1059"/>
      <c r="S929" s="1059"/>
      <c r="T929" s="1059"/>
      <c r="U929" s="1059"/>
      <c r="V929" s="1059"/>
      <c r="W929" s="1059"/>
      <c r="X929" s="1059"/>
      <c r="Y929" s="1059"/>
      <c r="Z929" s="1059"/>
    </row>
    <row r="930" spans="1:26" ht="12.75" customHeight="1">
      <c r="A930" s="1059"/>
      <c r="B930" s="1059"/>
      <c r="C930" s="1059"/>
      <c r="D930" s="1059"/>
      <c r="E930" s="1059"/>
      <c r="F930" s="1059"/>
      <c r="G930" s="1059"/>
      <c r="H930" s="1059"/>
      <c r="I930" s="1059"/>
      <c r="J930" s="1059"/>
      <c r="K930" s="1059"/>
      <c r="L930" s="1059"/>
      <c r="M930" s="1059"/>
      <c r="N930" s="1059"/>
      <c r="O930" s="1059"/>
      <c r="P930" s="1059"/>
      <c r="Q930" s="1059"/>
      <c r="R930" s="1059"/>
      <c r="S930" s="1059"/>
      <c r="T930" s="1059"/>
      <c r="U930" s="1059"/>
      <c r="V930" s="1059"/>
      <c r="W930" s="1059"/>
      <c r="X930" s="1059"/>
      <c r="Y930" s="1059"/>
      <c r="Z930" s="1059"/>
    </row>
    <row r="931" spans="1:26" ht="12.75" customHeight="1">
      <c r="A931" s="1059"/>
      <c r="B931" s="1059"/>
      <c r="C931" s="1059"/>
      <c r="D931" s="1059"/>
      <c r="E931" s="1059"/>
      <c r="F931" s="1059"/>
      <c r="G931" s="1059"/>
      <c r="H931" s="1059"/>
      <c r="I931" s="1059"/>
      <c r="J931" s="1059"/>
      <c r="K931" s="1059"/>
      <c r="L931" s="1059"/>
      <c r="M931" s="1059"/>
      <c r="N931" s="1059"/>
      <c r="O931" s="1059"/>
      <c r="P931" s="1059"/>
      <c r="Q931" s="1059"/>
      <c r="R931" s="1059"/>
      <c r="S931" s="1059"/>
      <c r="T931" s="1059"/>
      <c r="U931" s="1059"/>
      <c r="V931" s="1059"/>
      <c r="W931" s="1059"/>
      <c r="X931" s="1059"/>
      <c r="Y931" s="1059"/>
      <c r="Z931" s="1059"/>
    </row>
    <row r="932" spans="1:26" ht="12.75" customHeight="1">
      <c r="A932" s="1059"/>
      <c r="B932" s="1059"/>
      <c r="C932" s="1059"/>
      <c r="D932" s="1059"/>
      <c r="E932" s="1059"/>
      <c r="F932" s="1059"/>
      <c r="G932" s="1059"/>
      <c r="H932" s="1059"/>
      <c r="I932" s="1059"/>
      <c r="J932" s="1059"/>
      <c r="K932" s="1059"/>
      <c r="L932" s="1059"/>
      <c r="M932" s="1059"/>
      <c r="N932" s="1059"/>
      <c r="O932" s="1059"/>
      <c r="P932" s="1059"/>
      <c r="Q932" s="1059"/>
      <c r="R932" s="1059"/>
      <c r="S932" s="1059"/>
      <c r="T932" s="1059"/>
      <c r="U932" s="1059"/>
      <c r="V932" s="1059"/>
      <c r="W932" s="1059"/>
      <c r="X932" s="1059"/>
      <c r="Y932" s="1059"/>
      <c r="Z932" s="1059"/>
    </row>
    <row r="933" spans="1:26" ht="12.75" customHeight="1">
      <c r="A933" s="1059"/>
      <c r="B933" s="1059"/>
      <c r="C933" s="1059"/>
      <c r="D933" s="1059"/>
      <c r="E933" s="1059"/>
      <c r="F933" s="1059"/>
      <c r="G933" s="1059"/>
      <c r="H933" s="1059"/>
      <c r="I933" s="1059"/>
      <c r="J933" s="1059"/>
      <c r="K933" s="1059"/>
      <c r="L933" s="1059"/>
      <c r="M933" s="1059"/>
      <c r="N933" s="1059"/>
      <c r="O933" s="1059"/>
      <c r="P933" s="1059"/>
      <c r="Q933" s="1059"/>
      <c r="R933" s="1059"/>
      <c r="S933" s="1059"/>
      <c r="T933" s="1059"/>
      <c r="U933" s="1059"/>
      <c r="V933" s="1059"/>
      <c r="W933" s="1059"/>
      <c r="X933" s="1059"/>
      <c r="Y933" s="1059"/>
      <c r="Z933" s="1059"/>
    </row>
    <row r="934" spans="1:26" ht="12.75" customHeight="1">
      <c r="A934" s="1059"/>
      <c r="B934" s="1059"/>
      <c r="C934" s="1059"/>
      <c r="D934" s="1059"/>
      <c r="E934" s="1059"/>
      <c r="F934" s="1059"/>
      <c r="G934" s="1059"/>
      <c r="H934" s="1059"/>
      <c r="I934" s="1059"/>
      <c r="J934" s="1059"/>
      <c r="K934" s="1059"/>
      <c r="L934" s="1059"/>
      <c r="M934" s="1059"/>
      <c r="N934" s="1059"/>
      <c r="O934" s="1059"/>
      <c r="P934" s="1059"/>
      <c r="Q934" s="1059"/>
      <c r="R934" s="1059"/>
      <c r="S934" s="1059"/>
      <c r="T934" s="1059"/>
      <c r="U934" s="1059"/>
      <c r="V934" s="1059"/>
      <c r="W934" s="1059"/>
      <c r="X934" s="1059"/>
      <c r="Y934" s="1059"/>
      <c r="Z934" s="1059"/>
    </row>
    <row r="935" spans="1:26" ht="12.75" customHeight="1">
      <c r="A935" s="1059"/>
      <c r="B935" s="1059"/>
      <c r="C935" s="1059"/>
      <c r="D935" s="1059"/>
      <c r="E935" s="1059"/>
      <c r="F935" s="1059"/>
      <c r="G935" s="1059"/>
      <c r="H935" s="1059"/>
      <c r="I935" s="1059"/>
      <c r="J935" s="1059"/>
      <c r="K935" s="1059"/>
      <c r="L935" s="1059"/>
      <c r="M935" s="1059"/>
      <c r="N935" s="1059"/>
      <c r="O935" s="1059"/>
      <c r="P935" s="1059"/>
      <c r="Q935" s="1059"/>
      <c r="R935" s="1059"/>
      <c r="S935" s="1059"/>
      <c r="T935" s="1059"/>
      <c r="U935" s="1059"/>
      <c r="V935" s="1059"/>
      <c r="W935" s="1059"/>
      <c r="X935" s="1059"/>
      <c r="Y935" s="1059"/>
      <c r="Z935" s="1059"/>
    </row>
    <row r="936" spans="1:26" ht="12.75" customHeight="1">
      <c r="A936" s="1059"/>
      <c r="B936" s="1059"/>
      <c r="C936" s="1059"/>
      <c r="D936" s="1059"/>
      <c r="E936" s="1059"/>
      <c r="F936" s="1059"/>
      <c r="G936" s="1059"/>
      <c r="H936" s="1059"/>
      <c r="I936" s="1059"/>
      <c r="J936" s="1059"/>
      <c r="K936" s="1059"/>
      <c r="L936" s="1059"/>
      <c r="M936" s="1059"/>
      <c r="N936" s="1059"/>
      <c r="O936" s="1059"/>
      <c r="P936" s="1059"/>
      <c r="Q936" s="1059"/>
      <c r="R936" s="1059"/>
      <c r="S936" s="1059"/>
      <c r="T936" s="1059"/>
      <c r="U936" s="1059"/>
      <c r="V936" s="1059"/>
      <c r="W936" s="1059"/>
      <c r="X936" s="1059"/>
      <c r="Y936" s="1059"/>
      <c r="Z936" s="1059"/>
    </row>
    <row r="937" spans="1:26" ht="12.75" customHeight="1">
      <c r="A937" s="1059"/>
      <c r="B937" s="1059"/>
      <c r="C937" s="1059"/>
      <c r="D937" s="1059"/>
      <c r="E937" s="1059"/>
      <c r="F937" s="1059"/>
      <c r="G937" s="1059"/>
      <c r="H937" s="1059"/>
      <c r="I937" s="1059"/>
      <c r="J937" s="1059"/>
      <c r="K937" s="1059"/>
      <c r="L937" s="1059"/>
      <c r="M937" s="1059"/>
      <c r="N937" s="1059"/>
      <c r="O937" s="1059"/>
      <c r="P937" s="1059"/>
      <c r="Q937" s="1059"/>
      <c r="R937" s="1059"/>
      <c r="S937" s="1059"/>
      <c r="T937" s="1059"/>
      <c r="U937" s="1059"/>
      <c r="V937" s="1059"/>
      <c r="W937" s="1059"/>
      <c r="X937" s="1059"/>
      <c r="Y937" s="1059"/>
      <c r="Z937" s="1059"/>
    </row>
    <row r="938" spans="1:26" ht="12.75" customHeight="1">
      <c r="A938" s="1059"/>
      <c r="B938" s="1059"/>
      <c r="C938" s="1059"/>
      <c r="D938" s="1059"/>
      <c r="E938" s="1059"/>
      <c r="F938" s="1059"/>
      <c r="G938" s="1059"/>
      <c r="H938" s="1059"/>
      <c r="I938" s="1059"/>
      <c r="J938" s="1059"/>
      <c r="K938" s="1059"/>
      <c r="L938" s="1059"/>
      <c r="M938" s="1059"/>
      <c r="N938" s="1059"/>
      <c r="O938" s="1059"/>
      <c r="P938" s="1059"/>
      <c r="Q938" s="1059"/>
      <c r="R938" s="1059"/>
      <c r="S938" s="1059"/>
      <c r="T938" s="1059"/>
      <c r="U938" s="1059"/>
      <c r="V938" s="1059"/>
      <c r="W938" s="1059"/>
      <c r="X938" s="1059"/>
      <c r="Y938" s="1059"/>
      <c r="Z938" s="1059"/>
    </row>
    <row r="939" spans="1:26" ht="12.75" customHeight="1">
      <c r="A939" s="1059"/>
      <c r="B939" s="1059"/>
      <c r="C939" s="1059"/>
      <c r="D939" s="1059"/>
      <c r="E939" s="1059"/>
      <c r="F939" s="1059"/>
      <c r="G939" s="1059"/>
      <c r="H939" s="1059"/>
      <c r="I939" s="1059"/>
      <c r="J939" s="1059"/>
      <c r="K939" s="1059"/>
      <c r="L939" s="1059"/>
      <c r="M939" s="1059"/>
      <c r="N939" s="1059"/>
      <c r="O939" s="1059"/>
      <c r="P939" s="1059"/>
      <c r="Q939" s="1059"/>
      <c r="R939" s="1059"/>
      <c r="S939" s="1059"/>
      <c r="T939" s="1059"/>
      <c r="U939" s="1059"/>
      <c r="V939" s="1059"/>
      <c r="W939" s="1059"/>
      <c r="X939" s="1059"/>
      <c r="Y939" s="1059"/>
      <c r="Z939" s="1059"/>
    </row>
    <row r="940" spans="1:26" ht="12.75" customHeight="1">
      <c r="A940" s="1059"/>
      <c r="B940" s="1059"/>
      <c r="C940" s="1059"/>
      <c r="D940" s="1059"/>
      <c r="E940" s="1059"/>
      <c r="F940" s="1059"/>
      <c r="G940" s="1059"/>
      <c r="H940" s="1059"/>
      <c r="I940" s="1059"/>
      <c r="J940" s="1059"/>
      <c r="K940" s="1059"/>
      <c r="L940" s="1059"/>
      <c r="M940" s="1059"/>
      <c r="N940" s="1059"/>
      <c r="O940" s="1059"/>
      <c r="P940" s="1059"/>
      <c r="Q940" s="1059"/>
      <c r="R940" s="1059"/>
      <c r="S940" s="1059"/>
      <c r="T940" s="1059"/>
      <c r="U940" s="1059"/>
      <c r="V940" s="1059"/>
      <c r="W940" s="1059"/>
      <c r="X940" s="1059"/>
      <c r="Y940" s="1059"/>
      <c r="Z940" s="1059"/>
    </row>
    <row r="941" spans="1:26" ht="12.75" customHeight="1">
      <c r="A941" s="1059"/>
      <c r="B941" s="1059"/>
      <c r="C941" s="1059"/>
      <c r="D941" s="1059"/>
      <c r="E941" s="1059"/>
      <c r="F941" s="1059"/>
      <c r="G941" s="1059"/>
      <c r="H941" s="1059"/>
      <c r="I941" s="1059"/>
      <c r="J941" s="1059"/>
      <c r="K941" s="1059"/>
      <c r="L941" s="1059"/>
      <c r="M941" s="1059"/>
      <c r="N941" s="1059"/>
      <c r="O941" s="1059"/>
      <c r="P941" s="1059"/>
      <c r="Q941" s="1059"/>
      <c r="R941" s="1059"/>
      <c r="S941" s="1059"/>
      <c r="T941" s="1059"/>
      <c r="U941" s="1059"/>
      <c r="V941" s="1059"/>
      <c r="W941" s="1059"/>
      <c r="X941" s="1059"/>
      <c r="Y941" s="1059"/>
      <c r="Z941" s="1059"/>
    </row>
    <row r="942" spans="1:26" ht="12.75" customHeight="1">
      <c r="A942" s="1059"/>
      <c r="B942" s="1059"/>
      <c r="C942" s="1059"/>
      <c r="D942" s="1059"/>
      <c r="E942" s="1059"/>
      <c r="F942" s="1059"/>
      <c r="G942" s="1059"/>
      <c r="H942" s="1059"/>
      <c r="I942" s="1059"/>
      <c r="J942" s="1059"/>
      <c r="K942" s="1059"/>
      <c r="L942" s="1059"/>
      <c r="M942" s="1059"/>
      <c r="N942" s="1059"/>
      <c r="O942" s="1059"/>
      <c r="P942" s="1059"/>
      <c r="Q942" s="1059"/>
      <c r="R942" s="1059"/>
      <c r="S942" s="1059"/>
      <c r="T942" s="1059"/>
      <c r="U942" s="1059"/>
      <c r="V942" s="1059"/>
      <c r="W942" s="1059"/>
      <c r="X942" s="1059"/>
      <c r="Y942" s="1059"/>
      <c r="Z942" s="1059"/>
    </row>
    <row r="943" spans="1:26" ht="12.75" customHeight="1">
      <c r="A943" s="1059"/>
      <c r="B943" s="1059"/>
      <c r="C943" s="1059"/>
      <c r="D943" s="1059"/>
      <c r="E943" s="1059"/>
      <c r="F943" s="1059"/>
      <c r="G943" s="1059"/>
      <c r="H943" s="1059"/>
      <c r="I943" s="1059"/>
      <c r="J943" s="1059"/>
      <c r="K943" s="1059"/>
      <c r="L943" s="1059"/>
      <c r="M943" s="1059"/>
      <c r="N943" s="1059"/>
      <c r="O943" s="1059"/>
      <c r="P943" s="1059"/>
      <c r="Q943" s="1059"/>
      <c r="R943" s="1059"/>
      <c r="S943" s="1059"/>
      <c r="T943" s="1059"/>
      <c r="U943" s="1059"/>
      <c r="V943" s="1059"/>
      <c r="W943" s="1059"/>
      <c r="X943" s="1059"/>
      <c r="Y943" s="1059"/>
      <c r="Z943" s="1059"/>
    </row>
    <row r="944" spans="1:26" ht="12.75" customHeight="1">
      <c r="A944" s="1059"/>
      <c r="B944" s="1059"/>
      <c r="C944" s="1059"/>
      <c r="D944" s="1059"/>
      <c r="E944" s="1059"/>
      <c r="F944" s="1059"/>
      <c r="G944" s="1059"/>
      <c r="H944" s="1059"/>
      <c r="I944" s="1059"/>
      <c r="J944" s="1059"/>
      <c r="K944" s="1059"/>
      <c r="L944" s="1059"/>
      <c r="M944" s="1059"/>
      <c r="N944" s="1059"/>
      <c r="O944" s="1059"/>
      <c r="P944" s="1059"/>
      <c r="Q944" s="1059"/>
      <c r="R944" s="1059"/>
      <c r="S944" s="1059"/>
      <c r="T944" s="1059"/>
      <c r="U944" s="1059"/>
      <c r="V944" s="1059"/>
      <c r="W944" s="1059"/>
      <c r="X944" s="1059"/>
      <c r="Y944" s="1059"/>
      <c r="Z944" s="1059"/>
    </row>
    <row r="945" spans="1:26" ht="12.75" customHeight="1">
      <c r="A945" s="1059"/>
      <c r="B945" s="1059"/>
      <c r="C945" s="1059"/>
      <c r="D945" s="1059"/>
      <c r="E945" s="1059"/>
      <c r="F945" s="1059"/>
      <c r="G945" s="1059"/>
      <c r="H945" s="1059"/>
      <c r="I945" s="1059"/>
      <c r="J945" s="1059"/>
      <c r="K945" s="1059"/>
      <c r="L945" s="1059"/>
      <c r="M945" s="1059"/>
      <c r="N945" s="1059"/>
      <c r="O945" s="1059"/>
      <c r="P945" s="1059"/>
      <c r="Q945" s="1059"/>
      <c r="R945" s="1059"/>
      <c r="S945" s="1059"/>
      <c r="T945" s="1059"/>
      <c r="U945" s="1059"/>
      <c r="V945" s="1059"/>
      <c r="W945" s="1059"/>
      <c r="X945" s="1059"/>
      <c r="Y945" s="1059"/>
      <c r="Z945" s="1059"/>
    </row>
    <row r="946" spans="1:26" ht="12.75" customHeight="1">
      <c r="A946" s="1059"/>
      <c r="B946" s="1059"/>
      <c r="C946" s="1059"/>
      <c r="D946" s="1059"/>
      <c r="E946" s="1059"/>
      <c r="F946" s="1059"/>
      <c r="G946" s="1059"/>
      <c r="H946" s="1059"/>
      <c r="I946" s="1059"/>
      <c r="J946" s="1059"/>
      <c r="K946" s="1059"/>
      <c r="L946" s="1059"/>
      <c r="M946" s="1059"/>
      <c r="N946" s="1059"/>
      <c r="O946" s="1059"/>
      <c r="P946" s="1059"/>
      <c r="Q946" s="1059"/>
      <c r="R946" s="1059"/>
      <c r="S946" s="1059"/>
      <c r="T946" s="1059"/>
      <c r="U946" s="1059"/>
      <c r="V946" s="1059"/>
      <c r="W946" s="1059"/>
      <c r="X946" s="1059"/>
      <c r="Y946" s="1059"/>
      <c r="Z946" s="1059"/>
    </row>
    <row r="947" spans="1:26" ht="12.75" customHeight="1">
      <c r="A947" s="1059"/>
      <c r="B947" s="1059"/>
      <c r="C947" s="1059"/>
      <c r="D947" s="1059"/>
      <c r="E947" s="1059"/>
      <c r="F947" s="1059"/>
      <c r="G947" s="1059"/>
      <c r="H947" s="1059"/>
      <c r="I947" s="1059"/>
      <c r="J947" s="1059"/>
      <c r="K947" s="1059"/>
      <c r="L947" s="1059"/>
      <c r="M947" s="1059"/>
      <c r="N947" s="1059"/>
      <c r="O947" s="1059"/>
      <c r="P947" s="1059"/>
      <c r="Q947" s="1059"/>
      <c r="R947" s="1059"/>
      <c r="S947" s="1059"/>
      <c r="T947" s="1059"/>
      <c r="U947" s="1059"/>
      <c r="V947" s="1059"/>
      <c r="W947" s="1059"/>
      <c r="X947" s="1059"/>
      <c r="Y947" s="1059"/>
      <c r="Z947" s="1059"/>
    </row>
    <row r="948" spans="1:26" ht="12.75" customHeight="1">
      <c r="A948" s="1059"/>
      <c r="B948" s="1059"/>
      <c r="C948" s="1059"/>
      <c r="D948" s="1059"/>
      <c r="E948" s="1059"/>
      <c r="F948" s="1059"/>
      <c r="G948" s="1059"/>
      <c r="H948" s="1059"/>
      <c r="I948" s="1059"/>
      <c r="J948" s="1059"/>
      <c r="K948" s="1059"/>
      <c r="L948" s="1059"/>
      <c r="M948" s="1059"/>
      <c r="N948" s="1059"/>
      <c r="O948" s="1059"/>
      <c r="P948" s="1059"/>
      <c r="Q948" s="1059"/>
      <c r="R948" s="1059"/>
      <c r="S948" s="1059"/>
      <c r="T948" s="1059"/>
      <c r="U948" s="1059"/>
      <c r="V948" s="1059"/>
      <c r="W948" s="1059"/>
      <c r="X948" s="1059"/>
      <c r="Y948" s="1059"/>
      <c r="Z948" s="1059"/>
    </row>
    <row r="949" spans="1:26" ht="12.75" customHeight="1">
      <c r="A949" s="1059"/>
      <c r="B949" s="1059"/>
      <c r="C949" s="1059"/>
      <c r="D949" s="1059"/>
      <c r="E949" s="1059"/>
      <c r="F949" s="1059"/>
      <c r="G949" s="1059"/>
      <c r="H949" s="1059"/>
      <c r="I949" s="1059"/>
      <c r="J949" s="1059"/>
      <c r="K949" s="1059"/>
      <c r="L949" s="1059"/>
      <c r="M949" s="1059"/>
      <c r="N949" s="1059"/>
      <c r="O949" s="1059"/>
      <c r="P949" s="1059"/>
      <c r="Q949" s="1059"/>
      <c r="R949" s="1059"/>
      <c r="S949" s="1059"/>
      <c r="T949" s="1059"/>
      <c r="U949" s="1059"/>
      <c r="V949" s="1059"/>
      <c r="W949" s="1059"/>
      <c r="X949" s="1059"/>
      <c r="Y949" s="1059"/>
      <c r="Z949" s="1059"/>
    </row>
    <row r="950" spans="1:26" ht="12.75" customHeight="1">
      <c r="A950" s="1059"/>
      <c r="B950" s="1059"/>
      <c r="C950" s="1059"/>
      <c r="D950" s="1059"/>
      <c r="E950" s="1059"/>
      <c r="F950" s="1059"/>
      <c r="G950" s="1059"/>
      <c r="H950" s="1059"/>
      <c r="I950" s="1059"/>
      <c r="J950" s="1059"/>
      <c r="K950" s="1059"/>
      <c r="L950" s="1059"/>
      <c r="M950" s="1059"/>
      <c r="N950" s="1059"/>
      <c r="O950" s="1059"/>
      <c r="P950" s="1059"/>
      <c r="Q950" s="1059"/>
      <c r="R950" s="1059"/>
      <c r="S950" s="1059"/>
      <c r="T950" s="1059"/>
      <c r="U950" s="1059"/>
      <c r="V950" s="1059"/>
      <c r="W950" s="1059"/>
      <c r="X950" s="1059"/>
      <c r="Y950" s="1059"/>
      <c r="Z950" s="1059"/>
    </row>
    <row r="951" spans="1:26" ht="12.75" customHeight="1">
      <c r="A951" s="1059"/>
      <c r="B951" s="1059"/>
      <c r="C951" s="1059"/>
      <c r="D951" s="1059"/>
      <c r="E951" s="1059"/>
      <c r="F951" s="1059"/>
      <c r="G951" s="1059"/>
      <c r="H951" s="1059"/>
      <c r="I951" s="1059"/>
      <c r="J951" s="1059"/>
      <c r="K951" s="1059"/>
      <c r="L951" s="1059"/>
      <c r="M951" s="1059"/>
      <c r="N951" s="1059"/>
      <c r="O951" s="1059"/>
      <c r="P951" s="1059"/>
      <c r="Q951" s="1059"/>
      <c r="R951" s="1059"/>
      <c r="S951" s="1059"/>
      <c r="T951" s="1059"/>
      <c r="U951" s="1059"/>
      <c r="V951" s="1059"/>
      <c r="W951" s="1059"/>
      <c r="X951" s="1059"/>
      <c r="Y951" s="1059"/>
      <c r="Z951" s="1059"/>
    </row>
    <row r="952" spans="1:26" ht="12.75" customHeight="1">
      <c r="A952" s="1059"/>
      <c r="B952" s="1059"/>
      <c r="C952" s="1059"/>
      <c r="D952" s="1059"/>
      <c r="E952" s="1059"/>
      <c r="F952" s="1059"/>
      <c r="G952" s="1059"/>
      <c r="H952" s="1059"/>
      <c r="I952" s="1059"/>
      <c r="J952" s="1059"/>
      <c r="K952" s="1059"/>
      <c r="L952" s="1059"/>
      <c r="M952" s="1059"/>
      <c r="N952" s="1059"/>
      <c r="O952" s="1059"/>
      <c r="P952" s="1059"/>
      <c r="Q952" s="1059"/>
      <c r="R952" s="1059"/>
      <c r="S952" s="1059"/>
      <c r="T952" s="1059"/>
      <c r="U952" s="1059"/>
      <c r="V952" s="1059"/>
      <c r="W952" s="1059"/>
      <c r="X952" s="1059"/>
      <c r="Y952" s="1059"/>
      <c r="Z952" s="1059"/>
    </row>
    <row r="953" spans="1:26" ht="12.75" customHeight="1">
      <c r="A953" s="1059"/>
      <c r="B953" s="1059"/>
      <c r="C953" s="1059"/>
      <c r="D953" s="1059"/>
      <c r="E953" s="1059"/>
      <c r="F953" s="1059"/>
      <c r="G953" s="1059"/>
      <c r="H953" s="1059"/>
      <c r="I953" s="1059"/>
      <c r="J953" s="1059"/>
      <c r="K953" s="1059"/>
      <c r="L953" s="1059"/>
      <c r="M953" s="1059"/>
      <c r="N953" s="1059"/>
      <c r="O953" s="1059"/>
      <c r="P953" s="1059"/>
      <c r="Q953" s="1059"/>
      <c r="R953" s="1059"/>
      <c r="S953" s="1059"/>
      <c r="T953" s="1059"/>
      <c r="U953" s="1059"/>
      <c r="V953" s="1059"/>
      <c r="W953" s="1059"/>
      <c r="X953" s="1059"/>
      <c r="Y953" s="1059"/>
      <c r="Z953" s="1059"/>
    </row>
    <row r="954" spans="1:26" ht="12.75" customHeight="1">
      <c r="A954" s="1059"/>
      <c r="B954" s="1059"/>
      <c r="C954" s="1059"/>
      <c r="D954" s="1059"/>
      <c r="E954" s="1059"/>
      <c r="F954" s="1059"/>
      <c r="G954" s="1059"/>
      <c r="H954" s="1059"/>
      <c r="I954" s="1059"/>
      <c r="J954" s="1059"/>
      <c r="K954" s="1059"/>
      <c r="L954" s="1059"/>
      <c r="M954" s="1059"/>
      <c r="N954" s="1059"/>
      <c r="O954" s="1059"/>
      <c r="P954" s="1059"/>
      <c r="Q954" s="1059"/>
      <c r="R954" s="1059"/>
      <c r="S954" s="1059"/>
      <c r="T954" s="1059"/>
      <c r="U954" s="1059"/>
      <c r="V954" s="1059"/>
      <c r="W954" s="1059"/>
      <c r="X954" s="1059"/>
      <c r="Y954" s="1059"/>
      <c r="Z954" s="1059"/>
    </row>
    <row r="955" spans="1:26" ht="12.75" customHeight="1">
      <c r="A955" s="1059"/>
      <c r="B955" s="1059"/>
      <c r="C955" s="1059"/>
      <c r="D955" s="1059"/>
      <c r="E955" s="1059"/>
      <c r="F955" s="1059"/>
      <c r="G955" s="1059"/>
      <c r="H955" s="1059"/>
      <c r="I955" s="1059"/>
      <c r="J955" s="1059"/>
      <c r="K955" s="1059"/>
      <c r="L955" s="1059"/>
      <c r="M955" s="1059"/>
      <c r="N955" s="1059"/>
      <c r="O955" s="1059"/>
      <c r="P955" s="1059"/>
      <c r="Q955" s="1059"/>
      <c r="R955" s="1059"/>
      <c r="S955" s="1059"/>
      <c r="T955" s="1059"/>
      <c r="U955" s="1059"/>
      <c r="V955" s="1059"/>
      <c r="W955" s="1059"/>
      <c r="X955" s="1059"/>
      <c r="Y955" s="1059"/>
      <c r="Z955" s="1059"/>
    </row>
    <row r="956" spans="1:26" ht="12.75" customHeight="1">
      <c r="A956" s="1059"/>
      <c r="B956" s="1059"/>
      <c r="C956" s="1059"/>
      <c r="D956" s="1059"/>
      <c r="E956" s="1059"/>
      <c r="F956" s="1059"/>
      <c r="G956" s="1059"/>
      <c r="H956" s="1059"/>
      <c r="I956" s="1059"/>
      <c r="J956" s="1059"/>
      <c r="K956" s="1059"/>
      <c r="L956" s="1059"/>
      <c r="M956" s="1059"/>
      <c r="N956" s="1059"/>
      <c r="O956" s="1059"/>
      <c r="P956" s="1059"/>
      <c r="Q956" s="1059"/>
      <c r="R956" s="1059"/>
      <c r="S956" s="1059"/>
      <c r="T956" s="1059"/>
      <c r="U956" s="1059"/>
      <c r="V956" s="1059"/>
      <c r="W956" s="1059"/>
      <c r="X956" s="1059"/>
      <c r="Y956" s="1059"/>
      <c r="Z956" s="1059"/>
    </row>
    <row r="957" spans="1:26" ht="12.75" customHeight="1">
      <c r="A957" s="1059"/>
      <c r="B957" s="1059"/>
      <c r="C957" s="1059"/>
      <c r="D957" s="1059"/>
      <c r="E957" s="1059"/>
      <c r="F957" s="1059"/>
      <c r="G957" s="1059"/>
      <c r="H957" s="1059"/>
      <c r="I957" s="1059"/>
      <c r="J957" s="1059"/>
      <c r="K957" s="1059"/>
      <c r="L957" s="1059"/>
      <c r="M957" s="1059"/>
      <c r="N957" s="1059"/>
      <c r="O957" s="1059"/>
      <c r="P957" s="1059"/>
      <c r="Q957" s="1059"/>
      <c r="R957" s="1059"/>
      <c r="S957" s="1059"/>
      <c r="T957" s="1059"/>
      <c r="U957" s="1059"/>
      <c r="V957" s="1059"/>
      <c r="W957" s="1059"/>
      <c r="X957" s="1059"/>
      <c r="Y957" s="1059"/>
      <c r="Z957" s="1059"/>
    </row>
    <row r="958" spans="1:26" ht="12.75" customHeight="1">
      <c r="A958" s="1059"/>
      <c r="B958" s="1059"/>
      <c r="C958" s="1059"/>
      <c r="D958" s="1059"/>
      <c r="E958" s="1059"/>
      <c r="F958" s="1059"/>
      <c r="G958" s="1059"/>
      <c r="H958" s="1059"/>
      <c r="I958" s="1059"/>
      <c r="J958" s="1059"/>
      <c r="K958" s="1059"/>
      <c r="L958" s="1059"/>
      <c r="M958" s="1059"/>
      <c r="N958" s="1059"/>
      <c r="O958" s="1059"/>
      <c r="P958" s="1059"/>
      <c r="Q958" s="1059"/>
      <c r="R958" s="1059"/>
      <c r="S958" s="1059"/>
      <c r="T958" s="1059"/>
      <c r="U958" s="1059"/>
      <c r="V958" s="1059"/>
      <c r="W958" s="1059"/>
      <c r="X958" s="1059"/>
      <c r="Y958" s="1059"/>
      <c r="Z958" s="1059"/>
    </row>
    <row r="959" spans="1:26" ht="12.75" customHeight="1">
      <c r="A959" s="1059"/>
      <c r="B959" s="1059"/>
      <c r="C959" s="1059"/>
      <c r="D959" s="1059"/>
      <c r="E959" s="1059"/>
      <c r="F959" s="1059"/>
      <c r="G959" s="1059"/>
      <c r="H959" s="1059"/>
      <c r="I959" s="1059"/>
      <c r="J959" s="1059"/>
      <c r="K959" s="1059"/>
      <c r="L959" s="1059"/>
      <c r="M959" s="1059"/>
      <c r="N959" s="1059"/>
      <c r="O959" s="1059"/>
      <c r="P959" s="1059"/>
      <c r="Q959" s="1059"/>
      <c r="R959" s="1059"/>
      <c r="S959" s="1059"/>
      <c r="T959" s="1059"/>
      <c r="U959" s="1059"/>
      <c r="V959" s="1059"/>
      <c r="W959" s="1059"/>
      <c r="X959" s="1059"/>
      <c r="Y959" s="1059"/>
      <c r="Z959" s="1059"/>
    </row>
    <row r="960" spans="1:26" ht="12.75" customHeight="1">
      <c r="A960" s="1059"/>
      <c r="B960" s="1059"/>
      <c r="C960" s="1059"/>
      <c r="D960" s="1059"/>
      <c r="E960" s="1059"/>
      <c r="F960" s="1059"/>
      <c r="G960" s="1059"/>
      <c r="H960" s="1059"/>
      <c r="I960" s="1059"/>
      <c r="J960" s="1059"/>
      <c r="K960" s="1059"/>
      <c r="L960" s="1059"/>
      <c r="M960" s="1059"/>
      <c r="N960" s="1059"/>
      <c r="O960" s="1059"/>
      <c r="P960" s="1059"/>
      <c r="Q960" s="1059"/>
      <c r="R960" s="1059"/>
      <c r="S960" s="1059"/>
      <c r="T960" s="1059"/>
      <c r="U960" s="1059"/>
      <c r="V960" s="1059"/>
      <c r="W960" s="1059"/>
      <c r="X960" s="1059"/>
      <c r="Y960" s="1059"/>
      <c r="Z960" s="1059"/>
    </row>
    <row r="961" spans="1:26" ht="12.75" customHeight="1">
      <c r="A961" s="1059"/>
      <c r="B961" s="1059"/>
      <c r="C961" s="1059"/>
      <c r="D961" s="1059"/>
      <c r="E961" s="1059"/>
      <c r="F961" s="1059"/>
      <c r="G961" s="1059"/>
      <c r="H961" s="1059"/>
      <c r="I961" s="1059"/>
      <c r="J961" s="1059"/>
      <c r="K961" s="1059"/>
      <c r="L961" s="1059"/>
      <c r="M961" s="1059"/>
      <c r="N961" s="1059"/>
      <c r="O961" s="1059"/>
      <c r="P961" s="1059"/>
      <c r="Q961" s="1059"/>
      <c r="R961" s="1059"/>
      <c r="S961" s="1059"/>
      <c r="T961" s="1059"/>
      <c r="U961" s="1059"/>
      <c r="V961" s="1059"/>
      <c r="W961" s="1059"/>
      <c r="X961" s="1059"/>
      <c r="Y961" s="1059"/>
      <c r="Z961" s="1059"/>
    </row>
    <row r="962" spans="1:26" ht="12.75" customHeight="1">
      <c r="A962" s="1059"/>
      <c r="B962" s="1059"/>
      <c r="C962" s="1059"/>
      <c r="D962" s="1059"/>
      <c r="E962" s="1059"/>
      <c r="F962" s="1059"/>
      <c r="G962" s="1059"/>
      <c r="H962" s="1059"/>
      <c r="I962" s="1059"/>
      <c r="J962" s="1059"/>
      <c r="K962" s="1059"/>
      <c r="L962" s="1059"/>
      <c r="M962" s="1059"/>
      <c r="N962" s="1059"/>
      <c r="O962" s="1059"/>
      <c r="P962" s="1059"/>
      <c r="Q962" s="1059"/>
      <c r="R962" s="1059"/>
      <c r="S962" s="1059"/>
      <c r="T962" s="1059"/>
      <c r="U962" s="1059"/>
      <c r="V962" s="1059"/>
      <c r="W962" s="1059"/>
      <c r="X962" s="1059"/>
      <c r="Y962" s="1059"/>
      <c r="Z962" s="1059"/>
    </row>
    <row r="963" spans="1:26" ht="12.75" customHeight="1">
      <c r="A963" s="1059"/>
      <c r="B963" s="1059"/>
      <c r="C963" s="1059"/>
      <c r="D963" s="1059"/>
      <c r="E963" s="1059"/>
      <c r="F963" s="1059"/>
      <c r="G963" s="1059"/>
      <c r="H963" s="1059"/>
      <c r="I963" s="1059"/>
      <c r="J963" s="1059"/>
      <c r="K963" s="1059"/>
      <c r="L963" s="1059"/>
      <c r="M963" s="1059"/>
      <c r="N963" s="1059"/>
      <c r="O963" s="1059"/>
      <c r="P963" s="1059"/>
      <c r="Q963" s="1059"/>
      <c r="R963" s="1059"/>
      <c r="S963" s="1059"/>
      <c r="T963" s="1059"/>
      <c r="U963" s="1059"/>
      <c r="V963" s="1059"/>
      <c r="W963" s="1059"/>
      <c r="X963" s="1059"/>
      <c r="Y963" s="1059"/>
      <c r="Z963" s="1059"/>
    </row>
    <row r="964" spans="1:26" ht="12.75" customHeight="1">
      <c r="A964" s="1059"/>
      <c r="B964" s="1059"/>
      <c r="C964" s="1059"/>
      <c r="D964" s="1059"/>
      <c r="E964" s="1059"/>
      <c r="F964" s="1059"/>
      <c r="G964" s="1059"/>
      <c r="H964" s="1059"/>
      <c r="I964" s="1059"/>
      <c r="J964" s="1059"/>
      <c r="K964" s="1059"/>
      <c r="L964" s="1059"/>
      <c r="M964" s="1059"/>
      <c r="N964" s="1059"/>
      <c r="O964" s="1059"/>
      <c r="P964" s="1059"/>
      <c r="Q964" s="1059"/>
      <c r="R964" s="1059"/>
      <c r="S964" s="1059"/>
      <c r="T964" s="1059"/>
      <c r="U964" s="1059"/>
      <c r="V964" s="1059"/>
      <c r="W964" s="1059"/>
      <c r="X964" s="1059"/>
      <c r="Y964" s="1059"/>
      <c r="Z964" s="1059"/>
    </row>
    <row r="965" spans="1:26" ht="12.75" customHeight="1">
      <c r="A965" s="1059"/>
      <c r="B965" s="1059"/>
      <c r="C965" s="1059"/>
      <c r="D965" s="1059"/>
      <c r="E965" s="1059"/>
      <c r="F965" s="1059"/>
      <c r="G965" s="1059"/>
      <c r="H965" s="1059"/>
      <c r="I965" s="1059"/>
      <c r="J965" s="1059"/>
      <c r="K965" s="1059"/>
      <c r="L965" s="1059"/>
      <c r="M965" s="1059"/>
      <c r="N965" s="1059"/>
      <c r="O965" s="1059"/>
      <c r="P965" s="1059"/>
      <c r="Q965" s="1059"/>
      <c r="R965" s="1059"/>
      <c r="S965" s="1059"/>
      <c r="T965" s="1059"/>
      <c r="U965" s="1059"/>
      <c r="V965" s="1059"/>
      <c r="W965" s="1059"/>
      <c r="X965" s="1059"/>
      <c r="Y965" s="1059"/>
      <c r="Z965" s="1059"/>
    </row>
    <row r="966" spans="1:26" ht="12.75" customHeight="1">
      <c r="A966" s="1059"/>
      <c r="B966" s="1059"/>
      <c r="C966" s="1059"/>
      <c r="D966" s="1059"/>
      <c r="E966" s="1059"/>
      <c r="F966" s="1059"/>
      <c r="G966" s="1059"/>
      <c r="H966" s="1059"/>
      <c r="I966" s="1059"/>
      <c r="J966" s="1059"/>
      <c r="K966" s="1059"/>
      <c r="L966" s="1059"/>
      <c r="M966" s="1059"/>
      <c r="N966" s="1059"/>
      <c r="O966" s="1059"/>
      <c r="P966" s="1059"/>
      <c r="Q966" s="1059"/>
      <c r="R966" s="1059"/>
      <c r="S966" s="1059"/>
      <c r="T966" s="1059"/>
      <c r="U966" s="1059"/>
      <c r="V966" s="1059"/>
      <c r="W966" s="1059"/>
      <c r="X966" s="1059"/>
      <c r="Y966" s="1059"/>
      <c r="Z966" s="1059"/>
    </row>
    <row r="967" spans="1:26" ht="12.75" customHeight="1">
      <c r="A967" s="1059"/>
      <c r="B967" s="1059"/>
      <c r="C967" s="1059"/>
      <c r="D967" s="1059"/>
      <c r="E967" s="1059"/>
      <c r="F967" s="1059"/>
      <c r="G967" s="1059"/>
      <c r="H967" s="1059"/>
      <c r="I967" s="1059"/>
      <c r="J967" s="1059"/>
      <c r="K967" s="1059"/>
      <c r="L967" s="1059"/>
      <c r="M967" s="1059"/>
      <c r="N967" s="1059"/>
      <c r="O967" s="1059"/>
      <c r="P967" s="1059"/>
      <c r="Q967" s="1059"/>
      <c r="R967" s="1059"/>
      <c r="S967" s="1059"/>
      <c r="T967" s="1059"/>
      <c r="U967" s="1059"/>
      <c r="V967" s="1059"/>
      <c r="W967" s="1059"/>
      <c r="X967" s="1059"/>
      <c r="Y967" s="1059"/>
      <c r="Z967" s="1059"/>
    </row>
    <row r="968" spans="1:26" ht="12.75" customHeight="1">
      <c r="A968" s="1059"/>
      <c r="B968" s="1059"/>
      <c r="C968" s="1059"/>
      <c r="D968" s="1059"/>
      <c r="E968" s="1059"/>
      <c r="F968" s="1059"/>
      <c r="G968" s="1059"/>
      <c r="H968" s="1059"/>
      <c r="I968" s="1059"/>
      <c r="J968" s="1059"/>
      <c r="K968" s="1059"/>
      <c r="L968" s="1059"/>
      <c r="M968" s="1059"/>
      <c r="N968" s="1059"/>
      <c r="O968" s="1059"/>
      <c r="P968" s="1059"/>
      <c r="Q968" s="1059"/>
      <c r="R968" s="1059"/>
      <c r="S968" s="1059"/>
      <c r="T968" s="1059"/>
      <c r="U968" s="1059"/>
      <c r="V968" s="1059"/>
      <c r="W968" s="1059"/>
      <c r="X968" s="1059"/>
      <c r="Y968" s="1059"/>
      <c r="Z968" s="1059"/>
    </row>
    <row r="969" spans="1:26" ht="12.75" customHeight="1">
      <c r="A969" s="1059"/>
      <c r="B969" s="1059"/>
      <c r="C969" s="1059"/>
      <c r="D969" s="1059"/>
      <c r="E969" s="1059"/>
      <c r="F969" s="1059"/>
      <c r="G969" s="1059"/>
      <c r="H969" s="1059"/>
      <c r="I969" s="1059"/>
      <c r="J969" s="1059"/>
      <c r="K969" s="1059"/>
      <c r="L969" s="1059"/>
      <c r="M969" s="1059"/>
      <c r="N969" s="1059"/>
      <c r="O969" s="1059"/>
      <c r="P969" s="1059"/>
      <c r="Q969" s="1059"/>
      <c r="R969" s="1059"/>
      <c r="S969" s="1059"/>
      <c r="T969" s="1059"/>
      <c r="U969" s="1059"/>
      <c r="V969" s="1059"/>
      <c r="W969" s="1059"/>
      <c r="X969" s="1059"/>
      <c r="Y969" s="1059"/>
      <c r="Z969" s="1059"/>
    </row>
    <row r="970" spans="1:26" ht="12.75" customHeight="1">
      <c r="A970" s="1059"/>
      <c r="B970" s="1059"/>
      <c r="C970" s="1059"/>
      <c r="D970" s="1059"/>
      <c r="E970" s="1059"/>
      <c r="F970" s="1059"/>
      <c r="G970" s="1059"/>
      <c r="H970" s="1059"/>
      <c r="I970" s="1059"/>
      <c r="J970" s="1059"/>
      <c r="K970" s="1059"/>
      <c r="L970" s="1059"/>
      <c r="M970" s="1059"/>
      <c r="N970" s="1059"/>
      <c r="O970" s="1059"/>
      <c r="P970" s="1059"/>
      <c r="Q970" s="1059"/>
      <c r="R970" s="1059"/>
      <c r="S970" s="1059"/>
      <c r="T970" s="1059"/>
      <c r="U970" s="1059"/>
      <c r="V970" s="1059"/>
      <c r="W970" s="1059"/>
      <c r="X970" s="1059"/>
      <c r="Y970" s="1059"/>
      <c r="Z970" s="1059"/>
    </row>
    <row r="971" spans="1:26" ht="12.75" customHeight="1">
      <c r="A971" s="1059"/>
      <c r="B971" s="1059"/>
      <c r="C971" s="1059"/>
      <c r="D971" s="1059"/>
      <c r="E971" s="1059"/>
      <c r="F971" s="1059"/>
      <c r="G971" s="1059"/>
      <c r="H971" s="1059"/>
      <c r="I971" s="1059"/>
      <c r="J971" s="1059"/>
      <c r="K971" s="1059"/>
      <c r="L971" s="1059"/>
      <c r="M971" s="1059"/>
      <c r="N971" s="1059"/>
      <c r="O971" s="1059"/>
      <c r="P971" s="1059"/>
      <c r="Q971" s="1059"/>
      <c r="R971" s="1059"/>
      <c r="S971" s="1059"/>
      <c r="T971" s="1059"/>
      <c r="U971" s="1059"/>
      <c r="V971" s="1059"/>
      <c r="W971" s="1059"/>
      <c r="X971" s="1059"/>
      <c r="Y971" s="1059"/>
      <c r="Z971" s="1059"/>
    </row>
    <row r="972" spans="1:26" ht="12.75" customHeight="1">
      <c r="A972" s="1059"/>
      <c r="B972" s="1059"/>
      <c r="C972" s="1059"/>
      <c r="D972" s="1059"/>
      <c r="E972" s="1059"/>
      <c r="F972" s="1059"/>
      <c r="G972" s="1059"/>
      <c r="H972" s="1059"/>
      <c r="I972" s="1059"/>
      <c r="J972" s="1059"/>
      <c r="K972" s="1059"/>
      <c r="L972" s="1059"/>
      <c r="M972" s="1059"/>
      <c r="N972" s="1059"/>
      <c r="O972" s="1059"/>
      <c r="P972" s="1059"/>
      <c r="Q972" s="1059"/>
      <c r="R972" s="1059"/>
      <c r="S972" s="1059"/>
      <c r="T972" s="1059"/>
      <c r="U972" s="1059"/>
      <c r="V972" s="1059"/>
      <c r="W972" s="1059"/>
      <c r="X972" s="1059"/>
      <c r="Y972" s="1059"/>
      <c r="Z972" s="1059"/>
    </row>
    <row r="973" spans="1:26" ht="12.75" customHeight="1">
      <c r="A973" s="1059"/>
      <c r="B973" s="1059"/>
      <c r="C973" s="1059"/>
      <c r="D973" s="1059"/>
      <c r="E973" s="1059"/>
      <c r="F973" s="1059"/>
      <c r="G973" s="1059"/>
      <c r="H973" s="1059"/>
      <c r="I973" s="1059"/>
      <c r="J973" s="1059"/>
      <c r="K973" s="1059"/>
      <c r="L973" s="1059"/>
      <c r="M973" s="1059"/>
      <c r="N973" s="1059"/>
      <c r="O973" s="1059"/>
      <c r="P973" s="1059"/>
      <c r="Q973" s="1059"/>
      <c r="R973" s="1059"/>
      <c r="S973" s="1059"/>
      <c r="T973" s="1059"/>
      <c r="U973" s="1059"/>
      <c r="V973" s="1059"/>
      <c r="W973" s="1059"/>
      <c r="X973" s="1059"/>
      <c r="Y973" s="1059"/>
      <c r="Z973" s="1059"/>
    </row>
    <row r="974" spans="1:26" ht="12.75" customHeight="1">
      <c r="A974" s="1059"/>
      <c r="B974" s="1059"/>
      <c r="C974" s="1059"/>
      <c r="D974" s="1059"/>
      <c r="E974" s="1059"/>
      <c r="F974" s="1059"/>
      <c r="G974" s="1059"/>
      <c r="H974" s="1059"/>
      <c r="I974" s="1059"/>
      <c r="J974" s="1059"/>
      <c r="K974" s="1059"/>
      <c r="L974" s="1059"/>
      <c r="M974" s="1059"/>
      <c r="N974" s="1059"/>
      <c r="O974" s="1059"/>
      <c r="P974" s="1059"/>
      <c r="Q974" s="1059"/>
      <c r="R974" s="1059"/>
      <c r="S974" s="1059"/>
      <c r="T974" s="1059"/>
      <c r="U974" s="1059"/>
      <c r="V974" s="1059"/>
      <c r="W974" s="1059"/>
      <c r="X974" s="1059"/>
      <c r="Y974" s="1059"/>
      <c r="Z974" s="1059"/>
    </row>
    <row r="975" spans="1:26" ht="12.75" customHeight="1">
      <c r="A975" s="1059"/>
      <c r="B975" s="1059"/>
      <c r="C975" s="1059"/>
      <c r="D975" s="1059"/>
      <c r="E975" s="1059"/>
      <c r="F975" s="1059"/>
      <c r="G975" s="1059"/>
      <c r="H975" s="1059"/>
      <c r="I975" s="1059"/>
      <c r="J975" s="1059"/>
      <c r="K975" s="1059"/>
      <c r="L975" s="1059"/>
      <c r="M975" s="1059"/>
      <c r="N975" s="1059"/>
      <c r="O975" s="1059"/>
      <c r="P975" s="1059"/>
      <c r="Q975" s="1059"/>
      <c r="R975" s="1059"/>
      <c r="S975" s="1059"/>
      <c r="T975" s="1059"/>
      <c r="U975" s="1059"/>
      <c r="V975" s="1059"/>
      <c r="W975" s="1059"/>
      <c r="X975" s="1059"/>
      <c r="Y975" s="1059"/>
      <c r="Z975" s="1059"/>
    </row>
    <row r="976" spans="1:26" ht="12.75" customHeight="1">
      <c r="A976" s="1059"/>
      <c r="B976" s="1059"/>
      <c r="C976" s="1059"/>
      <c r="D976" s="1059"/>
      <c r="E976" s="1059"/>
      <c r="F976" s="1059"/>
      <c r="G976" s="1059"/>
      <c r="H976" s="1059"/>
      <c r="I976" s="1059"/>
      <c r="J976" s="1059"/>
      <c r="K976" s="1059"/>
      <c r="L976" s="1059"/>
      <c r="M976" s="1059"/>
      <c r="N976" s="1059"/>
      <c r="O976" s="1059"/>
      <c r="P976" s="1059"/>
      <c r="Q976" s="1059"/>
      <c r="R976" s="1059"/>
      <c r="S976" s="1059"/>
      <c r="T976" s="1059"/>
      <c r="U976" s="1059"/>
      <c r="V976" s="1059"/>
      <c r="W976" s="1059"/>
      <c r="X976" s="1059"/>
      <c r="Y976" s="1059"/>
      <c r="Z976" s="1059"/>
    </row>
    <row r="977" spans="1:26" ht="12.75" customHeight="1">
      <c r="A977" s="1059"/>
      <c r="B977" s="1059"/>
      <c r="C977" s="1059"/>
      <c r="D977" s="1059"/>
      <c r="E977" s="1059"/>
      <c r="F977" s="1059"/>
      <c r="G977" s="1059"/>
      <c r="H977" s="1059"/>
      <c r="I977" s="1059"/>
      <c r="J977" s="1059"/>
      <c r="K977" s="1059"/>
      <c r="L977" s="1059"/>
      <c r="M977" s="1059"/>
      <c r="N977" s="1059"/>
      <c r="O977" s="1059"/>
      <c r="P977" s="1059"/>
      <c r="Q977" s="1059"/>
      <c r="R977" s="1059"/>
      <c r="S977" s="1059"/>
      <c r="T977" s="1059"/>
      <c r="U977" s="1059"/>
      <c r="V977" s="1059"/>
      <c r="W977" s="1059"/>
      <c r="X977" s="1059"/>
      <c r="Y977" s="1059"/>
      <c r="Z977" s="1059"/>
    </row>
    <row r="978" spans="1:26" ht="12.75" customHeight="1">
      <c r="A978" s="1059"/>
      <c r="B978" s="1059"/>
      <c r="C978" s="1059"/>
      <c r="D978" s="1059"/>
      <c r="E978" s="1059"/>
      <c r="F978" s="1059"/>
      <c r="G978" s="1059"/>
      <c r="H978" s="1059"/>
      <c r="I978" s="1059"/>
      <c r="J978" s="1059"/>
      <c r="K978" s="1059"/>
      <c r="L978" s="1059"/>
      <c r="M978" s="1059"/>
      <c r="N978" s="1059"/>
      <c r="O978" s="1059"/>
      <c r="P978" s="1059"/>
      <c r="Q978" s="1059"/>
      <c r="R978" s="1059"/>
      <c r="S978" s="1059"/>
      <c r="T978" s="1059"/>
      <c r="U978" s="1059"/>
      <c r="V978" s="1059"/>
      <c r="W978" s="1059"/>
      <c r="X978" s="1059"/>
      <c r="Y978" s="1059"/>
      <c r="Z978" s="1059"/>
    </row>
    <row r="979" spans="1:26" ht="12.75" customHeight="1">
      <c r="A979" s="1059"/>
      <c r="B979" s="1059"/>
      <c r="C979" s="1059"/>
      <c r="D979" s="1059"/>
      <c r="E979" s="1059"/>
      <c r="F979" s="1059"/>
      <c r="G979" s="1059"/>
      <c r="H979" s="1059"/>
      <c r="I979" s="1059"/>
      <c r="J979" s="1059"/>
      <c r="K979" s="1059"/>
      <c r="L979" s="1059"/>
      <c r="M979" s="1059"/>
      <c r="N979" s="1059"/>
      <c r="O979" s="1059"/>
      <c r="P979" s="1059"/>
      <c r="Q979" s="1059"/>
      <c r="R979" s="1059"/>
      <c r="S979" s="1059"/>
      <c r="T979" s="1059"/>
      <c r="U979" s="1059"/>
      <c r="V979" s="1059"/>
      <c r="W979" s="1059"/>
      <c r="X979" s="1059"/>
      <c r="Y979" s="1059"/>
      <c r="Z979" s="1059"/>
    </row>
    <row r="980" spans="1:26" ht="12.75" customHeight="1">
      <c r="A980" s="1059"/>
      <c r="B980" s="1059"/>
      <c r="C980" s="1059"/>
      <c r="D980" s="1059"/>
      <c r="E980" s="1059"/>
      <c r="F980" s="1059"/>
      <c r="G980" s="1059"/>
      <c r="H980" s="1059"/>
      <c r="I980" s="1059"/>
      <c r="J980" s="1059"/>
      <c r="K980" s="1059"/>
      <c r="L980" s="1059"/>
      <c r="M980" s="1059"/>
      <c r="N980" s="1059"/>
      <c r="O980" s="1059"/>
      <c r="P980" s="1059"/>
      <c r="Q980" s="1059"/>
      <c r="R980" s="1059"/>
      <c r="S980" s="1059"/>
      <c r="T980" s="1059"/>
      <c r="U980" s="1059"/>
      <c r="V980" s="1059"/>
      <c r="W980" s="1059"/>
      <c r="X980" s="1059"/>
      <c r="Y980" s="1059"/>
      <c r="Z980" s="1059"/>
    </row>
    <row r="981" spans="1:26" ht="12.75" customHeight="1">
      <c r="A981" s="1059"/>
      <c r="B981" s="1059"/>
      <c r="C981" s="1059"/>
      <c r="D981" s="1059"/>
      <c r="E981" s="1059"/>
      <c r="F981" s="1059"/>
      <c r="G981" s="1059"/>
      <c r="H981" s="1059"/>
      <c r="I981" s="1059"/>
      <c r="J981" s="1059"/>
      <c r="K981" s="1059"/>
      <c r="L981" s="1059"/>
      <c r="M981" s="1059"/>
      <c r="N981" s="1059"/>
      <c r="O981" s="1059"/>
      <c r="P981" s="1059"/>
      <c r="Q981" s="1059"/>
      <c r="R981" s="1059"/>
      <c r="S981" s="1059"/>
      <c r="T981" s="1059"/>
      <c r="U981" s="1059"/>
      <c r="V981" s="1059"/>
      <c r="W981" s="1059"/>
      <c r="X981" s="1059"/>
      <c r="Y981" s="1059"/>
      <c r="Z981" s="1059"/>
    </row>
    <row r="982" spans="1:26" ht="12.75" customHeight="1">
      <c r="A982" s="1059"/>
      <c r="B982" s="1059"/>
      <c r="C982" s="1059"/>
      <c r="D982" s="1059"/>
      <c r="E982" s="1059"/>
      <c r="F982" s="1059"/>
      <c r="G982" s="1059"/>
      <c r="H982" s="1059"/>
      <c r="I982" s="1059"/>
      <c r="J982" s="1059"/>
      <c r="K982" s="1059"/>
      <c r="L982" s="1059"/>
      <c r="M982" s="1059"/>
      <c r="N982" s="1059"/>
      <c r="O982" s="1059"/>
      <c r="P982" s="1059"/>
      <c r="Q982" s="1059"/>
      <c r="R982" s="1059"/>
      <c r="S982" s="1059"/>
      <c r="T982" s="1059"/>
      <c r="U982" s="1059"/>
      <c r="V982" s="1059"/>
      <c r="W982" s="1059"/>
      <c r="X982" s="1059"/>
      <c r="Y982" s="1059"/>
      <c r="Z982" s="1059"/>
    </row>
    <row r="983" spans="1:26" ht="12.75" customHeight="1">
      <c r="A983" s="1059"/>
      <c r="B983" s="1059"/>
      <c r="C983" s="1059"/>
      <c r="D983" s="1059"/>
      <c r="E983" s="1059"/>
      <c r="F983" s="1059"/>
      <c r="G983" s="1059"/>
      <c r="H983" s="1059"/>
      <c r="I983" s="1059"/>
      <c r="J983" s="1059"/>
      <c r="K983" s="1059"/>
      <c r="L983" s="1059"/>
      <c r="M983" s="1059"/>
      <c r="N983" s="1059"/>
      <c r="O983" s="1059"/>
      <c r="P983" s="1059"/>
      <c r="Q983" s="1059"/>
      <c r="R983" s="1059"/>
      <c r="S983" s="1059"/>
      <c r="T983" s="1059"/>
      <c r="U983" s="1059"/>
      <c r="V983" s="1059"/>
      <c r="W983" s="1059"/>
      <c r="X983" s="1059"/>
      <c r="Y983" s="1059"/>
      <c r="Z983" s="1059"/>
    </row>
    <row r="984" spans="1:26" ht="12.75" customHeight="1">
      <c r="A984" s="1059"/>
      <c r="B984" s="1059"/>
      <c r="C984" s="1059"/>
      <c r="D984" s="1059"/>
      <c r="E984" s="1059"/>
      <c r="F984" s="1059"/>
      <c r="G984" s="1059"/>
      <c r="H984" s="1059"/>
      <c r="I984" s="1059"/>
      <c r="J984" s="1059"/>
      <c r="K984" s="1059"/>
      <c r="L984" s="1059"/>
      <c r="M984" s="1059"/>
      <c r="N984" s="1059"/>
      <c r="O984" s="1059"/>
      <c r="P984" s="1059"/>
      <c r="Q984" s="1059"/>
      <c r="R984" s="1059"/>
      <c r="S984" s="1059"/>
      <c r="T984" s="1059"/>
      <c r="U984" s="1059"/>
      <c r="V984" s="1059"/>
      <c r="W984" s="1059"/>
      <c r="X984" s="1059"/>
      <c r="Y984" s="1059"/>
      <c r="Z984" s="1059"/>
    </row>
    <row r="985" spans="1:26" ht="12.75" customHeight="1">
      <c r="A985" s="1059"/>
      <c r="B985" s="1059"/>
      <c r="C985" s="1059"/>
      <c r="D985" s="1059"/>
      <c r="E985" s="1059"/>
      <c r="F985" s="1059"/>
      <c r="G985" s="1059"/>
      <c r="H985" s="1059"/>
      <c r="I985" s="1059"/>
      <c r="J985" s="1059"/>
      <c r="K985" s="1059"/>
      <c r="L985" s="1059"/>
      <c r="M985" s="1059"/>
      <c r="N985" s="1059"/>
      <c r="O985" s="1059"/>
      <c r="P985" s="1059"/>
      <c r="Q985" s="1059"/>
      <c r="R985" s="1059"/>
      <c r="S985" s="1059"/>
      <c r="T985" s="1059"/>
      <c r="U985" s="1059"/>
      <c r="V985" s="1059"/>
      <c r="W985" s="1059"/>
      <c r="X985" s="1059"/>
      <c r="Y985" s="1059"/>
      <c r="Z985" s="1059"/>
    </row>
    <row r="986" spans="1:26" ht="12.75" customHeight="1">
      <c r="A986" s="1059"/>
      <c r="B986" s="1059"/>
      <c r="C986" s="1059"/>
      <c r="D986" s="1059"/>
      <c r="E986" s="1059"/>
      <c r="F986" s="1059"/>
      <c r="G986" s="1059"/>
      <c r="H986" s="1059"/>
      <c r="I986" s="1059"/>
      <c r="J986" s="1059"/>
      <c r="K986" s="1059"/>
      <c r="L986" s="1059"/>
      <c r="M986" s="1059"/>
      <c r="N986" s="1059"/>
      <c r="O986" s="1059"/>
      <c r="P986" s="1059"/>
      <c r="Q986" s="1059"/>
      <c r="R986" s="1059"/>
      <c r="S986" s="1059"/>
      <c r="T986" s="1059"/>
      <c r="U986" s="1059"/>
      <c r="V986" s="1059"/>
      <c r="W986" s="1059"/>
      <c r="X986" s="1059"/>
      <c r="Y986" s="1059"/>
      <c r="Z986" s="1059"/>
    </row>
    <row r="987" spans="1:26" ht="12.75" customHeight="1">
      <c r="A987" s="1059"/>
      <c r="B987" s="1059"/>
      <c r="C987" s="1059"/>
      <c r="D987" s="1059"/>
      <c r="E987" s="1059"/>
      <c r="F987" s="1059"/>
      <c r="G987" s="1059"/>
      <c r="H987" s="1059"/>
      <c r="I987" s="1059"/>
      <c r="J987" s="1059"/>
      <c r="K987" s="1059"/>
      <c r="L987" s="1059"/>
      <c r="M987" s="1059"/>
      <c r="N987" s="1059"/>
      <c r="O987" s="1059"/>
      <c r="P987" s="1059"/>
      <c r="Q987" s="1059"/>
      <c r="R987" s="1059"/>
      <c r="S987" s="1059"/>
      <c r="T987" s="1059"/>
      <c r="U987" s="1059"/>
      <c r="V987" s="1059"/>
      <c r="W987" s="1059"/>
      <c r="X987" s="1059"/>
      <c r="Y987" s="1059"/>
      <c r="Z987" s="1059"/>
    </row>
    <row r="988" spans="1:26" ht="12.75" customHeight="1">
      <c r="A988" s="1059"/>
      <c r="B988" s="1059"/>
      <c r="C988" s="1059"/>
      <c r="D988" s="1059"/>
      <c r="E988" s="1059"/>
      <c r="F988" s="1059"/>
      <c r="G988" s="1059"/>
      <c r="H988" s="1059"/>
      <c r="I988" s="1059"/>
      <c r="J988" s="1059"/>
      <c r="K988" s="1059"/>
      <c r="L988" s="1059"/>
      <c r="M988" s="1059"/>
      <c r="N988" s="1059"/>
      <c r="O988" s="1059"/>
      <c r="P988" s="1059"/>
      <c r="Q988" s="1059"/>
      <c r="R988" s="1059"/>
      <c r="S988" s="1059"/>
      <c r="T988" s="1059"/>
      <c r="U988" s="1059"/>
      <c r="V988" s="1059"/>
      <c r="W988" s="1059"/>
      <c r="X988" s="1059"/>
      <c r="Y988" s="1059"/>
      <c r="Z988" s="1059"/>
    </row>
    <row r="989" spans="1:26" ht="12.75" customHeight="1">
      <c r="A989" s="1059"/>
      <c r="B989" s="1059"/>
      <c r="C989" s="1059"/>
      <c r="D989" s="1059"/>
      <c r="E989" s="1059"/>
      <c r="F989" s="1059"/>
      <c r="G989" s="1059"/>
      <c r="H989" s="1059"/>
      <c r="I989" s="1059"/>
      <c r="J989" s="1059"/>
      <c r="K989" s="1059"/>
      <c r="L989" s="1059"/>
      <c r="M989" s="1059"/>
      <c r="N989" s="1059"/>
      <c r="O989" s="1059"/>
      <c r="P989" s="1059"/>
      <c r="Q989" s="1059"/>
      <c r="R989" s="1059"/>
      <c r="S989" s="1059"/>
      <c r="T989" s="1059"/>
      <c r="U989" s="1059"/>
      <c r="V989" s="1059"/>
      <c r="W989" s="1059"/>
      <c r="X989" s="1059"/>
      <c r="Y989" s="1059"/>
      <c r="Z989" s="1059"/>
    </row>
    <row r="990" spans="1:26" ht="12.75" customHeight="1">
      <c r="A990" s="1059"/>
      <c r="B990" s="1059"/>
      <c r="C990" s="1059"/>
      <c r="D990" s="1059"/>
      <c r="E990" s="1059"/>
      <c r="F990" s="1059"/>
      <c r="G990" s="1059"/>
      <c r="H990" s="1059"/>
      <c r="I990" s="1059"/>
      <c r="J990" s="1059"/>
      <c r="K990" s="1059"/>
      <c r="L990" s="1059"/>
      <c r="M990" s="1059"/>
      <c r="N990" s="1059"/>
      <c r="O990" s="1059"/>
      <c r="P990" s="1059"/>
      <c r="Q990" s="1059"/>
      <c r="R990" s="1059"/>
      <c r="S990" s="1059"/>
      <c r="T990" s="1059"/>
      <c r="U990" s="1059"/>
      <c r="V990" s="1059"/>
      <c r="W990" s="1059"/>
      <c r="X990" s="1059"/>
      <c r="Y990" s="1059"/>
      <c r="Z990" s="1059"/>
    </row>
    <row r="991" spans="1:26" ht="12.75" customHeight="1">
      <c r="A991" s="1059"/>
      <c r="B991" s="1059"/>
      <c r="C991" s="1059"/>
      <c r="D991" s="1059"/>
      <c r="E991" s="1059"/>
      <c r="F991" s="1059"/>
      <c r="G991" s="1059"/>
      <c r="H991" s="1059"/>
      <c r="I991" s="1059"/>
      <c r="J991" s="1059"/>
      <c r="K991" s="1059"/>
      <c r="L991" s="1059"/>
      <c r="M991" s="1059"/>
      <c r="N991" s="1059"/>
      <c r="O991" s="1059"/>
      <c r="P991" s="1059"/>
      <c r="Q991" s="1059"/>
      <c r="R991" s="1059"/>
      <c r="S991" s="1059"/>
      <c r="T991" s="1059"/>
      <c r="U991" s="1059"/>
      <c r="V991" s="1059"/>
      <c r="W991" s="1059"/>
      <c r="X991" s="1059"/>
      <c r="Y991" s="1059"/>
      <c r="Z991" s="1059"/>
    </row>
    <row r="992" spans="1:26" ht="12.75" customHeight="1">
      <c r="A992" s="1059"/>
      <c r="B992" s="1059"/>
      <c r="C992" s="1059"/>
      <c r="D992" s="1059"/>
      <c r="E992" s="1059"/>
      <c r="F992" s="1059"/>
      <c r="G992" s="1059"/>
      <c r="H992" s="1059"/>
      <c r="I992" s="1059"/>
      <c r="J992" s="1059"/>
      <c r="K992" s="1059"/>
      <c r="L992" s="1059"/>
      <c r="M992" s="1059"/>
      <c r="N992" s="1059"/>
      <c r="O992" s="1059"/>
      <c r="P992" s="1059"/>
      <c r="Q992" s="1059"/>
      <c r="R992" s="1059"/>
      <c r="S992" s="1059"/>
      <c r="T992" s="1059"/>
      <c r="U992" s="1059"/>
      <c r="V992" s="1059"/>
      <c r="W992" s="1059"/>
      <c r="X992" s="1059"/>
      <c r="Y992" s="1059"/>
      <c r="Z992" s="1059"/>
    </row>
    <row r="993" spans="1:26" ht="12.75" customHeight="1">
      <c r="A993" s="1059"/>
      <c r="B993" s="1059"/>
      <c r="C993" s="1059"/>
      <c r="D993" s="1059"/>
      <c r="E993" s="1059"/>
      <c r="F993" s="1059"/>
      <c r="G993" s="1059"/>
      <c r="H993" s="1059"/>
      <c r="I993" s="1059"/>
      <c r="J993" s="1059"/>
      <c r="K993" s="1059"/>
      <c r="L993" s="1059"/>
      <c r="M993" s="1059"/>
      <c r="N993" s="1059"/>
      <c r="O993" s="1059"/>
      <c r="P993" s="1059"/>
      <c r="Q993" s="1059"/>
      <c r="R993" s="1059"/>
      <c r="S993" s="1059"/>
      <c r="T993" s="1059"/>
      <c r="U993" s="1059"/>
      <c r="V993" s="1059"/>
      <c r="W993" s="1059"/>
      <c r="X993" s="1059"/>
      <c r="Y993" s="1059"/>
      <c r="Z993" s="1059"/>
    </row>
    <row r="994" spans="1:26" ht="12.75" customHeight="1">
      <c r="A994" s="1059"/>
      <c r="B994" s="1059"/>
      <c r="C994" s="1059"/>
      <c r="D994" s="1059"/>
      <c r="E994" s="1059"/>
      <c r="F994" s="1059"/>
      <c r="G994" s="1059"/>
      <c r="H994" s="1059"/>
      <c r="I994" s="1059"/>
      <c r="J994" s="1059"/>
      <c r="K994" s="1059"/>
      <c r="L994" s="1059"/>
      <c r="M994" s="1059"/>
      <c r="N994" s="1059"/>
      <c r="O994" s="1059"/>
      <c r="P994" s="1059"/>
      <c r="Q994" s="1059"/>
      <c r="R994" s="1059"/>
      <c r="S994" s="1059"/>
      <c r="T994" s="1059"/>
      <c r="U994" s="1059"/>
      <c r="V994" s="1059"/>
      <c r="W994" s="1059"/>
      <c r="X994" s="1059"/>
      <c r="Y994" s="1059"/>
      <c r="Z994" s="1059"/>
    </row>
    <row r="995" spans="1:26" ht="12.75" customHeight="1">
      <c r="A995" s="1059"/>
      <c r="B995" s="1059"/>
      <c r="C995" s="1059"/>
      <c r="D995" s="1059"/>
      <c r="E995" s="1059"/>
      <c r="F995" s="1059"/>
      <c r="G995" s="1059"/>
      <c r="H995" s="1059"/>
      <c r="I995" s="1059"/>
      <c r="J995" s="1059"/>
      <c r="K995" s="1059"/>
      <c r="L995" s="1059"/>
      <c r="M995" s="1059"/>
      <c r="N995" s="1059"/>
      <c r="O995" s="1059"/>
      <c r="P995" s="1059"/>
      <c r="Q995" s="1059"/>
      <c r="R995" s="1059"/>
      <c r="S995" s="1059"/>
      <c r="T995" s="1059"/>
      <c r="U995" s="1059"/>
      <c r="V995" s="1059"/>
      <c r="W995" s="1059"/>
      <c r="X995" s="1059"/>
      <c r="Y995" s="1059"/>
      <c r="Z995" s="1059"/>
    </row>
    <row r="996" spans="1:26" ht="12.75" customHeight="1">
      <c r="A996" s="1059"/>
      <c r="B996" s="1059"/>
      <c r="C996" s="1059"/>
      <c r="D996" s="1059"/>
      <c r="E996" s="1059"/>
      <c r="F996" s="1059"/>
      <c r="G996" s="1059"/>
      <c r="H996" s="1059"/>
      <c r="I996" s="1059"/>
      <c r="J996" s="1059"/>
      <c r="K996" s="1059"/>
      <c r="L996" s="1059"/>
      <c r="M996" s="1059"/>
      <c r="N996" s="1059"/>
      <c r="O996" s="1059"/>
      <c r="P996" s="1059"/>
      <c r="Q996" s="1059"/>
      <c r="R996" s="1059"/>
      <c r="S996" s="1059"/>
      <c r="T996" s="1059"/>
      <c r="U996" s="1059"/>
      <c r="V996" s="1059"/>
      <c r="W996" s="1059"/>
      <c r="X996" s="1059"/>
      <c r="Y996" s="1059"/>
      <c r="Z996" s="1059"/>
    </row>
    <row r="997" spans="1:26" ht="12.75" customHeight="1">
      <c r="A997" s="1059"/>
      <c r="B997" s="1059"/>
      <c r="C997" s="1059"/>
      <c r="D997" s="1059"/>
      <c r="E997" s="1059"/>
      <c r="F997" s="1059"/>
      <c r="G997" s="1059"/>
      <c r="H997" s="1059"/>
      <c r="I997" s="1059"/>
      <c r="J997" s="1059"/>
      <c r="K997" s="1059"/>
      <c r="L997" s="1059"/>
      <c r="M997" s="1059"/>
      <c r="N997" s="1059"/>
      <c r="O997" s="1059"/>
      <c r="P997" s="1059"/>
      <c r="Q997" s="1059"/>
      <c r="R997" s="1059"/>
      <c r="S997" s="1059"/>
      <c r="T997" s="1059"/>
      <c r="U997" s="1059"/>
      <c r="V997" s="1059"/>
      <c r="W997" s="1059"/>
      <c r="X997" s="1059"/>
      <c r="Y997" s="1059"/>
      <c r="Z997" s="1059"/>
    </row>
    <row r="998" spans="1:26" ht="12.75" customHeight="1">
      <c r="A998" s="1059"/>
      <c r="B998" s="1059"/>
      <c r="C998" s="1059"/>
      <c r="D998" s="1059"/>
      <c r="E998" s="1059"/>
      <c r="F998" s="1059"/>
      <c r="G998" s="1059"/>
      <c r="H998" s="1059"/>
      <c r="I998" s="1059"/>
      <c r="J998" s="1059"/>
      <c r="K998" s="1059"/>
      <c r="L998" s="1059"/>
      <c r="M998" s="1059"/>
      <c r="N998" s="1059"/>
      <c r="O998" s="1059"/>
      <c r="P998" s="1059"/>
      <c r="Q998" s="1059"/>
      <c r="R998" s="1059"/>
      <c r="S998" s="1059"/>
      <c r="T998" s="1059"/>
      <c r="U998" s="1059"/>
      <c r="V998" s="1059"/>
      <c r="W998" s="1059"/>
      <c r="X998" s="1059"/>
      <c r="Y998" s="1059"/>
      <c r="Z998" s="1059"/>
    </row>
    <row r="999" spans="1:26" ht="12.75" customHeight="1">
      <c r="A999" s="1059"/>
      <c r="B999" s="1059"/>
      <c r="C999" s="1059"/>
      <c r="D999" s="1059"/>
      <c r="E999" s="1059"/>
      <c r="F999" s="1059"/>
      <c r="G999" s="1059"/>
      <c r="H999" s="1059"/>
      <c r="I999" s="1059"/>
      <c r="J999" s="1059"/>
      <c r="K999" s="1059"/>
      <c r="L999" s="1059"/>
      <c r="M999" s="1059"/>
      <c r="N999" s="1059"/>
      <c r="O999" s="1059"/>
      <c r="P999" s="1059"/>
      <c r="Q999" s="1059"/>
      <c r="R999" s="1059"/>
      <c r="S999" s="1059"/>
      <c r="T999" s="1059"/>
      <c r="U999" s="1059"/>
      <c r="V999" s="1059"/>
      <c r="W999" s="1059"/>
      <c r="X999" s="1059"/>
      <c r="Y999" s="1059"/>
      <c r="Z999" s="1059"/>
    </row>
    <row r="1000" spans="1:26" ht="12.75" customHeight="1">
      <c r="A1000" s="1059"/>
      <c r="B1000" s="1059"/>
      <c r="C1000" s="1059"/>
      <c r="D1000" s="1059"/>
      <c r="E1000" s="1059"/>
      <c r="F1000" s="1059"/>
      <c r="G1000" s="1059"/>
      <c r="H1000" s="1059"/>
      <c r="I1000" s="1059"/>
      <c r="J1000" s="1059"/>
      <c r="K1000" s="1059"/>
      <c r="L1000" s="1059"/>
      <c r="M1000" s="1059"/>
      <c r="N1000" s="1059"/>
      <c r="O1000" s="1059"/>
      <c r="P1000" s="1059"/>
      <c r="Q1000" s="1059"/>
      <c r="R1000" s="1059"/>
      <c r="S1000" s="1059"/>
      <c r="T1000" s="1059"/>
      <c r="U1000" s="1059"/>
      <c r="V1000" s="1059"/>
      <c r="W1000" s="1059"/>
      <c r="X1000" s="1059"/>
      <c r="Y1000" s="1059"/>
      <c r="Z1000" s="1059"/>
    </row>
  </sheetData>
  <mergeCells count="122">
    <mergeCell ref="A344:G344"/>
    <mergeCell ref="A345:G345"/>
    <mergeCell ref="A346:G346"/>
    <mergeCell ref="A348:G348"/>
    <mergeCell ref="A349:G349"/>
    <mergeCell ref="A350:G350"/>
    <mergeCell ref="F391:G391"/>
    <mergeCell ref="A393:H395"/>
    <mergeCell ref="G396:H396"/>
    <mergeCell ref="A317:C317"/>
    <mergeCell ref="F317:G317"/>
    <mergeCell ref="A319:H320"/>
    <mergeCell ref="A321:A323"/>
    <mergeCell ref="B321:C321"/>
    <mergeCell ref="D321:D323"/>
    <mergeCell ref="E321:E323"/>
    <mergeCell ref="F321:F323"/>
    <mergeCell ref="G321:G323"/>
    <mergeCell ref="H321:H323"/>
    <mergeCell ref="B322:B323"/>
    <mergeCell ref="C322:C323"/>
    <mergeCell ref="F305:G305"/>
    <mergeCell ref="F306:G306"/>
    <mergeCell ref="A307:C307"/>
    <mergeCell ref="F307:G307"/>
    <mergeCell ref="A310:H310"/>
    <mergeCell ref="A311:A312"/>
    <mergeCell ref="B311:H311"/>
    <mergeCell ref="F315:G315"/>
    <mergeCell ref="F316:G316"/>
    <mergeCell ref="A289:H289"/>
    <mergeCell ref="A290:A291"/>
    <mergeCell ref="B290:H290"/>
    <mergeCell ref="F296:G296"/>
    <mergeCell ref="F297:G297"/>
    <mergeCell ref="A298:C298"/>
    <mergeCell ref="F298:G298"/>
    <mergeCell ref="A301:H301"/>
    <mergeCell ref="A302:A303"/>
    <mergeCell ref="B302:H302"/>
    <mergeCell ref="A268:G268"/>
    <mergeCell ref="A270:G270"/>
    <mergeCell ref="A271:G271"/>
    <mergeCell ref="A272:G272"/>
    <mergeCell ref="A274:H274"/>
    <mergeCell ref="F284:G284"/>
    <mergeCell ref="F285:G285"/>
    <mergeCell ref="A286:C286"/>
    <mergeCell ref="F286:G286"/>
    <mergeCell ref="F198:G198"/>
    <mergeCell ref="F199:G199"/>
    <mergeCell ref="A203:H203"/>
    <mergeCell ref="F211:G211"/>
    <mergeCell ref="F212:G212"/>
    <mergeCell ref="A215:H215"/>
    <mergeCell ref="A265:G265"/>
    <mergeCell ref="A266:G266"/>
    <mergeCell ref="A267:G267"/>
    <mergeCell ref="F200:G200"/>
    <mergeCell ref="F213:G213"/>
    <mergeCell ref="A161:H161"/>
    <mergeCell ref="F171:G171"/>
    <mergeCell ref="F172:G172"/>
    <mergeCell ref="A173:C173"/>
    <mergeCell ref="A176:H176"/>
    <mergeCell ref="F186:G186"/>
    <mergeCell ref="F187:G187"/>
    <mergeCell ref="A188:C188"/>
    <mergeCell ref="A191:H191"/>
    <mergeCell ref="F173:G173"/>
    <mergeCell ref="A128:H128"/>
    <mergeCell ref="F136:G136"/>
    <mergeCell ref="F137:G137"/>
    <mergeCell ref="A141:H141"/>
    <mergeCell ref="F146:G146"/>
    <mergeCell ref="F147:G147"/>
    <mergeCell ref="A151:H151"/>
    <mergeCell ref="F157:G157"/>
    <mergeCell ref="F158:G158"/>
    <mergeCell ref="F96:G96"/>
    <mergeCell ref="F97:G97"/>
    <mergeCell ref="F106:G106"/>
    <mergeCell ref="F107:G107"/>
    <mergeCell ref="F114:G114"/>
    <mergeCell ref="F115:G115"/>
    <mergeCell ref="A119:H119"/>
    <mergeCell ref="F123:G123"/>
    <mergeCell ref="F124:G124"/>
    <mergeCell ref="A1:H1"/>
    <mergeCell ref="A2:H2"/>
    <mergeCell ref="A3:H3"/>
    <mergeCell ref="A5:H5"/>
    <mergeCell ref="A6:H6"/>
    <mergeCell ref="F159:G159"/>
    <mergeCell ref="F188:G188"/>
    <mergeCell ref="F189:G189"/>
    <mergeCell ref="A10:A11"/>
    <mergeCell ref="F63:G63"/>
    <mergeCell ref="B10:C10"/>
    <mergeCell ref="F116:G116"/>
    <mergeCell ref="F125:G125"/>
    <mergeCell ref="F98:G98"/>
    <mergeCell ref="F148:G148"/>
    <mergeCell ref="F138:G138"/>
    <mergeCell ref="C7:D7"/>
    <mergeCell ref="F8:G8"/>
    <mergeCell ref="F108:G108"/>
    <mergeCell ref="G7:H7"/>
    <mergeCell ref="F49:G49"/>
    <mergeCell ref="F62:G62"/>
    <mergeCell ref="F76:G76"/>
    <mergeCell ref="C8:D8"/>
    <mergeCell ref="F89:G89"/>
    <mergeCell ref="F50:G50"/>
    <mergeCell ref="D26:H26"/>
    <mergeCell ref="F48:G48"/>
    <mergeCell ref="F61:G61"/>
    <mergeCell ref="F74:G74"/>
    <mergeCell ref="F75:G75"/>
    <mergeCell ref="F87:G87"/>
    <mergeCell ref="F88:G88"/>
    <mergeCell ref="F37:G37"/>
  </mergeCells>
  <hyperlinks>
    <hyperlink ref="H37" location="'NECESIDAD VIA'!F15" display="'NECESIDAD VIA'!F15"/>
    <hyperlink ref="H50" location="'NECESIDAD VIA'!F17" display="'NECESIDAD VIA'!F17"/>
    <hyperlink ref="H63" location="'NECESIDAD VIA'!F18" display="'NECESIDAD VIA'!F18"/>
    <hyperlink ref="H76" location="'NECESIDAD VIA'!F19" display="'NECESIDAD VIA'!F19"/>
    <hyperlink ref="H89" location="'NECESIDAD VIA'!F20" display="'NECESIDAD VIA'!F20"/>
    <hyperlink ref="H98" location="'NECESIDAD VIA'!F21" display="'NECESIDAD VIA'!F21"/>
    <hyperlink ref="H108" location="'NECESIDAD VIA'!F22" display="'NECESIDAD VIA'!F22"/>
    <hyperlink ref="H116" location="'NECESIDAD VIA'!F23" display="'NECESIDAD VIA'!F23"/>
    <hyperlink ref="H138" location="'NECESIDAD VIA'!F24" display="'NECESIDAD VIA'!F24"/>
    <hyperlink ref="H148" location="'NECESIDAD VIA'!F25" display="'NECESIDAD VIA'!F25"/>
    <hyperlink ref="H159" location="'NECESIDAD VIA'!F26" display="'NECESIDAD VIA'!F26"/>
    <hyperlink ref="H173" location="'NECESIDAD VIA'!F27" display="'NECESIDAD VIA'!F27"/>
    <hyperlink ref="H188" location="'NECESIDAD VIA'!F28" display="'NECESIDAD VIA'!F28"/>
    <hyperlink ref="H200" location="'NECESIDAD VIA'!F29" display="'NECESIDAD VIA'!F29"/>
    <hyperlink ref="H213" location="'NECESIDAD VIA'!F30" display="'NECESIDAD VIA'!F30"/>
    <hyperlink ref="H272" location="'NECESIDAD VIA'!F31" display="'NECESIDAD VIA'!F31"/>
    <hyperlink ref="H286" location="'NECESIDAD VIA'!F32" display="'NECESIDAD VIA'!F32"/>
    <hyperlink ref="H298" location="'NECESIDAD VIA'!F33" display="'NECESIDAD VIA'!F33"/>
    <hyperlink ref="H307" location="'NECESIDAD VIA'!F34" display="'NECESIDAD VIA'!F34"/>
    <hyperlink ref="H317" location="'NECESIDAD VIA'!F35" display="'NECESIDAD VIA'!F35"/>
    <hyperlink ref="H125" location="'NECESIDADES CRITICAS'!F13" display="'NECESIDADES CRITICAS'!F13"/>
    <hyperlink ref="H350" location="'NECESIDADES CRITICAS'!F14" display="'NECESIDADES CRITICAS'!F14"/>
    <hyperlink ref="I50" location="'NEC PTES'!N13" tooltip="REGRESAR NEC PTES" display="REGRESAR NEC PTES"/>
    <hyperlink ref="I63" location="'NEC PTES'!N33" display="REGRESAR NEC PTES"/>
    <hyperlink ref="I272" location="'NEC PTES'!N34" display="REGRESAR NEC PTES"/>
    <hyperlink ref="I76" location="'NEC PTES'!N35" display="REGRESAR NEC PTES"/>
    <hyperlink ref="I89" location="'NEC PTES'!N36" display="REGRESAR NEC PTES"/>
    <hyperlink ref="I98" location="'NEC PTES'!N37" display="REGRESAR NEC PTES"/>
    <hyperlink ref="I108" location="'NEC. PONTONES'!F12" display="REGRESAR NEC PONTONES"/>
  </hyperlinks>
  <printOptions horizontalCentered="1" verticalCentered="1"/>
  <pageMargins left="0.47244094488188981" right="0.78740157480314965" top="0.23622047244094491" bottom="0.55118110236220474" header="0.27559055118110237" footer="0.51181102362204722"/>
  <pageSetup scale="58" fitToHeight="6" orientation="landscape" horizontalDpi="120" verticalDpi="144" r:id="rId1"/>
  <headerFooter alignWithMargins="0"/>
  <rowBreaks count="7" manualBreakCount="7">
    <brk id="25" max="7" man="1"/>
    <brk id="76" max="7" man="1"/>
    <brk id="140" max="7" man="1"/>
    <brk id="190" max="7" man="1"/>
    <brk id="230" max="7" man="1"/>
    <brk id="272" max="7" man="1"/>
    <brk id="318" max="7" man="1"/>
  </rowBreak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020"/>
  <sheetViews>
    <sheetView view="pageBreakPreview" zoomScaleNormal="100" zoomScaleSheetLayoutView="100" workbookViewId="0">
      <selection activeCell="J8" sqref="J8"/>
    </sheetView>
  </sheetViews>
  <sheetFormatPr baseColWidth="10" defaultColWidth="14.42578125" defaultRowHeight="12.75"/>
  <cols>
    <col min="1" max="1" width="6.28515625" style="1041" customWidth="1"/>
    <col min="2" max="2" width="12.7109375" style="1041" customWidth="1"/>
    <col min="3" max="3" width="13" style="1041" customWidth="1"/>
    <col min="4" max="4" width="47.140625" style="1041" customWidth="1"/>
    <col min="5" max="5" width="8.140625" style="1041" customWidth="1"/>
    <col min="6" max="6" width="23.7109375" style="1041" customWidth="1"/>
    <col min="7" max="7" width="20.42578125" style="1041" customWidth="1"/>
    <col min="8" max="8" width="19.28515625" style="1041" customWidth="1"/>
    <col min="9" max="9" width="10" style="1041" customWidth="1"/>
    <col min="10" max="10" width="19.5703125" style="1041" customWidth="1"/>
    <col min="11" max="26" width="10" style="1041" customWidth="1"/>
    <col min="27" max="16384" width="14.42578125" style="1041"/>
  </cols>
  <sheetData>
    <row r="1" spans="1:26" ht="23.25" customHeight="1">
      <c r="A1" s="2107" t="s">
        <v>0</v>
      </c>
      <c r="B1" s="2060"/>
      <c r="C1" s="2060"/>
      <c r="D1" s="2060"/>
      <c r="E1" s="2060"/>
      <c r="F1" s="2060"/>
      <c r="G1" s="2060"/>
      <c r="H1" s="2060"/>
      <c r="I1" s="1173"/>
      <c r="J1" s="1173"/>
      <c r="K1" s="1173"/>
      <c r="L1" s="1173"/>
      <c r="M1" s="1173"/>
      <c r="N1" s="1173"/>
      <c r="O1" s="1173"/>
      <c r="P1" s="1173"/>
      <c r="Q1" s="1173"/>
      <c r="R1" s="1173"/>
      <c r="S1" s="1173"/>
      <c r="T1" s="1173"/>
      <c r="U1" s="1173"/>
      <c r="V1" s="1173"/>
      <c r="W1" s="1173"/>
      <c r="X1" s="1173"/>
      <c r="Y1" s="1173"/>
      <c r="Z1" s="1173"/>
    </row>
    <row r="2" spans="1:26" ht="18" customHeight="1">
      <c r="A2" s="2108" t="s">
        <v>531</v>
      </c>
      <c r="B2" s="2060"/>
      <c r="C2" s="2060"/>
      <c r="D2" s="2060"/>
      <c r="E2" s="2060"/>
      <c r="F2" s="2060"/>
      <c r="G2" s="2060"/>
      <c r="H2" s="2060"/>
      <c r="I2" s="1173"/>
      <c r="J2" s="1173"/>
      <c r="K2" s="1173"/>
      <c r="L2" s="1173"/>
      <c r="M2" s="1173"/>
      <c r="N2" s="1173"/>
      <c r="O2" s="1173"/>
      <c r="P2" s="1173"/>
      <c r="Q2" s="1173"/>
      <c r="R2" s="1173"/>
      <c r="S2" s="1173"/>
      <c r="T2" s="1173"/>
      <c r="U2" s="1173"/>
      <c r="V2" s="1173"/>
      <c r="W2" s="1173"/>
      <c r="X2" s="1173"/>
      <c r="Y2" s="1173"/>
      <c r="Z2" s="1173"/>
    </row>
    <row r="3" spans="1:26" ht="18" customHeight="1">
      <c r="A3" s="2108" t="s">
        <v>60</v>
      </c>
      <c r="B3" s="2060"/>
      <c r="C3" s="2060"/>
      <c r="D3" s="2060"/>
      <c r="E3" s="2060"/>
      <c r="F3" s="2060"/>
      <c r="G3" s="2060"/>
      <c r="H3" s="2060"/>
      <c r="I3" s="1174"/>
      <c r="J3" s="1057"/>
      <c r="K3" s="1057"/>
      <c r="L3" s="1057"/>
      <c r="M3" s="1057"/>
      <c r="N3" s="1057"/>
      <c r="O3" s="1057"/>
      <c r="P3" s="1173"/>
      <c r="Q3" s="1173"/>
      <c r="R3" s="1173"/>
      <c r="S3" s="1173"/>
      <c r="T3" s="1173"/>
      <c r="U3" s="1173"/>
      <c r="V3" s="1173"/>
      <c r="W3" s="1173"/>
      <c r="X3" s="1173"/>
      <c r="Y3" s="1173"/>
      <c r="Z3" s="1173"/>
    </row>
    <row r="4" spans="1:26" ht="12.75" customHeight="1">
      <c r="A4" s="1058"/>
      <c r="B4" s="1058"/>
      <c r="C4" s="1058"/>
      <c r="D4" s="1057"/>
      <c r="E4" s="1059"/>
      <c r="F4" s="1057"/>
      <c r="G4" s="1057"/>
      <c r="H4" s="1057"/>
      <c r="I4" s="1173"/>
      <c r="J4" s="1173"/>
      <c r="K4" s="1173"/>
      <c r="L4" s="1173"/>
      <c r="M4" s="1173"/>
      <c r="N4" s="1173"/>
      <c r="O4" s="1173"/>
      <c r="P4" s="1173"/>
      <c r="Q4" s="1173"/>
      <c r="R4" s="1173"/>
      <c r="S4" s="1173"/>
      <c r="T4" s="1173"/>
      <c r="U4" s="1173"/>
      <c r="V4" s="1173"/>
      <c r="W4" s="1173"/>
      <c r="X4" s="1173"/>
      <c r="Y4" s="1173"/>
      <c r="Z4" s="1173"/>
    </row>
    <row r="5" spans="1:26" ht="15.75" customHeight="1">
      <c r="A5" s="2109" t="s">
        <v>316</v>
      </c>
      <c r="B5" s="2060"/>
      <c r="C5" s="2060"/>
      <c r="D5" s="2060"/>
      <c r="E5" s="2060"/>
      <c r="F5" s="2060"/>
      <c r="G5" s="2060"/>
      <c r="H5" s="2060"/>
      <c r="I5" s="1173"/>
      <c r="J5" s="1173"/>
      <c r="K5" s="1173"/>
      <c r="L5" s="1173"/>
      <c r="M5" s="1173"/>
      <c r="N5" s="1173"/>
      <c r="O5" s="1173"/>
      <c r="P5" s="1173"/>
      <c r="Q5" s="1173"/>
      <c r="R5" s="1173"/>
      <c r="S5" s="1173"/>
      <c r="T5" s="1173"/>
      <c r="U5" s="1173"/>
      <c r="V5" s="1173"/>
      <c r="W5" s="1173"/>
      <c r="X5" s="1173"/>
      <c r="Y5" s="1173"/>
      <c r="Z5" s="1173"/>
    </row>
    <row r="6" spans="1:26" ht="15.75" customHeight="1">
      <c r="A6" s="2110" t="s">
        <v>502</v>
      </c>
      <c r="B6" s="2062"/>
      <c r="C6" s="2062"/>
      <c r="D6" s="2062"/>
      <c r="E6" s="2062"/>
      <c r="F6" s="2062"/>
      <c r="G6" s="2062"/>
      <c r="H6" s="2062"/>
      <c r="I6" s="1173"/>
      <c r="J6" s="1173"/>
      <c r="K6" s="1173"/>
      <c r="L6" s="1173"/>
      <c r="M6" s="1173"/>
      <c r="N6" s="1173"/>
      <c r="O6" s="1173"/>
      <c r="P6" s="1173"/>
      <c r="Q6" s="1173"/>
      <c r="R6" s="1173"/>
      <c r="S6" s="1173"/>
      <c r="T6" s="1173"/>
      <c r="U6" s="1173"/>
      <c r="V6" s="1173"/>
      <c r="W6" s="1173"/>
      <c r="X6" s="1173"/>
      <c r="Y6" s="1173"/>
      <c r="Z6" s="1173"/>
    </row>
    <row r="7" spans="1:26" ht="42.75" customHeight="1">
      <c r="A7" s="1175" t="s">
        <v>147</v>
      </c>
      <c r="D7" s="1176" t="s">
        <v>1120</v>
      </c>
      <c r="E7" s="1173"/>
      <c r="F7" s="1177" t="s">
        <v>409</v>
      </c>
      <c r="G7" s="2103" t="str">
        <f>+'CANT OBRA 3602'!G7:H7</f>
        <v>OCTUBRE - DICIEMBRE DEL 2020</v>
      </c>
      <c r="H7" s="2104"/>
      <c r="I7" s="1173"/>
      <c r="J7" s="1173"/>
      <c r="K7" s="1173"/>
      <c r="L7" s="1173"/>
      <c r="M7" s="1173"/>
      <c r="N7" s="1173"/>
      <c r="O7" s="1173"/>
      <c r="P7" s="1173"/>
      <c r="Q7" s="1173"/>
      <c r="R7" s="1173"/>
      <c r="S7" s="1173"/>
      <c r="T7" s="1173"/>
      <c r="U7" s="1173"/>
      <c r="V7" s="1173"/>
      <c r="W7" s="1173"/>
      <c r="X7" s="1173"/>
      <c r="Y7" s="1173"/>
      <c r="Z7" s="1173"/>
    </row>
    <row r="8" spans="1:26" ht="18" customHeight="1">
      <c r="A8" s="1175" t="s">
        <v>110</v>
      </c>
      <c r="C8" s="2069" t="s">
        <v>1092</v>
      </c>
      <c r="D8" s="2070"/>
      <c r="E8" s="1178" t="s">
        <v>317</v>
      </c>
      <c r="F8" s="1179" t="s">
        <v>1093</v>
      </c>
      <c r="G8" s="1180"/>
      <c r="H8" s="1181"/>
      <c r="I8" s="1173"/>
      <c r="J8" s="1173"/>
      <c r="K8" s="1173"/>
      <c r="L8" s="1173"/>
      <c r="M8" s="1173"/>
      <c r="N8" s="1173"/>
      <c r="O8" s="1173"/>
      <c r="P8" s="1173"/>
      <c r="Q8" s="1173"/>
      <c r="R8" s="1173"/>
      <c r="S8" s="1173"/>
      <c r="T8" s="1173"/>
      <c r="U8" s="1173"/>
      <c r="V8" s="1173"/>
      <c r="W8" s="1173"/>
      <c r="X8" s="1173"/>
      <c r="Y8" s="1173"/>
      <c r="Z8" s="1173"/>
    </row>
    <row r="9" spans="1:26" ht="15" customHeight="1" thickBot="1">
      <c r="E9" s="1182"/>
      <c r="F9" s="1182"/>
      <c r="H9" s="1173"/>
      <c r="I9" s="1173"/>
      <c r="J9" s="1173"/>
      <c r="K9" s="1173"/>
      <c r="L9" s="1173"/>
      <c r="M9" s="1173"/>
      <c r="N9" s="1173"/>
      <c r="O9" s="1173"/>
      <c r="P9" s="1173"/>
      <c r="Q9" s="1173"/>
      <c r="R9" s="1173"/>
      <c r="S9" s="1173"/>
      <c r="T9" s="1173"/>
      <c r="U9" s="1173"/>
      <c r="V9" s="1173"/>
      <c r="W9" s="1173"/>
      <c r="X9" s="1173"/>
      <c r="Y9" s="1173"/>
      <c r="Z9" s="1173"/>
    </row>
    <row r="10" spans="1:26" ht="17.25" customHeight="1" thickBot="1">
      <c r="A10" s="2064" t="s">
        <v>390</v>
      </c>
      <c r="B10" s="2066" t="s">
        <v>391</v>
      </c>
      <c r="C10" s="2067"/>
    </row>
    <row r="11" spans="1:26" ht="29.25" customHeight="1" thickBot="1">
      <c r="A11" s="2105"/>
      <c r="B11" s="1183" t="s">
        <v>500</v>
      </c>
      <c r="C11" s="1183" t="s">
        <v>501</v>
      </c>
      <c r="D11" s="1184" t="s">
        <v>80</v>
      </c>
      <c r="E11" s="1184" t="s">
        <v>61</v>
      </c>
      <c r="F11" s="1184" t="s">
        <v>62</v>
      </c>
      <c r="G11" s="1185" t="s">
        <v>63</v>
      </c>
      <c r="H11" s="1186" t="s">
        <v>64</v>
      </c>
      <c r="I11" s="1187"/>
      <c r="J11" s="1187"/>
      <c r="K11" s="1187"/>
      <c r="L11" s="1187"/>
      <c r="M11" s="1187"/>
      <c r="N11" s="1187"/>
      <c r="O11" s="1187"/>
      <c r="P11" s="1187"/>
      <c r="Q11" s="1187"/>
      <c r="R11" s="1187"/>
      <c r="S11" s="1187"/>
      <c r="T11" s="1187"/>
      <c r="U11" s="1187"/>
      <c r="V11" s="1187"/>
      <c r="W11" s="1187"/>
      <c r="X11" s="1187"/>
      <c r="Y11" s="1187"/>
      <c r="Z11" s="1187"/>
    </row>
    <row r="12" spans="1:26" ht="12.75" customHeight="1">
      <c r="A12" s="1188" t="s">
        <v>1342</v>
      </c>
    </row>
    <row r="13" spans="1:26" ht="12.75" customHeight="1">
      <c r="A13" s="1052">
        <v>1</v>
      </c>
      <c r="B13" s="1114"/>
      <c r="C13" s="1114"/>
      <c r="D13" s="2106" t="s">
        <v>1112</v>
      </c>
      <c r="E13" s="1050" t="s">
        <v>685</v>
      </c>
      <c r="F13" s="1111">
        <v>1</v>
      </c>
      <c r="G13" s="1121">
        <f>200000000*1.0368</f>
        <v>207360000</v>
      </c>
      <c r="H13" s="1337">
        <f>G13*F13</f>
        <v>207360000</v>
      </c>
    </row>
    <row r="14" spans="1:26" ht="12.75" customHeight="1">
      <c r="A14" s="1052"/>
      <c r="B14" s="1114"/>
      <c r="C14" s="1114"/>
      <c r="D14" s="2084"/>
      <c r="E14" s="1050"/>
      <c r="F14" s="1050"/>
      <c r="G14" s="1190"/>
      <c r="H14" s="1337"/>
    </row>
    <row r="15" spans="1:26" ht="12.75" customHeight="1">
      <c r="A15" s="1014"/>
      <c r="B15" s="1014"/>
      <c r="C15" s="1014"/>
      <c r="E15" s="1059"/>
      <c r="F15" s="2054" t="s">
        <v>176</v>
      </c>
      <c r="G15" s="2055"/>
      <c r="H15" s="1189">
        <f>SUM(H13:H14)</f>
        <v>207360000</v>
      </c>
    </row>
    <row r="16" spans="1:26" ht="12.75" customHeight="1">
      <c r="A16" s="1014"/>
      <c r="B16" s="1014"/>
      <c r="C16" s="1014"/>
      <c r="E16" s="1059"/>
      <c r="F16" s="2050" t="s">
        <v>887</v>
      </c>
      <c r="G16" s="2049"/>
      <c r="H16" s="1189">
        <f>+((H15/1.31)*(0.05))*0.19</f>
        <v>1503755.7251908397</v>
      </c>
    </row>
    <row r="17" spans="1:26" ht="12.75" customHeight="1">
      <c r="F17" s="2050" t="s">
        <v>177</v>
      </c>
      <c r="G17" s="2049"/>
      <c r="H17" s="1460">
        <f>SUM(H15:H16)</f>
        <v>208863755.72519085</v>
      </c>
      <c r="I17" s="1483"/>
    </row>
    <row r="18" spans="1:26" ht="12.75" customHeight="1">
      <c r="F18" s="1177"/>
      <c r="H18" s="1191"/>
    </row>
    <row r="19" spans="1:26" s="1323" customFormat="1" ht="12.75" customHeight="1" thickBot="1">
      <c r="F19" s="1177"/>
      <c r="H19" s="1191"/>
    </row>
    <row r="20" spans="1:26" s="1323" customFormat="1" ht="17.25" customHeight="1" thickBot="1">
      <c r="A20" s="2064" t="s">
        <v>390</v>
      </c>
      <c r="B20" s="2066" t="s">
        <v>391</v>
      </c>
      <c r="C20" s="2067"/>
    </row>
    <row r="21" spans="1:26" s="1323" customFormat="1" ht="29.25" customHeight="1" thickBot="1">
      <c r="A21" s="2105"/>
      <c r="B21" s="1183" t="s">
        <v>500</v>
      </c>
      <c r="C21" s="1183" t="s">
        <v>501</v>
      </c>
      <c r="D21" s="1184" t="s">
        <v>80</v>
      </c>
      <c r="E21" s="1184" t="s">
        <v>61</v>
      </c>
      <c r="F21" s="1184" t="s">
        <v>62</v>
      </c>
      <c r="G21" s="1185" t="s">
        <v>63</v>
      </c>
      <c r="H21" s="1186" t="s">
        <v>64</v>
      </c>
      <c r="I21" s="1187"/>
      <c r="J21" s="1187"/>
      <c r="K21" s="1187"/>
      <c r="L21" s="1187"/>
      <c r="M21" s="1187"/>
      <c r="N21" s="1187"/>
      <c r="O21" s="1187"/>
      <c r="P21" s="1187"/>
      <c r="Q21" s="1187"/>
      <c r="R21" s="1187"/>
      <c r="S21" s="1187"/>
      <c r="T21" s="1187"/>
      <c r="U21" s="1187"/>
      <c r="V21" s="1187"/>
      <c r="W21" s="1187"/>
      <c r="X21" s="1187"/>
      <c r="Y21" s="1187"/>
      <c r="Z21" s="1187"/>
    </row>
    <row r="22" spans="1:26" ht="12.75" customHeight="1">
      <c r="A22" s="1188" t="s">
        <v>1343</v>
      </c>
    </row>
    <row r="23" spans="1:26" ht="13.5" customHeight="1">
      <c r="A23" s="1048">
        <v>632</v>
      </c>
      <c r="B23" s="1192">
        <v>632</v>
      </c>
      <c r="C23" s="1192" t="s">
        <v>884</v>
      </c>
      <c r="D23" s="1051" t="s">
        <v>885</v>
      </c>
      <c r="E23" s="1193" t="s">
        <v>677</v>
      </c>
      <c r="F23" s="1194">
        <v>40</v>
      </c>
      <c r="G23" s="1098">
        <v>351822.69170699356</v>
      </c>
      <c r="H23" s="1195">
        <f>G23*F23</f>
        <v>14072907.668279743</v>
      </c>
      <c r="I23" s="1196"/>
      <c r="J23" s="1196"/>
      <c r="K23" s="1196"/>
      <c r="L23" s="1196"/>
      <c r="M23" s="1196"/>
      <c r="N23" s="1196"/>
      <c r="O23" s="1196"/>
      <c r="P23" s="1196"/>
      <c r="Q23" s="1196"/>
      <c r="R23" s="1196"/>
      <c r="S23" s="1196"/>
      <c r="T23" s="1196"/>
      <c r="U23" s="1196"/>
      <c r="V23" s="1196"/>
      <c r="W23" s="1196"/>
      <c r="X23" s="1196"/>
      <c r="Y23" s="1196"/>
      <c r="Z23" s="1196"/>
    </row>
    <row r="24" spans="1:26" ht="38.25" customHeight="1">
      <c r="A24" s="1048" t="s">
        <v>1094</v>
      </c>
      <c r="B24" s="1197">
        <v>600</v>
      </c>
      <c r="C24" s="1048">
        <v>671.1</v>
      </c>
      <c r="D24" s="1109" t="s">
        <v>1333</v>
      </c>
      <c r="E24" s="1109" t="s">
        <v>1170</v>
      </c>
      <c r="F24" s="1198">
        <v>2</v>
      </c>
      <c r="G24" s="1109">
        <f>+'[11]CANT OBRA 3602'!G144</f>
        <v>546536.61098199466</v>
      </c>
      <c r="H24" s="1109">
        <f t="shared" ref="H24:H28" si="0">+F24*G24</f>
        <v>1093073.2219639893</v>
      </c>
      <c r="I24" s="1196"/>
      <c r="J24" s="1196"/>
      <c r="K24" s="1196"/>
      <c r="L24" s="1196"/>
      <c r="M24" s="1196"/>
      <c r="N24" s="1196"/>
      <c r="O24" s="1196"/>
      <c r="P24" s="1196"/>
      <c r="Q24" s="1196"/>
      <c r="R24" s="1196"/>
      <c r="S24" s="1196"/>
      <c r="T24" s="1196"/>
      <c r="U24" s="1196"/>
      <c r="V24" s="1196"/>
      <c r="W24" s="1196"/>
      <c r="X24" s="1196"/>
      <c r="Y24" s="1196"/>
      <c r="Z24" s="1196"/>
    </row>
    <row r="25" spans="1:26" ht="12.75" customHeight="1">
      <c r="A25" s="1048" t="s">
        <v>1080</v>
      </c>
      <c r="B25" s="1197">
        <v>200</v>
      </c>
      <c r="C25" s="1048">
        <v>201.7</v>
      </c>
      <c r="D25" s="1109" t="s">
        <v>1188</v>
      </c>
      <c r="E25" s="1109" t="s">
        <v>1170</v>
      </c>
      <c r="F25" s="1194">
        <v>2</v>
      </c>
      <c r="G25" s="1109">
        <f>+'[11]CANT OBRA 3602'!G143</f>
        <v>152165.26950814403</v>
      </c>
      <c r="H25" s="1195">
        <f t="shared" si="0"/>
        <v>304330.53901628806</v>
      </c>
      <c r="I25" s="1196"/>
      <c r="J25" s="1196"/>
      <c r="K25" s="1196"/>
      <c r="L25" s="1196"/>
      <c r="M25" s="1196"/>
      <c r="N25" s="1196"/>
      <c r="O25" s="1196"/>
      <c r="P25" s="1196"/>
      <c r="Q25" s="1196"/>
      <c r="R25" s="1196"/>
      <c r="S25" s="1196"/>
      <c r="T25" s="1196"/>
      <c r="U25" s="1196"/>
      <c r="V25" s="1196"/>
      <c r="W25" s="1196"/>
      <c r="X25" s="1196"/>
      <c r="Y25" s="1196"/>
      <c r="Z25" s="1196"/>
    </row>
    <row r="26" spans="1:26" ht="12.75" customHeight="1">
      <c r="A26" s="1048"/>
      <c r="B26" s="1197"/>
      <c r="C26" s="1192"/>
      <c r="D26" s="1051" t="s">
        <v>895</v>
      </c>
      <c r="E26" s="1051" t="s">
        <v>673</v>
      </c>
      <c r="F26" s="1194">
        <v>1820</v>
      </c>
      <c r="G26" s="1195">
        <f>+'[11]CANT OBRA 3602'!G72</f>
        <v>12441.599999999999</v>
      </c>
      <c r="H26" s="1195">
        <f t="shared" si="0"/>
        <v>22643711.999999996</v>
      </c>
      <c r="I26" s="1196"/>
      <c r="J26" s="1196"/>
      <c r="K26" s="1196"/>
      <c r="L26" s="1196"/>
      <c r="M26" s="1196"/>
      <c r="N26" s="1196"/>
      <c r="O26" s="1196"/>
      <c r="P26" s="1196"/>
      <c r="Q26" s="1196"/>
      <c r="R26" s="1196"/>
      <c r="S26" s="1196"/>
      <c r="T26" s="1196"/>
      <c r="U26" s="1196"/>
      <c r="V26" s="1196"/>
      <c r="W26" s="1196"/>
      <c r="X26" s="1196"/>
      <c r="Y26" s="1196"/>
      <c r="Z26" s="1196"/>
    </row>
    <row r="27" spans="1:26" ht="12.75" customHeight="1">
      <c r="A27" s="1048"/>
      <c r="B27" s="1197"/>
      <c r="C27" s="1192"/>
      <c r="D27" s="1051" t="s">
        <v>898</v>
      </c>
      <c r="E27" s="1051" t="s">
        <v>842</v>
      </c>
      <c r="F27" s="1051">
        <v>47</v>
      </c>
      <c r="G27" s="1195">
        <f>+'[11]CANT OBRA 3602'!G85</f>
        <v>636651.18719999993</v>
      </c>
      <c r="H27" s="1195">
        <f t="shared" si="0"/>
        <v>29922605.798399996</v>
      </c>
      <c r="I27" s="1196"/>
      <c r="J27" s="1196"/>
      <c r="K27" s="1196"/>
      <c r="L27" s="1196"/>
      <c r="M27" s="1196"/>
      <c r="N27" s="1196"/>
      <c r="O27" s="1196"/>
      <c r="P27" s="1196"/>
      <c r="Q27" s="1196"/>
      <c r="R27" s="1196"/>
      <c r="S27" s="1196"/>
      <c r="T27" s="1196"/>
      <c r="U27" s="1196"/>
      <c r="V27" s="1196"/>
      <c r="W27" s="1196"/>
      <c r="X27" s="1196"/>
      <c r="Y27" s="1196"/>
      <c r="Z27" s="1196"/>
    </row>
    <row r="28" spans="1:26" ht="12.75" customHeight="1">
      <c r="A28" s="1048" t="s">
        <v>1084</v>
      </c>
      <c r="B28" s="1197">
        <v>600</v>
      </c>
      <c r="C28" s="1048">
        <v>610.20000000000005</v>
      </c>
      <c r="D28" s="1109" t="str">
        <f>VLOOKUP(A28,[12]INDICE!$A$3:$D$320,2,FALSE)</f>
        <v>RELLENOS PARA ESTRUCTURAS CON RECEBO.</v>
      </c>
      <c r="E28" s="1109" t="str">
        <f>VLOOKUP(A28,[12]INDICE!$A$3:$D$320,3,FALSE)</f>
        <v>m3</v>
      </c>
      <c r="F28" s="1051">
        <f>25*1*0.15</f>
        <v>3.75</v>
      </c>
      <c r="G28" s="1109">
        <f>+'[11]CANT OBRA 3602'!G131</f>
        <v>58585.887391868338</v>
      </c>
      <c r="H28" s="1195">
        <f t="shared" si="0"/>
        <v>219697.07771950628</v>
      </c>
      <c r="I28" s="1196"/>
      <c r="J28" s="1196"/>
      <c r="K28" s="1196"/>
      <c r="L28" s="1196"/>
      <c r="M28" s="1196"/>
      <c r="N28" s="1196"/>
      <c r="O28" s="1196"/>
      <c r="P28" s="1196"/>
      <c r="Q28" s="1196"/>
      <c r="R28" s="1196"/>
      <c r="S28" s="1196"/>
      <c r="T28" s="1196"/>
      <c r="U28" s="1196"/>
      <c r="V28" s="1196"/>
      <c r="W28" s="1196"/>
      <c r="X28" s="1196"/>
      <c r="Y28" s="1196"/>
      <c r="Z28" s="1196"/>
    </row>
    <row r="29" spans="1:26" ht="12.75" customHeight="1">
      <c r="A29" s="1014"/>
      <c r="B29" s="1014"/>
      <c r="C29" s="1014"/>
      <c r="D29" s="1196"/>
      <c r="E29" s="1059"/>
      <c r="F29" s="1059"/>
      <c r="G29" s="1199"/>
      <c r="H29" s="1200"/>
      <c r="I29" s="1196"/>
      <c r="J29" s="1196"/>
      <c r="K29" s="1196"/>
      <c r="L29" s="1196"/>
      <c r="M29" s="1196"/>
      <c r="N29" s="1196"/>
      <c r="O29" s="1196"/>
      <c r="P29" s="1196"/>
      <c r="Q29" s="1196"/>
      <c r="R29" s="1196"/>
      <c r="S29" s="1196"/>
      <c r="T29" s="1196"/>
      <c r="U29" s="1196"/>
      <c r="V29" s="1196"/>
      <c r="W29" s="1196"/>
      <c r="X29" s="1196"/>
      <c r="Y29" s="1196"/>
      <c r="Z29" s="1196"/>
    </row>
    <row r="30" spans="1:26" ht="12.75" customHeight="1">
      <c r="A30" s="1014"/>
      <c r="B30" s="1014"/>
      <c r="C30" s="1014"/>
      <c r="D30" s="1196"/>
      <c r="E30" s="1059"/>
      <c r="F30" s="2050" t="s">
        <v>176</v>
      </c>
      <c r="G30" s="2049"/>
      <c r="H30" s="1189">
        <f>SUM(H23:H28)</f>
        <v>68256326.305379525</v>
      </c>
      <c r="I30" s="1196"/>
      <c r="J30" s="1196"/>
      <c r="K30" s="1196"/>
      <c r="L30" s="1196"/>
      <c r="M30" s="1196"/>
      <c r="N30" s="1196"/>
      <c r="O30" s="1196"/>
      <c r="P30" s="1196"/>
      <c r="Q30" s="1196"/>
      <c r="R30" s="1196"/>
      <c r="S30" s="1196"/>
      <c r="T30" s="1196"/>
      <c r="U30" s="1196"/>
      <c r="V30" s="1196"/>
      <c r="W30" s="1196"/>
      <c r="X30" s="1196"/>
      <c r="Y30" s="1196"/>
      <c r="Z30" s="1196"/>
    </row>
    <row r="31" spans="1:26" ht="12.75" customHeight="1">
      <c r="A31" s="1014"/>
      <c r="B31" s="1014"/>
      <c r="C31" s="1014"/>
      <c r="D31" s="1196"/>
      <c r="E31" s="1059"/>
      <c r="F31" s="2050" t="s">
        <v>887</v>
      </c>
      <c r="G31" s="2049"/>
      <c r="H31" s="1189">
        <f>ROUND((H30/1.3)*(0.05)*(0.19),0)</f>
        <v>498796</v>
      </c>
      <c r="I31" s="1196"/>
      <c r="J31" s="1196"/>
      <c r="K31" s="1196"/>
      <c r="L31" s="1196"/>
      <c r="M31" s="1196"/>
      <c r="N31" s="1196"/>
      <c r="O31" s="1196"/>
      <c r="P31" s="1196"/>
      <c r="Q31" s="1196"/>
      <c r="R31" s="1196"/>
      <c r="S31" s="1196"/>
      <c r="T31" s="1196"/>
      <c r="U31" s="1196"/>
      <c r="V31" s="1196"/>
      <c r="W31" s="1196"/>
      <c r="X31" s="1196"/>
      <c r="Y31" s="1196"/>
      <c r="Z31" s="1196"/>
    </row>
    <row r="32" spans="1:26" ht="12.75" customHeight="1">
      <c r="A32" s="1196"/>
      <c r="B32" s="1196"/>
      <c r="C32" s="1196"/>
      <c r="D32" s="1196"/>
      <c r="E32" s="1196"/>
      <c r="F32" s="2050" t="s">
        <v>177</v>
      </c>
      <c r="G32" s="2049"/>
      <c r="H32" s="1460">
        <f>SUM(H30:H31)</f>
        <v>68755122.305379525</v>
      </c>
      <c r="I32" s="250" t="s">
        <v>1436</v>
      </c>
      <c r="J32" s="1196"/>
      <c r="K32" s="1196"/>
      <c r="L32" s="1196"/>
      <c r="M32" s="1196"/>
      <c r="N32" s="1196"/>
      <c r="O32" s="1196"/>
      <c r="P32" s="1196"/>
      <c r="Q32" s="1196"/>
      <c r="R32" s="1196"/>
      <c r="S32" s="1196"/>
      <c r="T32" s="1196"/>
      <c r="U32" s="1196"/>
      <c r="V32" s="1196"/>
      <c r="W32" s="1196"/>
      <c r="X32" s="1196"/>
      <c r="Y32" s="1196"/>
      <c r="Z32" s="1196"/>
    </row>
    <row r="33" spans="1:26" s="1323" customFormat="1" ht="12.75" customHeight="1" thickBot="1">
      <c r="A33" s="1329"/>
      <c r="B33" s="1329"/>
      <c r="C33" s="1329"/>
      <c r="D33" s="1329"/>
      <c r="E33" s="1329"/>
      <c r="F33" s="1326"/>
      <c r="G33" s="1328"/>
      <c r="H33" s="1338"/>
      <c r="I33" s="1329"/>
      <c r="J33" s="1329"/>
      <c r="K33" s="1329"/>
      <c r="L33" s="1329"/>
      <c r="M33" s="1329"/>
      <c r="N33" s="1329"/>
      <c r="O33" s="1329"/>
      <c r="P33" s="1329"/>
      <c r="Q33" s="1329"/>
      <c r="R33" s="1329"/>
      <c r="S33" s="1329"/>
      <c r="T33" s="1329"/>
      <c r="U33" s="1329"/>
      <c r="V33" s="1329"/>
      <c r="W33" s="1329"/>
      <c r="X33" s="1329"/>
      <c r="Y33" s="1329"/>
      <c r="Z33" s="1329"/>
    </row>
    <row r="34" spans="1:26" s="1323" customFormat="1" ht="17.25" customHeight="1" thickBot="1">
      <c r="A34" s="2064" t="s">
        <v>390</v>
      </c>
      <c r="B34" s="2066" t="s">
        <v>391</v>
      </c>
      <c r="C34" s="2067"/>
    </row>
    <row r="35" spans="1:26" s="1323" customFormat="1" ht="29.25" customHeight="1" thickBot="1">
      <c r="A35" s="2105"/>
      <c r="B35" s="1183" t="s">
        <v>500</v>
      </c>
      <c r="C35" s="1183" t="s">
        <v>501</v>
      </c>
      <c r="D35" s="1184" t="s">
        <v>80</v>
      </c>
      <c r="E35" s="1184" t="s">
        <v>61</v>
      </c>
      <c r="F35" s="1184" t="s">
        <v>62</v>
      </c>
      <c r="G35" s="1185" t="s">
        <v>63</v>
      </c>
      <c r="H35" s="1186" t="s">
        <v>64</v>
      </c>
      <c r="I35" s="1187"/>
      <c r="J35" s="1187"/>
      <c r="K35" s="1187"/>
      <c r="L35" s="1187"/>
      <c r="M35" s="1187"/>
      <c r="N35" s="1187"/>
      <c r="O35" s="1187"/>
      <c r="P35" s="1187"/>
      <c r="Q35" s="1187"/>
      <c r="R35" s="1187"/>
      <c r="S35" s="1187"/>
      <c r="T35" s="1187"/>
      <c r="U35" s="1187"/>
      <c r="V35" s="1187"/>
      <c r="W35" s="1187"/>
      <c r="X35" s="1187"/>
      <c r="Y35" s="1187"/>
      <c r="Z35" s="1187"/>
    </row>
    <row r="36" spans="1:26" ht="12.75" customHeight="1">
      <c r="A36" s="1188" t="s">
        <v>1344</v>
      </c>
      <c r="B36" s="1196"/>
      <c r="C36" s="1196"/>
      <c r="D36" s="1196"/>
      <c r="E36" s="1196"/>
      <c r="F36" s="1196"/>
      <c r="G36" s="1196"/>
      <c r="H36" s="1196"/>
      <c r="I36" s="1196"/>
      <c r="J36" s="1196"/>
      <c r="K36" s="1196"/>
      <c r="L36" s="1196"/>
      <c r="M36" s="1196"/>
      <c r="N36" s="1196"/>
      <c r="O36" s="1196"/>
      <c r="P36" s="1196"/>
      <c r="Q36" s="1196"/>
      <c r="R36" s="1196"/>
      <c r="S36" s="1196"/>
      <c r="T36" s="1196"/>
      <c r="U36" s="1196"/>
      <c r="V36" s="1196"/>
      <c r="W36" s="1196"/>
      <c r="X36" s="1196"/>
      <c r="Y36" s="1196"/>
      <c r="Z36" s="1196"/>
    </row>
    <row r="37" spans="1:26" ht="12.75" customHeight="1">
      <c r="A37" s="1052"/>
      <c r="B37" s="1114"/>
      <c r="C37" s="1114"/>
      <c r="D37" s="1049" t="s">
        <v>895</v>
      </c>
      <c r="E37" s="1050" t="s">
        <v>673</v>
      </c>
      <c r="F37" s="1110">
        <v>900</v>
      </c>
      <c r="G37" s="1201">
        <f>+G26</f>
        <v>12441.599999999999</v>
      </c>
      <c r="H37" s="1201">
        <f>+F37*G37</f>
        <v>11197439.999999998</v>
      </c>
      <c r="I37" s="1196"/>
      <c r="J37" s="1196"/>
      <c r="K37" s="1196"/>
      <c r="L37" s="1196"/>
      <c r="M37" s="1196"/>
      <c r="N37" s="1196"/>
      <c r="O37" s="1196"/>
      <c r="P37" s="1196"/>
      <c r="Q37" s="1196"/>
      <c r="R37" s="1196"/>
      <c r="S37" s="1196"/>
      <c r="T37" s="1196"/>
      <c r="U37" s="1196"/>
      <c r="V37" s="1196"/>
      <c r="W37" s="1196"/>
      <c r="X37" s="1196"/>
      <c r="Y37" s="1196"/>
      <c r="Z37" s="1196"/>
    </row>
    <row r="38" spans="1:26" ht="12.75" customHeight="1">
      <c r="A38" s="1052"/>
      <c r="B38" s="1114"/>
      <c r="C38" s="1114"/>
      <c r="D38" s="1049"/>
      <c r="E38" s="1050"/>
      <c r="F38" s="1050"/>
      <c r="G38" s="1190"/>
      <c r="H38" s="1201"/>
      <c r="I38" s="1196"/>
      <c r="J38" s="1196"/>
      <c r="K38" s="1196"/>
      <c r="L38" s="1196"/>
      <c r="M38" s="1196"/>
      <c r="N38" s="1196"/>
      <c r="O38" s="1196"/>
      <c r="P38" s="1196"/>
      <c r="Q38" s="1196"/>
      <c r="R38" s="1196"/>
      <c r="S38" s="1196"/>
      <c r="T38" s="1196"/>
      <c r="U38" s="1196"/>
      <c r="V38" s="1196"/>
      <c r="W38" s="1196"/>
      <c r="X38" s="1196"/>
      <c r="Y38" s="1196"/>
      <c r="Z38" s="1196"/>
    </row>
    <row r="39" spans="1:26" ht="12.75" customHeight="1">
      <c r="A39" s="1014"/>
      <c r="B39" s="1014"/>
      <c r="C39" s="1014"/>
      <c r="D39" s="1196"/>
      <c r="E39" s="1059"/>
      <c r="F39" s="2054" t="s">
        <v>176</v>
      </c>
      <c r="G39" s="2055"/>
      <c r="H39" s="1189">
        <f>SUM(H37:H38)</f>
        <v>11197439.999999998</v>
      </c>
      <c r="I39" s="1196"/>
      <c r="J39" s="1196"/>
      <c r="K39" s="1196"/>
      <c r="L39" s="1196"/>
      <c r="M39" s="1196"/>
      <c r="N39" s="1196"/>
      <c r="O39" s="1196"/>
      <c r="P39" s="1196"/>
      <c r="Q39" s="1196"/>
      <c r="R39" s="1196"/>
      <c r="S39" s="1196"/>
      <c r="T39" s="1196"/>
      <c r="U39" s="1196"/>
      <c r="V39" s="1196"/>
      <c r="W39" s="1196"/>
      <c r="X39" s="1196"/>
      <c r="Y39" s="1196"/>
      <c r="Z39" s="1196"/>
    </row>
    <row r="40" spans="1:26" ht="12.75" customHeight="1">
      <c r="A40" s="1014"/>
      <c r="B40" s="1014"/>
      <c r="C40" s="1014"/>
      <c r="D40" s="1196"/>
      <c r="E40" s="1059"/>
      <c r="F40" s="2050" t="s">
        <v>887</v>
      </c>
      <c r="G40" s="2049"/>
      <c r="H40" s="1189">
        <f>ROUND((H39/1.3)*(0.05)*(0.19),0)</f>
        <v>81827</v>
      </c>
      <c r="I40" s="1196"/>
      <c r="J40" s="1196"/>
      <c r="K40" s="1196"/>
      <c r="L40" s="1196"/>
      <c r="M40" s="1196"/>
      <c r="N40" s="1196"/>
      <c r="O40" s="1196"/>
      <c r="P40" s="1196"/>
      <c r="Q40" s="1196"/>
      <c r="R40" s="1196"/>
      <c r="S40" s="1196"/>
      <c r="T40" s="1196"/>
      <c r="U40" s="1196"/>
      <c r="V40" s="1196"/>
      <c r="W40" s="1196"/>
      <c r="X40" s="1196"/>
      <c r="Y40" s="1196"/>
      <c r="Z40" s="1196"/>
    </row>
    <row r="41" spans="1:26" ht="12.75" customHeight="1">
      <c r="A41" s="1196"/>
      <c r="B41" s="1196"/>
      <c r="C41" s="1196"/>
      <c r="D41" s="1196"/>
      <c r="E41" s="1196"/>
      <c r="F41" s="2050" t="s">
        <v>177</v>
      </c>
      <c r="G41" s="2049"/>
      <c r="H41" s="1460">
        <f>SUM(H39:H40)</f>
        <v>11279266.999999998</v>
      </c>
      <c r="I41" s="250" t="s">
        <v>1436</v>
      </c>
      <c r="J41" s="1196"/>
      <c r="K41" s="1196"/>
      <c r="L41" s="1196"/>
      <c r="M41" s="1196"/>
      <c r="N41" s="1196"/>
      <c r="O41" s="1196"/>
      <c r="P41" s="1196"/>
      <c r="Q41" s="1196"/>
      <c r="R41" s="1196"/>
      <c r="S41" s="1196"/>
      <c r="T41" s="1196"/>
      <c r="U41" s="1196"/>
      <c r="V41" s="1196"/>
      <c r="W41" s="1196"/>
      <c r="X41" s="1196"/>
      <c r="Y41" s="1196"/>
      <c r="Z41" s="1196"/>
    </row>
    <row r="42" spans="1:26" ht="12.75" customHeight="1">
      <c r="A42" s="1196"/>
      <c r="B42" s="1196"/>
      <c r="C42" s="1196"/>
      <c r="D42" s="1196"/>
      <c r="E42" s="1196"/>
      <c r="F42" s="1107"/>
      <c r="G42" s="1107"/>
      <c r="H42" s="1199"/>
      <c r="I42" s="1196"/>
      <c r="J42" s="1196"/>
      <c r="K42" s="1196"/>
      <c r="L42" s="1196"/>
      <c r="M42" s="1196"/>
      <c r="N42" s="1196"/>
      <c r="O42" s="1196"/>
      <c r="P42" s="1196"/>
      <c r="Q42" s="1196"/>
      <c r="R42" s="1196"/>
      <c r="S42" s="1196"/>
      <c r="T42" s="1196"/>
      <c r="U42" s="1196"/>
      <c r="V42" s="1196"/>
      <c r="W42" s="1196"/>
      <c r="X42" s="1196"/>
      <c r="Y42" s="1196"/>
      <c r="Z42" s="1196"/>
    </row>
    <row r="43" spans="1:26" ht="13.5" customHeight="1" thickBot="1">
      <c r="A43" s="1188"/>
      <c r="B43" s="1196"/>
      <c r="C43" s="1196"/>
      <c r="D43" s="1196"/>
      <c r="E43" s="1196"/>
      <c r="F43" s="1196"/>
      <c r="G43" s="1196"/>
      <c r="H43" s="1196"/>
      <c r="I43" s="1196"/>
      <c r="J43" s="1196"/>
      <c r="K43" s="1196"/>
      <c r="L43" s="1196"/>
      <c r="M43" s="1196"/>
      <c r="N43" s="1196"/>
      <c r="O43" s="1196"/>
      <c r="P43" s="1196"/>
      <c r="Q43" s="1196"/>
      <c r="R43" s="1196"/>
      <c r="S43" s="1196"/>
      <c r="T43" s="1196"/>
      <c r="U43" s="1196"/>
      <c r="V43" s="1196"/>
      <c r="W43" s="1196"/>
      <c r="X43" s="1196"/>
      <c r="Y43" s="1196"/>
      <c r="Z43" s="1196"/>
    </row>
    <row r="44" spans="1:26" ht="13.5" customHeight="1" thickBot="1">
      <c r="A44" s="2064" t="s">
        <v>390</v>
      </c>
      <c r="B44" s="2066" t="s">
        <v>391</v>
      </c>
      <c r="C44" s="2067"/>
      <c r="D44" s="1202"/>
      <c r="E44" s="1202"/>
      <c r="F44" s="1202"/>
      <c r="G44" s="1202"/>
      <c r="H44" s="1203"/>
      <c r="I44" s="1196"/>
      <c r="J44" s="1196"/>
      <c r="K44" s="1196"/>
      <c r="L44" s="1196"/>
      <c r="M44" s="1196"/>
      <c r="N44" s="1196"/>
      <c r="O44" s="1196"/>
      <c r="P44" s="1196"/>
      <c r="Q44" s="1196"/>
      <c r="R44" s="1196"/>
      <c r="S44" s="1196"/>
      <c r="T44" s="1196"/>
      <c r="U44" s="1196"/>
      <c r="V44" s="1196"/>
      <c r="W44" s="1196"/>
      <c r="X44" s="1196"/>
      <c r="Y44" s="1196"/>
      <c r="Z44" s="1196"/>
    </row>
    <row r="45" spans="1:26" ht="26.25" customHeight="1" thickBot="1">
      <c r="A45" s="2105"/>
      <c r="B45" s="1183" t="s">
        <v>500</v>
      </c>
      <c r="C45" s="1183" t="s">
        <v>501</v>
      </c>
      <c r="D45" s="1184" t="s">
        <v>80</v>
      </c>
      <c r="E45" s="1184" t="s">
        <v>61</v>
      </c>
      <c r="F45" s="1184" t="s">
        <v>62</v>
      </c>
      <c r="G45" s="1185" t="s">
        <v>63</v>
      </c>
      <c r="H45" s="1186" t="s">
        <v>1048</v>
      </c>
      <c r="I45" s="1196"/>
      <c r="J45" s="1196"/>
      <c r="K45" s="1196"/>
      <c r="L45" s="1196"/>
      <c r="M45" s="1196"/>
      <c r="N45" s="1196"/>
      <c r="O45" s="1196"/>
      <c r="P45" s="1196"/>
      <c r="Q45" s="1196"/>
      <c r="R45" s="1196"/>
      <c r="S45" s="1196"/>
      <c r="T45" s="1196"/>
      <c r="U45" s="1196"/>
      <c r="V45" s="1196"/>
      <c r="W45" s="1196"/>
      <c r="X45" s="1196"/>
      <c r="Y45" s="1196"/>
      <c r="Z45" s="1196"/>
    </row>
    <row r="46" spans="1:26" s="1345" customFormat="1">
      <c r="A46" s="1339" t="s">
        <v>1345</v>
      </c>
      <c r="B46" s="1340"/>
      <c r="C46" s="1341"/>
      <c r="D46" s="1342"/>
      <c r="E46" s="1340"/>
      <c r="F46" s="1340"/>
      <c r="G46" s="1343"/>
      <c r="H46" s="1343"/>
      <c r="I46" s="1344"/>
      <c r="J46" s="1344"/>
      <c r="K46" s="1344"/>
      <c r="L46" s="1344"/>
      <c r="M46" s="1344"/>
      <c r="N46" s="1344"/>
      <c r="O46" s="1344"/>
      <c r="P46" s="1344"/>
      <c r="Q46" s="1344"/>
      <c r="R46" s="1344"/>
      <c r="S46" s="1344"/>
      <c r="T46" s="1344"/>
      <c r="U46" s="1344"/>
      <c r="V46" s="1344"/>
      <c r="W46" s="1344"/>
      <c r="X46" s="1344"/>
      <c r="Y46" s="1344"/>
      <c r="Z46" s="1344"/>
    </row>
    <row r="47" spans="1:26" ht="15" customHeight="1">
      <c r="A47" s="1204"/>
      <c r="B47" s="1204"/>
      <c r="C47" s="1205"/>
      <c r="D47" s="1206" t="s">
        <v>1212</v>
      </c>
      <c r="E47" s="1204"/>
      <c r="F47" s="1204"/>
      <c r="G47" s="1204"/>
      <c r="H47" s="1207"/>
      <c r="I47" s="1196"/>
      <c r="J47" s="1196"/>
      <c r="K47" s="1196"/>
      <c r="L47" s="1196"/>
      <c r="M47" s="1196"/>
      <c r="N47" s="1196"/>
      <c r="O47" s="1196"/>
      <c r="P47" s="1196"/>
      <c r="Q47" s="1196"/>
      <c r="R47" s="1196"/>
      <c r="S47" s="1196"/>
      <c r="T47" s="1196"/>
      <c r="U47" s="1196"/>
      <c r="V47" s="1196"/>
      <c r="W47" s="1196"/>
      <c r="X47" s="1196"/>
      <c r="Y47" s="1196"/>
      <c r="Z47" s="1196"/>
    </row>
    <row r="48" spans="1:26" ht="14.25" customHeight="1">
      <c r="A48" s="1069"/>
      <c r="B48" s="1069"/>
      <c r="C48" s="1083"/>
      <c r="D48" s="1072" t="s">
        <v>1213</v>
      </c>
      <c r="E48" s="1050" t="s">
        <v>673</v>
      </c>
      <c r="F48" s="1110">
        <v>1004</v>
      </c>
      <c r="G48" s="1136">
        <v>8215.01</v>
      </c>
      <c r="H48" s="1136">
        <f>+F48*G48</f>
        <v>8247870.04</v>
      </c>
      <c r="I48" s="1196"/>
      <c r="J48" s="1196"/>
      <c r="K48" s="1196"/>
      <c r="L48" s="1196"/>
      <c r="M48" s="1196"/>
      <c r="N48" s="1196"/>
      <c r="O48" s="1196"/>
      <c r="P48" s="1196"/>
      <c r="Q48" s="1196"/>
      <c r="R48" s="1196"/>
      <c r="S48" s="1196"/>
      <c r="T48" s="1196"/>
      <c r="U48" s="1196"/>
      <c r="V48" s="1196"/>
      <c r="W48" s="1196"/>
      <c r="X48" s="1196"/>
      <c r="Y48" s="1196"/>
      <c r="Z48" s="1196"/>
    </row>
    <row r="49" spans="1:26" ht="15" customHeight="1">
      <c r="A49" s="1132"/>
      <c r="B49" s="1132"/>
      <c r="C49" s="1133"/>
      <c r="D49" s="1134" t="s">
        <v>1214</v>
      </c>
      <c r="E49" s="1132"/>
      <c r="F49" s="1137"/>
      <c r="G49" s="1138"/>
      <c r="H49" s="1139"/>
      <c r="I49" s="1196"/>
      <c r="J49" s="1196"/>
      <c r="K49" s="1196"/>
      <c r="L49" s="1196"/>
      <c r="M49" s="1196"/>
      <c r="N49" s="1196"/>
      <c r="O49" s="1196"/>
      <c r="P49" s="1196"/>
      <c r="Q49" s="1196"/>
      <c r="R49" s="1196"/>
      <c r="S49" s="1196"/>
      <c r="T49" s="1196"/>
      <c r="U49" s="1196"/>
      <c r="V49" s="1196"/>
      <c r="W49" s="1196"/>
      <c r="X49" s="1196"/>
      <c r="Y49" s="1196"/>
      <c r="Z49" s="1196"/>
    </row>
    <row r="50" spans="1:26" ht="15" customHeight="1">
      <c r="A50" s="1140"/>
      <c r="B50" s="1140"/>
      <c r="C50" s="1140"/>
      <c r="D50" s="1072" t="s">
        <v>1215</v>
      </c>
      <c r="E50" s="1050" t="s">
        <v>842</v>
      </c>
      <c r="F50" s="1110">
        <v>558.25</v>
      </c>
      <c r="G50" s="1136">
        <v>28180.720000000001</v>
      </c>
      <c r="H50" s="1136">
        <f t="shared" ref="H50:H55" si="1">+F50*G50</f>
        <v>15731886.940000001</v>
      </c>
      <c r="I50" s="1196"/>
      <c r="J50" s="1196"/>
      <c r="K50" s="1196"/>
      <c r="L50" s="1196"/>
      <c r="M50" s="1196"/>
      <c r="N50" s="1196"/>
      <c r="O50" s="1196"/>
      <c r="P50" s="1196"/>
      <c r="Q50" s="1196"/>
      <c r="R50" s="1196"/>
      <c r="S50" s="1196"/>
      <c r="T50" s="1196"/>
      <c r="U50" s="1196"/>
      <c r="V50" s="1196"/>
      <c r="W50" s="1196"/>
      <c r="X50" s="1196"/>
      <c r="Y50" s="1196"/>
      <c r="Z50" s="1196"/>
    </row>
    <row r="51" spans="1:26" ht="15" customHeight="1">
      <c r="A51" s="1140"/>
      <c r="B51" s="1140"/>
      <c r="C51" s="1140"/>
      <c r="D51" s="1072" t="s">
        <v>1216</v>
      </c>
      <c r="E51" s="1050" t="s">
        <v>842</v>
      </c>
      <c r="F51" s="1110">
        <v>470</v>
      </c>
      <c r="G51" s="1136">
        <v>56623.44</v>
      </c>
      <c r="H51" s="1136">
        <f t="shared" si="1"/>
        <v>26613016.800000001</v>
      </c>
      <c r="I51" s="1196"/>
      <c r="J51" s="1196"/>
      <c r="K51" s="1196"/>
      <c r="L51" s="1196"/>
      <c r="M51" s="1196"/>
      <c r="N51" s="1196"/>
      <c r="O51" s="1196"/>
      <c r="P51" s="1196"/>
      <c r="Q51" s="1196"/>
      <c r="R51" s="1196"/>
      <c r="S51" s="1196"/>
      <c r="T51" s="1196"/>
      <c r="U51" s="1196"/>
      <c r="V51" s="1196"/>
      <c r="W51" s="1196"/>
      <c r="X51" s="1196"/>
      <c r="Y51" s="1196"/>
      <c r="Z51" s="1196"/>
    </row>
    <row r="52" spans="1:26" ht="15" customHeight="1">
      <c r="A52" s="1140"/>
      <c r="B52" s="1140"/>
      <c r="C52" s="1140"/>
      <c r="D52" s="1075" t="s">
        <v>1217</v>
      </c>
      <c r="E52" s="1050" t="s">
        <v>842</v>
      </c>
      <c r="F52" s="1110">
        <v>210</v>
      </c>
      <c r="G52" s="1136">
        <v>27736.63</v>
      </c>
      <c r="H52" s="1136">
        <f t="shared" si="1"/>
        <v>5824692.2999999998</v>
      </c>
      <c r="I52" s="1196"/>
      <c r="J52" s="1196"/>
      <c r="K52" s="1196"/>
      <c r="L52" s="1196"/>
      <c r="M52" s="1196"/>
      <c r="N52" s="1196"/>
      <c r="O52" s="1196"/>
      <c r="P52" s="1196"/>
      <c r="Q52" s="1196"/>
      <c r="R52" s="1196"/>
      <c r="S52" s="1196"/>
      <c r="T52" s="1196"/>
      <c r="U52" s="1196"/>
      <c r="V52" s="1196"/>
      <c r="W52" s="1196"/>
      <c r="X52" s="1196"/>
      <c r="Y52" s="1196"/>
      <c r="Z52" s="1196"/>
    </row>
    <row r="53" spans="1:26" ht="15" customHeight="1">
      <c r="A53" s="1140"/>
      <c r="B53" s="1140"/>
      <c r="C53" s="1140"/>
      <c r="D53" s="1072" t="s">
        <v>1218</v>
      </c>
      <c r="E53" s="1050" t="s">
        <v>842</v>
      </c>
      <c r="F53" s="1110">
        <v>140</v>
      </c>
      <c r="G53" s="1136">
        <v>96933.45</v>
      </c>
      <c r="H53" s="1136">
        <f t="shared" si="1"/>
        <v>13570683</v>
      </c>
      <c r="I53" s="1196"/>
      <c r="J53" s="1196"/>
      <c r="K53" s="1196"/>
      <c r="L53" s="1196"/>
      <c r="M53" s="1196"/>
      <c r="N53" s="1196"/>
      <c r="O53" s="1196"/>
      <c r="P53" s="1196"/>
      <c r="Q53" s="1196"/>
      <c r="R53" s="1196"/>
      <c r="S53" s="1196"/>
      <c r="T53" s="1196"/>
      <c r="U53" s="1196"/>
      <c r="V53" s="1196"/>
      <c r="W53" s="1196"/>
      <c r="X53" s="1196"/>
      <c r="Y53" s="1196"/>
      <c r="Z53" s="1196"/>
    </row>
    <row r="54" spans="1:26" ht="15" customHeight="1">
      <c r="A54" s="1140"/>
      <c r="B54" s="1140"/>
      <c r="C54" s="1140"/>
      <c r="D54" s="1072" t="s">
        <v>1219</v>
      </c>
      <c r="E54" s="1050" t="s">
        <v>842</v>
      </c>
      <c r="F54" s="1110">
        <v>1194.44</v>
      </c>
      <c r="G54" s="1136">
        <v>35370</v>
      </c>
      <c r="H54" s="1136">
        <f t="shared" si="1"/>
        <v>42247342.800000004</v>
      </c>
      <c r="I54" s="1196"/>
      <c r="J54" s="1196"/>
      <c r="K54" s="1196"/>
      <c r="L54" s="1196"/>
      <c r="M54" s="1196"/>
      <c r="N54" s="1196"/>
      <c r="O54" s="1196"/>
      <c r="P54" s="1196"/>
      <c r="Q54" s="1196"/>
      <c r="R54" s="1196"/>
      <c r="S54" s="1196"/>
      <c r="T54" s="1196"/>
      <c r="U54" s="1196"/>
      <c r="V54" s="1196"/>
      <c r="W54" s="1196"/>
      <c r="X54" s="1196"/>
      <c r="Y54" s="1196"/>
      <c r="Z54" s="1196"/>
    </row>
    <row r="55" spans="1:26" ht="15" customHeight="1">
      <c r="A55" s="1140"/>
      <c r="B55" s="1140"/>
      <c r="C55" s="1140"/>
      <c r="D55" s="1072" t="s">
        <v>1220</v>
      </c>
      <c r="E55" s="1050" t="s">
        <v>842</v>
      </c>
      <c r="F55" s="1110">
        <v>298.89999999999998</v>
      </c>
      <c r="G55" s="1136">
        <v>160534</v>
      </c>
      <c r="H55" s="1136">
        <f t="shared" si="1"/>
        <v>47983612.599999994</v>
      </c>
      <c r="I55" s="1196"/>
      <c r="J55" s="1196"/>
      <c r="K55" s="1196"/>
      <c r="L55" s="1196"/>
      <c r="M55" s="1196"/>
      <c r="N55" s="1196"/>
      <c r="O55" s="1196"/>
      <c r="P55" s="1196"/>
      <c r="Q55" s="1196"/>
      <c r="R55" s="1196"/>
      <c r="S55" s="1196"/>
      <c r="T55" s="1196"/>
      <c r="U55" s="1196"/>
      <c r="V55" s="1196"/>
      <c r="W55" s="1196"/>
      <c r="X55" s="1196"/>
      <c r="Y55" s="1196"/>
      <c r="Z55" s="1196"/>
    </row>
    <row r="56" spans="1:26" ht="15" customHeight="1">
      <c r="A56" s="1132"/>
      <c r="B56" s="1132"/>
      <c r="C56" s="1133"/>
      <c r="D56" s="1134" t="s">
        <v>1221</v>
      </c>
      <c r="E56" s="1132"/>
      <c r="F56" s="1137"/>
      <c r="G56" s="1138"/>
      <c r="H56" s="1139"/>
      <c r="I56" s="1196"/>
      <c r="J56" s="1196"/>
      <c r="K56" s="1196"/>
      <c r="L56" s="1196"/>
      <c r="M56" s="1196"/>
      <c r="N56" s="1196"/>
      <c r="O56" s="1196"/>
      <c r="P56" s="1196"/>
      <c r="Q56" s="1196"/>
      <c r="R56" s="1196"/>
      <c r="S56" s="1196"/>
      <c r="T56" s="1196"/>
      <c r="U56" s="1196"/>
      <c r="V56" s="1196"/>
      <c r="W56" s="1196"/>
      <c r="X56" s="1196"/>
      <c r="Y56" s="1196"/>
      <c r="Z56" s="1196"/>
    </row>
    <row r="57" spans="1:26" ht="15" customHeight="1">
      <c r="A57" s="1140"/>
      <c r="B57" s="1140"/>
      <c r="C57" s="1140"/>
      <c r="D57" s="1072" t="s">
        <v>1222</v>
      </c>
      <c r="E57" s="1050" t="s">
        <v>677</v>
      </c>
      <c r="F57" s="1110">
        <v>25</v>
      </c>
      <c r="G57" s="1136">
        <v>2720159.98</v>
      </c>
      <c r="H57" s="1136">
        <f t="shared" ref="H57:H61" si="2">+F57*G57</f>
        <v>68003999.5</v>
      </c>
      <c r="I57" s="1196"/>
      <c r="J57" s="1196"/>
      <c r="K57" s="1196"/>
      <c r="L57" s="1196"/>
      <c r="M57" s="1196"/>
      <c r="N57" s="1196"/>
      <c r="O57" s="1196"/>
      <c r="P57" s="1196"/>
      <c r="Q57" s="1196"/>
      <c r="R57" s="1196"/>
      <c r="S57" s="1196"/>
      <c r="T57" s="1196"/>
      <c r="U57" s="1196"/>
      <c r="V57" s="1196"/>
      <c r="W57" s="1196"/>
      <c r="X57" s="1196"/>
      <c r="Y57" s="1196"/>
      <c r="Z57" s="1196"/>
    </row>
    <row r="58" spans="1:26" ht="15" customHeight="1">
      <c r="A58" s="1140"/>
      <c r="B58" s="1140"/>
      <c r="C58" s="1140"/>
      <c r="D58" s="1072" t="s">
        <v>1223</v>
      </c>
      <c r="E58" s="1050" t="s">
        <v>842</v>
      </c>
      <c r="F58" s="1110">
        <v>698.7</v>
      </c>
      <c r="G58" s="1136">
        <v>839863.27</v>
      </c>
      <c r="H58" s="1136">
        <f t="shared" si="2"/>
        <v>586812466.74900007</v>
      </c>
      <c r="I58" s="1196"/>
      <c r="J58" s="1196"/>
      <c r="K58" s="1196"/>
      <c r="L58" s="1196"/>
      <c r="M58" s="1196"/>
      <c r="N58" s="1196"/>
      <c r="O58" s="1196"/>
      <c r="P58" s="1196"/>
      <c r="Q58" s="1196"/>
      <c r="R58" s="1196"/>
      <c r="S58" s="1196"/>
      <c r="T58" s="1196"/>
      <c r="U58" s="1196"/>
      <c r="V58" s="1196"/>
      <c r="W58" s="1196"/>
      <c r="X58" s="1196"/>
      <c r="Y58" s="1196"/>
      <c r="Z58" s="1196"/>
    </row>
    <row r="59" spans="1:26" ht="15" customHeight="1">
      <c r="A59" s="1140"/>
      <c r="B59" s="1140"/>
      <c r="C59" s="1140"/>
      <c r="D59" s="1072" t="s">
        <v>1224</v>
      </c>
      <c r="E59" s="1050" t="s">
        <v>842</v>
      </c>
      <c r="F59" s="1110">
        <v>357.27</v>
      </c>
      <c r="G59" s="1136">
        <v>860562.58000000007</v>
      </c>
      <c r="H59" s="1136">
        <f t="shared" si="2"/>
        <v>307453192.95660001</v>
      </c>
      <c r="I59" s="1196"/>
      <c r="J59" s="1196"/>
      <c r="K59" s="1196"/>
      <c r="L59" s="1196"/>
      <c r="M59" s="1196"/>
      <c r="N59" s="1196"/>
      <c r="O59" s="1196"/>
      <c r="P59" s="1196"/>
      <c r="Q59" s="1196"/>
      <c r="R59" s="1196"/>
      <c r="S59" s="1196"/>
      <c r="T59" s="1196"/>
      <c r="U59" s="1196"/>
      <c r="V59" s="1196"/>
      <c r="W59" s="1196"/>
      <c r="X59" s="1196"/>
      <c r="Y59" s="1196"/>
      <c r="Z59" s="1196"/>
    </row>
    <row r="60" spans="1:26" ht="15" customHeight="1">
      <c r="A60" s="1140"/>
      <c r="B60" s="1140"/>
      <c r="C60" s="1140"/>
      <c r="D60" s="1072" t="s">
        <v>1225</v>
      </c>
      <c r="E60" s="1050" t="s">
        <v>1195</v>
      </c>
      <c r="F60" s="1110">
        <v>140450.68</v>
      </c>
      <c r="G60" s="1136">
        <v>4618</v>
      </c>
      <c r="H60" s="1136">
        <f t="shared" si="2"/>
        <v>648601240.24000001</v>
      </c>
      <c r="I60" s="1196"/>
      <c r="J60" s="1196"/>
      <c r="K60" s="1196"/>
      <c r="L60" s="1196"/>
      <c r="M60" s="1196"/>
      <c r="N60" s="1196"/>
      <c r="O60" s="1196"/>
      <c r="P60" s="1196"/>
      <c r="Q60" s="1196"/>
      <c r="R60" s="1196"/>
      <c r="S60" s="1196"/>
      <c r="T60" s="1196"/>
      <c r="U60" s="1196"/>
      <c r="V60" s="1196"/>
      <c r="W60" s="1196"/>
      <c r="X60" s="1196"/>
      <c r="Y60" s="1196"/>
      <c r="Z60" s="1196"/>
    </row>
    <row r="61" spans="1:26" ht="15" customHeight="1">
      <c r="A61" s="1140"/>
      <c r="B61" s="1140"/>
      <c r="C61" s="1140"/>
      <c r="D61" s="1072" t="s">
        <v>1226</v>
      </c>
      <c r="E61" s="1050" t="s">
        <v>842</v>
      </c>
      <c r="F61" s="1110">
        <v>195</v>
      </c>
      <c r="G61" s="1136">
        <v>245503</v>
      </c>
      <c r="H61" s="1136">
        <f t="shared" si="2"/>
        <v>47873085</v>
      </c>
      <c r="I61" s="1196"/>
      <c r="J61" s="1196"/>
      <c r="K61" s="1196"/>
      <c r="L61" s="1196"/>
      <c r="M61" s="1196"/>
      <c r="N61" s="1196"/>
      <c r="O61" s="1196"/>
      <c r="P61" s="1196"/>
      <c r="Q61" s="1196"/>
      <c r="R61" s="1196"/>
      <c r="S61" s="1196"/>
      <c r="T61" s="1196"/>
      <c r="U61" s="1196"/>
      <c r="V61" s="1196"/>
      <c r="W61" s="1196"/>
      <c r="X61" s="1196"/>
      <c r="Y61" s="1196"/>
      <c r="Z61" s="1196"/>
    </row>
    <row r="62" spans="1:26" ht="15" customHeight="1">
      <c r="A62" s="1132"/>
      <c r="B62" s="1132"/>
      <c r="C62" s="1133"/>
      <c r="D62" s="1134" t="s">
        <v>1227</v>
      </c>
      <c r="E62" s="1132"/>
      <c r="F62" s="1137"/>
      <c r="G62" s="1138"/>
      <c r="H62" s="1139"/>
      <c r="I62" s="1196"/>
      <c r="J62" s="1196"/>
      <c r="K62" s="1196"/>
      <c r="L62" s="1196"/>
      <c r="M62" s="1196"/>
      <c r="N62" s="1196"/>
      <c r="O62" s="1196"/>
      <c r="P62" s="1196"/>
      <c r="Q62" s="1196"/>
      <c r="R62" s="1196"/>
      <c r="S62" s="1196"/>
      <c r="T62" s="1196"/>
      <c r="U62" s="1196"/>
      <c r="V62" s="1196"/>
      <c r="W62" s="1196"/>
      <c r="X62" s="1196"/>
      <c r="Y62" s="1196"/>
      <c r="Z62" s="1196"/>
    </row>
    <row r="63" spans="1:26" ht="15" customHeight="1">
      <c r="A63" s="1140"/>
      <c r="B63" s="1140"/>
      <c r="C63" s="1140"/>
      <c r="D63" s="1072" t="s">
        <v>1228</v>
      </c>
      <c r="E63" s="1050" t="s">
        <v>1229</v>
      </c>
      <c r="F63" s="1110">
        <v>9928.4599999999991</v>
      </c>
      <c r="G63" s="1136">
        <v>19593.670000000002</v>
      </c>
      <c r="H63" s="1136">
        <f t="shared" ref="H63:H76" si="3">+F63*G63</f>
        <v>194534968.84819999</v>
      </c>
      <c r="I63" s="1196"/>
      <c r="J63" s="1196"/>
      <c r="K63" s="1196"/>
      <c r="L63" s="1196"/>
      <c r="M63" s="1196"/>
      <c r="N63" s="1196"/>
      <c r="O63" s="1196"/>
      <c r="P63" s="1196"/>
      <c r="Q63" s="1196"/>
      <c r="R63" s="1196"/>
      <c r="S63" s="1196"/>
      <c r="T63" s="1196"/>
      <c r="U63" s="1196"/>
      <c r="V63" s="1196"/>
      <c r="W63" s="1196"/>
      <c r="X63" s="1196"/>
      <c r="Y63" s="1196"/>
      <c r="Z63" s="1196"/>
    </row>
    <row r="64" spans="1:26" ht="15" customHeight="1">
      <c r="A64" s="1140"/>
      <c r="B64" s="1140"/>
      <c r="C64" s="1140"/>
      <c r="D64" s="1072" t="s">
        <v>1230</v>
      </c>
      <c r="E64" s="1050" t="s">
        <v>1229</v>
      </c>
      <c r="F64" s="1110">
        <v>6285.78</v>
      </c>
      <c r="G64" s="1136">
        <v>19593.670000000002</v>
      </c>
      <c r="H64" s="1136">
        <f t="shared" si="3"/>
        <v>123161499.0126</v>
      </c>
      <c r="I64" s="1196"/>
      <c r="J64" s="1196"/>
      <c r="K64" s="1196"/>
      <c r="L64" s="1196"/>
      <c r="M64" s="1196"/>
      <c r="N64" s="1196"/>
      <c r="O64" s="1196"/>
      <c r="P64" s="1196"/>
      <c r="Q64" s="1196"/>
      <c r="R64" s="1196"/>
      <c r="S64" s="1196"/>
      <c r="T64" s="1196"/>
      <c r="U64" s="1196"/>
      <c r="V64" s="1196"/>
      <c r="W64" s="1196"/>
      <c r="X64" s="1196"/>
      <c r="Y64" s="1196"/>
      <c r="Z64" s="1196"/>
    </row>
    <row r="65" spans="1:26" ht="15" customHeight="1">
      <c r="A65" s="1140"/>
      <c r="B65" s="1140"/>
      <c r="C65" s="1140"/>
      <c r="D65" s="1072" t="s">
        <v>1231</v>
      </c>
      <c r="E65" s="1050" t="s">
        <v>1229</v>
      </c>
      <c r="F65" s="1110">
        <v>24213.22</v>
      </c>
      <c r="G65" s="1136">
        <v>19593.670000000002</v>
      </c>
      <c r="H65" s="1136">
        <f t="shared" si="3"/>
        <v>474425842.3174001</v>
      </c>
      <c r="I65" s="1196"/>
      <c r="J65" s="1196"/>
      <c r="K65" s="1196"/>
      <c r="L65" s="1196"/>
      <c r="M65" s="1196"/>
      <c r="N65" s="1196"/>
      <c r="O65" s="1196"/>
      <c r="P65" s="1196"/>
      <c r="Q65" s="1196"/>
      <c r="R65" s="1196"/>
      <c r="S65" s="1196"/>
      <c r="T65" s="1196"/>
      <c r="U65" s="1196"/>
      <c r="V65" s="1196"/>
      <c r="W65" s="1196"/>
      <c r="X65" s="1196"/>
      <c r="Y65" s="1196"/>
      <c r="Z65" s="1196"/>
    </row>
    <row r="66" spans="1:26" ht="15" customHeight="1">
      <c r="A66" s="1140"/>
      <c r="B66" s="1140"/>
      <c r="C66" s="1140"/>
      <c r="D66" s="1072" t="s">
        <v>1232</v>
      </c>
      <c r="E66" s="1050" t="s">
        <v>1229</v>
      </c>
      <c r="F66" s="1110">
        <v>25523.22</v>
      </c>
      <c r="G66" s="1136">
        <v>19593.670000000002</v>
      </c>
      <c r="H66" s="1136">
        <f t="shared" si="3"/>
        <v>500093550.01740009</v>
      </c>
      <c r="I66" s="1196"/>
      <c r="J66" s="1196"/>
      <c r="K66" s="1196"/>
      <c r="L66" s="1196"/>
      <c r="M66" s="1196"/>
      <c r="N66" s="1196"/>
      <c r="O66" s="1196"/>
      <c r="P66" s="1196"/>
      <c r="Q66" s="1196"/>
      <c r="R66" s="1196"/>
      <c r="S66" s="1196"/>
      <c r="T66" s="1196"/>
      <c r="U66" s="1196"/>
      <c r="V66" s="1196"/>
      <c r="W66" s="1196"/>
      <c r="X66" s="1196"/>
      <c r="Y66" s="1196"/>
      <c r="Z66" s="1196"/>
    </row>
    <row r="67" spans="1:26" ht="15" customHeight="1">
      <c r="A67" s="1140"/>
      <c r="B67" s="1140"/>
      <c r="C67" s="1140"/>
      <c r="D67" s="1072" t="s">
        <v>1233</v>
      </c>
      <c r="E67" s="1050" t="s">
        <v>1229</v>
      </c>
      <c r="F67" s="1110">
        <v>7642.37</v>
      </c>
      <c r="G67" s="1136">
        <v>19593.670000000002</v>
      </c>
      <c r="H67" s="1136">
        <f t="shared" si="3"/>
        <v>149742075.79790002</v>
      </c>
      <c r="I67" s="1196"/>
      <c r="J67" s="1196"/>
      <c r="K67" s="1196"/>
      <c r="L67" s="1196"/>
      <c r="M67" s="1196"/>
      <c r="N67" s="1196"/>
      <c r="O67" s="1196"/>
      <c r="P67" s="1196"/>
      <c r="Q67" s="1196"/>
      <c r="R67" s="1196"/>
      <c r="S67" s="1196"/>
      <c r="T67" s="1196"/>
      <c r="U67" s="1196"/>
      <c r="V67" s="1196"/>
      <c r="W67" s="1196"/>
      <c r="X67" s="1196"/>
      <c r="Y67" s="1196"/>
      <c r="Z67" s="1196"/>
    </row>
    <row r="68" spans="1:26" ht="15" customHeight="1">
      <c r="A68" s="1140"/>
      <c r="B68" s="1140"/>
      <c r="C68" s="1140"/>
      <c r="D68" s="1072" t="s">
        <v>1234</v>
      </c>
      <c r="E68" s="1050" t="s">
        <v>1229</v>
      </c>
      <c r="F68" s="1110">
        <v>2836.68</v>
      </c>
      <c r="G68" s="1136">
        <v>19593.670000000002</v>
      </c>
      <c r="H68" s="1136">
        <f t="shared" si="3"/>
        <v>55580971.8156</v>
      </c>
      <c r="I68" s="1196"/>
      <c r="J68" s="1196"/>
      <c r="K68" s="1196"/>
      <c r="L68" s="1196"/>
      <c r="M68" s="1196"/>
      <c r="N68" s="1196"/>
      <c r="O68" s="1196"/>
      <c r="P68" s="1196"/>
      <c r="Q68" s="1196"/>
      <c r="R68" s="1196"/>
      <c r="S68" s="1196"/>
      <c r="T68" s="1196"/>
      <c r="U68" s="1196"/>
      <c r="V68" s="1196"/>
      <c r="W68" s="1196"/>
      <c r="X68" s="1196"/>
      <c r="Y68" s="1196"/>
      <c r="Z68" s="1196"/>
    </row>
    <row r="69" spans="1:26" ht="15" customHeight="1">
      <c r="A69" s="1140"/>
      <c r="B69" s="1140"/>
      <c r="C69" s="1140"/>
      <c r="D69" s="1072" t="s">
        <v>1235</v>
      </c>
      <c r="E69" s="1050" t="s">
        <v>1229</v>
      </c>
      <c r="F69" s="1110">
        <v>18288.39</v>
      </c>
      <c r="G69" s="1136">
        <v>19593.670000000002</v>
      </c>
      <c r="H69" s="1136">
        <f t="shared" si="3"/>
        <v>358336678.49130005</v>
      </c>
      <c r="I69" s="1196"/>
      <c r="J69" s="1196"/>
      <c r="K69" s="1196"/>
      <c r="L69" s="1196"/>
      <c r="M69" s="1196"/>
      <c r="N69" s="1196"/>
      <c r="O69" s="1196"/>
      <c r="P69" s="1196"/>
      <c r="Q69" s="1196"/>
      <c r="R69" s="1196"/>
      <c r="S69" s="1196"/>
      <c r="T69" s="1196"/>
      <c r="U69" s="1196"/>
      <c r="V69" s="1196"/>
      <c r="W69" s="1196"/>
      <c r="X69" s="1196"/>
      <c r="Y69" s="1196"/>
      <c r="Z69" s="1196"/>
    </row>
    <row r="70" spans="1:26" ht="15" customHeight="1">
      <c r="A70" s="1140"/>
      <c r="B70" s="1140"/>
      <c r="C70" s="1140"/>
      <c r="D70" s="1072" t="s">
        <v>1236</v>
      </c>
      <c r="E70" s="1050" t="s">
        <v>1229</v>
      </c>
      <c r="F70" s="1110">
        <v>22542</v>
      </c>
      <c r="G70" s="1136">
        <v>19593.670000000002</v>
      </c>
      <c r="H70" s="1136">
        <f t="shared" si="3"/>
        <v>441680509.14000005</v>
      </c>
      <c r="I70" s="1196"/>
      <c r="J70" s="1196"/>
      <c r="K70" s="1196"/>
      <c r="L70" s="1196"/>
      <c r="M70" s="1196"/>
      <c r="N70" s="1196"/>
      <c r="O70" s="1196"/>
      <c r="P70" s="1196"/>
      <c r="Q70" s="1196"/>
      <c r="R70" s="1196"/>
      <c r="S70" s="1196"/>
      <c r="T70" s="1196"/>
      <c r="U70" s="1196"/>
      <c r="V70" s="1196"/>
      <c r="W70" s="1196"/>
      <c r="X70" s="1196"/>
      <c r="Y70" s="1196"/>
      <c r="Z70" s="1196"/>
    </row>
    <row r="71" spans="1:26" ht="15" customHeight="1">
      <c r="A71" s="1140"/>
      <c r="B71" s="1140"/>
      <c r="C71" s="1140"/>
      <c r="D71" s="1072" t="s">
        <v>1237</v>
      </c>
      <c r="E71" s="1050" t="s">
        <v>677</v>
      </c>
      <c r="F71" s="1110">
        <v>2250</v>
      </c>
      <c r="G71" s="1136">
        <v>95730.87000000001</v>
      </c>
      <c r="H71" s="1136">
        <f t="shared" si="3"/>
        <v>215394457.50000003</v>
      </c>
      <c r="I71" s="1196"/>
      <c r="J71" s="1196"/>
      <c r="K71" s="1196"/>
      <c r="L71" s="1196"/>
      <c r="M71" s="1196"/>
      <c r="N71" s="1196"/>
      <c r="O71" s="1196"/>
      <c r="P71" s="1196"/>
      <c r="Q71" s="1196"/>
      <c r="R71" s="1196"/>
      <c r="S71" s="1196"/>
      <c r="T71" s="1196"/>
      <c r="U71" s="1196"/>
      <c r="V71" s="1196"/>
      <c r="W71" s="1196"/>
      <c r="X71" s="1196"/>
      <c r="Y71" s="1196"/>
      <c r="Z71" s="1196"/>
    </row>
    <row r="72" spans="1:26" ht="26.25" customHeight="1">
      <c r="A72" s="1140"/>
      <c r="B72" s="1140"/>
      <c r="C72" s="1140"/>
      <c r="D72" s="1075" t="s">
        <v>1238</v>
      </c>
      <c r="E72" s="1050" t="s">
        <v>677</v>
      </c>
      <c r="F72" s="1110">
        <v>121</v>
      </c>
      <c r="G72" s="1136">
        <v>226730.87</v>
      </c>
      <c r="H72" s="1136">
        <f t="shared" si="3"/>
        <v>27434435.27</v>
      </c>
      <c r="I72" s="1196"/>
      <c r="J72" s="1196"/>
      <c r="K72" s="1196"/>
      <c r="L72" s="1196"/>
      <c r="M72" s="1196"/>
      <c r="N72" s="1196"/>
      <c r="O72" s="1196"/>
      <c r="P72" s="1196"/>
      <c r="Q72" s="1196"/>
      <c r="R72" s="1196"/>
      <c r="S72" s="1196"/>
      <c r="T72" s="1196"/>
      <c r="U72" s="1196"/>
      <c r="V72" s="1196"/>
      <c r="W72" s="1196"/>
      <c r="X72" s="1196"/>
      <c r="Y72" s="1196"/>
      <c r="Z72" s="1196"/>
    </row>
    <row r="73" spans="1:26" ht="15" customHeight="1">
      <c r="A73" s="1140"/>
      <c r="B73" s="1140"/>
      <c r="C73" s="1140"/>
      <c r="D73" s="1072" t="s">
        <v>1239</v>
      </c>
      <c r="E73" s="1050" t="s">
        <v>1229</v>
      </c>
      <c r="F73" s="1110">
        <v>1506.6</v>
      </c>
      <c r="G73" s="1136">
        <v>19593.670000000002</v>
      </c>
      <c r="H73" s="1136">
        <f t="shared" si="3"/>
        <v>29519823.222000003</v>
      </c>
      <c r="I73" s="1196"/>
      <c r="J73" s="1196"/>
      <c r="K73" s="1196"/>
      <c r="L73" s="1196"/>
      <c r="M73" s="1196"/>
      <c r="N73" s="1196"/>
      <c r="O73" s="1196"/>
      <c r="P73" s="1196"/>
      <c r="Q73" s="1196"/>
      <c r="R73" s="1196"/>
      <c r="S73" s="1196"/>
      <c r="T73" s="1196"/>
      <c r="U73" s="1196"/>
      <c r="V73" s="1196"/>
      <c r="W73" s="1196"/>
      <c r="X73" s="1196"/>
      <c r="Y73" s="1196"/>
      <c r="Z73" s="1196"/>
    </row>
    <row r="74" spans="1:26" ht="15" customHeight="1">
      <c r="A74" s="1140"/>
      <c r="B74" s="1140"/>
      <c r="C74" s="1140"/>
      <c r="D74" s="1072" t="s">
        <v>1240</v>
      </c>
      <c r="E74" s="1050" t="s">
        <v>1229</v>
      </c>
      <c r="F74" s="1110">
        <v>6822.95</v>
      </c>
      <c r="G74" s="1136">
        <v>19593.670000000002</v>
      </c>
      <c r="H74" s="1136">
        <f t="shared" si="3"/>
        <v>133686630.7265</v>
      </c>
      <c r="I74" s="1196"/>
      <c r="J74" s="1196"/>
      <c r="K74" s="1196"/>
      <c r="L74" s="1196"/>
      <c r="M74" s="1196"/>
      <c r="N74" s="1196"/>
      <c r="O74" s="1196"/>
      <c r="P74" s="1196"/>
      <c r="Q74" s="1196"/>
      <c r="R74" s="1196"/>
      <c r="S74" s="1196"/>
      <c r="T74" s="1196"/>
      <c r="U74" s="1196"/>
      <c r="V74" s="1196"/>
      <c r="W74" s="1196"/>
      <c r="X74" s="1196"/>
      <c r="Y74" s="1196"/>
      <c r="Z74" s="1196"/>
    </row>
    <row r="75" spans="1:26" ht="15" customHeight="1">
      <c r="A75" s="1140"/>
      <c r="B75" s="1140"/>
      <c r="C75" s="1140"/>
      <c r="D75" s="1141" t="s">
        <v>1241</v>
      </c>
      <c r="E75" s="1050" t="s">
        <v>1242</v>
      </c>
      <c r="F75" s="1110">
        <v>8</v>
      </c>
      <c r="G75" s="1136">
        <v>16209805.07</v>
      </c>
      <c r="H75" s="1136">
        <f t="shared" si="3"/>
        <v>129678440.56</v>
      </c>
      <c r="I75" s="1196"/>
      <c r="J75" s="1196"/>
      <c r="K75" s="1196"/>
      <c r="L75" s="1196"/>
      <c r="M75" s="1196"/>
      <c r="N75" s="1196"/>
      <c r="O75" s="1196"/>
      <c r="P75" s="1196"/>
      <c r="Q75" s="1196"/>
      <c r="R75" s="1196"/>
      <c r="S75" s="1196"/>
      <c r="T75" s="1196"/>
      <c r="U75" s="1196"/>
      <c r="V75" s="1196"/>
      <c r="W75" s="1196"/>
      <c r="X75" s="1196"/>
      <c r="Y75" s="1196"/>
      <c r="Z75" s="1196"/>
    </row>
    <row r="76" spans="1:26" ht="15" customHeight="1">
      <c r="A76" s="1140"/>
      <c r="B76" s="1140"/>
      <c r="C76" s="1140"/>
      <c r="D76" s="1072" t="s">
        <v>1243</v>
      </c>
      <c r="E76" s="1050" t="s">
        <v>677</v>
      </c>
      <c r="F76" s="1110">
        <v>1643</v>
      </c>
      <c r="G76" s="1136">
        <v>36873.880000000005</v>
      </c>
      <c r="H76" s="1136">
        <f t="shared" si="3"/>
        <v>60583784.840000011</v>
      </c>
      <c r="I76" s="1196"/>
      <c r="J76" s="1196"/>
      <c r="K76" s="1196"/>
      <c r="L76" s="1196"/>
      <c r="M76" s="1196"/>
      <c r="N76" s="1196"/>
      <c r="O76" s="1196"/>
      <c r="P76" s="1196"/>
      <c r="Q76" s="1196"/>
      <c r="R76" s="1196"/>
      <c r="S76" s="1196"/>
      <c r="T76" s="1196"/>
      <c r="U76" s="1196"/>
      <c r="V76" s="1196"/>
      <c r="W76" s="1196"/>
      <c r="X76" s="1196"/>
      <c r="Y76" s="1196"/>
      <c r="Z76" s="1196"/>
    </row>
    <row r="77" spans="1:26" ht="15" customHeight="1">
      <c r="A77" s="1132"/>
      <c r="B77" s="1132"/>
      <c r="C77" s="1133"/>
      <c r="D77" s="1134" t="s">
        <v>1244</v>
      </c>
      <c r="E77" s="1132"/>
      <c r="F77" s="1137"/>
      <c r="G77" s="1138"/>
      <c r="H77" s="1139"/>
      <c r="I77" s="1196"/>
      <c r="J77" s="1196"/>
      <c r="K77" s="1196"/>
      <c r="L77" s="1196"/>
      <c r="M77" s="1196"/>
      <c r="N77" s="1196"/>
      <c r="O77" s="1196"/>
      <c r="P77" s="1196"/>
      <c r="Q77" s="1196"/>
      <c r="R77" s="1196"/>
      <c r="S77" s="1196"/>
      <c r="T77" s="1196"/>
      <c r="U77" s="1196"/>
      <c r="V77" s="1196"/>
      <c r="W77" s="1196"/>
      <c r="X77" s="1196"/>
      <c r="Y77" s="1196"/>
      <c r="Z77" s="1196"/>
    </row>
    <row r="78" spans="1:26" ht="15" customHeight="1">
      <c r="A78" s="1140"/>
      <c r="B78" s="1140"/>
      <c r="C78" s="1140"/>
      <c r="D78" s="1072" t="s">
        <v>1245</v>
      </c>
      <c r="E78" s="1050" t="s">
        <v>677</v>
      </c>
      <c r="F78" s="1110">
        <v>121</v>
      </c>
      <c r="G78" s="1136">
        <v>516214.67000000004</v>
      </c>
      <c r="H78" s="1136">
        <f t="shared" ref="H78:H93" si="4">+F78*G78</f>
        <v>62461975.070000008</v>
      </c>
      <c r="I78" s="1196"/>
      <c r="J78" s="1196"/>
      <c r="K78" s="1196"/>
      <c r="L78" s="1196"/>
      <c r="M78" s="1196"/>
      <c r="N78" s="1196"/>
      <c r="O78" s="1196"/>
      <c r="P78" s="1196"/>
      <c r="Q78" s="1196"/>
      <c r="R78" s="1196"/>
      <c r="S78" s="1196"/>
      <c r="T78" s="1196"/>
      <c r="U78" s="1196"/>
      <c r="V78" s="1196"/>
      <c r="W78" s="1196"/>
      <c r="X78" s="1196"/>
      <c r="Y78" s="1196"/>
      <c r="Z78" s="1196"/>
    </row>
    <row r="79" spans="1:26" ht="15" customHeight="1">
      <c r="A79" s="1140"/>
      <c r="B79" s="1140"/>
      <c r="C79" s="1140"/>
      <c r="D79" s="1072" t="s">
        <v>1246</v>
      </c>
      <c r="E79" s="1050" t="s">
        <v>677</v>
      </c>
      <c r="F79" s="1110">
        <v>20</v>
      </c>
      <c r="G79" s="1136">
        <v>262381.21000000002</v>
      </c>
      <c r="H79" s="1136">
        <f t="shared" si="4"/>
        <v>5247624.2</v>
      </c>
      <c r="I79" s="1196"/>
      <c r="J79" s="1196"/>
      <c r="K79" s="1196"/>
      <c r="L79" s="1196"/>
      <c r="M79" s="1196"/>
      <c r="N79" s="1196"/>
      <c r="O79" s="1196"/>
      <c r="P79" s="1196"/>
      <c r="Q79" s="1196"/>
      <c r="R79" s="1196"/>
      <c r="S79" s="1196"/>
      <c r="T79" s="1196"/>
      <c r="U79" s="1196"/>
      <c r="V79" s="1196"/>
      <c r="W79" s="1196"/>
      <c r="X79" s="1196"/>
      <c r="Y79" s="1196"/>
      <c r="Z79" s="1196"/>
    </row>
    <row r="80" spans="1:26" ht="14.25" customHeight="1">
      <c r="A80" s="1083"/>
      <c r="B80" s="1083"/>
      <c r="C80" s="1083"/>
      <c r="D80" s="1072" t="s">
        <v>1247</v>
      </c>
      <c r="E80" s="1050" t="s">
        <v>1242</v>
      </c>
      <c r="F80" s="1110">
        <v>6</v>
      </c>
      <c r="G80" s="1136">
        <v>556750</v>
      </c>
      <c r="H80" s="1136">
        <f t="shared" si="4"/>
        <v>3340500</v>
      </c>
      <c r="I80" s="1196"/>
      <c r="J80" s="1196"/>
      <c r="K80" s="1196"/>
      <c r="L80" s="1196"/>
      <c r="M80" s="1196"/>
      <c r="N80" s="1196"/>
      <c r="O80" s="1196"/>
      <c r="P80" s="1196"/>
      <c r="Q80" s="1196"/>
      <c r="R80" s="1196"/>
      <c r="S80" s="1196"/>
      <c r="T80" s="1196"/>
      <c r="U80" s="1196"/>
      <c r="V80" s="1196"/>
      <c r="W80" s="1196"/>
      <c r="X80" s="1196"/>
      <c r="Y80" s="1196"/>
      <c r="Z80" s="1196"/>
    </row>
    <row r="81" spans="1:26" ht="14.25" customHeight="1">
      <c r="A81" s="1083"/>
      <c r="B81" s="1083"/>
      <c r="C81" s="1083"/>
      <c r="D81" s="1072" t="s">
        <v>1248</v>
      </c>
      <c r="E81" s="1050" t="s">
        <v>1170</v>
      </c>
      <c r="F81" s="1110">
        <v>15</v>
      </c>
      <c r="G81" s="1136">
        <v>822871.26</v>
      </c>
      <c r="H81" s="1136">
        <f t="shared" si="4"/>
        <v>12343068.9</v>
      </c>
      <c r="I81" s="1196"/>
      <c r="J81" s="1196"/>
      <c r="K81" s="1196"/>
      <c r="L81" s="1196"/>
      <c r="M81" s="1196"/>
      <c r="N81" s="1196"/>
      <c r="O81" s="1196"/>
      <c r="P81" s="1196"/>
      <c r="Q81" s="1196"/>
      <c r="R81" s="1196"/>
      <c r="S81" s="1196"/>
      <c r="T81" s="1196"/>
      <c r="U81" s="1196"/>
      <c r="V81" s="1196"/>
      <c r="W81" s="1196"/>
      <c r="X81" s="1196"/>
      <c r="Y81" s="1196"/>
      <c r="Z81" s="1196"/>
    </row>
    <row r="82" spans="1:26" ht="14.25" customHeight="1">
      <c r="A82" s="1083"/>
      <c r="B82" s="1083"/>
      <c r="C82" s="1083"/>
      <c r="D82" s="1072" t="s">
        <v>1249</v>
      </c>
      <c r="E82" s="1050" t="s">
        <v>842</v>
      </c>
      <c r="F82" s="1110">
        <f>18+45</f>
        <v>63</v>
      </c>
      <c r="G82" s="1136">
        <v>741742.96000000008</v>
      </c>
      <c r="H82" s="1136">
        <f t="shared" si="4"/>
        <v>46729806.480000004</v>
      </c>
      <c r="I82" s="1196"/>
      <c r="J82" s="1196"/>
      <c r="K82" s="1196"/>
      <c r="L82" s="1196"/>
      <c r="M82" s="1196"/>
      <c r="N82" s="1196"/>
      <c r="O82" s="1196"/>
      <c r="P82" s="1196"/>
      <c r="Q82" s="1196"/>
      <c r="R82" s="1196"/>
      <c r="S82" s="1196"/>
      <c r="T82" s="1196"/>
      <c r="U82" s="1196"/>
      <c r="V82" s="1196"/>
      <c r="W82" s="1196"/>
      <c r="X82" s="1196"/>
      <c r="Y82" s="1196"/>
      <c r="Z82" s="1196"/>
    </row>
    <row r="83" spans="1:26" ht="15" customHeight="1">
      <c r="A83" s="1142"/>
      <c r="B83" s="1142"/>
      <c r="C83" s="1142"/>
      <c r="D83" s="1141" t="s">
        <v>1250</v>
      </c>
      <c r="E83" s="1050" t="s">
        <v>677</v>
      </c>
      <c r="F83" s="1110">
        <v>25</v>
      </c>
      <c r="G83" s="1136">
        <v>688167.89</v>
      </c>
      <c r="H83" s="1136">
        <f t="shared" si="4"/>
        <v>17204197.25</v>
      </c>
      <c r="I83" s="1196"/>
      <c r="J83" s="1196"/>
      <c r="K83" s="1196"/>
      <c r="L83" s="1196"/>
      <c r="M83" s="1196"/>
      <c r="N83" s="1196"/>
      <c r="O83" s="1196"/>
      <c r="P83" s="1196"/>
      <c r="Q83" s="1196"/>
      <c r="R83" s="1196"/>
      <c r="S83" s="1196"/>
      <c r="T83" s="1196"/>
      <c r="U83" s="1196"/>
      <c r="V83" s="1196"/>
      <c r="W83" s="1196"/>
      <c r="X83" s="1196"/>
      <c r="Y83" s="1196"/>
      <c r="Z83" s="1196"/>
    </row>
    <row r="84" spans="1:26" ht="14.25" customHeight="1">
      <c r="A84" s="1069"/>
      <c r="B84" s="1069"/>
      <c r="C84" s="1083"/>
      <c r="D84" s="1072" t="s">
        <v>1251</v>
      </c>
      <c r="E84" s="1050" t="s">
        <v>677</v>
      </c>
      <c r="F84" s="1110">
        <v>61</v>
      </c>
      <c r="G84" s="1136">
        <v>3000000</v>
      </c>
      <c r="H84" s="1136">
        <f t="shared" si="4"/>
        <v>183000000</v>
      </c>
      <c r="I84" s="1196"/>
      <c r="J84" s="1196"/>
      <c r="K84" s="1196"/>
      <c r="L84" s="1196"/>
      <c r="M84" s="1196"/>
      <c r="N84" s="1196"/>
      <c r="O84" s="1196"/>
      <c r="P84" s="1196"/>
      <c r="Q84" s="1196"/>
      <c r="R84" s="1196"/>
      <c r="S84" s="1196"/>
      <c r="T84" s="1196"/>
      <c r="U84" s="1196"/>
      <c r="V84" s="1196"/>
      <c r="W84" s="1196"/>
      <c r="X84" s="1196"/>
      <c r="Y84" s="1196"/>
      <c r="Z84" s="1196"/>
    </row>
    <row r="85" spans="1:26" ht="14.25" customHeight="1">
      <c r="A85" s="1069"/>
      <c r="B85" s="1069"/>
      <c r="C85" s="1083"/>
      <c r="D85" s="1072" t="s">
        <v>1252</v>
      </c>
      <c r="E85" s="1050" t="s">
        <v>1174</v>
      </c>
      <c r="F85" s="1110">
        <v>1</v>
      </c>
      <c r="G85" s="1136">
        <v>78600000</v>
      </c>
      <c r="H85" s="1136">
        <f t="shared" si="4"/>
        <v>78600000</v>
      </c>
      <c r="I85" s="1196"/>
      <c r="J85" s="1196"/>
      <c r="K85" s="1196"/>
      <c r="L85" s="1196"/>
      <c r="M85" s="1196"/>
      <c r="N85" s="1196"/>
      <c r="O85" s="1196"/>
      <c r="P85" s="1196"/>
      <c r="Q85" s="1196"/>
      <c r="R85" s="1196"/>
      <c r="S85" s="1196"/>
      <c r="T85" s="1196"/>
      <c r="U85" s="1196"/>
      <c r="V85" s="1196"/>
      <c r="W85" s="1196"/>
      <c r="X85" s="1196"/>
      <c r="Y85" s="1196"/>
      <c r="Z85" s="1196"/>
    </row>
    <row r="86" spans="1:26" ht="15" customHeight="1">
      <c r="A86" s="1143"/>
      <c r="B86" s="1143"/>
      <c r="C86" s="1143"/>
      <c r="D86" s="1141" t="s">
        <v>1253</v>
      </c>
      <c r="E86" s="1050" t="s">
        <v>842</v>
      </c>
      <c r="F86" s="1110">
        <f>66.09+(500*8*0.07)</f>
        <v>346.09000000000003</v>
      </c>
      <c r="G86" s="1136">
        <v>765040</v>
      </c>
      <c r="H86" s="1136">
        <f t="shared" si="4"/>
        <v>264772693.60000002</v>
      </c>
      <c r="I86" s="1196"/>
      <c r="J86" s="1196"/>
      <c r="K86" s="1196"/>
      <c r="L86" s="1196"/>
      <c r="M86" s="1196"/>
      <c r="N86" s="1196"/>
      <c r="O86" s="1196"/>
      <c r="P86" s="1196"/>
      <c r="Q86" s="1196"/>
      <c r="R86" s="1196"/>
      <c r="S86" s="1196"/>
      <c r="T86" s="1196"/>
      <c r="U86" s="1196"/>
      <c r="V86" s="1196"/>
      <c r="W86" s="1196"/>
      <c r="X86" s="1196"/>
      <c r="Y86" s="1196"/>
      <c r="Z86" s="1196"/>
    </row>
    <row r="87" spans="1:26" ht="14.25" customHeight="1">
      <c r="A87" s="1069"/>
      <c r="B87" s="1069"/>
      <c r="C87" s="1083"/>
      <c r="D87" s="1072" t="s">
        <v>1254</v>
      </c>
      <c r="E87" s="1050" t="s">
        <v>1242</v>
      </c>
      <c r="F87" s="1110">
        <v>12</v>
      </c>
      <c r="G87" s="1136">
        <v>227928.21000000002</v>
      </c>
      <c r="H87" s="1136">
        <f t="shared" si="4"/>
        <v>2735138.5200000005</v>
      </c>
      <c r="I87" s="1196"/>
      <c r="J87" s="1196"/>
      <c r="K87" s="1196"/>
      <c r="L87" s="1196"/>
      <c r="M87" s="1196"/>
      <c r="N87" s="1196"/>
      <c r="O87" s="1196"/>
      <c r="P87" s="1196"/>
      <c r="Q87" s="1196"/>
      <c r="R87" s="1196"/>
      <c r="S87" s="1196"/>
      <c r="T87" s="1196"/>
      <c r="U87" s="1196"/>
      <c r="V87" s="1196"/>
      <c r="W87" s="1196"/>
      <c r="X87" s="1196"/>
      <c r="Y87" s="1196"/>
      <c r="Z87" s="1196"/>
    </row>
    <row r="88" spans="1:26" ht="14.25" customHeight="1">
      <c r="A88" s="1069"/>
      <c r="B88" s="1069"/>
      <c r="C88" s="1083"/>
      <c r="D88" s="1072" t="s">
        <v>1255</v>
      </c>
      <c r="E88" s="1050" t="s">
        <v>677</v>
      </c>
      <c r="F88" s="1110">
        <v>300</v>
      </c>
      <c r="G88" s="1136">
        <v>36833.270000000004</v>
      </c>
      <c r="H88" s="1136">
        <f t="shared" si="4"/>
        <v>11049981.000000002</v>
      </c>
      <c r="I88" s="1196"/>
      <c r="J88" s="1196"/>
      <c r="K88" s="1196"/>
      <c r="L88" s="1196"/>
      <c r="M88" s="1196"/>
      <c r="N88" s="1196"/>
      <c r="O88" s="1196"/>
      <c r="P88" s="1196"/>
      <c r="Q88" s="1196"/>
      <c r="R88" s="1196"/>
      <c r="S88" s="1196"/>
      <c r="T88" s="1196"/>
      <c r="U88" s="1196"/>
      <c r="V88" s="1196"/>
      <c r="W88" s="1196"/>
      <c r="X88" s="1196"/>
      <c r="Y88" s="1196"/>
      <c r="Z88" s="1196"/>
    </row>
    <row r="89" spans="1:26" ht="26.25" customHeight="1">
      <c r="A89" s="1142"/>
      <c r="B89" s="1142"/>
      <c r="C89" s="1142"/>
      <c r="D89" s="1075" t="s">
        <v>1256</v>
      </c>
      <c r="E89" s="1050" t="s">
        <v>1174</v>
      </c>
      <c r="F89" s="1110">
        <v>1</v>
      </c>
      <c r="G89" s="1136">
        <v>100503200</v>
      </c>
      <c r="H89" s="1136">
        <f t="shared" si="4"/>
        <v>100503200</v>
      </c>
      <c r="I89" s="1196"/>
      <c r="J89" s="1196"/>
      <c r="K89" s="1196"/>
      <c r="L89" s="1196"/>
      <c r="M89" s="1196"/>
      <c r="N89" s="1196"/>
      <c r="O89" s="1196"/>
      <c r="P89" s="1196"/>
      <c r="Q89" s="1196"/>
      <c r="R89" s="1196"/>
      <c r="S89" s="1196"/>
      <c r="T89" s="1196"/>
      <c r="U89" s="1196"/>
      <c r="V89" s="1196"/>
      <c r="W89" s="1196"/>
      <c r="X89" s="1196"/>
      <c r="Y89" s="1196"/>
      <c r="Z89" s="1196"/>
    </row>
    <row r="90" spans="1:26" ht="14.25" customHeight="1">
      <c r="A90" s="1069"/>
      <c r="B90" s="1069"/>
      <c r="C90" s="1083"/>
      <c r="D90" s="1072" t="s">
        <v>1257</v>
      </c>
      <c r="E90" s="1050" t="s">
        <v>1174</v>
      </c>
      <c r="F90" s="1110">
        <v>1</v>
      </c>
      <c r="G90" s="1136">
        <v>45015262.760000005</v>
      </c>
      <c r="H90" s="1136">
        <f t="shared" si="4"/>
        <v>45015262.760000005</v>
      </c>
      <c r="I90" s="1196"/>
      <c r="J90" s="1196"/>
      <c r="K90" s="1196"/>
      <c r="L90" s="1196"/>
      <c r="M90" s="1196"/>
      <c r="N90" s="1196"/>
      <c r="O90" s="1196"/>
      <c r="P90" s="1196"/>
      <c r="Q90" s="1196"/>
      <c r="R90" s="1196"/>
      <c r="S90" s="1196"/>
      <c r="T90" s="1196"/>
      <c r="U90" s="1196"/>
      <c r="V90" s="1196"/>
      <c r="W90" s="1196"/>
      <c r="X90" s="1196"/>
      <c r="Y90" s="1196"/>
      <c r="Z90" s="1196"/>
    </row>
    <row r="91" spans="1:26" ht="14.25" customHeight="1">
      <c r="A91" s="1069"/>
      <c r="B91" s="1069"/>
      <c r="C91" s="1083"/>
      <c r="D91" s="1072" t="s">
        <v>1258</v>
      </c>
      <c r="E91" s="1050" t="s">
        <v>1174</v>
      </c>
      <c r="F91" s="1110">
        <v>1</v>
      </c>
      <c r="G91" s="1136">
        <v>25000000</v>
      </c>
      <c r="H91" s="1136">
        <f t="shared" si="4"/>
        <v>25000000</v>
      </c>
      <c r="I91" s="1196"/>
      <c r="J91" s="1196"/>
      <c r="K91" s="1196"/>
      <c r="L91" s="1196"/>
      <c r="M91" s="1196"/>
      <c r="N91" s="1196"/>
      <c r="O91" s="1196"/>
      <c r="P91" s="1196"/>
      <c r="Q91" s="1196"/>
      <c r="R91" s="1196"/>
      <c r="S91" s="1196"/>
      <c r="T91" s="1196"/>
      <c r="U91" s="1196"/>
      <c r="V91" s="1196"/>
      <c r="W91" s="1196"/>
      <c r="X91" s="1196"/>
      <c r="Y91" s="1196"/>
      <c r="Z91" s="1196"/>
    </row>
    <row r="92" spans="1:26" ht="14.25" customHeight="1">
      <c r="A92" s="1069"/>
      <c r="B92" s="1069"/>
      <c r="C92" s="1083"/>
      <c r="D92" s="1144" t="s">
        <v>1259</v>
      </c>
      <c r="E92" s="1050" t="s">
        <v>1170</v>
      </c>
      <c r="F92" s="1110">
        <f>500*8*0.2</f>
        <v>800</v>
      </c>
      <c r="G92" s="1136">
        <v>96287</v>
      </c>
      <c r="H92" s="1136">
        <f t="shared" si="4"/>
        <v>77029600</v>
      </c>
      <c r="I92" s="1196"/>
      <c r="J92" s="1196"/>
      <c r="K92" s="1196"/>
      <c r="L92" s="1196"/>
      <c r="M92" s="1196"/>
      <c r="N92" s="1196"/>
      <c r="O92" s="1196"/>
      <c r="P92" s="1196"/>
      <c r="Q92" s="1196"/>
      <c r="R92" s="1196"/>
      <c r="S92" s="1196"/>
      <c r="T92" s="1196"/>
      <c r="U92" s="1196"/>
      <c r="V92" s="1196"/>
      <c r="W92" s="1196"/>
      <c r="X92" s="1196"/>
      <c r="Y92" s="1196"/>
      <c r="Z92" s="1196"/>
    </row>
    <row r="93" spans="1:26" ht="14.25" customHeight="1">
      <c r="A93" s="1069"/>
      <c r="B93" s="1069"/>
      <c r="C93" s="1083"/>
      <c r="D93" s="1072" t="s">
        <v>1260</v>
      </c>
      <c r="E93" s="1050" t="s">
        <v>1170</v>
      </c>
      <c r="F93" s="1110">
        <f>+F92</f>
        <v>800</v>
      </c>
      <c r="G93" s="1136">
        <v>79251</v>
      </c>
      <c r="H93" s="1136">
        <f t="shared" si="4"/>
        <v>63400800</v>
      </c>
      <c r="I93" s="1196"/>
      <c r="J93" s="1196"/>
      <c r="K93" s="1196"/>
      <c r="L93" s="1196"/>
      <c r="M93" s="1196"/>
      <c r="N93" s="1196"/>
      <c r="O93" s="1196"/>
      <c r="P93" s="1196"/>
      <c r="Q93" s="1196"/>
      <c r="R93" s="1196"/>
      <c r="S93" s="1196"/>
      <c r="T93" s="1196"/>
      <c r="U93" s="1196"/>
      <c r="V93" s="1196"/>
      <c r="W93" s="1196"/>
      <c r="X93" s="1196"/>
      <c r="Y93" s="1196"/>
      <c r="Z93" s="1196"/>
    </row>
    <row r="94" spans="1:26" ht="14.25" customHeight="1">
      <c r="A94" s="1069"/>
      <c r="B94" s="1069"/>
      <c r="C94" s="1083"/>
      <c r="D94" s="1050"/>
      <c r="E94" s="1050"/>
      <c r="F94" s="1050"/>
      <c r="G94" s="1136"/>
      <c r="H94" s="1136"/>
      <c r="I94" s="1196"/>
      <c r="J94" s="1196"/>
      <c r="K94" s="1196"/>
      <c r="L94" s="1196"/>
      <c r="M94" s="1196"/>
      <c r="N94" s="1196"/>
      <c r="O94" s="1196"/>
      <c r="P94" s="1196"/>
      <c r="Q94" s="1196"/>
      <c r="R94" s="1196"/>
      <c r="S94" s="1196"/>
      <c r="T94" s="1196"/>
      <c r="U94" s="1196"/>
      <c r="V94" s="1196"/>
      <c r="W94" s="1196"/>
      <c r="X94" s="1196"/>
      <c r="Y94" s="1196"/>
      <c r="Z94" s="1196"/>
    </row>
    <row r="95" spans="1:26" ht="15" customHeight="1">
      <c r="A95" s="1346"/>
      <c r="B95" s="1346"/>
      <c r="C95" s="1347"/>
      <c r="D95" s="1348"/>
      <c r="E95" s="1348"/>
      <c r="F95" s="1348"/>
      <c r="G95" s="1349" t="s">
        <v>1173</v>
      </c>
      <c r="H95" s="1350">
        <f>SUM(H47:H93)</f>
        <v>5711250604.2645016</v>
      </c>
      <c r="I95" s="1196"/>
      <c r="J95" s="1196"/>
      <c r="K95" s="1196"/>
      <c r="L95" s="1196"/>
      <c r="M95" s="1196"/>
      <c r="N95" s="1196"/>
      <c r="O95" s="1196"/>
      <c r="P95" s="1196"/>
      <c r="Q95" s="1196"/>
      <c r="R95" s="1196"/>
      <c r="S95" s="1196"/>
      <c r="T95" s="1196"/>
      <c r="U95" s="1196"/>
      <c r="V95" s="1196"/>
      <c r="W95" s="1196"/>
      <c r="X95" s="1196"/>
      <c r="Y95" s="1196"/>
      <c r="Z95" s="1196"/>
    </row>
    <row r="96" spans="1:26" ht="12.75" customHeight="1">
      <c r="A96" s="2111" t="s">
        <v>1261</v>
      </c>
      <c r="B96" s="2112"/>
      <c r="C96" s="2112"/>
      <c r="D96" s="2112"/>
      <c r="E96" s="2112"/>
      <c r="F96" s="2112"/>
      <c r="G96" s="2113"/>
      <c r="H96" s="1189">
        <f>+H95*0.09</f>
        <v>514012554.3838051</v>
      </c>
      <c r="I96" s="1196"/>
      <c r="J96" s="1196"/>
      <c r="K96" s="1196"/>
      <c r="L96" s="1196"/>
      <c r="M96" s="1196"/>
      <c r="N96" s="1196"/>
      <c r="O96" s="1196"/>
      <c r="P96" s="1196"/>
      <c r="Q96" s="1196"/>
      <c r="R96" s="1196"/>
      <c r="S96" s="1196"/>
      <c r="T96" s="1196"/>
      <c r="U96" s="1196"/>
      <c r="V96" s="1196"/>
      <c r="W96" s="1196"/>
      <c r="X96" s="1196"/>
      <c r="Y96" s="1196"/>
      <c r="Z96" s="1196"/>
    </row>
    <row r="97" spans="1:26" ht="12.75" customHeight="1">
      <c r="A97" s="2111" t="s">
        <v>948</v>
      </c>
      <c r="B97" s="2112"/>
      <c r="C97" s="2112"/>
      <c r="D97" s="2112"/>
      <c r="E97" s="2112"/>
      <c r="F97" s="2112"/>
      <c r="G97" s="2113"/>
      <c r="H97" s="1189">
        <f>+H96+H95</f>
        <v>6225263158.6483068</v>
      </c>
      <c r="I97" s="1196"/>
      <c r="J97" s="1196"/>
      <c r="K97" s="1196"/>
      <c r="L97" s="1196"/>
      <c r="M97" s="1196"/>
      <c r="N97" s="1196"/>
      <c r="O97" s="1196"/>
      <c r="P97" s="1196"/>
      <c r="Q97" s="1196"/>
      <c r="R97" s="1196"/>
      <c r="S97" s="1196"/>
      <c r="T97" s="1196"/>
      <c r="U97" s="1196"/>
      <c r="V97" s="1196"/>
      <c r="W97" s="1196"/>
      <c r="X97" s="1196"/>
      <c r="Y97" s="1196"/>
      <c r="Z97" s="1196"/>
    </row>
    <row r="98" spans="1:26" ht="12.75" customHeight="1">
      <c r="A98" s="2111" t="s">
        <v>949</v>
      </c>
      <c r="B98" s="2112"/>
      <c r="C98" s="2112"/>
      <c r="D98" s="2112"/>
      <c r="E98" s="2112"/>
      <c r="F98" s="2112"/>
      <c r="G98" s="2113"/>
      <c r="H98" s="1189">
        <f>+((H97/1.31)*(0.05))*0.19</f>
        <v>45145038.173403755</v>
      </c>
      <c r="I98" s="1196"/>
      <c r="J98" s="1196"/>
      <c r="K98" s="1196"/>
      <c r="L98" s="1196"/>
      <c r="M98" s="1196"/>
      <c r="N98" s="1196"/>
      <c r="O98" s="1196"/>
      <c r="P98" s="1196"/>
      <c r="Q98" s="1196"/>
      <c r="R98" s="1196"/>
      <c r="S98" s="1196"/>
      <c r="T98" s="1196"/>
      <c r="U98" s="1196"/>
      <c r="V98" s="1196"/>
      <c r="W98" s="1196"/>
      <c r="X98" s="1196"/>
      <c r="Y98" s="1196"/>
      <c r="Z98" s="1196"/>
    </row>
    <row r="99" spans="1:26" ht="12.75" customHeight="1">
      <c r="A99" s="2111" t="s">
        <v>950</v>
      </c>
      <c r="B99" s="2112"/>
      <c r="C99" s="2112"/>
      <c r="D99" s="2112"/>
      <c r="E99" s="2112"/>
      <c r="F99" s="2112"/>
      <c r="G99" s="2113"/>
      <c r="H99" s="1189">
        <f>+H97+H98</f>
        <v>6270408196.8217106</v>
      </c>
      <c r="I99" s="1196"/>
      <c r="J99" s="1196"/>
      <c r="K99" s="1196"/>
      <c r="L99" s="1196"/>
      <c r="M99" s="1196"/>
      <c r="N99" s="1196"/>
      <c r="O99" s="1196"/>
      <c r="P99" s="1196"/>
      <c r="Q99" s="1196"/>
      <c r="R99" s="1196"/>
      <c r="S99" s="1196"/>
      <c r="T99" s="1196"/>
      <c r="U99" s="1196"/>
      <c r="V99" s="1196"/>
      <c r="W99" s="1196"/>
      <c r="X99" s="1196"/>
      <c r="Y99" s="1196"/>
      <c r="Z99" s="1196"/>
    </row>
    <row r="100" spans="1:26" ht="14.25" customHeight="1">
      <c r="A100" s="1351"/>
      <c r="B100" s="1351"/>
      <c r="C100" s="1352"/>
      <c r="D100" s="1353" t="s">
        <v>1262</v>
      </c>
      <c r="E100" s="1354" t="s">
        <v>1174</v>
      </c>
      <c r="F100" s="1355">
        <v>1</v>
      </c>
      <c r="G100" s="1356">
        <f>+H99*0.04</f>
        <v>250816327.87286842</v>
      </c>
      <c r="H100" s="1189">
        <f>+F100*G100</f>
        <v>250816327.87286842</v>
      </c>
      <c r="I100" s="1196"/>
      <c r="J100" s="1196"/>
      <c r="K100" s="1196"/>
      <c r="L100" s="1196"/>
      <c r="M100" s="1196"/>
      <c r="N100" s="1196"/>
      <c r="O100" s="1196"/>
      <c r="P100" s="1196"/>
      <c r="Q100" s="1196"/>
      <c r="R100" s="1196"/>
      <c r="S100" s="1196"/>
      <c r="T100" s="1196"/>
      <c r="U100" s="1196"/>
      <c r="V100" s="1196"/>
      <c r="W100" s="1196"/>
      <c r="X100" s="1196"/>
      <c r="Y100" s="1196"/>
      <c r="Z100" s="1196"/>
    </row>
    <row r="101" spans="1:26" ht="12.75" customHeight="1">
      <c r="A101" s="2114" t="s">
        <v>955</v>
      </c>
      <c r="B101" s="2115"/>
      <c r="C101" s="2115"/>
      <c r="D101" s="2115"/>
      <c r="E101" s="2115"/>
      <c r="F101" s="2115"/>
      <c r="G101" s="2115"/>
      <c r="H101" s="1189">
        <f>+H100*0.19</f>
        <v>47655102.295845002</v>
      </c>
      <c r="I101" s="1196"/>
      <c r="J101" s="1196"/>
      <c r="K101" s="1196"/>
      <c r="L101" s="1196"/>
      <c r="M101" s="1196"/>
      <c r="N101" s="1196"/>
      <c r="O101" s="1196"/>
      <c r="P101" s="1196"/>
      <c r="Q101" s="1196"/>
      <c r="R101" s="1196"/>
      <c r="S101" s="1196"/>
      <c r="T101" s="1196"/>
      <c r="U101" s="1196"/>
      <c r="V101" s="1196"/>
      <c r="W101" s="1196"/>
      <c r="X101" s="1196"/>
      <c r="Y101" s="1196"/>
      <c r="Z101" s="1196"/>
    </row>
    <row r="102" spans="1:26" ht="12.75" customHeight="1">
      <c r="A102" s="2116" t="s">
        <v>956</v>
      </c>
      <c r="B102" s="2117"/>
      <c r="C102" s="2117"/>
      <c r="D102" s="2117"/>
      <c r="E102" s="2117"/>
      <c r="F102" s="2117"/>
      <c r="G102" s="2117"/>
      <c r="H102" s="1189">
        <f>+H101+H100</f>
        <v>298471430.16871345</v>
      </c>
      <c r="I102" s="1196"/>
      <c r="J102" s="1196"/>
      <c r="K102" s="1196"/>
      <c r="L102" s="1196"/>
      <c r="M102" s="1196"/>
      <c r="N102" s="1196"/>
      <c r="O102" s="1196"/>
      <c r="P102" s="1196"/>
      <c r="Q102" s="1196"/>
      <c r="R102" s="1196"/>
      <c r="S102" s="1196"/>
      <c r="T102" s="1196"/>
      <c r="U102" s="1196"/>
      <c r="V102" s="1196"/>
      <c r="W102" s="1196"/>
      <c r="X102" s="1196"/>
      <c r="Y102" s="1196"/>
      <c r="Z102" s="1196"/>
    </row>
    <row r="103" spans="1:26" ht="13.5" customHeight="1">
      <c r="A103" s="2118" t="s">
        <v>957</v>
      </c>
      <c r="B103" s="2117"/>
      <c r="C103" s="2117"/>
      <c r="D103" s="2117"/>
      <c r="E103" s="2117"/>
      <c r="F103" s="2117"/>
      <c r="G103" s="2117"/>
      <c r="H103" s="1460">
        <f>+H99+H100+H101</f>
        <v>6568879626.9904242</v>
      </c>
      <c r="I103" s="250" t="s">
        <v>1436</v>
      </c>
      <c r="J103" s="1196"/>
      <c r="K103" s="1196"/>
      <c r="L103" s="1196"/>
      <c r="M103" s="1196"/>
      <c r="N103" s="1196"/>
      <c r="O103" s="1196"/>
      <c r="P103" s="1196"/>
      <c r="Q103" s="1196"/>
      <c r="R103" s="1196"/>
      <c r="S103" s="1196"/>
      <c r="T103" s="1196"/>
      <c r="U103" s="1196"/>
      <c r="V103" s="1196"/>
      <c r="W103" s="1196"/>
      <c r="X103" s="1196"/>
      <c r="Y103" s="1196"/>
      <c r="Z103" s="1196"/>
    </row>
    <row r="104" spans="1:26" ht="12.75" customHeight="1">
      <c r="A104" s="1196"/>
      <c r="B104" s="1196"/>
      <c r="C104" s="1196"/>
      <c r="D104" s="1196"/>
      <c r="E104" s="1196"/>
      <c r="F104" s="1196"/>
      <c r="G104" s="1196"/>
      <c r="H104" s="1196"/>
      <c r="I104" s="1196"/>
      <c r="J104" s="1196"/>
      <c r="K104" s="1196"/>
      <c r="L104" s="1196"/>
      <c r="M104" s="1196"/>
      <c r="N104" s="1196"/>
      <c r="O104" s="1196"/>
      <c r="P104" s="1196"/>
      <c r="Q104" s="1196"/>
      <c r="R104" s="1196"/>
      <c r="S104" s="1196"/>
      <c r="T104" s="1196"/>
      <c r="U104" s="1196"/>
      <c r="V104" s="1196"/>
      <c r="W104" s="1196"/>
      <c r="X104" s="1196"/>
      <c r="Y104" s="1196"/>
      <c r="Z104" s="1196"/>
    </row>
    <row r="105" spans="1:26" s="1323" customFormat="1" ht="12.75" customHeight="1" thickBot="1">
      <c r="A105" s="1329"/>
      <c r="B105" s="1329"/>
      <c r="C105" s="1329"/>
      <c r="D105" s="1329"/>
      <c r="E105" s="1329"/>
      <c r="F105" s="1329"/>
      <c r="G105" s="1329"/>
      <c r="H105" s="1329"/>
      <c r="I105" s="1329"/>
      <c r="J105" s="1329"/>
      <c r="K105" s="1329"/>
      <c r="L105" s="1329"/>
      <c r="M105" s="1329"/>
      <c r="N105" s="1329"/>
      <c r="O105" s="1329"/>
      <c r="P105" s="1329"/>
      <c r="Q105" s="1329"/>
      <c r="R105" s="1329"/>
      <c r="S105" s="1329"/>
      <c r="T105" s="1329"/>
      <c r="U105" s="1329"/>
      <c r="V105" s="1329"/>
      <c r="W105" s="1329"/>
      <c r="X105" s="1329"/>
      <c r="Y105" s="1329"/>
      <c r="Z105" s="1329"/>
    </row>
    <row r="106" spans="1:26" s="1323" customFormat="1" ht="13.5" customHeight="1" thickBot="1">
      <c r="A106" s="2064" t="s">
        <v>390</v>
      </c>
      <c r="B106" s="2066" t="s">
        <v>391</v>
      </c>
      <c r="C106" s="2067"/>
      <c r="D106" s="1322"/>
      <c r="E106" s="1322"/>
      <c r="F106" s="1322"/>
      <c r="G106" s="1322"/>
      <c r="H106" s="1203"/>
      <c r="I106" s="1329"/>
      <c r="J106" s="1329"/>
      <c r="K106" s="1329"/>
      <c r="L106" s="1329"/>
      <c r="M106" s="1329"/>
      <c r="N106" s="1329"/>
      <c r="O106" s="1329"/>
      <c r="P106" s="1329"/>
      <c r="Q106" s="1329"/>
      <c r="R106" s="1329"/>
      <c r="S106" s="1329"/>
      <c r="T106" s="1329"/>
      <c r="U106" s="1329"/>
      <c r="V106" s="1329"/>
      <c r="W106" s="1329"/>
      <c r="X106" s="1329"/>
      <c r="Y106" s="1329"/>
      <c r="Z106" s="1329"/>
    </row>
    <row r="107" spans="1:26" s="1323" customFormat="1" ht="26.25" customHeight="1" thickBot="1">
      <c r="A107" s="2105"/>
      <c r="B107" s="1183" t="s">
        <v>500</v>
      </c>
      <c r="C107" s="1183" t="s">
        <v>501</v>
      </c>
      <c r="D107" s="1184" t="s">
        <v>80</v>
      </c>
      <c r="E107" s="1184" t="s">
        <v>61</v>
      </c>
      <c r="F107" s="1184" t="s">
        <v>62</v>
      </c>
      <c r="G107" s="1185" t="s">
        <v>63</v>
      </c>
      <c r="H107" s="1186" t="s">
        <v>1048</v>
      </c>
      <c r="I107" s="1329"/>
      <c r="J107" s="1329"/>
      <c r="K107" s="1329"/>
      <c r="L107" s="1329"/>
      <c r="M107" s="1329"/>
      <c r="N107" s="1329"/>
      <c r="O107" s="1329"/>
      <c r="P107" s="1329"/>
      <c r="Q107" s="1329"/>
      <c r="R107" s="1329"/>
      <c r="S107" s="1329"/>
      <c r="T107" s="1329"/>
      <c r="U107" s="1329"/>
      <c r="V107" s="1329"/>
      <c r="W107" s="1329"/>
      <c r="X107" s="1329"/>
      <c r="Y107" s="1329"/>
      <c r="Z107" s="1329"/>
    </row>
    <row r="108" spans="1:26" ht="12.75" customHeight="1">
      <c r="A108" s="1049" t="s">
        <v>1435</v>
      </c>
      <c r="B108" s="1049"/>
      <c r="C108" s="1049"/>
      <c r="D108" s="1049"/>
      <c r="E108" s="1049"/>
      <c r="F108" s="1072"/>
      <c r="G108" s="1072"/>
      <c r="H108" s="1190"/>
    </row>
    <row r="109" spans="1:26" ht="14.25" customHeight="1">
      <c r="A109" s="1208"/>
      <c r="B109" s="1208"/>
      <c r="C109" s="1209"/>
      <c r="D109" s="1210" t="s">
        <v>958</v>
      </c>
      <c r="E109" s="1211"/>
      <c r="F109" s="1212">
        <v>1</v>
      </c>
      <c r="G109" s="1213">
        <f>25808079.375*1.0368</f>
        <v>26757816.695999999</v>
      </c>
      <c r="H109" s="1213">
        <f t="shared" ref="H109:H120" si="5">+F109*G109</f>
        <v>26757816.695999999</v>
      </c>
    </row>
    <row r="110" spans="1:26" ht="14.25" customHeight="1">
      <c r="A110" s="1208"/>
      <c r="B110" s="1208"/>
      <c r="C110" s="1209"/>
      <c r="D110" s="1210" t="s">
        <v>959</v>
      </c>
      <c r="E110" s="1211"/>
      <c r="F110" s="1212">
        <v>1</v>
      </c>
      <c r="G110" s="1213">
        <f>5830084*1.0368</f>
        <v>6044631.0911999997</v>
      </c>
      <c r="H110" s="1213">
        <f t="shared" si="5"/>
        <v>6044631.0911999997</v>
      </c>
    </row>
    <row r="111" spans="1:26" ht="14.25" customHeight="1">
      <c r="A111" s="1208"/>
      <c r="B111" s="1208"/>
      <c r="C111" s="1209"/>
      <c r="D111" s="1210" t="s">
        <v>960</v>
      </c>
      <c r="E111" s="1211"/>
      <c r="F111" s="1212">
        <v>1</v>
      </c>
      <c r="G111" s="1213">
        <f>456299865.125*1.0368</f>
        <v>473091700.16159999</v>
      </c>
      <c r="H111" s="1213">
        <f t="shared" si="5"/>
        <v>473091700.16159999</v>
      </c>
    </row>
    <row r="112" spans="1:26" ht="14.25" customHeight="1">
      <c r="A112" s="1208"/>
      <c r="B112" s="1209"/>
      <c r="C112" s="1214"/>
      <c r="D112" s="1210" t="s">
        <v>961</v>
      </c>
      <c r="E112" s="1211"/>
      <c r="F112" s="1212">
        <v>1</v>
      </c>
      <c r="G112" s="1213">
        <f>215843706*1.0368</f>
        <v>223786754.38079998</v>
      </c>
      <c r="H112" s="1213">
        <f t="shared" si="5"/>
        <v>223786754.38079998</v>
      </c>
    </row>
    <row r="113" spans="1:8" ht="25.5" customHeight="1">
      <c r="A113" s="1208"/>
      <c r="B113" s="1208"/>
      <c r="C113" s="1209"/>
      <c r="D113" s="1210" t="s">
        <v>962</v>
      </c>
      <c r="E113" s="1211"/>
      <c r="F113" s="1212">
        <v>1</v>
      </c>
      <c r="G113" s="1213">
        <f>159347230.25*1.0368</f>
        <v>165211208.32319999</v>
      </c>
      <c r="H113" s="1213">
        <f t="shared" si="5"/>
        <v>165211208.32319999</v>
      </c>
    </row>
    <row r="114" spans="1:8" ht="14.25" customHeight="1">
      <c r="A114" s="1208"/>
      <c r="B114" s="1208"/>
      <c r="C114" s="1209"/>
      <c r="D114" s="1210" t="s">
        <v>963</v>
      </c>
      <c r="E114" s="1211"/>
      <c r="F114" s="1212">
        <v>1</v>
      </c>
      <c r="G114" s="1213">
        <f>4286868.625*1.0368</f>
        <v>4444625.3903999999</v>
      </c>
      <c r="H114" s="1213">
        <f t="shared" si="5"/>
        <v>4444625.3903999999</v>
      </c>
    </row>
    <row r="115" spans="1:8" ht="14.25" customHeight="1">
      <c r="A115" s="1208"/>
      <c r="B115" s="1208"/>
      <c r="C115" s="1209"/>
      <c r="D115" s="1210" t="s">
        <v>964</v>
      </c>
      <c r="E115" s="1211"/>
      <c r="F115" s="1212">
        <v>1</v>
      </c>
      <c r="G115" s="1213">
        <f>45669*1.0368</f>
        <v>47349.619200000001</v>
      </c>
      <c r="H115" s="1213">
        <f t="shared" si="5"/>
        <v>47349.619200000001</v>
      </c>
    </row>
    <row r="116" spans="1:8" ht="25.5" customHeight="1">
      <c r="A116" s="1208"/>
      <c r="B116" s="1208"/>
      <c r="C116" s="1209"/>
      <c r="D116" s="1210" t="s">
        <v>965</v>
      </c>
      <c r="E116" s="1211"/>
      <c r="F116" s="1212">
        <v>1</v>
      </c>
      <c r="G116" s="1213">
        <f>74870680.625*1.0368</f>
        <v>77625921.671999991</v>
      </c>
      <c r="H116" s="1213">
        <f t="shared" si="5"/>
        <v>77625921.671999991</v>
      </c>
    </row>
    <row r="117" spans="1:8" ht="14.25" customHeight="1">
      <c r="A117" s="1208"/>
      <c r="B117" s="1208"/>
      <c r="C117" s="1209"/>
      <c r="D117" s="1210" t="s">
        <v>966</v>
      </c>
      <c r="E117" s="1211"/>
      <c r="F117" s="1212">
        <v>1</v>
      </c>
      <c r="G117" s="1213">
        <f>13697911.5*1.0368</f>
        <v>14201994.643199999</v>
      </c>
      <c r="H117" s="1213">
        <f t="shared" si="5"/>
        <v>14201994.643199999</v>
      </c>
    </row>
    <row r="118" spans="1:8" ht="14.25" customHeight="1">
      <c r="A118" s="1208"/>
      <c r="B118" s="1208"/>
      <c r="C118" s="1209"/>
      <c r="D118" s="1210" t="s">
        <v>967</v>
      </c>
      <c r="E118" s="1211"/>
      <c r="F118" s="1212">
        <v>1</v>
      </c>
      <c r="G118" s="1213">
        <f>8141250*1.0368</f>
        <v>8440848</v>
      </c>
      <c r="H118" s="1213">
        <f t="shared" si="5"/>
        <v>8440848</v>
      </c>
    </row>
    <row r="119" spans="1:8" ht="25.5" customHeight="1">
      <c r="A119" s="1208"/>
      <c r="B119" s="1208"/>
      <c r="C119" s="1209"/>
      <c r="D119" s="1210" t="s">
        <v>968</v>
      </c>
      <c r="E119" s="1211"/>
      <c r="F119" s="1212">
        <v>1</v>
      </c>
      <c r="G119" s="1213">
        <f>7697849.25*1.0368</f>
        <v>7981130.1023999993</v>
      </c>
      <c r="H119" s="1213">
        <f t="shared" si="5"/>
        <v>7981130.1023999993</v>
      </c>
    </row>
    <row r="120" spans="1:8" ht="14.25" customHeight="1">
      <c r="A120" s="1208"/>
      <c r="B120" s="1208"/>
      <c r="C120" s="1209"/>
      <c r="D120" s="1210" t="s">
        <v>969</v>
      </c>
      <c r="E120" s="1211"/>
      <c r="F120" s="1212">
        <v>1</v>
      </c>
      <c r="G120" s="1213">
        <f>19533881.25*1.0368</f>
        <v>20252728.079999998</v>
      </c>
      <c r="H120" s="1213">
        <f t="shared" si="5"/>
        <v>20252728.079999998</v>
      </c>
    </row>
    <row r="121" spans="1:8" ht="14.25" customHeight="1">
      <c r="A121" s="1215"/>
      <c r="B121" s="1215"/>
      <c r="C121" s="1216"/>
      <c r="D121" s="1210"/>
      <c r="E121" s="1211"/>
      <c r="F121" s="1212"/>
      <c r="G121" s="1213"/>
      <c r="H121" s="1213"/>
    </row>
    <row r="122" spans="1:8" ht="14.25" customHeight="1">
      <c r="A122" s="1217"/>
      <c r="B122" s="1217"/>
      <c r="C122" s="1218"/>
      <c r="D122" s="1211"/>
      <c r="E122" s="1211"/>
      <c r="F122" s="1211"/>
      <c r="G122" s="1211" t="s">
        <v>970</v>
      </c>
      <c r="H122" s="1189">
        <f>SUM(H109:H121)</f>
        <v>1027886708.16</v>
      </c>
    </row>
    <row r="123" spans="1:8" ht="12.75" customHeight="1">
      <c r="A123" s="2119" t="s">
        <v>947</v>
      </c>
      <c r="B123" s="2056"/>
      <c r="C123" s="2056"/>
      <c r="D123" s="2056"/>
      <c r="E123" s="2056"/>
      <c r="F123" s="2056"/>
      <c r="G123" s="2055"/>
      <c r="H123" s="1189">
        <f>+H122*0.02</f>
        <v>20557734.163199998</v>
      </c>
    </row>
    <row r="124" spans="1:8" ht="12.75" customHeight="1">
      <c r="A124" s="2119" t="s">
        <v>948</v>
      </c>
      <c r="B124" s="2056"/>
      <c r="C124" s="2056"/>
      <c r="D124" s="2056"/>
      <c r="E124" s="2056"/>
      <c r="F124" s="2056"/>
      <c r="G124" s="2055"/>
      <c r="H124" s="1189">
        <f>+H123+H122</f>
        <v>1048444442.3232</v>
      </c>
    </row>
    <row r="125" spans="1:8" ht="12.75" customHeight="1">
      <c r="A125" s="2119" t="s">
        <v>949</v>
      </c>
      <c r="B125" s="2056"/>
      <c r="C125" s="2056"/>
      <c r="D125" s="2056"/>
      <c r="E125" s="2056"/>
      <c r="F125" s="2056"/>
      <c r="G125" s="2055"/>
      <c r="H125" s="1189">
        <f>ROUND((H124/1.3)*(0.05)*(0.19),0)</f>
        <v>7661709</v>
      </c>
    </row>
    <row r="126" spans="1:8" ht="12.75" customHeight="1">
      <c r="A126" s="2119" t="s">
        <v>950</v>
      </c>
      <c r="B126" s="2056"/>
      <c r="C126" s="2056"/>
      <c r="D126" s="2056"/>
      <c r="E126" s="2056"/>
      <c r="F126" s="2056"/>
      <c r="G126" s="2055"/>
      <c r="H126" s="1189">
        <f>+H124+H125</f>
        <v>1056106151.3232</v>
      </c>
    </row>
    <row r="127" spans="1:8" ht="12.75" customHeight="1">
      <c r="A127" s="2119" t="s">
        <v>951</v>
      </c>
      <c r="B127" s="2056"/>
      <c r="C127" s="2056"/>
      <c r="D127" s="2056"/>
      <c r="E127" s="2056"/>
      <c r="F127" s="2056"/>
      <c r="G127" s="2055"/>
      <c r="H127" s="1189">
        <f>+H126*0.12</f>
        <v>126732738.15878399</v>
      </c>
    </row>
    <row r="128" spans="1:8" ht="12.75" customHeight="1">
      <c r="A128" s="2119" t="s">
        <v>952</v>
      </c>
      <c r="B128" s="2056"/>
      <c r="C128" s="2056"/>
      <c r="D128" s="2056"/>
      <c r="E128" s="2056"/>
      <c r="F128" s="2056"/>
      <c r="G128" s="2055"/>
      <c r="H128" s="1189">
        <f>+H127*0.19</f>
        <v>24079220.250168957</v>
      </c>
    </row>
    <row r="129" spans="1:26" ht="12.75" customHeight="1">
      <c r="A129" s="2119" t="s">
        <v>953</v>
      </c>
      <c r="B129" s="2056"/>
      <c r="C129" s="2056"/>
      <c r="D129" s="2056"/>
      <c r="E129" s="2056"/>
      <c r="F129" s="2056"/>
      <c r="G129" s="2055"/>
      <c r="H129" s="1189">
        <f>+H127+H128</f>
        <v>150811958.40895295</v>
      </c>
    </row>
    <row r="130" spans="1:26" ht="12.75" customHeight="1">
      <c r="A130" s="2119" t="s">
        <v>954</v>
      </c>
      <c r="B130" s="2056"/>
      <c r="C130" s="2056"/>
      <c r="D130" s="2056"/>
      <c r="E130" s="2056"/>
      <c r="F130" s="2056"/>
      <c r="G130" s="2055"/>
      <c r="H130" s="1189">
        <f>+H126*0.18</f>
        <v>190099107.23817599</v>
      </c>
    </row>
    <row r="131" spans="1:26" ht="12.75" customHeight="1">
      <c r="A131" s="2119" t="s">
        <v>955</v>
      </c>
      <c r="B131" s="2056"/>
      <c r="C131" s="2056"/>
      <c r="D131" s="2056"/>
      <c r="E131" s="2056"/>
      <c r="F131" s="2056"/>
      <c r="G131" s="2055"/>
      <c r="H131" s="1189">
        <f>+H130*0.19</f>
        <v>36118830.375253439</v>
      </c>
    </row>
    <row r="132" spans="1:26" ht="12.75" customHeight="1">
      <c r="A132" s="2119" t="s">
        <v>956</v>
      </c>
      <c r="B132" s="2056"/>
      <c r="C132" s="2056"/>
      <c r="D132" s="2056"/>
      <c r="E132" s="2056"/>
      <c r="F132" s="2056"/>
      <c r="G132" s="2055"/>
      <c r="H132" s="1189">
        <f>+H130+H131</f>
        <v>226217937.61342943</v>
      </c>
    </row>
    <row r="133" spans="1:26" ht="13.5" customHeight="1">
      <c r="A133" s="2119" t="s">
        <v>957</v>
      </c>
      <c r="B133" s="2056"/>
      <c r="C133" s="2056"/>
      <c r="D133" s="2056"/>
      <c r="E133" s="2056"/>
      <c r="F133" s="2056"/>
      <c r="G133" s="2055"/>
      <c r="H133" s="1460">
        <f>+H126+H132+H129</f>
        <v>1433136047.3455822</v>
      </c>
      <c r="I133" s="250" t="s">
        <v>1436</v>
      </c>
    </row>
    <row r="134" spans="1:26" ht="12.75" customHeight="1">
      <c r="F134" s="1107"/>
      <c r="G134" s="1107"/>
      <c r="H134" s="1199"/>
    </row>
    <row r="135" spans="1:26" ht="12.75" customHeight="1" thickBot="1">
      <c r="F135" s="1107"/>
      <c r="G135" s="1107"/>
      <c r="H135" s="1199"/>
    </row>
    <row r="136" spans="1:26" s="1323" customFormat="1" ht="13.5" customHeight="1" thickBot="1">
      <c r="A136" s="2064" t="s">
        <v>390</v>
      </c>
      <c r="B136" s="2066" t="s">
        <v>391</v>
      </c>
      <c r="C136" s="2067"/>
      <c r="D136" s="1322"/>
      <c r="E136" s="1322"/>
      <c r="F136" s="1322"/>
      <c r="G136" s="1322"/>
      <c r="H136" s="1203"/>
      <c r="I136" s="1329"/>
      <c r="J136" s="1329"/>
      <c r="K136" s="1329"/>
      <c r="L136" s="1329"/>
      <c r="M136" s="1329"/>
      <c r="N136" s="1329"/>
      <c r="O136" s="1329"/>
      <c r="P136" s="1329"/>
      <c r="Q136" s="1329"/>
      <c r="R136" s="1329"/>
      <c r="S136" s="1329"/>
      <c r="T136" s="1329"/>
      <c r="U136" s="1329"/>
      <c r="V136" s="1329"/>
      <c r="W136" s="1329"/>
      <c r="X136" s="1329"/>
      <c r="Y136" s="1329"/>
      <c r="Z136" s="1329"/>
    </row>
    <row r="137" spans="1:26" s="1323" customFormat="1" ht="26.25" customHeight="1" thickBot="1">
      <c r="A137" s="2105"/>
      <c r="B137" s="1183" t="s">
        <v>500</v>
      </c>
      <c r="C137" s="1183" t="s">
        <v>501</v>
      </c>
      <c r="D137" s="1184" t="s">
        <v>80</v>
      </c>
      <c r="E137" s="1184" t="s">
        <v>61</v>
      </c>
      <c r="F137" s="1184" t="s">
        <v>62</v>
      </c>
      <c r="G137" s="1185" t="s">
        <v>63</v>
      </c>
      <c r="H137" s="1186" t="s">
        <v>1048</v>
      </c>
      <c r="I137" s="1329"/>
      <c r="J137" s="1329"/>
      <c r="K137" s="1329"/>
      <c r="L137" s="1329"/>
      <c r="M137" s="1329"/>
      <c r="N137" s="1329"/>
      <c r="O137" s="1329"/>
      <c r="P137" s="1329"/>
      <c r="Q137" s="1329"/>
      <c r="R137" s="1329"/>
      <c r="S137" s="1329"/>
      <c r="T137" s="1329"/>
      <c r="U137" s="1329"/>
      <c r="V137" s="1329"/>
      <c r="W137" s="1329"/>
      <c r="X137" s="1329"/>
      <c r="Y137" s="1329"/>
      <c r="Z137" s="1329"/>
    </row>
    <row r="138" spans="1:26" ht="25.5" customHeight="1">
      <c r="A138" s="2073" t="s">
        <v>1346</v>
      </c>
      <c r="B138" s="2052"/>
      <c r="C138" s="2052"/>
      <c r="D138" s="2052"/>
      <c r="E138" s="2052"/>
      <c r="F138" s="2052"/>
      <c r="G138" s="2052"/>
      <c r="H138" s="2053"/>
    </row>
    <row r="139" spans="1:26" ht="25.5" customHeight="1">
      <c r="A139" s="1159" t="s">
        <v>671</v>
      </c>
      <c r="B139" s="1096">
        <v>600</v>
      </c>
      <c r="C139" s="1158">
        <v>710.1</v>
      </c>
      <c r="D139" s="1109" t="str">
        <f>VLOOKUP(A139,[12]INDICE!$A$3:$D$320,2,FALSE)</f>
        <v>SEÑAL VERTICAL DE TRANSITO TIPO 1 CON LAMINA RETRORREFLECTIVA TIPO III (75 X 75 ) CM</v>
      </c>
      <c r="E139" s="1109" t="str">
        <f>VLOOKUP(A139,[12]INDICE!$A$3:$D$320,3,FALSE)</f>
        <v>Unidad</v>
      </c>
      <c r="F139" s="1120">
        <v>64</v>
      </c>
      <c r="G139" s="1109">
        <f>+'[11]CANT OBRA 3602'!G295</f>
        <v>589369.88711541437</v>
      </c>
      <c r="H139" s="1098">
        <f>G139*F139</f>
        <v>37719672.77538652</v>
      </c>
    </row>
    <row r="140" spans="1:26" ht="12.75" customHeight="1">
      <c r="A140" s="1014"/>
      <c r="B140" s="1014"/>
      <c r="C140" s="1014"/>
      <c r="D140" s="1014"/>
      <c r="E140" s="1014"/>
      <c r="F140" s="2077" t="s">
        <v>176</v>
      </c>
      <c r="G140" s="2055"/>
      <c r="H140" s="1128">
        <f>SUM(H139)</f>
        <v>37719672.77538652</v>
      </c>
    </row>
    <row r="141" spans="1:26" ht="12.75" customHeight="1">
      <c r="A141" s="1014"/>
      <c r="B141" s="1014"/>
      <c r="C141" s="1014"/>
      <c r="D141" s="1014"/>
      <c r="E141" s="1014"/>
      <c r="F141" s="2063" t="s">
        <v>1044</v>
      </c>
      <c r="G141" s="2049"/>
      <c r="H141" s="1128">
        <f>ROUND((H140/1.3)*(0.05)*(0.19),0)</f>
        <v>275644</v>
      </c>
    </row>
    <row r="142" spans="1:26" ht="12.75" customHeight="1">
      <c r="A142" s="2063"/>
      <c r="B142" s="2060"/>
      <c r="C142" s="2060"/>
      <c r="D142" s="1014"/>
      <c r="E142" s="1014"/>
      <c r="F142" s="2063" t="s">
        <v>177</v>
      </c>
      <c r="G142" s="2049"/>
      <c r="H142" s="1458">
        <f>ROUND(SUM(H140:H141),0)</f>
        <v>37995317</v>
      </c>
      <c r="I142" s="1483"/>
    </row>
    <row r="143" spans="1:26" s="1323" customFormat="1" ht="12.75" customHeight="1" thickBot="1">
      <c r="A143" s="1324"/>
      <c r="D143" s="1014"/>
      <c r="E143" s="1014"/>
      <c r="F143" s="1324"/>
      <c r="G143" s="1328"/>
      <c r="H143" s="1357"/>
    </row>
    <row r="144" spans="1:26" s="1323" customFormat="1" ht="13.5" customHeight="1" thickBot="1">
      <c r="A144" s="2064" t="s">
        <v>390</v>
      </c>
      <c r="B144" s="2066" t="s">
        <v>391</v>
      </c>
      <c r="C144" s="2067"/>
      <c r="D144" s="1322"/>
      <c r="E144" s="1322"/>
      <c r="F144" s="1322"/>
      <c r="G144" s="1322"/>
      <c r="H144" s="1203"/>
      <c r="I144" s="1329"/>
      <c r="J144" s="1329"/>
      <c r="K144" s="1329"/>
      <c r="L144" s="1329"/>
      <c r="M144" s="1329"/>
      <c r="N144" s="1329"/>
      <c r="O144" s="1329"/>
      <c r="P144" s="1329"/>
      <c r="Q144" s="1329"/>
      <c r="R144" s="1329"/>
      <c r="S144" s="1329"/>
      <c r="T144" s="1329"/>
      <c r="U144" s="1329"/>
      <c r="V144" s="1329"/>
      <c r="W144" s="1329"/>
      <c r="X144" s="1329"/>
      <c r="Y144" s="1329"/>
      <c r="Z144" s="1329"/>
    </row>
    <row r="145" spans="1:26" s="1323" customFormat="1" ht="26.25" customHeight="1" thickBot="1">
      <c r="A145" s="2105"/>
      <c r="B145" s="1183" t="s">
        <v>500</v>
      </c>
      <c r="C145" s="1183" t="s">
        <v>501</v>
      </c>
      <c r="D145" s="1184" t="s">
        <v>80</v>
      </c>
      <c r="E145" s="1184" t="s">
        <v>61</v>
      </c>
      <c r="F145" s="1184" t="s">
        <v>62</v>
      </c>
      <c r="G145" s="1185" t="s">
        <v>63</v>
      </c>
      <c r="H145" s="1186" t="s">
        <v>1048</v>
      </c>
      <c r="I145" s="1329"/>
      <c r="J145" s="1329"/>
      <c r="K145" s="1329"/>
      <c r="L145" s="1329"/>
      <c r="M145" s="1329"/>
      <c r="N145" s="1329"/>
      <c r="O145" s="1329"/>
      <c r="P145" s="1329"/>
      <c r="Q145" s="1329"/>
      <c r="R145" s="1329"/>
      <c r="S145" s="1329"/>
      <c r="T145" s="1329"/>
      <c r="U145" s="1329"/>
      <c r="V145" s="1329"/>
      <c r="W145" s="1329"/>
      <c r="X145" s="1329"/>
      <c r="Y145" s="1329"/>
      <c r="Z145" s="1329"/>
    </row>
    <row r="146" spans="1:26" ht="12.75" customHeight="1">
      <c r="A146" s="1068" t="s">
        <v>1291</v>
      </c>
      <c r="F146" s="1107"/>
      <c r="G146" s="1107"/>
      <c r="H146" s="1199"/>
    </row>
    <row r="147" spans="1:26" ht="14.25" customHeight="1">
      <c r="A147" s="1069"/>
      <c r="B147" s="1070">
        <v>201.7</v>
      </c>
      <c r="C147" s="1071" t="s">
        <v>1147</v>
      </c>
      <c r="D147" s="1072" t="s">
        <v>1148</v>
      </c>
      <c r="E147" s="1070" t="s">
        <v>842</v>
      </c>
      <c r="F147" s="1050">
        <v>15</v>
      </c>
      <c r="G147" s="1073">
        <f>160192.483848485*1.06</f>
        <v>169804.0328793941</v>
      </c>
      <c r="H147" s="1074">
        <f t="shared" ref="H147:H157" si="6">F147*G147</f>
        <v>2547060.4931909116</v>
      </c>
    </row>
    <row r="148" spans="1:26" ht="51" customHeight="1">
      <c r="A148" s="1069"/>
      <c r="B148" s="1070">
        <v>465.2</v>
      </c>
      <c r="C148" s="1071">
        <v>465.2</v>
      </c>
      <c r="D148" s="1075" t="s">
        <v>1149</v>
      </c>
      <c r="E148" s="1070" t="s">
        <v>842</v>
      </c>
      <c r="F148" s="1076">
        <f>2500*6.98*0.1</f>
        <v>1745</v>
      </c>
      <c r="G148" s="1073">
        <f>24735*1.06</f>
        <v>26219.100000000002</v>
      </c>
      <c r="H148" s="1074">
        <f t="shared" si="6"/>
        <v>45752329.500000007</v>
      </c>
    </row>
    <row r="149" spans="1:26" ht="25.5" customHeight="1">
      <c r="A149" s="1069"/>
      <c r="B149" s="1070" t="s">
        <v>1150</v>
      </c>
      <c r="C149" s="1071" t="s">
        <v>1150</v>
      </c>
      <c r="D149" s="1075" t="s">
        <v>1151</v>
      </c>
      <c r="E149" s="1077" t="s">
        <v>842</v>
      </c>
      <c r="F149" s="1076">
        <f>2500*6.98*0.4</f>
        <v>6980</v>
      </c>
      <c r="G149" s="1073">
        <f>16260*1.06</f>
        <v>17235.600000000002</v>
      </c>
      <c r="H149" s="1074">
        <f t="shared" si="6"/>
        <v>120304488.00000001</v>
      </c>
    </row>
    <row r="150" spans="1:26" ht="25.5" customHeight="1">
      <c r="A150" s="1069"/>
      <c r="B150" s="1070">
        <v>231.1</v>
      </c>
      <c r="C150" s="1071" t="s">
        <v>1152</v>
      </c>
      <c r="D150" s="1075" t="s">
        <v>1153</v>
      </c>
      <c r="E150" s="1077" t="s">
        <v>673</v>
      </c>
      <c r="F150" s="1078">
        <f>2500*7.8</f>
        <v>19500</v>
      </c>
      <c r="G150" s="1073">
        <f>8887.42049*1.06</f>
        <v>9420.6657194000018</v>
      </c>
      <c r="H150" s="1074">
        <f t="shared" si="6"/>
        <v>183702981.52830005</v>
      </c>
    </row>
    <row r="151" spans="1:26" ht="14.25" customHeight="1">
      <c r="A151" s="1069"/>
      <c r="B151" s="1070">
        <v>320.10000000000002</v>
      </c>
      <c r="C151" s="1071">
        <v>320.10000000000002</v>
      </c>
      <c r="D151" s="1072" t="s">
        <v>1154</v>
      </c>
      <c r="E151" s="1077" t="s">
        <v>842</v>
      </c>
      <c r="F151" s="1078">
        <f>2500*6.98*0.3</f>
        <v>5235</v>
      </c>
      <c r="G151" s="1073">
        <f>81512*1.06</f>
        <v>86402.72</v>
      </c>
      <c r="H151" s="1074">
        <f t="shared" si="6"/>
        <v>452318239.19999999</v>
      </c>
    </row>
    <row r="152" spans="1:26" ht="14.25" customHeight="1">
      <c r="A152" s="1069"/>
      <c r="B152" s="1070">
        <v>330.1</v>
      </c>
      <c r="C152" s="1071" t="s">
        <v>1155</v>
      </c>
      <c r="D152" s="1072" t="s">
        <v>1156</v>
      </c>
      <c r="E152" s="1077" t="s">
        <v>842</v>
      </c>
      <c r="F152" s="1078">
        <f>2500*6.98*0.2</f>
        <v>3490</v>
      </c>
      <c r="G152" s="1073">
        <f>100675.24025*1.06</f>
        <v>106715.75466500001</v>
      </c>
      <c r="H152" s="1074">
        <f t="shared" si="6"/>
        <v>372437983.78085005</v>
      </c>
    </row>
    <row r="153" spans="1:26" ht="14.25" customHeight="1">
      <c r="A153" s="1069"/>
      <c r="B153" s="1070" t="s">
        <v>1157</v>
      </c>
      <c r="C153" s="1071" t="s">
        <v>1158</v>
      </c>
      <c r="D153" s="1072" t="s">
        <v>1159</v>
      </c>
      <c r="E153" s="1077" t="s">
        <v>842</v>
      </c>
      <c r="F153" s="1078">
        <f>2500*6.98*0.1</f>
        <v>1745</v>
      </c>
      <c r="G153" s="1073">
        <f>712144.20875*1.06</f>
        <v>754872.86127500003</v>
      </c>
      <c r="H153" s="1074">
        <f t="shared" si="6"/>
        <v>1317253142.924875</v>
      </c>
    </row>
    <row r="154" spans="1:26" ht="25.5" customHeight="1">
      <c r="A154" s="1069"/>
      <c r="B154" s="1070" t="s">
        <v>1160</v>
      </c>
      <c r="C154" s="1071" t="s">
        <v>1160</v>
      </c>
      <c r="D154" s="1075" t="s">
        <v>1161</v>
      </c>
      <c r="E154" s="1077" t="s">
        <v>842</v>
      </c>
      <c r="F154" s="1078">
        <f>3200*1.2*0.15</f>
        <v>576</v>
      </c>
      <c r="G154" s="1073">
        <f>493289.81*1.06</f>
        <v>522887.1986</v>
      </c>
      <c r="H154" s="1074">
        <f t="shared" si="6"/>
        <v>301183026.39359999</v>
      </c>
    </row>
    <row r="155" spans="1:26" ht="14.25" customHeight="1">
      <c r="A155" s="1069"/>
      <c r="B155" s="1070">
        <v>700.1</v>
      </c>
      <c r="C155" s="1071" t="s">
        <v>1162</v>
      </c>
      <c r="D155" s="1072" t="s">
        <v>1163</v>
      </c>
      <c r="E155" s="1077" t="s">
        <v>677</v>
      </c>
      <c r="F155" s="1078">
        <f>2500*4</f>
        <v>10000</v>
      </c>
      <c r="G155" s="1073">
        <f>1872.2176525*1.06</f>
        <v>1984.55071165</v>
      </c>
      <c r="H155" s="1074">
        <f t="shared" si="6"/>
        <v>19845507.116500001</v>
      </c>
    </row>
    <row r="156" spans="1:26" ht="18" customHeight="1">
      <c r="A156" s="1069"/>
      <c r="B156" s="1070">
        <v>630.4</v>
      </c>
      <c r="C156" s="1071" t="s">
        <v>1164</v>
      </c>
      <c r="D156" s="1072" t="s">
        <v>1165</v>
      </c>
      <c r="E156" s="1077" t="s">
        <v>842</v>
      </c>
      <c r="F156" s="1078">
        <v>45</v>
      </c>
      <c r="G156" s="1073">
        <f>629181.028125*1.06</f>
        <v>666931.88981249998</v>
      </c>
      <c r="H156" s="1074">
        <f t="shared" si="6"/>
        <v>30011935.041562498</v>
      </c>
    </row>
    <row r="157" spans="1:26" ht="18" customHeight="1">
      <c r="A157" s="1069"/>
      <c r="B157" s="1070">
        <v>681.1</v>
      </c>
      <c r="C157" s="1071" t="s">
        <v>1166</v>
      </c>
      <c r="D157" s="1075" t="s">
        <v>1167</v>
      </c>
      <c r="E157" s="1077" t="s">
        <v>842</v>
      </c>
      <c r="F157" s="1076">
        <v>40</v>
      </c>
      <c r="G157" s="1073">
        <f>172240*1.06</f>
        <v>182574.40000000002</v>
      </c>
      <c r="H157" s="1074">
        <f t="shared" si="6"/>
        <v>7302976.0000000009</v>
      </c>
    </row>
    <row r="158" spans="1:26" ht="18" customHeight="1">
      <c r="A158" s="1069"/>
      <c r="B158" s="1070"/>
      <c r="C158" s="1071"/>
      <c r="D158" s="1075"/>
      <c r="E158" s="1077"/>
      <c r="F158" s="1076"/>
      <c r="G158" s="1073"/>
      <c r="H158" s="1074"/>
    </row>
    <row r="159" spans="1:26" ht="14.25" customHeight="1">
      <c r="A159" s="1069"/>
      <c r="B159" s="1069"/>
      <c r="C159" s="1083"/>
      <c r="D159" s="1050"/>
      <c r="E159" s="1050"/>
      <c r="F159" s="1050"/>
      <c r="G159" s="1073"/>
      <c r="H159" s="1049"/>
    </row>
    <row r="160" spans="1:26" ht="15" customHeight="1">
      <c r="A160" s="1069"/>
      <c r="B160" s="1069"/>
      <c r="C160" s="1083"/>
      <c r="D160" s="1050"/>
      <c r="E160" s="1050"/>
      <c r="F160" s="1050"/>
      <c r="G160" s="1084" t="s">
        <v>1173</v>
      </c>
      <c r="H160" s="1128">
        <f>SUM(H147:H158)</f>
        <v>2852659669.9788785</v>
      </c>
    </row>
    <row r="161" spans="1:10" ht="38.25" customHeight="1">
      <c r="A161" s="1069"/>
      <c r="B161" s="1069"/>
      <c r="C161" s="1083"/>
      <c r="D161" s="1086" t="s">
        <v>947</v>
      </c>
      <c r="E161" s="1336" t="s">
        <v>1174</v>
      </c>
      <c r="F161" s="1050"/>
      <c r="G161" s="1084"/>
      <c r="H161" s="1128">
        <f>H160*0.05</f>
        <v>142632983.49894392</v>
      </c>
    </row>
    <row r="162" spans="1:10" ht="15" customHeight="1">
      <c r="A162" s="1069"/>
      <c r="B162" s="1069"/>
      <c r="C162" s="1083"/>
      <c r="D162" s="1086" t="s">
        <v>1175</v>
      </c>
      <c r="E162" s="1087"/>
      <c r="F162" s="1050"/>
      <c r="G162" s="1084"/>
      <c r="H162" s="1128">
        <f>H160+H161</f>
        <v>2995292653.4778223</v>
      </c>
    </row>
    <row r="163" spans="1:10" ht="15" customHeight="1">
      <c r="A163" s="1069"/>
      <c r="B163" s="1069"/>
      <c r="C163" s="1083"/>
      <c r="D163" s="1086" t="s">
        <v>949</v>
      </c>
      <c r="E163" s="1087"/>
      <c r="F163" s="1050"/>
      <c r="G163" s="1084"/>
      <c r="H163" s="1128">
        <f>ROUND((+H162/(1+0.3)*0.05*0.19),0)</f>
        <v>21888677</v>
      </c>
    </row>
    <row r="164" spans="1:10" ht="15" customHeight="1">
      <c r="A164" s="1069"/>
      <c r="B164" s="1069"/>
      <c r="C164" s="1083"/>
      <c r="D164" s="1088" t="s">
        <v>1176</v>
      </c>
      <c r="E164" s="1087"/>
      <c r="F164" s="1050"/>
      <c r="G164" s="1084"/>
      <c r="H164" s="1128">
        <f>H162+H163</f>
        <v>3017181330.4778223</v>
      </c>
    </row>
    <row r="165" spans="1:10" ht="25.5" customHeight="1">
      <c r="A165" s="1069"/>
      <c r="B165" s="1069"/>
      <c r="C165" s="1083"/>
      <c r="D165" s="1086" t="s">
        <v>1177</v>
      </c>
      <c r="E165" s="1070" t="s">
        <v>1178</v>
      </c>
      <c r="F165" s="1050">
        <v>2.5</v>
      </c>
      <c r="G165" s="1073">
        <f>13042000*1.06</f>
        <v>13824520</v>
      </c>
      <c r="H165" s="1128">
        <f>F165*G165</f>
        <v>34561300</v>
      </c>
    </row>
    <row r="166" spans="1:10" ht="25.5" customHeight="1">
      <c r="A166" s="1069"/>
      <c r="B166" s="1069"/>
      <c r="C166" s="1083"/>
      <c r="D166" s="1086" t="s">
        <v>1179</v>
      </c>
      <c r="E166" s="1087"/>
      <c r="F166" s="1485"/>
      <c r="G166" s="1486"/>
      <c r="H166" s="1128">
        <f>H165*0.19</f>
        <v>6566647</v>
      </c>
    </row>
    <row r="167" spans="1:10" ht="13.5" customHeight="1">
      <c r="A167" s="1089"/>
      <c r="B167" s="1059"/>
      <c r="C167" s="1059"/>
      <c r="D167" s="1059"/>
      <c r="E167" s="1059"/>
      <c r="F167" s="2058" t="s">
        <v>483</v>
      </c>
      <c r="G167" s="2058"/>
      <c r="H167" s="1488">
        <f>H164+H166+H165</f>
        <v>3058309277.4778223</v>
      </c>
      <c r="I167" s="1463"/>
    </row>
    <row r="168" spans="1:10" ht="12.75" customHeight="1">
      <c r="F168" s="1107"/>
      <c r="G168" s="1107"/>
      <c r="H168" s="1199"/>
    </row>
    <row r="169" spans="1:10" s="1493" customFormat="1" ht="12.75" customHeight="1">
      <c r="A169" s="1089" t="s">
        <v>1438</v>
      </c>
      <c r="B169" s="1494"/>
      <c r="C169" s="1494"/>
      <c r="D169" s="1494"/>
      <c r="E169" s="1494"/>
      <c r="F169" s="1494"/>
      <c r="G169" s="1494"/>
      <c r="H169" s="1494"/>
    </row>
    <row r="170" spans="1:10" s="1493" customFormat="1" ht="12.75" customHeight="1">
      <c r="A170" s="1090">
        <v>632</v>
      </c>
      <c r="B170" s="1091">
        <v>632</v>
      </c>
      <c r="C170" s="1091" t="s">
        <v>884</v>
      </c>
      <c r="D170" s="1093" t="s">
        <v>885</v>
      </c>
      <c r="E170" s="1090" t="s">
        <v>677</v>
      </c>
      <c r="F170" s="1094">
        <v>29</v>
      </c>
      <c r="G170" s="1098">
        <v>351822.69170699356</v>
      </c>
      <c r="H170" s="1095">
        <f>+F170*G170</f>
        <v>10202858.059502814</v>
      </c>
    </row>
    <row r="171" spans="1:10" s="1493" customFormat="1" ht="12.75" customHeight="1">
      <c r="A171" s="1014"/>
      <c r="B171" s="1014"/>
      <c r="C171" s="1014"/>
      <c r="D171" s="1494"/>
      <c r="E171" s="1494"/>
      <c r="F171" s="2054" t="s">
        <v>176</v>
      </c>
      <c r="G171" s="2055"/>
      <c r="H171" s="1099">
        <f>+H170</f>
        <v>10202858.059502814</v>
      </c>
    </row>
    <row r="172" spans="1:10" s="1493" customFormat="1" ht="12.75" customHeight="1">
      <c r="A172" s="1014"/>
      <c r="B172" s="1014"/>
      <c r="C172" s="1014"/>
      <c r="D172" s="1494"/>
      <c r="E172" s="1494"/>
      <c r="F172" s="2050" t="s">
        <v>1044</v>
      </c>
      <c r="G172" s="2049"/>
      <c r="H172" s="1099">
        <f>ROUND((H171/1.3)*(0.05)*(0.19),0)</f>
        <v>74559</v>
      </c>
    </row>
    <row r="173" spans="1:10" s="1493" customFormat="1" ht="12.75" customHeight="1">
      <c r="A173" s="1494"/>
      <c r="B173" s="1494"/>
      <c r="C173" s="1494"/>
      <c r="D173" s="1494"/>
      <c r="E173" s="1494"/>
      <c r="F173" s="2050" t="s">
        <v>177</v>
      </c>
      <c r="G173" s="2049"/>
      <c r="H173" s="1516">
        <f>+SUM(H171:H172)</f>
        <v>10277417.059502814</v>
      </c>
      <c r="I173" s="250" t="s">
        <v>1437</v>
      </c>
      <c r="J173" s="1520"/>
    </row>
    <row r="174" spans="1:10" s="1493" customFormat="1" ht="12.75" customHeight="1">
      <c r="F174" s="1496"/>
      <c r="G174" s="1496"/>
      <c r="H174" s="1199"/>
    </row>
    <row r="175" spans="1:10" s="1493" customFormat="1" ht="12.75" customHeight="1">
      <c r="A175" s="1089" t="s">
        <v>1439</v>
      </c>
      <c r="B175" s="1494"/>
      <c r="C175" s="1494"/>
      <c r="D175" s="1494"/>
      <c r="E175" s="1494"/>
      <c r="F175" s="1494"/>
      <c r="G175" s="1494"/>
      <c r="H175" s="1494"/>
    </row>
    <row r="176" spans="1:10" s="1493" customFormat="1" ht="12.75" customHeight="1">
      <c r="A176" s="1090"/>
      <c r="B176" s="1091"/>
      <c r="C176" s="1091"/>
      <c r="D176" s="1093" t="s">
        <v>1440</v>
      </c>
      <c r="E176" s="1090" t="s">
        <v>1174</v>
      </c>
      <c r="F176" s="1094">
        <v>1</v>
      </c>
      <c r="G176" s="1098">
        <v>7000000</v>
      </c>
      <c r="H176" s="1095">
        <f>+F176*G176</f>
        <v>7000000</v>
      </c>
    </row>
    <row r="177" spans="1:9" s="1493" customFormat="1" ht="12.75" customHeight="1">
      <c r="A177" s="1014"/>
      <c r="B177" s="1014"/>
      <c r="C177" s="1014"/>
      <c r="D177" s="1494"/>
      <c r="E177" s="1494"/>
      <c r="F177" s="2054" t="s">
        <v>176</v>
      </c>
      <c r="G177" s="2055"/>
      <c r="H177" s="1099">
        <f>+H176</f>
        <v>7000000</v>
      </c>
    </row>
    <row r="178" spans="1:9" s="1493" customFormat="1" ht="12.75" customHeight="1">
      <c r="A178" s="1014"/>
      <c r="B178" s="1014"/>
      <c r="C178" s="1014"/>
      <c r="D178" s="1494"/>
      <c r="E178" s="1494"/>
      <c r="F178" s="2050" t="s">
        <v>1044</v>
      </c>
      <c r="G178" s="2049"/>
      <c r="H178" s="1099">
        <f>ROUND((H177/1.3)*(0.05)*(0.19),0)</f>
        <v>51154</v>
      </c>
    </row>
    <row r="179" spans="1:9" s="1493" customFormat="1" ht="12.75" customHeight="1">
      <c r="A179" s="1494"/>
      <c r="B179" s="1494"/>
      <c r="C179" s="1494"/>
      <c r="D179" s="1494"/>
      <c r="E179" s="1494"/>
      <c r="F179" s="2050" t="s">
        <v>177</v>
      </c>
      <c r="G179" s="2049"/>
      <c r="H179" s="1516">
        <f>+SUM(H177:H178)</f>
        <v>7051154</v>
      </c>
      <c r="I179" s="1524" t="s">
        <v>1437</v>
      </c>
    </row>
    <row r="180" spans="1:9" s="1493" customFormat="1" ht="12.75" customHeight="1">
      <c r="F180" s="1496"/>
      <c r="G180" s="1496"/>
      <c r="H180" s="1199"/>
    </row>
    <row r="181" spans="1:9" s="1493" customFormat="1" ht="12.75" customHeight="1">
      <c r="A181" s="1089" t="s">
        <v>1442</v>
      </c>
      <c r="B181" s="1494"/>
      <c r="C181" s="1494"/>
      <c r="D181" s="1494"/>
      <c r="E181" s="1494"/>
      <c r="F181" s="1494"/>
      <c r="G181" s="1494"/>
      <c r="H181" s="1494"/>
    </row>
    <row r="182" spans="1:9" s="1493" customFormat="1" ht="12.75" customHeight="1">
      <c r="A182" s="306" t="s">
        <v>1023</v>
      </c>
      <c r="B182" s="306"/>
      <c r="C182" s="306" t="s">
        <v>1023</v>
      </c>
      <c r="D182" s="704" t="s">
        <v>1443</v>
      </c>
      <c r="E182" s="306" t="s">
        <v>842</v>
      </c>
      <c r="F182" s="1517">
        <v>30</v>
      </c>
      <c r="G182" s="1518">
        <f>614054*1.0386</f>
        <v>637756.48439999996</v>
      </c>
      <c r="H182" s="1519">
        <f t="shared" ref="H182:H184" si="7">ROUND(F182*G182,0)</f>
        <v>19132695</v>
      </c>
    </row>
    <row r="183" spans="1:9" s="1493" customFormat="1" ht="12.75" customHeight="1">
      <c r="A183" s="306" t="s">
        <v>1059</v>
      </c>
      <c r="B183" s="1015">
        <f>IF(AND(C183&gt;200,C183&lt;300),(200),IF(AND(C183&gt;300,C183&lt;400),(300),IF(AND(C183&gt;400,C183&lt;500),(400),IF(AND(C183&gt;500,C183&lt;600),(500),IF(AND(C183&gt;600,C183&lt;700),(600),IF(AND(C183&gt;700,C183&lt;800),(700),IF(AND(C183&gt;800,C183&lt;900),(800),IF(AND(C183&gt;900,C183&lt;1000),(900)))))))))</f>
        <v>600</v>
      </c>
      <c r="C183" s="306">
        <v>630.4</v>
      </c>
      <c r="D183" s="1006" t="s">
        <v>1444</v>
      </c>
      <c r="E183" s="1006" t="s">
        <v>842</v>
      </c>
      <c r="F183" s="1517">
        <v>15</v>
      </c>
      <c r="G183" s="1006">
        <v>622015</v>
      </c>
      <c r="H183" s="1012">
        <f t="shared" si="7"/>
        <v>9330225</v>
      </c>
    </row>
    <row r="184" spans="1:9" s="1493" customFormat="1" ht="12.75" customHeight="1">
      <c r="A184" s="306" t="s">
        <v>1061</v>
      </c>
      <c r="B184" s="1015">
        <f>IF(AND(C184&gt;200,C184&lt;300),(200),IF(AND(C184&gt;300,C184&lt;400),(300),IF(AND(C184&gt;400,C184&lt;500),(400),IF(AND(C184&gt;500,C184&lt;600),(500),IF(AND(C184&gt;600,C184&lt;700),(600),IF(AND(C184&gt;700,C184&lt;800),(700),IF(AND(C184&gt;800,C184&lt;900),(800),IF(AND(C184&gt;900,C184&lt;1000),(900)))))))))</f>
        <v>600</v>
      </c>
      <c r="C184" s="306">
        <v>640.29999999999995</v>
      </c>
      <c r="D184" s="1006" t="s">
        <v>1445</v>
      </c>
      <c r="E184" s="1006" t="s">
        <v>1229</v>
      </c>
      <c r="F184" s="1517">
        <v>350</v>
      </c>
      <c r="G184" s="1006">
        <v>7046</v>
      </c>
      <c r="H184" s="1012">
        <f t="shared" si="7"/>
        <v>2466100</v>
      </c>
    </row>
    <row r="185" spans="1:9" s="1493" customFormat="1" ht="12.75" customHeight="1">
      <c r="A185" s="1014"/>
      <c r="B185" s="1014"/>
      <c r="C185" s="1014"/>
      <c r="D185" s="1494"/>
      <c r="E185" s="1494"/>
      <c r="F185" s="2054" t="s">
        <v>176</v>
      </c>
      <c r="G185" s="2055"/>
      <c r="H185" s="1099">
        <f>+H182+H183+H184</f>
        <v>30929020</v>
      </c>
    </row>
    <row r="186" spans="1:9" s="1493" customFormat="1" ht="12.75" customHeight="1">
      <c r="A186" s="1014"/>
      <c r="B186" s="1014"/>
      <c r="C186" s="1014"/>
      <c r="D186" s="1494"/>
      <c r="E186" s="1494"/>
      <c r="F186" s="2050" t="s">
        <v>1044</v>
      </c>
      <c r="G186" s="2049"/>
      <c r="H186" s="1099">
        <f>ROUND((H185/1.3)*(0.05)*(0.19),0)</f>
        <v>226020</v>
      </c>
    </row>
    <row r="187" spans="1:9" s="1493" customFormat="1" ht="12.75" customHeight="1">
      <c r="A187" s="1494"/>
      <c r="B187" s="1494"/>
      <c r="C187" s="1494"/>
      <c r="D187" s="1494"/>
      <c r="E187" s="1494"/>
      <c r="F187" s="2050" t="s">
        <v>177</v>
      </c>
      <c r="G187" s="2049"/>
      <c r="H187" s="1516">
        <f>+SUM(H185:H186)</f>
        <v>31155040</v>
      </c>
      <c r="I187" s="250" t="s">
        <v>1437</v>
      </c>
    </row>
    <row r="188" spans="1:9" s="1493" customFormat="1" ht="12.75" customHeight="1">
      <c r="F188" s="1496"/>
      <c r="G188" s="1496"/>
      <c r="H188" s="1199"/>
    </row>
    <row r="189" spans="1:9" s="1493" customFormat="1" ht="12.75" customHeight="1">
      <c r="F189" s="1496"/>
      <c r="G189" s="1496"/>
      <c r="H189" s="1199"/>
    </row>
    <row r="190" spans="1:9" ht="12.75" customHeight="1">
      <c r="F190" s="1107"/>
      <c r="G190" s="1107"/>
      <c r="H190" s="1199"/>
    </row>
    <row r="191" spans="1:9" ht="12.75" customHeight="1">
      <c r="F191" s="1107"/>
      <c r="G191" s="1107"/>
      <c r="H191" s="1199"/>
    </row>
    <row r="192" spans="1:9" ht="13.5" customHeight="1" thickBot="1">
      <c r="D192" s="1219"/>
      <c r="F192" s="1219"/>
      <c r="G192" s="1219"/>
    </row>
    <row r="193" spans="1:8" ht="15" customHeight="1">
      <c r="B193" s="1220"/>
      <c r="C193" s="1220"/>
      <c r="D193" s="1221" t="s">
        <v>65</v>
      </c>
      <c r="E193" s="1220"/>
      <c r="F193" s="2120" t="s">
        <v>308</v>
      </c>
      <c r="G193" s="2100"/>
    </row>
    <row r="194" spans="1:8" ht="15" customHeight="1">
      <c r="A194" s="1220"/>
      <c r="B194" s="1220"/>
      <c r="C194" s="1220"/>
      <c r="D194" s="1220"/>
      <c r="E194" s="1220"/>
      <c r="F194" s="1220"/>
      <c r="G194" s="1220"/>
    </row>
    <row r="195" spans="1:8" ht="12.75" customHeight="1">
      <c r="A195" s="2121" t="s">
        <v>520</v>
      </c>
      <c r="B195" s="2060"/>
      <c r="C195" s="2060"/>
      <c r="D195" s="2060"/>
      <c r="E195" s="2060"/>
      <c r="F195" s="2060"/>
      <c r="G195" s="2060"/>
      <c r="H195" s="2060"/>
    </row>
    <row r="196" spans="1:8" ht="12.75" customHeight="1">
      <c r="A196" s="2060"/>
      <c r="B196" s="2060"/>
      <c r="C196" s="2060"/>
      <c r="D196" s="2060"/>
      <c r="E196" s="2060"/>
      <c r="F196" s="2060"/>
      <c r="G196" s="2060"/>
      <c r="H196" s="2060"/>
    </row>
    <row r="197" spans="1:8" ht="12.75" customHeight="1">
      <c r="A197" s="2060"/>
      <c r="B197" s="2060"/>
      <c r="C197" s="2060"/>
      <c r="D197" s="2060"/>
      <c r="E197" s="2060"/>
      <c r="F197" s="2060"/>
      <c r="G197" s="2060"/>
      <c r="H197" s="2060"/>
    </row>
    <row r="198" spans="1:8" ht="12.75" customHeight="1">
      <c r="G198" s="2102" t="s">
        <v>440</v>
      </c>
      <c r="H198" s="2060"/>
    </row>
    <row r="199" spans="1:8" ht="12.75" customHeight="1"/>
    <row r="200" spans="1:8" ht="12.75" customHeight="1"/>
    <row r="201" spans="1:8" ht="12.75" customHeight="1"/>
    <row r="202" spans="1:8" ht="12.75" customHeight="1"/>
    <row r="203" spans="1:8" ht="12.75" customHeight="1"/>
    <row r="204" spans="1:8" ht="12.75" customHeight="1"/>
    <row r="205" spans="1:8" ht="12.75" customHeight="1"/>
    <row r="206" spans="1:8" ht="12.75" customHeight="1"/>
    <row r="207" spans="1:8" ht="12.75" customHeight="1"/>
    <row r="208" spans="1: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row r="989" ht="12.75" customHeight="1"/>
    <row r="990" ht="12.75" customHeight="1"/>
    <row r="991" ht="12.75" customHeight="1"/>
    <row r="992" ht="12.75" customHeight="1"/>
    <row r="993" ht="12.75" customHeight="1"/>
    <row r="994" ht="12.75" customHeight="1"/>
    <row r="995" ht="12.75" customHeight="1"/>
    <row r="996" ht="12.75" customHeight="1"/>
    <row r="997" ht="12.75" customHeight="1"/>
    <row r="998" ht="12.75" customHeight="1"/>
    <row r="999" ht="12.75" customHeight="1"/>
    <row r="1000" ht="12.75" customHeight="1"/>
    <row r="1001" ht="12.75" customHeight="1"/>
    <row r="1002" ht="12.75" customHeight="1"/>
    <row r="1003" ht="12.75" customHeight="1"/>
    <row r="1004" ht="12.75" customHeight="1"/>
    <row r="1005" ht="12.75" customHeight="1"/>
    <row r="1006" ht="12.75" customHeight="1"/>
    <row r="1007" ht="12.75" customHeight="1"/>
    <row r="1008" ht="12.75" customHeight="1"/>
    <row r="1009" ht="12.75" customHeight="1"/>
    <row r="1010" ht="12.75" customHeight="1"/>
    <row r="1011" ht="12.75" customHeight="1"/>
    <row r="1012" ht="12.75" customHeight="1"/>
    <row r="1013" ht="12.75" customHeight="1"/>
    <row r="1014" ht="12.75" customHeight="1"/>
    <row r="1015" ht="12.75" customHeight="1"/>
    <row r="1016" ht="12.75" customHeight="1"/>
    <row r="1017" ht="12.75" customHeight="1"/>
    <row r="1018" ht="12.75" customHeight="1"/>
    <row r="1019" ht="12.75" customHeight="1"/>
    <row r="1020" ht="12.75" customHeight="1"/>
  </sheetData>
  <mergeCells count="67">
    <mergeCell ref="A195:H197"/>
    <mergeCell ref="G198:H198"/>
    <mergeCell ref="F140:G140"/>
    <mergeCell ref="F141:G141"/>
    <mergeCell ref="A142:C142"/>
    <mergeCell ref="F142:G142"/>
    <mergeCell ref="A144:A145"/>
    <mergeCell ref="B144:C144"/>
    <mergeCell ref="F167:G167"/>
    <mergeCell ref="F172:G172"/>
    <mergeCell ref="F186:G186"/>
    <mergeCell ref="F187:G187"/>
    <mergeCell ref="F171:G171"/>
    <mergeCell ref="F178:G178"/>
    <mergeCell ref="F179:G179"/>
    <mergeCell ref="F185:G185"/>
    <mergeCell ref="A131:G131"/>
    <mergeCell ref="A132:G132"/>
    <mergeCell ref="A133:G133"/>
    <mergeCell ref="A138:H138"/>
    <mergeCell ref="F193:G193"/>
    <mergeCell ref="A136:A137"/>
    <mergeCell ref="B136:C136"/>
    <mergeCell ref="F177:G177"/>
    <mergeCell ref="F173:G173"/>
    <mergeCell ref="A126:G126"/>
    <mergeCell ref="A127:G127"/>
    <mergeCell ref="A128:G128"/>
    <mergeCell ref="A129:G129"/>
    <mergeCell ref="A130:G130"/>
    <mergeCell ref="A102:G102"/>
    <mergeCell ref="A103:G103"/>
    <mergeCell ref="A123:G123"/>
    <mergeCell ref="A124:G124"/>
    <mergeCell ref="A125:G125"/>
    <mergeCell ref="A106:A107"/>
    <mergeCell ref="B106:C106"/>
    <mergeCell ref="A96:G96"/>
    <mergeCell ref="A97:G97"/>
    <mergeCell ref="A98:G98"/>
    <mergeCell ref="A99:G99"/>
    <mergeCell ref="A101:G101"/>
    <mergeCell ref="F39:G39"/>
    <mergeCell ref="F40:G40"/>
    <mergeCell ref="F41:G41"/>
    <mergeCell ref="A44:A45"/>
    <mergeCell ref="F17:G17"/>
    <mergeCell ref="F31:G31"/>
    <mergeCell ref="F32:G32"/>
    <mergeCell ref="F30:G30"/>
    <mergeCell ref="B44:C44"/>
    <mergeCell ref="A20:A21"/>
    <mergeCell ref="B20:C20"/>
    <mergeCell ref="A34:A35"/>
    <mergeCell ref="B34:C34"/>
    <mergeCell ref="A1:H1"/>
    <mergeCell ref="A2:H2"/>
    <mergeCell ref="A3:H3"/>
    <mergeCell ref="A5:H5"/>
    <mergeCell ref="A6:H6"/>
    <mergeCell ref="C8:D8"/>
    <mergeCell ref="G7:H7"/>
    <mergeCell ref="A10:A11"/>
    <mergeCell ref="B10:C10"/>
    <mergeCell ref="F16:G16"/>
    <mergeCell ref="F15:G15"/>
    <mergeCell ref="D13:D14"/>
  </mergeCells>
  <conditionalFormatting sqref="A182:B182">
    <cfRule type="expression" dxfId="12" priority="7" stopIfTrue="1">
      <formula>$D182=0</formula>
    </cfRule>
  </conditionalFormatting>
  <conditionalFormatting sqref="A182:B182">
    <cfRule type="expression" dxfId="11" priority="8" stopIfTrue="1">
      <formula>$D182=0</formula>
    </cfRule>
  </conditionalFormatting>
  <conditionalFormatting sqref="C182">
    <cfRule type="expression" dxfId="10" priority="5" stopIfTrue="1">
      <formula>$D182=0</formula>
    </cfRule>
  </conditionalFormatting>
  <conditionalFormatting sqref="C182">
    <cfRule type="expression" dxfId="9" priority="6" stopIfTrue="1">
      <formula>$D182=0</formula>
    </cfRule>
  </conditionalFormatting>
  <conditionalFormatting sqref="A183">
    <cfRule type="expression" dxfId="8" priority="4" stopIfTrue="1">
      <formula>$D183=0</formula>
    </cfRule>
  </conditionalFormatting>
  <conditionalFormatting sqref="C183">
    <cfRule type="expression" dxfId="7" priority="3" stopIfTrue="1">
      <formula>$D183=0</formula>
    </cfRule>
  </conditionalFormatting>
  <conditionalFormatting sqref="A184">
    <cfRule type="expression" dxfId="6" priority="2" stopIfTrue="1">
      <formula>$D184=0</formula>
    </cfRule>
  </conditionalFormatting>
  <conditionalFormatting sqref="C184">
    <cfRule type="expression" dxfId="5" priority="1" stopIfTrue="1">
      <formula>$D184=0</formula>
    </cfRule>
  </conditionalFormatting>
  <hyperlinks>
    <hyperlink ref="H167" location="'NECESIDAD VIA'!F16" display="'NECESIDAD VIA'!F16"/>
    <hyperlink ref="H32" location="'NECESIDAD VIA'!F36" display="'NECESIDAD VIA'!F36"/>
    <hyperlink ref="H41" location="'NECESIDAD VIA'!F37" display="'NECESIDAD VIA'!F37"/>
    <hyperlink ref="H103" location="'NECESIDAD VIA'!F38" display="'NECESIDAD VIA'!F38"/>
    <hyperlink ref="H142" location="'NECESIDAD VIA'!F39" display="'NECESIDAD VIA'!F39"/>
    <hyperlink ref="H17" location="'NECESIDADES CRITICAS'!F15" display="'NECESIDADES CRITICAS'!F15"/>
    <hyperlink ref="H133" location="'NECESIDADES CRITICAS'!F16" display="'NECESIDADES CRITICAS'!F16"/>
    <hyperlink ref="I32" location="'NEC PTES'!N38" display="REGRESAR NEC PTES"/>
    <hyperlink ref="I133" location="'NEC PTES'!N39" display="REGRESAR NEC PTES"/>
    <hyperlink ref="I41" location="'NEC PTES'!N40" display="REGRESAR NEC PTES"/>
    <hyperlink ref="I103" location="'NEC PTES'!N41" display="REGRESAR NEC PTES"/>
    <hyperlink ref="I173" location="'NEC. PONTONES'!F16" display="REGRESAR NEC PONTONES"/>
    <hyperlink ref="I179" location="'NEC. PONTONES'!F17" display="REGRESAR NEC PONTONES"/>
    <hyperlink ref="I187" location="'NEC. PONTONES'!F18" display="REGRESAR NEC PONTONES"/>
  </hyperlinks>
  <printOptions horizontalCentered="1" verticalCentered="1"/>
  <pageMargins left="0.47244094488188981" right="0.78740157480314965" top="0.23622047244094491" bottom="0.55118110236220474" header="0.27559055118110237" footer="0.51181102362204722"/>
  <pageSetup scale="51" fitToHeight="0" orientation="landscape" horizontalDpi="120" verticalDpi="144" r:id="rId1"/>
  <headerFooter alignWithMargins="0"/>
  <rowBreaks count="3" manualBreakCount="3">
    <brk id="42" max="7" man="1"/>
    <brk id="104" max="7" man="1"/>
    <brk id="134" max="7" man="1"/>
  </rowBreaks>
  <ignoredErrors>
    <ignoredError sqref="H16" formula="1"/>
  </ignoredErrors>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O46"/>
  <sheetViews>
    <sheetView view="pageBreakPreview" zoomScaleNormal="100" zoomScaleSheetLayoutView="100" workbookViewId="0">
      <selection activeCell="J9" sqref="J9"/>
    </sheetView>
  </sheetViews>
  <sheetFormatPr baseColWidth="10" defaultRowHeight="12.75"/>
  <cols>
    <col min="1" max="1" width="6.28515625" customWidth="1"/>
    <col min="2" max="2" width="12.7109375" customWidth="1"/>
    <col min="3" max="3" width="13" customWidth="1"/>
    <col min="4" max="4" width="44" customWidth="1"/>
    <col min="5" max="5" width="8.140625" customWidth="1"/>
    <col min="6" max="6" width="23.7109375" customWidth="1"/>
    <col min="7" max="7" width="20" customWidth="1"/>
    <col min="8" max="8" width="18.85546875" customWidth="1"/>
  </cols>
  <sheetData>
    <row r="1" spans="1:15" s="29" customFormat="1" ht="23.25">
      <c r="A1" s="1579" t="s">
        <v>0</v>
      </c>
      <c r="B1" s="1579"/>
      <c r="C1" s="1579"/>
      <c r="D1" s="1579"/>
      <c r="E1" s="1579"/>
      <c r="F1" s="1579"/>
      <c r="G1" s="1579"/>
      <c r="H1" s="1579"/>
    </row>
    <row r="2" spans="1:15" s="29" customFormat="1" ht="18">
      <c r="A2" s="1580" t="s">
        <v>531</v>
      </c>
      <c r="B2" s="1580"/>
      <c r="C2" s="1580"/>
      <c r="D2" s="1580"/>
      <c r="E2" s="1580"/>
      <c r="F2" s="1580"/>
      <c r="G2" s="1580"/>
      <c r="H2" s="1580"/>
    </row>
    <row r="3" spans="1:15" s="29" customFormat="1" ht="18">
      <c r="A3" s="1580" t="s">
        <v>60</v>
      </c>
      <c r="B3" s="1580"/>
      <c r="C3" s="1580"/>
      <c r="D3" s="1580"/>
      <c r="E3" s="1580"/>
      <c r="F3" s="1580"/>
      <c r="G3" s="1580"/>
      <c r="H3" s="1580"/>
      <c r="I3" s="170"/>
      <c r="J3" s="28"/>
      <c r="K3" s="28"/>
      <c r="L3" s="28"/>
      <c r="M3" s="28"/>
      <c r="N3" s="28"/>
      <c r="O3" s="28"/>
    </row>
    <row r="4" spans="1:15" s="29" customFormat="1">
      <c r="A4" s="41"/>
      <c r="B4" s="41"/>
      <c r="C4" s="41"/>
      <c r="D4" s="28"/>
      <c r="E4" s="1"/>
      <c r="F4" s="28"/>
      <c r="G4" s="28"/>
      <c r="H4" s="28"/>
    </row>
    <row r="5" spans="1:15" s="29" customFormat="1" ht="15.75">
      <c r="A5" s="2124" t="s">
        <v>316</v>
      </c>
      <c r="B5" s="2124"/>
      <c r="C5" s="2124"/>
      <c r="D5" s="2124"/>
      <c r="E5" s="2124"/>
      <c r="F5" s="2124"/>
      <c r="G5" s="2124"/>
      <c r="H5" s="2124"/>
    </row>
    <row r="6" spans="1:15" s="29" customFormat="1" ht="15.75">
      <c r="A6" s="2133" t="s">
        <v>502</v>
      </c>
      <c r="B6" s="2133"/>
      <c r="C6" s="2133"/>
      <c r="D6" s="2133"/>
      <c r="E6" s="2133"/>
      <c r="F6" s="2133"/>
      <c r="G6" s="2133"/>
      <c r="H6" s="2133"/>
    </row>
    <row r="7" spans="1:15" s="29" customFormat="1" ht="26.25" customHeight="1">
      <c r="A7" s="141" t="s">
        <v>147</v>
      </c>
      <c r="B7" s="42"/>
      <c r="C7" s="42"/>
      <c r="D7" s="317" t="str">
        <f>'CUMPLIMIENTO % '!C7</f>
        <v>LUIS GABRIEL IBARRA ANGEL</v>
      </c>
      <c r="F7" s="76" t="s">
        <v>409</v>
      </c>
      <c r="G7" s="2134" t="str">
        <f>PORTADA!C31</f>
        <v>OCTUBRE - DICIEMBRE DEL 2020</v>
      </c>
      <c r="H7" s="2134"/>
    </row>
    <row r="8" spans="1:15" s="29" customFormat="1" ht="18" customHeight="1">
      <c r="A8" s="141" t="s">
        <v>110</v>
      </c>
      <c r="B8" s="42"/>
      <c r="C8" s="206" t="s">
        <v>866</v>
      </c>
      <c r="D8" s="317"/>
      <c r="E8" s="141" t="s">
        <v>317</v>
      </c>
      <c r="F8" s="206" t="s">
        <v>886</v>
      </c>
      <c r="G8" s="206"/>
      <c r="H8" s="203"/>
    </row>
    <row r="9" spans="1:15" s="29" customFormat="1" ht="15" customHeight="1" thickBot="1">
      <c r="A9" s="42"/>
      <c r="B9" s="42"/>
      <c r="C9" s="42"/>
      <c r="D9" s="42"/>
      <c r="E9" s="42"/>
      <c r="F9" s="42"/>
      <c r="G9" s="42"/>
    </row>
    <row r="10" spans="1:15" ht="17.25" customHeight="1" thickBot="1">
      <c r="A10" s="2127" t="s">
        <v>390</v>
      </c>
      <c r="B10" s="2125" t="s">
        <v>391</v>
      </c>
      <c r="C10" s="2126"/>
      <c r="D10" s="51"/>
      <c r="E10" s="51"/>
      <c r="F10" s="51"/>
      <c r="G10" s="51"/>
      <c r="H10" s="51"/>
    </row>
    <row r="11" spans="1:15" s="23" customFormat="1" ht="29.25" customHeight="1" thickBot="1">
      <c r="A11" s="2128"/>
      <c r="B11" s="121" t="s">
        <v>500</v>
      </c>
      <c r="C11" s="121" t="s">
        <v>501</v>
      </c>
      <c r="D11" s="100" t="s">
        <v>80</v>
      </c>
      <c r="E11" s="100" t="s">
        <v>61</v>
      </c>
      <c r="F11" s="100" t="s">
        <v>62</v>
      </c>
      <c r="G11" s="104" t="s">
        <v>63</v>
      </c>
      <c r="H11" s="110" t="s">
        <v>64</v>
      </c>
    </row>
    <row r="12" spans="1:15" ht="14.25" customHeight="1">
      <c r="A12" s="76" t="s">
        <v>1108</v>
      </c>
      <c r="B12" s="51"/>
      <c r="C12" s="51"/>
      <c r="D12" s="51"/>
      <c r="E12" s="51"/>
      <c r="F12" s="51"/>
      <c r="G12" s="51"/>
      <c r="H12" s="51"/>
      <c r="K12">
        <f>28130-24060</f>
        <v>4070</v>
      </c>
    </row>
    <row r="13" spans="1:15">
      <c r="A13" s="306" t="s">
        <v>670</v>
      </c>
      <c r="B13" s="1015">
        <f>IF(AND(C13&gt;200,C13&lt;300),(200),IF(AND(C13&gt;300,C13&lt;400),(300),IF(AND(C13&gt;400,C13&lt;500),(400),IF(AND(C13&gt;500,C13&lt;600),(500),IF(AND(C13&gt;600,C13&lt;700),(600),IF(AND(C13&gt;700,C13&lt;800),(700),IF(AND(C13&gt;800,C13&lt;900),(800),IF(AND(C13&gt;900,C13&lt;1000),(900)))))))))</f>
        <v>700</v>
      </c>
      <c r="C13" s="306">
        <v>700.3</v>
      </c>
      <c r="D13" s="1006" t="str">
        <f>VLOOKUP(A13,[12]INDICE!$A$3:$D$320,2,FALSE)</f>
        <v>MARCA VIAL CON PINTURA EN FRÍO.</v>
      </c>
      <c r="E13" s="1006" t="s">
        <v>673</v>
      </c>
      <c r="F13" s="888">
        <v>240</v>
      </c>
      <c r="G13" s="1006">
        <v>45054</v>
      </c>
      <c r="H13" s="1001">
        <f>+G13*F13</f>
        <v>10812960</v>
      </c>
      <c r="K13">
        <f>+K12*4</f>
        <v>16280</v>
      </c>
    </row>
    <row r="14" spans="1:15" ht="38.25">
      <c r="A14" s="306" t="s">
        <v>671</v>
      </c>
      <c r="B14" s="1015">
        <f>IF(AND(C14&gt;200,C14&lt;300),(200),IF(AND(C14&gt;300,C14&lt;400),(300),IF(AND(C14&gt;400,C14&lt;500),(400),IF(AND(C14&gt;500,C14&lt;600),(500),IF(AND(C14&gt;600,C14&lt;700),(600),IF(AND(C14&gt;700,C14&lt;800),(700),IF(AND(C14&gt;800,C14&lt;900),(800),IF(AND(C14&gt;900,C14&lt;1000),(900)))))))))</f>
        <v>700</v>
      </c>
      <c r="C14" s="306">
        <v>710.1</v>
      </c>
      <c r="D14" s="1006" t="str">
        <f>VLOOKUP(A14,[12]INDICE!$A$3:$D$320,2,FALSE)</f>
        <v>SEÑAL VERTICAL DE TRANSITO TIPO 1 CON LAMINA RETRORREFLECTIVA TIPO III (75 X 75 ) CM</v>
      </c>
      <c r="E14" s="1006" t="s">
        <v>1242</v>
      </c>
      <c r="F14" s="307">
        <v>16</v>
      </c>
      <c r="G14" s="1006">
        <v>589370</v>
      </c>
      <c r="H14" s="1002">
        <f>+G14*F14</f>
        <v>9429920</v>
      </c>
    </row>
    <row r="15" spans="1:15" ht="25.5">
      <c r="A15" s="306" t="s">
        <v>1082</v>
      </c>
      <c r="B15" s="1015">
        <f>IF(AND(C15&gt;200,C15&lt;300),(200),IF(AND(C15&gt;300,C15&lt;400),(300),IF(AND(C15&gt;400,C15&lt;500),(400),IF(AND(C15&gt;500,C15&lt;600),(500),IF(AND(C15&gt;600,C15&lt;700),(600),IF(AND(C15&gt;700,C15&lt;800),(700),IF(AND(C15&gt;800,C15&lt;900),(800),IF(AND(C15&gt;900,C15&lt;1000),(900)))))))))</f>
        <v>700</v>
      </c>
      <c r="C15" s="306">
        <v>700.1</v>
      </c>
      <c r="D15" s="1006" t="str">
        <f>VLOOKUP(A15,[12]INDICE!$A$3:$D$320,2,FALSE)</f>
        <v>LÍNEA DE DEMARCACIÓN CON PINTURA EN FRÍO.</v>
      </c>
      <c r="E15" s="1006" t="s">
        <v>677</v>
      </c>
      <c r="F15" s="1007">
        <f>3660*4</f>
        <v>14640</v>
      </c>
      <c r="G15" s="1006">
        <v>2650</v>
      </c>
      <c r="H15" s="1002">
        <f>G15*F15</f>
        <v>38796000</v>
      </c>
    </row>
    <row r="16" spans="1:15" ht="25.5">
      <c r="A16" s="754" t="s">
        <v>892</v>
      </c>
      <c r="B16" s="1015">
        <f>IF(AND(C16&gt;200,C16&lt;300),(200),IF(AND(C16&gt;300,C16&lt;400),(300),IF(AND(C16&gt;400,C16&lt;500),(400),IF(AND(C16&gt;500,C16&lt;600),(500),IF(AND(C16&gt;600,C16&lt;700),(600),IF(AND(C16&gt;700,C16&lt;800),(700),IF(AND(C16&gt;800,C16&lt;900),(800),IF(AND(C16&gt;900,C16&lt;1000),(900)))))))))</f>
        <v>400</v>
      </c>
      <c r="C16" s="754">
        <v>460.1</v>
      </c>
      <c r="D16" s="1006" t="str">
        <f>VLOOKUP(A16,[12]INDICE!$A$3:$D$320,2,FALSE)</f>
        <v>FRESADO DE PAVIMENTO ASFÁLTICO EN ESPESOR DE  10 CM</v>
      </c>
      <c r="E16" s="1006" t="s">
        <v>673</v>
      </c>
      <c r="F16" s="1007">
        <f>900*10</f>
        <v>9000</v>
      </c>
      <c r="G16" s="1006">
        <v>5554</v>
      </c>
      <c r="H16" s="1002">
        <f>G16*F16</f>
        <v>49986000</v>
      </c>
    </row>
    <row r="17" spans="1:8">
      <c r="A17" s="754" t="s">
        <v>893</v>
      </c>
      <c r="B17" s="1015">
        <f>IF(AND(C17&gt;200,C17&lt;300),(200),IF(AND(C17&gt;300,C17&lt;400),(300),IF(AND(C17&gt;400,C17&lt;500),(400),IF(AND(C17&gt;500,C17&lt;600),(500),IF(AND(C17&gt;600,C17&lt;700),(600),IF(AND(C17&gt;700,C17&lt;800),(700),IF(AND(C17&gt;800,C17&lt;900),(800),IF(AND(C17&gt;900,C17&lt;1000),(900)))))))))</f>
        <v>400</v>
      </c>
      <c r="C17" s="754">
        <v>450.2</v>
      </c>
      <c r="D17" s="1006" t="str">
        <f>VLOOKUP(A17,[12]INDICE!$A$3:$D$320,2,FALSE)</f>
        <v>MEZCLA DENSA EN CALIENTE TIPO MDC-19</v>
      </c>
      <c r="E17" s="1006" t="s">
        <v>842</v>
      </c>
      <c r="F17" s="1003">
        <f>+F16*0.1</f>
        <v>900</v>
      </c>
      <c r="G17" s="1001">
        <v>761715</v>
      </c>
      <c r="H17" s="1001">
        <f>G17*F17</f>
        <v>685543500</v>
      </c>
    </row>
    <row r="18" spans="1:8">
      <c r="A18" s="306"/>
      <c r="B18" s="754"/>
      <c r="C18" s="754"/>
      <c r="D18" s="702"/>
      <c r="E18" s="703"/>
      <c r="F18" s="1003"/>
      <c r="G18" s="1001"/>
      <c r="H18" s="1001"/>
    </row>
    <row r="19" spans="1:8">
      <c r="A19" s="896"/>
      <c r="B19" s="896"/>
      <c r="C19" s="896"/>
      <c r="D19" s="821"/>
      <c r="E19" s="1000"/>
      <c r="F19" s="2131" t="s">
        <v>176</v>
      </c>
      <c r="G19" s="2132"/>
      <c r="H19" s="1004">
        <f>SUM(H13:H18)</f>
        <v>794568380</v>
      </c>
    </row>
    <row r="20" spans="1:8">
      <c r="A20" s="896"/>
      <c r="B20" s="896"/>
      <c r="C20" s="896"/>
      <c r="D20" s="821"/>
      <c r="E20" s="1000"/>
      <c r="F20" s="2122" t="s">
        <v>887</v>
      </c>
      <c r="G20" s="2123"/>
      <c r="H20" s="1004">
        <f>ROUND((H19/1.3)*(0.05)*(0.19),0)</f>
        <v>5806461</v>
      </c>
    </row>
    <row r="21" spans="1:8">
      <c r="A21" s="896"/>
      <c r="B21" s="896"/>
      <c r="C21" s="896"/>
      <c r="D21" s="821"/>
      <c r="E21" s="1000"/>
      <c r="F21" s="2122" t="s">
        <v>177</v>
      </c>
      <c r="G21" s="2123"/>
      <c r="H21" s="1457">
        <f>+H20+H19</f>
        <v>800374841</v>
      </c>
    </row>
    <row r="22" spans="1:8" s="1323" customFormat="1" ht="13.5" thickBot="1">
      <c r="A22" s="896"/>
      <c r="B22" s="896"/>
      <c r="C22" s="896"/>
      <c r="D22" s="821"/>
      <c r="E22" s="1039"/>
      <c r="F22" s="1327"/>
      <c r="G22" s="1358"/>
      <c r="H22" s="1359"/>
    </row>
    <row r="23" spans="1:8" s="1323" customFormat="1" ht="17.25" customHeight="1" thickBot="1">
      <c r="A23" s="2127" t="s">
        <v>390</v>
      </c>
      <c r="B23" s="2125" t="s">
        <v>391</v>
      </c>
      <c r="C23" s="2126"/>
      <c r="D23" s="1325"/>
      <c r="E23" s="1325"/>
      <c r="F23" s="1325"/>
      <c r="G23" s="1325"/>
      <c r="H23" s="1325"/>
    </row>
    <row r="24" spans="1:8" s="23" customFormat="1" ht="29.25" customHeight="1" thickBot="1">
      <c r="A24" s="2128"/>
      <c r="B24" s="121" t="s">
        <v>500</v>
      </c>
      <c r="C24" s="121" t="s">
        <v>501</v>
      </c>
      <c r="D24" s="100" t="s">
        <v>80</v>
      </c>
      <c r="E24" s="100" t="s">
        <v>61</v>
      </c>
      <c r="F24" s="100" t="s">
        <v>62</v>
      </c>
      <c r="G24" s="104" t="s">
        <v>63</v>
      </c>
      <c r="H24" s="110" t="s">
        <v>64</v>
      </c>
    </row>
    <row r="25" spans="1:8">
      <c r="A25" s="76" t="s">
        <v>1109</v>
      </c>
      <c r="B25" s="896"/>
      <c r="C25" s="896"/>
      <c r="D25" s="821"/>
      <c r="E25" s="1000"/>
      <c r="F25" s="1008"/>
      <c r="G25" s="1008"/>
      <c r="H25" s="1005"/>
    </row>
    <row r="26" spans="1:8">
      <c r="A26" s="306" t="s">
        <v>1096</v>
      </c>
      <c r="B26" s="1015">
        <v>600</v>
      </c>
      <c r="C26" s="306" t="s">
        <v>1097</v>
      </c>
      <c r="D26" s="1006" t="str">
        <f>VLOOKUP(A26,[12]INDICE!$A$3:$D$320,2,FALSE)</f>
        <v>EXCAVACIONES VARIAS EN ROCA EN SECO.</v>
      </c>
      <c r="E26" s="1006" t="s">
        <v>842</v>
      </c>
      <c r="F26" s="1010">
        <v>60</v>
      </c>
      <c r="G26" s="1006">
        <v>103840</v>
      </c>
      <c r="H26" s="1012">
        <f t="shared" ref="H26:H31" si="0">ROUND(F26*G26,0)</f>
        <v>6230400</v>
      </c>
    </row>
    <row r="27" spans="1:8" ht="25.5">
      <c r="A27" s="306" t="s">
        <v>1099</v>
      </c>
      <c r="B27" s="1015">
        <v>600</v>
      </c>
      <c r="C27" s="306" t="s">
        <v>1098</v>
      </c>
      <c r="D27" s="1006" t="str">
        <f>VLOOKUP(A27,[12]INDICE!$A$3:$D$320,2,FALSE)</f>
        <v>EXCAVACIONES VARIAS EN MATERIAL COMUN EN SECO</v>
      </c>
      <c r="E27" s="1006" t="s">
        <v>842</v>
      </c>
      <c r="F27" s="1013">
        <v>42</v>
      </c>
      <c r="G27" s="1006">
        <v>16682</v>
      </c>
      <c r="H27" s="1012">
        <f t="shared" si="0"/>
        <v>700644</v>
      </c>
    </row>
    <row r="28" spans="1:8" ht="25.5">
      <c r="A28" s="306" t="s">
        <v>1087</v>
      </c>
      <c r="B28" s="1015">
        <f>IF(AND(C28&gt;200,C28&lt;300),(200),IF(AND(C28&gt;300,C28&lt;400),(300),IF(AND(C28&gt;400,C28&lt;500),(400),IF(AND(C28&gt;500,C28&lt;600),(500),IF(AND(C28&gt;600,C28&lt;700),(600),IF(AND(C28&gt;700,C28&lt;800),(700),IF(AND(C28&gt;800,C28&lt;900),(800),IF(AND(C28&gt;900,C28&lt;1000),(900)))))))))</f>
        <v>600</v>
      </c>
      <c r="C28" s="306">
        <v>610.1</v>
      </c>
      <c r="D28" s="1006" t="str">
        <f>VLOOKUP(A28,[12]INDICE!$A$3:$D$320,2,FALSE)</f>
        <v>RELLENOS PARA ESTRUCTURAS CON SUELO.</v>
      </c>
      <c r="E28" s="1006" t="s">
        <v>842</v>
      </c>
      <c r="F28" s="1013">
        <v>27</v>
      </c>
      <c r="G28" s="1006">
        <v>60616</v>
      </c>
      <c r="H28" s="1012">
        <f t="shared" si="0"/>
        <v>1636632</v>
      </c>
    </row>
    <row r="29" spans="1:8">
      <c r="A29" s="306" t="s">
        <v>1059</v>
      </c>
      <c r="B29" s="1015">
        <f>IF(AND(C29&gt;200,C29&lt;300),(200),IF(AND(C29&gt;300,C29&lt;400),(300),IF(AND(C29&gt;400,C29&lt;500),(400),IF(AND(C29&gt;500,C29&lt;600),(500),IF(AND(C29&gt;600,C29&lt;700),(600),IF(AND(C29&gt;700,C29&lt;800),(700),IF(AND(C29&gt;800,C29&lt;900),(800),IF(AND(C29&gt;900,C29&lt;1000),(900)))))))))</f>
        <v>600</v>
      </c>
      <c r="C29" s="306">
        <v>630.4</v>
      </c>
      <c r="D29" s="1006" t="str">
        <f>VLOOKUP(A29,[12]INDICE!$A$3:$D$320,2,FALSE)</f>
        <v>CONCRETO RESISTENCIA 21MPA (D)</v>
      </c>
      <c r="E29" s="1006" t="s">
        <v>842</v>
      </c>
      <c r="F29" s="1013">
        <v>19.5</v>
      </c>
      <c r="G29" s="1006">
        <v>622015</v>
      </c>
      <c r="H29" s="1012">
        <f t="shared" si="0"/>
        <v>12129293</v>
      </c>
    </row>
    <row r="30" spans="1:8">
      <c r="A30" s="306" t="s">
        <v>1061</v>
      </c>
      <c r="B30" s="1015">
        <f>IF(AND(C30&gt;200,C30&lt;300),(200),IF(AND(C30&gt;300,C30&lt;400),(300),IF(AND(C30&gt;400,C30&lt;500),(400),IF(AND(C30&gt;500,C30&lt;600),(500),IF(AND(C30&gt;600,C30&lt;700),(600),IF(AND(C30&gt;700,C30&lt;800),(700),IF(AND(C30&gt;800,C30&lt;900),(800),IF(AND(C30&gt;900,C30&lt;1000),(900)))))))))</f>
        <v>600</v>
      </c>
      <c r="C30" s="306">
        <v>640.29999999999995</v>
      </c>
      <c r="D30" s="1006" t="str">
        <f>VLOOKUP(A30,[12]INDICE!$A$3:$D$320,2,FALSE)</f>
        <v>ACERO DE REFUERZO FY 4200 MPA.</v>
      </c>
      <c r="E30" s="1006" t="s">
        <v>1229</v>
      </c>
      <c r="F30" s="1013">
        <v>650</v>
      </c>
      <c r="G30" s="1006">
        <v>7046</v>
      </c>
      <c r="H30" s="1012">
        <f t="shared" si="0"/>
        <v>4579900</v>
      </c>
    </row>
    <row r="31" spans="1:8">
      <c r="A31" s="306" t="s">
        <v>1023</v>
      </c>
      <c r="B31" s="306"/>
      <c r="C31" s="306" t="s">
        <v>1023</v>
      </c>
      <c r="D31" s="943" t="s">
        <v>1024</v>
      </c>
      <c r="E31" s="1009" t="s">
        <v>842</v>
      </c>
      <c r="F31" s="1013">
        <v>120</v>
      </c>
      <c r="G31" s="1011">
        <f>614054*1.0386</f>
        <v>637756.48439999996</v>
      </c>
      <c r="H31" s="1012">
        <f t="shared" si="0"/>
        <v>76530778</v>
      </c>
    </row>
    <row r="32" spans="1:8">
      <c r="A32" s="896"/>
      <c r="B32" s="896"/>
      <c r="C32" s="896"/>
      <c r="D32" s="821"/>
      <c r="E32" s="1000"/>
      <c r="F32" s="2131" t="s">
        <v>176</v>
      </c>
      <c r="G32" s="2132"/>
      <c r="H32" s="1004">
        <f>SUM(H26:H31)</f>
        <v>101807647</v>
      </c>
    </row>
    <row r="33" spans="1:9">
      <c r="A33" s="896"/>
      <c r="B33" s="896"/>
      <c r="C33" s="896"/>
      <c r="D33" s="821"/>
      <c r="E33" s="1000"/>
      <c r="F33" s="2122" t="s">
        <v>887</v>
      </c>
      <c r="G33" s="2123"/>
      <c r="H33" s="1004">
        <f>ROUND((H32/1.3)*(0.05)*(0.19),0)</f>
        <v>743979</v>
      </c>
    </row>
    <row r="34" spans="1:9">
      <c r="A34" s="51"/>
      <c r="B34" s="51"/>
      <c r="C34" s="51"/>
      <c r="D34" s="51"/>
      <c r="E34" s="51"/>
      <c r="F34" s="2122" t="s">
        <v>177</v>
      </c>
      <c r="G34" s="2123"/>
      <c r="H34" s="1457">
        <f>+H33+H32</f>
        <v>102551626</v>
      </c>
      <c r="I34" s="250" t="s">
        <v>1436</v>
      </c>
    </row>
    <row r="35" spans="1:9">
      <c r="A35" s="51"/>
      <c r="B35" s="51"/>
      <c r="C35" s="51"/>
      <c r="D35" s="51"/>
      <c r="E35" s="51"/>
      <c r="F35" s="51"/>
      <c r="G35" s="51"/>
      <c r="H35" s="51"/>
    </row>
    <row r="40" spans="1:9" ht="13.5" thickBot="1">
      <c r="D40" s="19"/>
      <c r="F40" s="19"/>
      <c r="G40" s="19"/>
    </row>
    <row r="41" spans="1:9" ht="15">
      <c r="B41" s="77"/>
      <c r="C41" s="77"/>
      <c r="D41" s="289" t="s">
        <v>65</v>
      </c>
      <c r="E41" s="77"/>
      <c r="F41" s="2129" t="s">
        <v>308</v>
      </c>
      <c r="G41" s="2129"/>
    </row>
    <row r="42" spans="1:9" ht="15">
      <c r="A42" s="77"/>
      <c r="B42" s="77"/>
      <c r="C42" s="77"/>
      <c r="D42" s="77"/>
      <c r="E42" s="77"/>
      <c r="F42" s="77"/>
      <c r="G42" s="77"/>
    </row>
    <row r="43" spans="1:9" ht="16.5" customHeight="1">
      <c r="A43" s="2130" t="s">
        <v>520</v>
      </c>
      <c r="B43" s="2130"/>
      <c r="C43" s="2130"/>
      <c r="D43" s="2130"/>
      <c r="E43" s="2130"/>
      <c r="F43" s="2130"/>
      <c r="G43" s="2130"/>
      <c r="H43" s="2130"/>
    </row>
    <row r="44" spans="1:9" ht="16.5" customHeight="1">
      <c r="A44" s="2130"/>
      <c r="B44" s="2130"/>
      <c r="C44" s="2130"/>
      <c r="D44" s="2130"/>
      <c r="E44" s="2130"/>
      <c r="F44" s="2130"/>
      <c r="G44" s="2130"/>
      <c r="H44" s="2130"/>
    </row>
    <row r="45" spans="1:9" ht="20.25" customHeight="1">
      <c r="A45" s="2130"/>
      <c r="B45" s="2130"/>
      <c r="C45" s="2130"/>
      <c r="D45" s="2130"/>
      <c r="E45" s="2130"/>
      <c r="F45" s="2130"/>
      <c r="G45" s="2130"/>
      <c r="H45" s="2130"/>
    </row>
    <row r="46" spans="1:9">
      <c r="G46" s="1585" t="s">
        <v>440</v>
      </c>
      <c r="H46" s="1585"/>
    </row>
  </sheetData>
  <mergeCells count="19">
    <mergeCell ref="A1:H1"/>
    <mergeCell ref="A2:H2"/>
    <mergeCell ref="A3:H3"/>
    <mergeCell ref="A6:H6"/>
    <mergeCell ref="F20:G20"/>
    <mergeCell ref="F19:G19"/>
    <mergeCell ref="G7:H7"/>
    <mergeCell ref="F21:G21"/>
    <mergeCell ref="A5:H5"/>
    <mergeCell ref="B10:C10"/>
    <mergeCell ref="A10:A11"/>
    <mergeCell ref="G46:H46"/>
    <mergeCell ref="F41:G41"/>
    <mergeCell ref="A43:H45"/>
    <mergeCell ref="F33:G33"/>
    <mergeCell ref="F34:G34"/>
    <mergeCell ref="F32:G32"/>
    <mergeCell ref="A23:A24"/>
    <mergeCell ref="B23:C23"/>
  </mergeCells>
  <phoneticPr fontId="3" type="noConversion"/>
  <conditionalFormatting sqref="A31:B31">
    <cfRule type="expression" dxfId="4" priority="4" stopIfTrue="1">
      <formula>$D31=0</formula>
    </cfRule>
  </conditionalFormatting>
  <conditionalFormatting sqref="A31:B31 A26:A30">
    <cfRule type="expression" dxfId="3" priority="5" stopIfTrue="1">
      <formula>$D26=0</formula>
    </cfRule>
  </conditionalFormatting>
  <conditionalFormatting sqref="C31">
    <cfRule type="expression" dxfId="2" priority="2" stopIfTrue="1">
      <formula>$D31=0</formula>
    </cfRule>
  </conditionalFormatting>
  <conditionalFormatting sqref="C26 C28:C31">
    <cfRule type="expression" dxfId="1" priority="3" stopIfTrue="1">
      <formula>$D26=0</formula>
    </cfRule>
  </conditionalFormatting>
  <conditionalFormatting sqref="C27">
    <cfRule type="expression" dxfId="0" priority="1" stopIfTrue="1">
      <formula>$D27=0</formula>
    </cfRule>
  </conditionalFormatting>
  <hyperlinks>
    <hyperlink ref="G46" location="'TABLA DE CONTENIDO'!A1" display="VOLVER A TABLA DE CONTENIDO"/>
    <hyperlink ref="A16" location="'460.1'!A1" display="460.1"/>
    <hyperlink ref="A17" location="'450.2'!A1" display="450.2"/>
    <hyperlink ref="C16" location="'460.1'!A1" display="460.1"/>
    <hyperlink ref="C17" location="'450.2'!A1" display="450.2"/>
    <hyperlink ref="H21" location="'NECESIDAD VIA'!F13" display="'NECESIDAD VIA'!F13"/>
    <hyperlink ref="H34" location="'NECESIDAD VIA'!F40" display="'NECESIDAD VIA'!F40"/>
    <hyperlink ref="I34" location="'NEC PTES'!N42" display="REGRESAR NEC PTES"/>
  </hyperlinks>
  <printOptions horizontalCentered="1" verticalCentered="1"/>
  <pageMargins left="0.47244094488188981" right="0.78740157480314965" top="0.23622047244094491" bottom="0.55118110236220474" header="0.27559055118110237" footer="0.51181102362204722"/>
  <pageSetup scale="73" orientation="landscape" horizontalDpi="120" verticalDpi="144"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46"/>
  <sheetViews>
    <sheetView view="pageBreakPreview" zoomScaleNormal="100" zoomScaleSheetLayoutView="100" workbookViewId="0">
      <selection activeCell="D36" sqref="D36"/>
    </sheetView>
  </sheetViews>
  <sheetFormatPr baseColWidth="10" defaultRowHeight="12.75"/>
  <cols>
    <col min="1" max="1" width="6.28515625" customWidth="1"/>
    <col min="2" max="2" width="15.85546875" customWidth="1"/>
    <col min="3" max="3" width="13" customWidth="1"/>
    <col min="4" max="4" width="44" customWidth="1"/>
    <col min="5" max="5" width="8.140625" customWidth="1"/>
    <col min="6" max="6" width="17.85546875" customWidth="1"/>
    <col min="7" max="7" width="22.42578125" customWidth="1"/>
    <col min="8" max="8" width="21.42578125" customWidth="1"/>
  </cols>
  <sheetData>
    <row r="1" spans="1:15" s="29" customFormat="1" ht="23.25">
      <c r="A1" s="1579" t="s">
        <v>0</v>
      </c>
      <c r="B1" s="1579"/>
      <c r="C1" s="1579"/>
      <c r="D1" s="1579"/>
      <c r="E1" s="1579"/>
      <c r="F1" s="1579"/>
      <c r="G1" s="1579"/>
      <c r="H1" s="1579"/>
    </row>
    <row r="2" spans="1:15" s="29" customFormat="1" ht="18">
      <c r="A2" s="1580" t="s">
        <v>531</v>
      </c>
      <c r="B2" s="1580"/>
      <c r="C2" s="1580"/>
      <c r="D2" s="1580"/>
      <c r="E2" s="1580"/>
      <c r="F2" s="1580"/>
      <c r="G2" s="1580"/>
      <c r="H2" s="1580"/>
    </row>
    <row r="3" spans="1:15" s="29" customFormat="1" ht="18">
      <c r="A3" s="1580" t="s">
        <v>60</v>
      </c>
      <c r="B3" s="1580"/>
      <c r="C3" s="1580"/>
      <c r="D3" s="1580"/>
      <c r="E3" s="1580"/>
      <c r="F3" s="1580"/>
      <c r="G3" s="1580"/>
      <c r="H3" s="1580"/>
      <c r="I3" s="170"/>
      <c r="J3" s="28"/>
      <c r="K3" s="28"/>
      <c r="L3" s="28"/>
      <c r="M3" s="28"/>
      <c r="N3" s="28"/>
      <c r="O3" s="28"/>
    </row>
    <row r="4" spans="1:15" s="29" customFormat="1">
      <c r="A4" s="41"/>
      <c r="B4" s="41"/>
      <c r="C4" s="41"/>
      <c r="D4" s="28"/>
      <c r="E4" s="1"/>
      <c r="F4" s="28"/>
      <c r="G4" s="28"/>
      <c r="H4" s="28"/>
    </row>
    <row r="5" spans="1:15" s="29" customFormat="1" ht="15.75">
      <c r="A5" s="2124" t="s">
        <v>316</v>
      </c>
      <c r="B5" s="2124"/>
      <c r="C5" s="2124"/>
      <c r="D5" s="2124"/>
      <c r="E5" s="2124"/>
      <c r="F5" s="2124"/>
      <c r="G5" s="2124"/>
      <c r="H5" s="2124"/>
    </row>
    <row r="6" spans="1:15" s="29" customFormat="1" ht="15.75">
      <c r="A6" s="2133" t="s">
        <v>502</v>
      </c>
      <c r="B6" s="2133"/>
      <c r="C6" s="2133"/>
      <c r="D6" s="2133"/>
      <c r="E6" s="2133"/>
      <c r="F6" s="2133"/>
      <c r="G6" s="2133"/>
      <c r="H6" s="2133"/>
    </row>
    <row r="7" spans="1:15" s="29" customFormat="1" ht="27" customHeight="1">
      <c r="A7" s="141" t="s">
        <v>147</v>
      </c>
      <c r="B7" s="42"/>
      <c r="C7" s="1732" t="str">
        <f>'CUMPLIMIENTO % '!C7</f>
        <v>LUIS GABRIEL IBARRA ANGEL</v>
      </c>
      <c r="D7" s="1732"/>
      <c r="E7" s="2144" t="s">
        <v>409</v>
      </c>
      <c r="F7" s="2144"/>
      <c r="G7" s="2134" t="str">
        <f>PORTADA!C31</f>
        <v>OCTUBRE - DICIEMBRE DEL 2020</v>
      </c>
      <c r="H7" s="2134"/>
    </row>
    <row r="8" spans="1:15" s="29" customFormat="1" ht="18" customHeight="1">
      <c r="A8" s="141" t="s">
        <v>110</v>
      </c>
      <c r="B8" s="42"/>
      <c r="C8" s="2143" t="s">
        <v>545</v>
      </c>
      <c r="D8" s="2143"/>
      <c r="E8" s="236" t="s">
        <v>317</v>
      </c>
      <c r="F8" s="205" t="s">
        <v>1106</v>
      </c>
      <c r="G8" s="206"/>
      <c r="H8" s="203"/>
    </row>
    <row r="9" spans="1:15" s="29" customFormat="1" ht="15" customHeight="1" thickBot="1">
      <c r="A9" s="42"/>
      <c r="B9" s="42"/>
      <c r="C9" s="42"/>
      <c r="D9" s="42"/>
      <c r="E9" s="122"/>
      <c r="F9" s="122"/>
      <c r="G9" s="42"/>
    </row>
    <row r="10" spans="1:15" ht="17.25" customHeight="1" thickBot="1">
      <c r="A10" s="2127" t="s">
        <v>390</v>
      </c>
      <c r="B10" s="2125" t="s">
        <v>391</v>
      </c>
      <c r="C10" s="2126"/>
    </row>
    <row r="11" spans="1:15" s="23" customFormat="1" ht="29.25" customHeight="1" thickBot="1">
      <c r="A11" s="2128"/>
      <c r="B11" s="121" t="s">
        <v>500</v>
      </c>
      <c r="C11" s="121" t="s">
        <v>501</v>
      </c>
      <c r="D11" s="100" t="s">
        <v>80</v>
      </c>
      <c r="E11" s="100" t="s">
        <v>61</v>
      </c>
      <c r="F11" s="100" t="s">
        <v>62</v>
      </c>
      <c r="G11" s="104" t="s">
        <v>63</v>
      </c>
      <c r="H11" s="110" t="s">
        <v>1045</v>
      </c>
    </row>
    <row r="12" spans="1:15" ht="14.25" customHeight="1">
      <c r="A12" s="55" t="s">
        <v>1347</v>
      </c>
      <c r="B12" s="51"/>
      <c r="C12" s="51"/>
      <c r="D12" s="51"/>
      <c r="E12" s="51"/>
      <c r="F12" s="51"/>
      <c r="G12" s="51"/>
      <c r="H12" s="51"/>
    </row>
    <row r="13" spans="1:15">
      <c r="A13" s="306" t="s">
        <v>670</v>
      </c>
      <c r="B13" s="1015">
        <f t="shared" ref="B13:B18" si="0">IF(AND(C13&gt;200,C13&lt;300),(200),IF(AND(C13&gt;300,C13&lt;400),(300),IF(AND(C13&gt;400,C13&lt;500),(400),IF(AND(C13&gt;500,C13&lt;600),(500),IF(AND(C13&gt;600,C13&lt;700),(600),IF(AND(C13&gt;700,C13&lt;800),(700),IF(AND(C13&gt;800,C13&lt;900),(800),IF(AND(C13&gt;900,C13&lt;1000),(900)))))))))</f>
        <v>700</v>
      </c>
      <c r="C13" s="306">
        <v>700.3</v>
      </c>
      <c r="D13" s="1006" t="str">
        <f>VLOOKUP(A13,[12]INDICE!$A$3:$D$320,2,FALSE)</f>
        <v>MARCA VIAL CON PINTURA EN FRÍO.</v>
      </c>
      <c r="E13" s="1006" t="s">
        <v>673</v>
      </c>
      <c r="F13" s="888">
        <v>220</v>
      </c>
      <c r="G13" s="1006">
        <f>+'CANT OBRA PNG'!G13</f>
        <v>45054</v>
      </c>
      <c r="H13" s="935">
        <f t="shared" ref="H13:H18" si="1">G13*F13</f>
        <v>9911880</v>
      </c>
    </row>
    <row r="14" spans="1:15" ht="38.25">
      <c r="A14" s="306" t="s">
        <v>671</v>
      </c>
      <c r="B14" s="1015">
        <f t="shared" si="0"/>
        <v>700</v>
      </c>
      <c r="C14" s="306">
        <v>710.1</v>
      </c>
      <c r="D14" s="1006" t="str">
        <f>VLOOKUP(A14,[12]INDICE!$A$3:$D$320,2,FALSE)</f>
        <v>SEÑAL VERTICAL DE TRANSITO TIPO 1 CON LAMINA RETRORREFLECTIVA TIPO III (75 X 75 ) CM</v>
      </c>
      <c r="E14" s="1006" t="s">
        <v>61</v>
      </c>
      <c r="F14" s="307">
        <v>8</v>
      </c>
      <c r="G14" s="1006">
        <f>+'CANT OBRA PNG'!G14</f>
        <v>589370</v>
      </c>
      <c r="H14" s="1030">
        <f t="shared" si="1"/>
        <v>4714960</v>
      </c>
    </row>
    <row r="15" spans="1:15">
      <c r="A15" s="306" t="s">
        <v>672</v>
      </c>
      <c r="B15" s="1015">
        <f t="shared" si="0"/>
        <v>700</v>
      </c>
      <c r="C15" s="306">
        <v>701.1</v>
      </c>
      <c r="D15" s="1006" t="str">
        <f>VLOOKUP(A15,[12]INDICE!$A$3:$D$320,2,FALSE)</f>
        <v>TACHA REFLECTIVA.</v>
      </c>
      <c r="E15" s="1006" t="s">
        <v>61</v>
      </c>
      <c r="F15" s="699">
        <v>900</v>
      </c>
      <c r="G15" s="1006">
        <f>VLOOKUP(A15,[12]INDICE!$A$3:$D$320,4,FALSE)</f>
        <v>11868.265942</v>
      </c>
      <c r="H15" s="935">
        <f t="shared" si="1"/>
        <v>10681439.3478</v>
      </c>
    </row>
    <row r="16" spans="1:15" ht="25.5">
      <c r="A16" s="306" t="s">
        <v>1082</v>
      </c>
      <c r="B16" s="1015">
        <f t="shared" si="0"/>
        <v>700</v>
      </c>
      <c r="C16" s="306">
        <v>700.1</v>
      </c>
      <c r="D16" s="1006" t="str">
        <f>VLOOKUP(A16,[12]INDICE!$A$3:$D$320,2,FALSE)</f>
        <v>LÍNEA DE DEMARCACIÓN CON PINTURA EN FRÍO.</v>
      </c>
      <c r="E16" s="1006" t="s">
        <v>677</v>
      </c>
      <c r="F16" s="1031">
        <v>9000</v>
      </c>
      <c r="G16" s="1006">
        <f>+'CANT OBRA PNG'!G15</f>
        <v>2650</v>
      </c>
      <c r="H16" s="935">
        <f t="shared" si="1"/>
        <v>23850000</v>
      </c>
    </row>
    <row r="17" spans="1:9" ht="25.5">
      <c r="A17" s="306" t="s">
        <v>892</v>
      </c>
      <c r="B17" s="1015">
        <f t="shared" si="0"/>
        <v>400</v>
      </c>
      <c r="C17" s="306">
        <v>460.1</v>
      </c>
      <c r="D17" s="1006" t="str">
        <f>VLOOKUP(A17,[12]INDICE!$A$3:$D$320,2,FALSE)</f>
        <v>FRESADO DE PAVIMENTO ASFÁLTICO EN ESPESOR DE  10 CM</v>
      </c>
      <c r="E17" s="1006" t="s">
        <v>673</v>
      </c>
      <c r="F17" s="1031">
        <f>900*10</f>
        <v>9000</v>
      </c>
      <c r="G17" s="1006">
        <f>+'CANT OBRA PNG'!G16</f>
        <v>5554</v>
      </c>
      <c r="H17" s="935">
        <f t="shared" si="1"/>
        <v>49986000</v>
      </c>
    </row>
    <row r="18" spans="1:9">
      <c r="A18" s="306" t="s">
        <v>1095</v>
      </c>
      <c r="B18" s="1015">
        <f t="shared" si="0"/>
        <v>400</v>
      </c>
      <c r="C18" s="306">
        <v>450.2</v>
      </c>
      <c r="D18" s="1006" t="str">
        <f>VLOOKUP(A18,[12]INDICE!$A$3:$D$320,2,FALSE)</f>
        <v>MEZCLA DENSA EN CALIENTE TIPO MDC-25</v>
      </c>
      <c r="E18" s="1006" t="s">
        <v>842</v>
      </c>
      <c r="F18" s="699">
        <f>+F17*0.1</f>
        <v>900</v>
      </c>
      <c r="G18" s="935">
        <f>+'CANT OBRA PNG'!G17</f>
        <v>761715</v>
      </c>
      <c r="H18" s="935">
        <f t="shared" si="1"/>
        <v>685543500</v>
      </c>
    </row>
    <row r="19" spans="1:9">
      <c r="A19" s="306"/>
      <c r="B19" s="306"/>
      <c r="C19" s="306"/>
      <c r="D19" s="1539"/>
      <c r="E19" s="703"/>
      <c r="F19" s="888"/>
      <c r="G19" s="889"/>
      <c r="H19" s="935"/>
    </row>
    <row r="20" spans="1:9">
      <c r="A20" s="145"/>
      <c r="B20" s="145"/>
      <c r="C20" s="145"/>
      <c r="D20" s="51"/>
      <c r="E20" s="346"/>
      <c r="F20" s="849"/>
      <c r="G20" s="850"/>
      <c r="H20" s="934"/>
    </row>
    <row r="21" spans="1:9">
      <c r="A21" s="145"/>
      <c r="B21" s="145"/>
      <c r="C21" s="145"/>
      <c r="D21" s="146"/>
      <c r="E21" s="111"/>
      <c r="F21" s="2135" t="s">
        <v>176</v>
      </c>
      <c r="G21" s="2136"/>
      <c r="H21" s="936">
        <f>SUM(H13:H19)</f>
        <v>784687779.34780002</v>
      </c>
    </row>
    <row r="22" spans="1:9">
      <c r="A22" s="145"/>
      <c r="B22" s="145"/>
      <c r="C22" s="145"/>
      <c r="D22" s="146"/>
      <c r="E22" s="111"/>
      <c r="F22" s="2135" t="s">
        <v>887</v>
      </c>
      <c r="G22" s="2136"/>
      <c r="H22" s="936">
        <f>ROUND((H21/1.3)*(0.05)*(0.19),0)</f>
        <v>5734257</v>
      </c>
    </row>
    <row r="23" spans="1:9">
      <c r="A23" s="145"/>
      <c r="B23" s="145"/>
      <c r="C23" s="145"/>
      <c r="D23" s="146"/>
      <c r="E23" s="111"/>
      <c r="F23" s="2141" t="s">
        <v>177</v>
      </c>
      <c r="G23" s="2142"/>
      <c r="H23" s="1457">
        <f>SUM(H21:H22)</f>
        <v>790422036.34780002</v>
      </c>
      <c r="I23" s="1483"/>
    </row>
    <row r="24" spans="1:9" hidden="1">
      <c r="A24" s="207" t="s">
        <v>318</v>
      </c>
    </row>
    <row r="25" spans="1:9" hidden="1"/>
    <row r="26" spans="1:9" hidden="1">
      <c r="A26" s="123"/>
      <c r="B26" s="50"/>
      <c r="C26" s="50"/>
      <c r="D26" s="6"/>
      <c r="E26" s="6"/>
      <c r="F26" s="69"/>
      <c r="G26" s="6"/>
      <c r="H26" s="6"/>
    </row>
    <row r="27" spans="1:9" hidden="1">
      <c r="A27" s="123"/>
      <c r="B27" s="50"/>
      <c r="C27" s="50"/>
      <c r="D27" s="27"/>
      <c r="E27" s="21"/>
      <c r="F27" s="21"/>
      <c r="G27" s="68"/>
      <c r="H27" s="68"/>
    </row>
    <row r="28" spans="1:9" hidden="1">
      <c r="A28" s="123"/>
      <c r="B28" s="50"/>
      <c r="C28" s="50"/>
      <c r="D28" s="6"/>
      <c r="E28" s="6"/>
      <c r="F28" s="6"/>
      <c r="G28" s="6"/>
      <c r="H28" s="6"/>
    </row>
    <row r="29" spans="1:9" hidden="1">
      <c r="A29" s="123"/>
      <c r="B29" s="50"/>
      <c r="C29" s="50"/>
      <c r="D29" s="6"/>
      <c r="E29" s="6"/>
      <c r="F29" s="6"/>
      <c r="G29" s="6"/>
      <c r="H29" s="6"/>
    </row>
    <row r="30" spans="1:9" hidden="1">
      <c r="A30" s="123"/>
      <c r="B30" s="50"/>
      <c r="C30" s="50"/>
      <c r="D30" s="6"/>
      <c r="E30" s="6"/>
      <c r="F30" s="6"/>
      <c r="G30" s="6"/>
      <c r="H30" s="6"/>
    </row>
    <row r="31" spans="1:9" hidden="1">
      <c r="A31" s="123"/>
      <c r="B31" s="50"/>
      <c r="C31" s="50"/>
      <c r="D31" s="6"/>
      <c r="E31" s="21"/>
      <c r="F31" s="21"/>
      <c r="G31" s="68"/>
      <c r="H31" s="68"/>
    </row>
    <row r="32" spans="1:9" hidden="1">
      <c r="A32" s="145"/>
      <c r="B32" s="145"/>
      <c r="C32" s="145"/>
      <c r="E32" s="111"/>
      <c r="F32" s="148" t="s">
        <v>176</v>
      </c>
      <c r="G32" s="147"/>
      <c r="H32" s="68"/>
    </row>
    <row r="33" spans="1:8" hidden="1">
      <c r="A33" s="145"/>
      <c r="B33" s="145"/>
      <c r="C33" s="145"/>
      <c r="E33" s="111"/>
      <c r="F33" s="2137" t="s">
        <v>293</v>
      </c>
      <c r="G33" s="2138"/>
      <c r="H33" s="68"/>
    </row>
    <row r="34" spans="1:8" hidden="1">
      <c r="F34" s="2139" t="s">
        <v>177</v>
      </c>
      <c r="G34" s="2140"/>
      <c r="H34" s="6"/>
    </row>
    <row r="35" spans="1:8" hidden="1">
      <c r="F35" s="139" t="s">
        <v>181</v>
      </c>
      <c r="H35" s="709">
        <f>H34+H22</f>
        <v>5734257</v>
      </c>
    </row>
    <row r="40" spans="1:8" ht="13.5" thickBot="1">
      <c r="D40" s="19"/>
      <c r="F40" s="19"/>
      <c r="G40" s="19"/>
    </row>
    <row r="41" spans="1:8" ht="15">
      <c r="B41" s="77"/>
      <c r="C41" s="77"/>
      <c r="D41" s="289" t="s">
        <v>65</v>
      </c>
      <c r="E41" s="77"/>
      <c r="F41" s="2129" t="s">
        <v>308</v>
      </c>
      <c r="G41" s="2129"/>
    </row>
    <row r="42" spans="1:8" ht="15">
      <c r="A42" s="77"/>
      <c r="B42" s="77"/>
      <c r="C42" s="77"/>
      <c r="D42" s="77"/>
      <c r="E42" s="77"/>
      <c r="F42" s="77"/>
      <c r="G42" s="77"/>
    </row>
    <row r="43" spans="1:8" ht="16.5" customHeight="1">
      <c r="A43" s="2130" t="s">
        <v>520</v>
      </c>
      <c r="B43" s="2130"/>
      <c r="C43" s="2130"/>
      <c r="D43" s="2130"/>
      <c r="E43" s="2130"/>
      <c r="F43" s="2130"/>
      <c r="G43" s="2130"/>
      <c r="H43" s="2130"/>
    </row>
    <row r="44" spans="1:8" ht="16.5" customHeight="1">
      <c r="A44" s="2130"/>
      <c r="B44" s="2130"/>
      <c r="C44" s="2130"/>
      <c r="D44" s="2130"/>
      <c r="E44" s="2130"/>
      <c r="F44" s="2130"/>
      <c r="G44" s="2130"/>
      <c r="H44" s="2130"/>
    </row>
    <row r="45" spans="1:8" ht="20.25" customHeight="1">
      <c r="A45" s="2130"/>
      <c r="B45" s="2130"/>
      <c r="C45" s="2130"/>
      <c r="D45" s="2130"/>
      <c r="E45" s="2130"/>
      <c r="F45" s="2130"/>
      <c r="G45" s="2130"/>
      <c r="H45" s="2130"/>
    </row>
    <row r="46" spans="1:8">
      <c r="G46" s="1585" t="s">
        <v>440</v>
      </c>
      <c r="H46" s="1585"/>
    </row>
  </sheetData>
  <mergeCells count="19">
    <mergeCell ref="A1:H1"/>
    <mergeCell ref="A2:H2"/>
    <mergeCell ref="A3:H3"/>
    <mergeCell ref="A5:H5"/>
    <mergeCell ref="A6:H6"/>
    <mergeCell ref="G7:H7"/>
    <mergeCell ref="G46:H46"/>
    <mergeCell ref="F22:G22"/>
    <mergeCell ref="F33:G33"/>
    <mergeCell ref="F34:G34"/>
    <mergeCell ref="F41:G41"/>
    <mergeCell ref="A43:H45"/>
    <mergeCell ref="F23:G23"/>
    <mergeCell ref="F21:G21"/>
    <mergeCell ref="A10:A11"/>
    <mergeCell ref="B10:C10"/>
    <mergeCell ref="C8:D8"/>
    <mergeCell ref="C7:D7"/>
    <mergeCell ref="E7:F7"/>
  </mergeCells>
  <hyperlinks>
    <hyperlink ref="G46" location="'TABLA DE CONTENIDO'!A1" display="VOLVER A TABLA DE CONTENIDO"/>
    <hyperlink ref="A17" location="'460.1'!A1" display="460.1"/>
    <hyperlink ref="A18" location="'450.2'!A1" display="450.2"/>
    <hyperlink ref="C17" location="'460.1'!A1" display="460.1"/>
    <hyperlink ref="C18" location="'450.2'!A1" display="450.2"/>
    <hyperlink ref="H23" location="'NECESIDAD VIA'!F12" display="'NECESIDAD VIA'!F12"/>
  </hyperlinks>
  <printOptions horizontalCentered="1" verticalCentered="1"/>
  <pageMargins left="0.47244094488188981" right="0.78740157480314965" top="0.23622047244094491" bottom="0.55118110236220474" header="0.27559055118110237" footer="0.51181102362204722"/>
  <pageSetup scale="83" orientation="landscape" horizontalDpi="120" verticalDpi="144" r:id="rId1"/>
  <headerFooter alignWithMargins="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32"/>
  <sheetViews>
    <sheetView view="pageBreakPreview" zoomScaleNormal="100" zoomScaleSheetLayoutView="100" workbookViewId="0">
      <selection activeCell="A13" sqref="A13:D16"/>
    </sheetView>
  </sheetViews>
  <sheetFormatPr baseColWidth="10" defaultRowHeight="12.75"/>
  <cols>
    <col min="1" max="1" width="6.28515625" style="546" customWidth="1"/>
    <col min="2" max="2" width="12.7109375" style="546" customWidth="1"/>
    <col min="3" max="3" width="13" style="546" customWidth="1"/>
    <col min="4" max="4" width="44" style="546" customWidth="1"/>
    <col min="5" max="5" width="8.140625" style="546" customWidth="1"/>
    <col min="6" max="6" width="14.7109375" style="546" customWidth="1"/>
    <col min="7" max="7" width="22.42578125" style="546" customWidth="1"/>
    <col min="8" max="8" width="21.42578125" style="546" customWidth="1"/>
    <col min="9" max="16384" width="11.42578125" style="546"/>
  </cols>
  <sheetData>
    <row r="1" spans="1:15" s="636" customFormat="1" ht="23.25">
      <c r="A1" s="2009" t="s">
        <v>0</v>
      </c>
      <c r="B1" s="2009"/>
      <c r="C1" s="2009"/>
      <c r="D1" s="2009"/>
      <c r="E1" s="2009"/>
      <c r="F1" s="2009"/>
      <c r="G1" s="2009"/>
      <c r="H1" s="2009"/>
    </row>
    <row r="2" spans="1:15" s="636" customFormat="1" ht="18">
      <c r="A2" s="2010" t="s">
        <v>531</v>
      </c>
      <c r="B2" s="2010"/>
      <c r="C2" s="2010"/>
      <c r="D2" s="2010"/>
      <c r="E2" s="2010"/>
      <c r="F2" s="2010"/>
      <c r="G2" s="2010"/>
      <c r="H2" s="2010"/>
    </row>
    <row r="3" spans="1:15" s="636" customFormat="1" ht="18">
      <c r="A3" s="2010" t="s">
        <v>60</v>
      </c>
      <c r="B3" s="2010"/>
      <c r="C3" s="2010"/>
      <c r="D3" s="2010"/>
      <c r="E3" s="2010"/>
      <c r="F3" s="2010"/>
      <c r="G3" s="2010"/>
      <c r="H3" s="2010"/>
      <c r="I3" s="755"/>
      <c r="J3" s="638"/>
      <c r="K3" s="638"/>
      <c r="L3" s="638"/>
      <c r="M3" s="638"/>
      <c r="N3" s="638"/>
      <c r="O3" s="638"/>
    </row>
    <row r="4" spans="1:15" s="636" customFormat="1">
      <c r="A4" s="822"/>
      <c r="B4" s="822"/>
      <c r="C4" s="822"/>
      <c r="D4" s="638"/>
      <c r="E4" s="639"/>
      <c r="F4" s="638"/>
      <c r="G4" s="638"/>
      <c r="H4" s="638"/>
    </row>
    <row r="5" spans="1:15" s="636" customFormat="1" ht="15.75">
      <c r="A5" s="2011" t="s">
        <v>316</v>
      </c>
      <c r="B5" s="2011"/>
      <c r="C5" s="2011"/>
      <c r="D5" s="2011"/>
      <c r="E5" s="2011"/>
      <c r="F5" s="2011"/>
      <c r="G5" s="2011"/>
      <c r="H5" s="2011"/>
    </row>
    <row r="6" spans="1:15" s="636" customFormat="1" ht="15.75">
      <c r="A6" s="2149" t="s">
        <v>502</v>
      </c>
      <c r="B6" s="2149"/>
      <c r="C6" s="2149"/>
      <c r="D6" s="2149"/>
      <c r="E6" s="2149"/>
      <c r="F6" s="2149"/>
      <c r="G6" s="2149"/>
      <c r="H6" s="2149"/>
    </row>
    <row r="7" spans="1:15" s="636" customFormat="1" ht="28.5" customHeight="1">
      <c r="A7" s="833" t="s">
        <v>147</v>
      </c>
      <c r="B7" s="759"/>
      <c r="C7" s="759"/>
      <c r="D7" s="823" t="str">
        <f>'CUMPLIMIENTO % '!C7</f>
        <v>LUIS GABRIEL IBARRA ANGEL</v>
      </c>
      <c r="G7" s="591" t="s">
        <v>409</v>
      </c>
      <c r="H7" s="1360" t="str">
        <f>PORTADA!C31</f>
        <v>OCTUBRE - DICIEMBRE DEL 2020</v>
      </c>
    </row>
    <row r="8" spans="1:15" s="636" customFormat="1" ht="18" customHeight="1">
      <c r="A8" s="833" t="s">
        <v>110</v>
      </c>
      <c r="B8" s="759"/>
      <c r="C8" s="834" t="s">
        <v>668</v>
      </c>
      <c r="D8" s="823"/>
      <c r="E8" s="835" t="s">
        <v>317</v>
      </c>
      <c r="F8" s="836" t="s">
        <v>669</v>
      </c>
      <c r="G8" s="834"/>
      <c r="H8" s="761"/>
    </row>
    <row r="9" spans="1:15" s="636" customFormat="1" ht="15" customHeight="1" thickBot="1">
      <c r="A9" s="759"/>
      <c r="B9" s="759"/>
      <c r="C9" s="759"/>
      <c r="D9" s="759"/>
      <c r="E9" s="837"/>
      <c r="F9" s="837"/>
      <c r="G9" s="759"/>
    </row>
    <row r="10" spans="1:15" ht="17.25" customHeight="1" thickBot="1">
      <c r="A10" s="2150" t="s">
        <v>390</v>
      </c>
      <c r="B10" s="2152" t="s">
        <v>391</v>
      </c>
      <c r="C10" s="2153"/>
    </row>
    <row r="11" spans="1:15" s="842" customFormat="1" ht="29.25" customHeight="1" thickBot="1">
      <c r="A11" s="2151"/>
      <c r="B11" s="838" t="s">
        <v>500</v>
      </c>
      <c r="C11" s="838" t="s">
        <v>501</v>
      </c>
      <c r="D11" s="839" t="s">
        <v>80</v>
      </c>
      <c r="E11" s="839" t="s">
        <v>61</v>
      </c>
      <c r="F11" s="839" t="s">
        <v>62</v>
      </c>
      <c r="G11" s="840" t="s">
        <v>1046</v>
      </c>
      <c r="H11" s="841" t="s">
        <v>1047</v>
      </c>
    </row>
    <row r="12" spans="1:15" ht="14.25" customHeight="1">
      <c r="A12" s="618" t="s">
        <v>1348</v>
      </c>
    </row>
    <row r="13" spans="1:15">
      <c r="A13" s="306" t="s">
        <v>670</v>
      </c>
      <c r="B13" s="1015">
        <f>IF(AND(C13&gt;200,C13&lt;300),(200),IF(AND(C13&gt;300,C13&lt;400),(300),IF(AND(C13&gt;400,C13&lt;500),(400),IF(AND(C13&gt;500,C13&lt;600),(500),IF(AND(C13&gt;600,C13&lt;700),(600),IF(AND(C13&gt;700,C13&lt;800),(700),IF(AND(C13&gt;800,C13&lt;900),(800),IF(AND(C13&gt;900,C13&lt;1000),(900)))))))))</f>
        <v>700</v>
      </c>
      <c r="C13" s="306">
        <v>700.3</v>
      </c>
      <c r="D13" s="1006" t="str">
        <f>VLOOKUP(A13,[12]INDICE!$A$3:$D$320,2,FALSE)</f>
        <v>MARCA VIAL CON PINTURA EN FRÍO.</v>
      </c>
      <c r="E13" s="1006" t="s">
        <v>673</v>
      </c>
      <c r="F13" s="888">
        <v>55</v>
      </c>
      <c r="G13" s="1006">
        <f>+'CANT OBRA PNE'!G13</f>
        <v>45054</v>
      </c>
      <c r="H13" s="935">
        <f>+G13*F13</f>
        <v>2477970</v>
      </c>
    </row>
    <row r="14" spans="1:15" ht="38.25">
      <c r="A14" s="306" t="s">
        <v>671</v>
      </c>
      <c r="B14" s="1015">
        <f>IF(AND(C14&gt;200,C14&lt;300),(200),IF(AND(C14&gt;300,C14&lt;400),(300),IF(AND(C14&gt;400,C14&lt;500),(400),IF(AND(C14&gt;500,C14&lt;600),(500),IF(AND(C14&gt;600,C14&lt;700),(600),IF(AND(C14&gt;700,C14&lt;800),(700),IF(AND(C14&gt;800,C14&lt;900),(800),IF(AND(C14&gt;900,C14&lt;1000),(900)))))))))</f>
        <v>700</v>
      </c>
      <c r="C14" s="306">
        <v>710.1</v>
      </c>
      <c r="D14" s="1006" t="str">
        <f>VLOOKUP(A14,[12]INDICE!$A$3:$D$320,2,FALSE)</f>
        <v>SEÑAL VERTICAL DE TRANSITO TIPO 1 CON LAMINA RETRORREFLECTIVA TIPO III (75 X 75 ) CM</v>
      </c>
      <c r="E14" s="1006" t="s">
        <v>61</v>
      </c>
      <c r="F14" s="307">
        <v>22</v>
      </c>
      <c r="G14" s="1006">
        <f>+'CANT OBRA PNE'!G14</f>
        <v>589370</v>
      </c>
      <c r="H14" s="1030">
        <f>+G14*F14</f>
        <v>12966140</v>
      </c>
    </row>
    <row r="15" spans="1:15" ht="25.5">
      <c r="A15" s="306" t="s">
        <v>892</v>
      </c>
      <c r="B15" s="1015">
        <f>IF(AND(C15&gt;200,C15&lt;300),(200),IF(AND(C15&gt;300,C15&lt;400),(300),IF(AND(C15&gt;400,C15&lt;500),(400),IF(AND(C15&gt;500,C15&lt;600),(500),IF(AND(C15&gt;600,C15&lt;700),(600),IF(AND(C15&gt;700,C15&lt;800),(700),IF(AND(C15&gt;800,C15&lt;900),(800),IF(AND(C15&gt;900,C15&lt;1000),(900)))))))))</f>
        <v>400</v>
      </c>
      <c r="C15" s="306">
        <v>460.1</v>
      </c>
      <c r="D15" s="1006" t="str">
        <f>VLOOKUP(A15,[12]INDICE!$A$3:$D$320,2,FALSE)</f>
        <v>FRESADO DE PAVIMENTO ASFÁLTICO EN ESPESOR DE  10 CM</v>
      </c>
      <c r="E15" s="1006" t="s">
        <v>673</v>
      </c>
      <c r="F15" s="1031">
        <v>2500</v>
      </c>
      <c r="G15" s="1006">
        <f>+'CANT OBRA PNE'!G17</f>
        <v>5554</v>
      </c>
      <c r="H15" s="1030">
        <f>G15*F15</f>
        <v>13885000</v>
      </c>
    </row>
    <row r="16" spans="1:15">
      <c r="A16" s="306" t="s">
        <v>893</v>
      </c>
      <c r="B16" s="1015">
        <f>IF(AND(C16&gt;200,C16&lt;300),(200),IF(AND(C16&gt;300,C16&lt;400),(300),IF(AND(C16&gt;400,C16&lt;500),(400),IF(AND(C16&gt;500,C16&lt;600),(500),IF(AND(C16&gt;600,C16&lt;700),(600),IF(AND(C16&gt;700,C16&lt;800),(700),IF(AND(C16&gt;800,C16&lt;900),(800),IF(AND(C16&gt;900,C16&lt;1000),(900)))))))))</f>
        <v>400</v>
      </c>
      <c r="C16" s="306">
        <v>450.2</v>
      </c>
      <c r="D16" s="1006" t="str">
        <f>VLOOKUP(A16,[12]INDICE!$A$3:$D$320,2,FALSE)</f>
        <v>MEZCLA DENSA EN CALIENTE TIPO MDC-19</v>
      </c>
      <c r="E16" s="1006" t="s">
        <v>842</v>
      </c>
      <c r="F16" s="1031">
        <f>+F15*0.1</f>
        <v>250</v>
      </c>
      <c r="G16" s="1030">
        <f>+'CANT OBRA PNE'!G18</f>
        <v>761715</v>
      </c>
      <c r="H16" s="1030">
        <f>G16*F16</f>
        <v>190428750</v>
      </c>
    </row>
    <row r="17" spans="1:8">
      <c r="A17" s="766"/>
      <c r="B17" s="843"/>
      <c r="C17" s="843"/>
      <c r="D17" s="648"/>
      <c r="E17" s="844"/>
      <c r="F17" s="699"/>
      <c r="G17" s="698"/>
      <c r="H17" s="698"/>
    </row>
    <row r="18" spans="1:8">
      <c r="A18" s="845"/>
      <c r="B18" s="845"/>
      <c r="C18" s="845"/>
      <c r="D18" s="846"/>
      <c r="E18" s="590"/>
      <c r="F18" s="2147" t="s">
        <v>176</v>
      </c>
      <c r="G18" s="2148"/>
      <c r="H18" s="936">
        <f>SUM(H13:H17)</f>
        <v>219757860</v>
      </c>
    </row>
    <row r="19" spans="1:8">
      <c r="A19" s="845"/>
      <c r="B19" s="845"/>
      <c r="C19" s="845"/>
      <c r="D19" s="846"/>
      <c r="E19" s="590"/>
      <c r="F19" s="2141" t="s">
        <v>889</v>
      </c>
      <c r="G19" s="2142"/>
      <c r="H19" s="936">
        <f>ROUND((H18/1.3)*(0.05)*(0.19),0)</f>
        <v>1605923</v>
      </c>
    </row>
    <row r="20" spans="1:8">
      <c r="A20" s="845"/>
      <c r="B20" s="845"/>
      <c r="C20" s="845"/>
      <c r="D20" s="846"/>
      <c r="E20" s="590"/>
      <c r="F20" s="2141" t="s">
        <v>177</v>
      </c>
      <c r="G20" s="2142"/>
      <c r="H20" s="1457">
        <f>+H19+H18</f>
        <v>221363783</v>
      </c>
    </row>
    <row r="21" spans="1:8">
      <c r="H21" s="847"/>
    </row>
    <row r="22" spans="1:8">
      <c r="A22" s="618"/>
    </row>
    <row r="26" spans="1:8" ht="13.5" thickBot="1">
      <c r="D26" s="774"/>
      <c r="F26" s="774"/>
      <c r="G26" s="774"/>
    </row>
    <row r="27" spans="1:8" ht="15">
      <c r="B27" s="758"/>
      <c r="C27" s="758"/>
      <c r="D27" s="848" t="s">
        <v>65</v>
      </c>
      <c r="E27" s="758"/>
      <c r="F27" s="2145" t="s">
        <v>308</v>
      </c>
      <c r="G27" s="2145"/>
    </row>
    <row r="28" spans="1:8" ht="15">
      <c r="A28" s="758"/>
      <c r="B28" s="758"/>
      <c r="C28" s="758"/>
      <c r="D28" s="758"/>
      <c r="E28" s="758"/>
      <c r="F28" s="758"/>
      <c r="G28" s="758"/>
    </row>
    <row r="29" spans="1:8" ht="16.5" customHeight="1">
      <c r="A29" s="2146" t="s">
        <v>520</v>
      </c>
      <c r="B29" s="2146"/>
      <c r="C29" s="2146"/>
      <c r="D29" s="2146"/>
      <c r="E29" s="2146"/>
      <c r="F29" s="2146"/>
      <c r="G29" s="2146"/>
      <c r="H29" s="2146"/>
    </row>
    <row r="30" spans="1:8" ht="16.5" customHeight="1">
      <c r="A30" s="2146"/>
      <c r="B30" s="2146"/>
      <c r="C30" s="2146"/>
      <c r="D30" s="2146"/>
      <c r="E30" s="2146"/>
      <c r="F30" s="2146"/>
      <c r="G30" s="2146"/>
      <c r="H30" s="2146"/>
    </row>
    <row r="31" spans="1:8" ht="20.25" customHeight="1">
      <c r="A31" s="2146"/>
      <c r="B31" s="2146"/>
      <c r="C31" s="2146"/>
      <c r="D31" s="2146"/>
      <c r="E31" s="2146"/>
      <c r="F31" s="2146"/>
      <c r="G31" s="2146"/>
      <c r="H31" s="2146"/>
    </row>
    <row r="32" spans="1:8">
      <c r="G32" s="1585" t="s">
        <v>440</v>
      </c>
      <c r="H32" s="1585"/>
    </row>
  </sheetData>
  <mergeCells count="13">
    <mergeCell ref="F18:G18"/>
    <mergeCell ref="A1:H1"/>
    <mergeCell ref="A2:H2"/>
    <mergeCell ref="A3:H3"/>
    <mergeCell ref="A5:H5"/>
    <mergeCell ref="A6:H6"/>
    <mergeCell ref="A10:A11"/>
    <mergeCell ref="B10:C10"/>
    <mergeCell ref="G32:H32"/>
    <mergeCell ref="F19:G19"/>
    <mergeCell ref="F20:G20"/>
    <mergeCell ref="F27:G27"/>
    <mergeCell ref="A29:H31"/>
  </mergeCells>
  <hyperlinks>
    <hyperlink ref="G32" location="'TABLA DE CONTENIDO'!A1" display="VOLVER A TABLA DE CONTENIDO"/>
    <hyperlink ref="A15" location="'460.1'!A1" display="460.1"/>
    <hyperlink ref="A16" location="'450.2'!A1" display="450.2"/>
    <hyperlink ref="C15" location="'460.1'!A1" display="460.1"/>
    <hyperlink ref="C16" location="'450.2'!A1" display="450.2"/>
    <hyperlink ref="H20" location="'NECESIDAD VIA'!F14" display="'NECESIDAD VIA'!F14"/>
  </hyperlinks>
  <printOptions horizontalCentered="1" verticalCentered="1"/>
  <pageMargins left="0.47244094488188981" right="0.78740157480314965" top="0.23622047244094491" bottom="0.55118110236220474" header="0.27559055118110237" footer="0.51181102362204722"/>
  <pageSetup scale="86" orientation="landscape" horizontalDpi="120" verticalDpi="144" r:id="rId1"/>
  <headerFooter alignWithMargins="0"/>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2"/>
  <sheetViews>
    <sheetView view="pageBreakPreview" zoomScaleNormal="90" zoomScaleSheetLayoutView="100" workbookViewId="0">
      <selection activeCell="J12" sqref="J12"/>
    </sheetView>
  </sheetViews>
  <sheetFormatPr baseColWidth="10" defaultRowHeight="12.75"/>
  <cols>
    <col min="1" max="1" width="13.28515625" style="47" customWidth="1"/>
    <col min="2" max="2" width="23.140625" customWidth="1"/>
    <col min="3" max="3" width="8.42578125" customWidth="1"/>
    <col min="4" max="5" width="8.7109375" customWidth="1"/>
    <col min="6" max="6" width="22.42578125" customWidth="1"/>
    <col min="7" max="7" width="27.140625" customWidth="1"/>
    <col min="8" max="8" width="21.42578125" customWidth="1"/>
    <col min="9" max="9" width="25.42578125" customWidth="1"/>
  </cols>
  <sheetData>
    <row r="1" spans="1:9" s="29" customFormat="1" ht="23.25">
      <c r="A1" s="1579" t="s">
        <v>0</v>
      </c>
      <c r="B1" s="1579"/>
      <c r="C1" s="1579"/>
      <c r="D1" s="1579"/>
      <c r="E1" s="1579"/>
      <c r="F1" s="1579"/>
      <c r="G1" s="1579"/>
      <c r="H1" s="1579"/>
      <c r="I1" s="1579"/>
    </row>
    <row r="2" spans="1:9" s="29" customFormat="1" ht="18">
      <c r="A2" s="1580" t="s">
        <v>531</v>
      </c>
      <c r="B2" s="1580"/>
      <c r="C2" s="1580"/>
      <c r="D2" s="1580"/>
      <c r="E2" s="1580"/>
      <c r="F2" s="1580"/>
      <c r="G2" s="1580"/>
      <c r="H2" s="1580"/>
      <c r="I2" s="1580"/>
    </row>
    <row r="3" spans="1:9" s="29" customFormat="1">
      <c r="A3" s="46"/>
      <c r="B3" s="37"/>
      <c r="C3" s="37"/>
      <c r="D3" s="37"/>
      <c r="E3" s="37"/>
      <c r="F3" s="28"/>
      <c r="G3" s="28"/>
      <c r="H3" s="28"/>
      <c r="I3" s="28"/>
    </row>
    <row r="4" spans="1:9" s="29" customFormat="1" ht="18">
      <c r="A4" s="1580" t="s">
        <v>375</v>
      </c>
      <c r="B4" s="1580"/>
      <c r="C4" s="1580"/>
      <c r="D4" s="1580"/>
      <c r="E4" s="1580"/>
      <c r="F4" s="1580"/>
      <c r="G4" s="1580"/>
      <c r="H4" s="1580"/>
      <c r="I4" s="1580"/>
    </row>
    <row r="5" spans="1:9" s="29" customFormat="1">
      <c r="A5" s="128"/>
      <c r="B5" s="37"/>
      <c r="C5" s="37"/>
      <c r="D5" s="37"/>
      <c r="E5" s="37"/>
      <c r="F5" s="28"/>
      <c r="G5" s="28"/>
      <c r="H5" s="28"/>
      <c r="I5" s="28"/>
    </row>
    <row r="6" spans="1:9" s="29" customFormat="1" ht="18">
      <c r="A6" s="1580" t="s">
        <v>33</v>
      </c>
      <c r="B6" s="1580"/>
      <c r="C6" s="1580"/>
      <c r="D6" s="1580"/>
      <c r="E6" s="1580"/>
      <c r="F6" s="1580"/>
      <c r="G6" s="1580"/>
      <c r="H6" s="1580"/>
      <c r="I6" s="1580"/>
    </row>
    <row r="7" spans="1:9" ht="18">
      <c r="B7" s="36"/>
      <c r="C7" s="36"/>
      <c r="D7" s="36"/>
      <c r="E7" s="36"/>
      <c r="F7" s="1"/>
      <c r="G7" s="1"/>
      <c r="H7" s="1"/>
      <c r="I7" s="1"/>
    </row>
    <row r="8" spans="1:9" s="29" customFormat="1" ht="38.25" customHeight="1">
      <c r="A8" s="141" t="s">
        <v>147</v>
      </c>
      <c r="B8"/>
      <c r="C8" s="2154" t="str">
        <f>'CUMPLIMIENTO % '!C7</f>
        <v>LUIS GABRIEL IBARRA ANGEL</v>
      </c>
      <c r="D8" s="2154"/>
      <c r="E8" s="2154"/>
      <c r="F8" s="2154"/>
      <c r="G8" s="212" t="s">
        <v>409</v>
      </c>
      <c r="H8" s="2134" t="str">
        <f>PORTADA!C31</f>
        <v>OCTUBRE - DICIEMBRE DEL 2020</v>
      </c>
      <c r="I8" s="2134"/>
    </row>
    <row r="9" spans="1:9" ht="13.5" thickBot="1"/>
    <row r="10" spans="1:9" s="23" customFormat="1" ht="44.45" customHeight="1" thickBot="1">
      <c r="A10" s="948" t="s">
        <v>34</v>
      </c>
      <c r="B10" s="99" t="s">
        <v>6</v>
      </c>
      <c r="C10" s="99" t="s">
        <v>7</v>
      </c>
      <c r="D10" s="140" t="s">
        <v>9</v>
      </c>
      <c r="E10" s="140" t="s">
        <v>10</v>
      </c>
      <c r="F10" s="121" t="s">
        <v>35</v>
      </c>
      <c r="G10" s="97" t="s">
        <v>36</v>
      </c>
      <c r="H10" s="104" t="s">
        <v>503</v>
      </c>
      <c r="I10" s="101" t="s">
        <v>13</v>
      </c>
    </row>
    <row r="11" spans="1:9">
      <c r="A11" s="710"/>
      <c r="B11" s="711"/>
      <c r="C11" s="711"/>
      <c r="D11" s="711"/>
      <c r="E11" s="711"/>
      <c r="F11" s="711"/>
      <c r="G11" s="704"/>
      <c r="H11" s="877"/>
      <c r="I11" s="712"/>
    </row>
    <row r="12" spans="1:9" ht="63.75">
      <c r="A12" s="1361">
        <v>44166</v>
      </c>
      <c r="B12" s="1101" t="s">
        <v>678</v>
      </c>
      <c r="C12" s="1101">
        <v>3602</v>
      </c>
      <c r="D12" s="1362" t="s">
        <v>1452</v>
      </c>
      <c r="E12" s="1362" t="s">
        <v>1453</v>
      </c>
      <c r="F12" s="1048" t="s">
        <v>1455</v>
      </c>
      <c r="G12" s="1363" t="s">
        <v>1454</v>
      </c>
      <c r="H12" s="1364">
        <v>350000</v>
      </c>
      <c r="I12" s="1365" t="s">
        <v>1456</v>
      </c>
    </row>
    <row r="13" spans="1:9" ht="51">
      <c r="A13" s="1361">
        <v>44168</v>
      </c>
      <c r="B13" s="1101" t="s">
        <v>678</v>
      </c>
      <c r="C13" s="1101">
        <v>3603</v>
      </c>
      <c r="D13" s="1224" t="s">
        <v>1457</v>
      </c>
      <c r="E13" s="1224" t="s">
        <v>1457</v>
      </c>
      <c r="F13" s="1048" t="s">
        <v>1458</v>
      </c>
      <c r="G13" s="1363" t="s">
        <v>1459</v>
      </c>
      <c r="H13" s="1364">
        <v>150000</v>
      </c>
      <c r="I13" s="1365" t="s">
        <v>1460</v>
      </c>
    </row>
    <row r="14" spans="1:9" ht="89.25">
      <c r="A14" s="1531">
        <v>44190</v>
      </c>
      <c r="B14" s="1532" t="s">
        <v>1461</v>
      </c>
      <c r="C14" s="1532">
        <v>4507</v>
      </c>
      <c r="D14" s="1533" t="s">
        <v>1462</v>
      </c>
      <c r="E14" s="1533" t="s">
        <v>546</v>
      </c>
      <c r="F14" s="1048" t="s">
        <v>1463</v>
      </c>
      <c r="G14" s="1363" t="s">
        <v>1459</v>
      </c>
      <c r="H14" s="1534">
        <v>750000</v>
      </c>
      <c r="I14" s="1365" t="s">
        <v>1464</v>
      </c>
    </row>
    <row r="15" spans="1:9" s="1041" customFormat="1">
      <c r="A15" s="1222"/>
      <c r="B15" s="1223"/>
      <c r="C15" s="1223"/>
      <c r="D15" s="1223"/>
      <c r="E15" s="1223"/>
      <c r="F15" s="1225"/>
      <c r="G15" s="1226"/>
      <c r="H15" s="1227"/>
      <c r="I15" s="1228"/>
    </row>
    <row r="16" spans="1:9" s="1041" customFormat="1">
      <c r="A16" s="1222"/>
      <c r="B16" s="1223"/>
      <c r="C16" s="1223"/>
      <c r="D16" s="1223"/>
      <c r="E16" s="1223"/>
      <c r="F16" s="1225"/>
      <c r="G16" s="1226"/>
      <c r="H16" s="1227"/>
      <c r="I16" s="1228"/>
    </row>
    <row r="17" spans="1:9" s="1041" customFormat="1">
      <c r="A17" s="710"/>
      <c r="B17" s="1040"/>
      <c r="C17" s="1040"/>
      <c r="D17" s="1040"/>
      <c r="E17" s="1040"/>
      <c r="F17" s="1040"/>
      <c r="G17" s="704"/>
      <c r="H17" s="953"/>
      <c r="I17" s="712"/>
    </row>
    <row r="18" spans="1:9" s="1041" customFormat="1">
      <c r="A18" s="710"/>
      <c r="B18" s="1040"/>
      <c r="C18" s="1040"/>
      <c r="D18" s="1040"/>
      <c r="E18" s="1040"/>
      <c r="F18" s="1040"/>
      <c r="G18" s="704"/>
      <c r="H18" s="953"/>
      <c r="I18" s="712"/>
    </row>
    <row r="19" spans="1:9" ht="12" customHeight="1">
      <c r="A19" s="710"/>
      <c r="B19" s="711"/>
      <c r="C19" s="711"/>
      <c r="D19" s="711"/>
      <c r="E19" s="711"/>
      <c r="F19" s="711"/>
      <c r="G19" s="704"/>
      <c r="H19" s="877"/>
      <c r="I19" s="712"/>
    </row>
    <row r="21" spans="1:9">
      <c r="A21" s="56" t="s">
        <v>292</v>
      </c>
    </row>
    <row r="22" spans="1:9">
      <c r="H22" s="1585" t="s">
        <v>440</v>
      </c>
      <c r="I22" s="1585"/>
    </row>
  </sheetData>
  <mergeCells count="7">
    <mergeCell ref="A1:I1"/>
    <mergeCell ref="A2:I2"/>
    <mergeCell ref="A4:I4"/>
    <mergeCell ref="A6:I6"/>
    <mergeCell ref="H22:I22"/>
    <mergeCell ref="H8:I8"/>
    <mergeCell ref="C8:F8"/>
  </mergeCells>
  <phoneticPr fontId="3" type="noConversion"/>
  <hyperlinks>
    <hyperlink ref="H22" location="'TABLA DE CONTENIDO'!A1" display="VOLVER A TABLA DE CONTENIDO"/>
  </hyperlinks>
  <printOptions horizontalCentered="1" verticalCentered="1"/>
  <pageMargins left="0.39370078740157483" right="0.47244094488188981" top="0.78740157480314965" bottom="0.98425196850393704" header="0.51181102362204722" footer="0.51181102362204722"/>
  <pageSetup scale="70" orientation="landscape" horizontalDpi="120" verticalDpi="144" r:id="rId1"/>
  <headerFooter alignWithMargins="0"/>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34"/>
  <sheetViews>
    <sheetView view="pageBreakPreview" zoomScaleNormal="100" zoomScaleSheetLayoutView="100" workbookViewId="0">
      <selection activeCell="O29" sqref="O29"/>
    </sheetView>
  </sheetViews>
  <sheetFormatPr baseColWidth="10" defaultRowHeight="12.75"/>
  <cols>
    <col min="1" max="1" width="5.28515625" customWidth="1"/>
    <col min="2" max="2" width="17.5703125" customWidth="1"/>
    <col min="3" max="3" width="12.140625" customWidth="1"/>
    <col min="4" max="5" width="10.7109375" customWidth="1"/>
    <col min="6" max="6" width="21.85546875" customWidth="1"/>
    <col min="7" max="7" width="8.140625" customWidth="1"/>
    <col min="8" max="9" width="7.28515625" customWidth="1"/>
    <col min="10" max="10" width="8" customWidth="1"/>
    <col min="11" max="11" width="6.28515625" customWidth="1"/>
    <col min="12" max="12" width="8.85546875" customWidth="1"/>
    <col min="13" max="13" width="8.7109375" customWidth="1"/>
    <col min="14" max="14" width="23.7109375" customWidth="1"/>
  </cols>
  <sheetData>
    <row r="1" spans="1:14" s="29" customFormat="1" ht="23.25">
      <c r="A1" s="1579" t="s">
        <v>0</v>
      </c>
      <c r="B1" s="1579"/>
      <c r="C1" s="1579"/>
      <c r="D1" s="1579"/>
      <c r="E1" s="1579"/>
      <c r="F1" s="1579"/>
      <c r="G1" s="1579"/>
      <c r="H1" s="1579"/>
      <c r="I1" s="1579"/>
      <c r="J1" s="1579"/>
      <c r="K1" s="1579"/>
      <c r="L1" s="1579"/>
      <c r="M1" s="1579"/>
      <c r="N1" s="1579"/>
    </row>
    <row r="2" spans="1:14" s="29" customFormat="1" ht="18">
      <c r="A2" s="1580" t="s">
        <v>531</v>
      </c>
      <c r="B2" s="1580"/>
      <c r="C2" s="1580"/>
      <c r="D2" s="1580"/>
      <c r="E2" s="1580"/>
      <c r="F2" s="1580"/>
      <c r="G2" s="1580"/>
      <c r="H2" s="1580"/>
      <c r="I2" s="1580"/>
      <c r="J2" s="1580"/>
      <c r="K2" s="1580"/>
      <c r="L2" s="1580"/>
      <c r="M2" s="1580"/>
      <c r="N2" s="1580"/>
    </row>
    <row r="3" spans="1:14" s="29" customFormat="1" ht="12.75" customHeight="1">
      <c r="A3" s="36"/>
      <c r="B3" s="37"/>
      <c r="C3" s="37"/>
      <c r="D3" s="28"/>
      <c r="E3" s="28"/>
      <c r="F3" s="28"/>
      <c r="G3" s="28"/>
      <c r="H3" s="28"/>
      <c r="I3" s="28"/>
      <c r="J3" s="28"/>
      <c r="K3" s="28"/>
      <c r="L3" s="28"/>
      <c r="M3" s="28"/>
      <c r="N3" s="28"/>
    </row>
    <row r="4" spans="1:14" s="29" customFormat="1" ht="18" customHeight="1">
      <c r="A4" s="1580" t="s">
        <v>95</v>
      </c>
      <c r="B4" s="1580"/>
      <c r="C4" s="1580"/>
      <c r="D4" s="1580"/>
      <c r="E4" s="1580"/>
      <c r="F4" s="1580"/>
      <c r="G4" s="1580"/>
      <c r="H4" s="1580"/>
      <c r="I4" s="1580"/>
      <c r="J4" s="1580"/>
      <c r="K4" s="1580"/>
      <c r="L4" s="1580"/>
      <c r="M4" s="1580"/>
      <c r="N4" s="1580"/>
    </row>
    <row r="5" spans="1:14" s="29" customFormat="1">
      <c r="A5" s="42"/>
      <c r="B5" s="42"/>
      <c r="C5" s="42"/>
      <c r="M5" s="35"/>
    </row>
    <row r="6" spans="1:14" s="29" customFormat="1" ht="18">
      <c r="A6" s="1580" t="s">
        <v>20</v>
      </c>
      <c r="B6" s="1580"/>
      <c r="C6" s="1580"/>
      <c r="D6" s="1580"/>
      <c r="E6" s="1580"/>
      <c r="F6" s="1580"/>
      <c r="G6" s="1580"/>
      <c r="H6" s="1580"/>
      <c r="I6" s="1580"/>
      <c r="J6" s="1580"/>
      <c r="K6" s="1580"/>
      <c r="L6" s="1580"/>
      <c r="M6" s="1580"/>
      <c r="N6" s="1580"/>
    </row>
    <row r="7" spans="1:14" s="29" customFormat="1">
      <c r="K7" s="35"/>
      <c r="L7" s="35"/>
      <c r="M7" s="35"/>
      <c r="N7" s="35"/>
    </row>
    <row r="8" spans="1:14" s="29" customFormat="1">
      <c r="A8" s="141" t="s">
        <v>147</v>
      </c>
      <c r="C8" s="2170" t="str">
        <f>'CUMPLIMIENTO % '!C7</f>
        <v>LUIS GABRIEL IBARRA ANGEL</v>
      </c>
      <c r="D8" s="2170"/>
      <c r="E8" s="2170"/>
      <c r="F8" s="2170"/>
      <c r="G8" s="2170"/>
      <c r="H8" s="2170"/>
      <c r="J8" s="139" t="s">
        <v>409</v>
      </c>
      <c r="M8" s="2171" t="str">
        <f>PORTADA!C31</f>
        <v>OCTUBRE - DICIEMBRE DEL 2020</v>
      </c>
      <c r="N8" s="2171"/>
    </row>
    <row r="10" spans="1:14" s="23" customFormat="1" ht="21.75" customHeight="1">
      <c r="A10" s="2155" t="s">
        <v>23</v>
      </c>
      <c r="B10" s="2157" t="s">
        <v>456</v>
      </c>
      <c r="C10" s="2155" t="s">
        <v>78</v>
      </c>
      <c r="D10" s="2155" t="s">
        <v>79</v>
      </c>
      <c r="E10" s="2157" t="s">
        <v>457</v>
      </c>
      <c r="F10" s="2155" t="s">
        <v>6</v>
      </c>
      <c r="G10" s="2157" t="s">
        <v>458</v>
      </c>
      <c r="H10" s="2164" t="s">
        <v>21</v>
      </c>
      <c r="I10" s="2165"/>
      <c r="J10" s="2166" t="s">
        <v>22</v>
      </c>
      <c r="K10" s="2167"/>
      <c r="L10" s="2167"/>
      <c r="M10" s="2168"/>
      <c r="N10" s="2155" t="s">
        <v>13</v>
      </c>
    </row>
    <row r="11" spans="1:14" s="23" customFormat="1" ht="37.5" customHeight="1" thickBot="1">
      <c r="A11" s="2156"/>
      <c r="B11" s="2158"/>
      <c r="C11" s="2156"/>
      <c r="D11" s="2156"/>
      <c r="E11" s="2158"/>
      <c r="F11" s="2156"/>
      <c r="G11" s="2158"/>
      <c r="H11" s="43" t="s">
        <v>25</v>
      </c>
      <c r="I11" s="274" t="s">
        <v>459</v>
      </c>
      <c r="J11" s="274" t="s">
        <v>26</v>
      </c>
      <c r="K11" s="274" t="s">
        <v>27</v>
      </c>
      <c r="L11" s="743" t="s">
        <v>28</v>
      </c>
      <c r="M11" s="274" t="s">
        <v>29</v>
      </c>
      <c r="N11" s="2169"/>
    </row>
    <row r="12" spans="1:14" ht="69" customHeight="1">
      <c r="A12" s="713">
        <v>1</v>
      </c>
      <c r="B12" s="714" t="s">
        <v>688</v>
      </c>
      <c r="C12" s="714" t="s">
        <v>689</v>
      </c>
      <c r="D12" s="714" t="s">
        <v>690</v>
      </c>
      <c r="E12" s="714">
        <v>20</v>
      </c>
      <c r="F12" s="2161" t="s">
        <v>691</v>
      </c>
      <c r="G12" s="714">
        <v>3602</v>
      </c>
      <c r="H12" s="716" t="s">
        <v>692</v>
      </c>
      <c r="I12" s="716"/>
      <c r="J12" s="716"/>
      <c r="K12" s="716"/>
      <c r="L12" s="732"/>
      <c r="M12" s="716"/>
      <c r="N12" s="718" t="s">
        <v>971</v>
      </c>
    </row>
    <row r="13" spans="1:14" ht="83.25" customHeight="1">
      <c r="A13" s="719">
        <f>+A12+1</f>
        <v>2</v>
      </c>
      <c r="B13" s="720" t="s">
        <v>693</v>
      </c>
      <c r="C13" s="720" t="s">
        <v>694</v>
      </c>
      <c r="D13" s="720" t="s">
        <v>695</v>
      </c>
      <c r="E13" s="720">
        <v>21</v>
      </c>
      <c r="F13" s="2161"/>
      <c r="G13" s="720">
        <v>3602</v>
      </c>
      <c r="H13" s="717" t="s">
        <v>692</v>
      </c>
      <c r="I13" s="717"/>
      <c r="J13" s="717"/>
      <c r="K13" s="717"/>
      <c r="L13" s="717"/>
      <c r="M13" s="717"/>
      <c r="N13" s="721" t="s">
        <v>972</v>
      </c>
    </row>
    <row r="14" spans="1:14" ht="77.25" customHeight="1">
      <c r="A14" s="719">
        <f t="shared" ref="A14:A26" si="0">+A13+1</f>
        <v>3</v>
      </c>
      <c r="B14" s="720" t="s">
        <v>696</v>
      </c>
      <c r="C14" s="720" t="s">
        <v>697</v>
      </c>
      <c r="D14" s="720" t="s">
        <v>698</v>
      </c>
      <c r="E14" s="720">
        <v>60</v>
      </c>
      <c r="F14" s="2161"/>
      <c r="G14" s="720">
        <v>3602</v>
      </c>
      <c r="H14" s="717" t="s">
        <v>692</v>
      </c>
      <c r="I14" s="717"/>
      <c r="J14" s="717"/>
      <c r="K14" s="717"/>
      <c r="L14" s="717"/>
      <c r="M14" s="722"/>
      <c r="N14" s="721" t="s">
        <v>973</v>
      </c>
    </row>
    <row r="15" spans="1:14" ht="64.5" customHeight="1">
      <c r="A15" s="719">
        <f t="shared" si="0"/>
        <v>4</v>
      </c>
      <c r="B15" s="720" t="s">
        <v>699</v>
      </c>
      <c r="C15" s="720" t="s">
        <v>700</v>
      </c>
      <c r="D15" s="720" t="s">
        <v>701</v>
      </c>
      <c r="E15" s="720">
        <v>21</v>
      </c>
      <c r="F15" s="2161"/>
      <c r="G15" s="720">
        <v>3602</v>
      </c>
      <c r="H15" s="717" t="s">
        <v>692</v>
      </c>
      <c r="I15" s="717"/>
      <c r="J15" s="717"/>
      <c r="K15" s="723"/>
      <c r="L15" s="717"/>
      <c r="M15" s="717"/>
      <c r="N15" s="721" t="s">
        <v>974</v>
      </c>
    </row>
    <row r="16" spans="1:14" ht="60" customHeight="1">
      <c r="A16" s="719">
        <f t="shared" si="0"/>
        <v>5</v>
      </c>
      <c r="B16" s="720" t="s">
        <v>702</v>
      </c>
      <c r="C16" s="720" t="s">
        <v>703</v>
      </c>
      <c r="D16" s="720" t="s">
        <v>704</v>
      </c>
      <c r="E16" s="720">
        <v>25</v>
      </c>
      <c r="F16" s="2161"/>
      <c r="G16" s="720">
        <v>3602</v>
      </c>
      <c r="H16" s="717" t="s">
        <v>692</v>
      </c>
      <c r="I16" s="717"/>
      <c r="J16" s="717"/>
      <c r="K16" s="723"/>
      <c r="L16" s="723"/>
      <c r="M16" s="722"/>
      <c r="N16" s="721" t="s">
        <v>975</v>
      </c>
    </row>
    <row r="17" spans="1:14" ht="36" customHeight="1" thickBot="1">
      <c r="A17" s="724">
        <f t="shared" si="0"/>
        <v>6</v>
      </c>
      <c r="B17" s="725" t="s">
        <v>705</v>
      </c>
      <c r="C17" s="725" t="s">
        <v>706</v>
      </c>
      <c r="D17" s="725" t="s">
        <v>707</v>
      </c>
      <c r="E17" s="725">
        <v>12</v>
      </c>
      <c r="F17" s="2162"/>
      <c r="G17" s="725">
        <v>3602</v>
      </c>
      <c r="H17" s="726" t="s">
        <v>692</v>
      </c>
      <c r="I17" s="726"/>
      <c r="J17" s="726"/>
      <c r="K17" s="726"/>
      <c r="L17" s="717"/>
      <c r="M17" s="726"/>
      <c r="N17" s="727" t="s">
        <v>976</v>
      </c>
    </row>
    <row r="18" spans="1:14" ht="57" customHeight="1">
      <c r="A18" s="713">
        <f t="shared" si="0"/>
        <v>7</v>
      </c>
      <c r="B18" s="728" t="s">
        <v>708</v>
      </c>
      <c r="C18" s="714" t="s">
        <v>709</v>
      </c>
      <c r="D18" s="714" t="s">
        <v>710</v>
      </c>
      <c r="E18" s="714">
        <v>57</v>
      </c>
      <c r="F18" s="2163" t="s">
        <v>687</v>
      </c>
      <c r="G18" s="714">
        <v>3603</v>
      </c>
      <c r="H18" s="716" t="s">
        <v>692</v>
      </c>
      <c r="I18" s="716"/>
      <c r="J18" s="732"/>
      <c r="K18" s="732"/>
      <c r="L18" s="729"/>
      <c r="M18" s="716"/>
      <c r="N18" s="718" t="s">
        <v>1064</v>
      </c>
    </row>
    <row r="19" spans="1:14" ht="48" customHeight="1">
      <c r="A19" s="719">
        <f t="shared" si="0"/>
        <v>8</v>
      </c>
      <c r="B19" s="730" t="s">
        <v>711</v>
      </c>
      <c r="C19" s="731" t="s">
        <v>712</v>
      </c>
      <c r="D19" s="731" t="s">
        <v>876</v>
      </c>
      <c r="E19" s="731">
        <v>12.4</v>
      </c>
      <c r="F19" s="2161"/>
      <c r="G19" s="731">
        <v>3603</v>
      </c>
      <c r="H19" s="732" t="s">
        <v>692</v>
      </c>
      <c r="I19" s="717"/>
      <c r="J19" s="717"/>
      <c r="K19" s="717"/>
      <c r="L19" s="723"/>
      <c r="M19" s="732"/>
      <c r="N19" s="721" t="s">
        <v>1067</v>
      </c>
    </row>
    <row r="20" spans="1:14" ht="34.5" customHeight="1">
      <c r="A20" s="719">
        <f t="shared" si="0"/>
        <v>9</v>
      </c>
      <c r="B20" s="733" t="s">
        <v>713</v>
      </c>
      <c r="C20" s="720" t="s">
        <v>714</v>
      </c>
      <c r="D20" s="720" t="s">
        <v>715</v>
      </c>
      <c r="E20" s="720">
        <v>98.1</v>
      </c>
      <c r="F20" s="2161"/>
      <c r="G20" s="720">
        <v>3603</v>
      </c>
      <c r="H20" s="717" t="s">
        <v>692</v>
      </c>
      <c r="I20" s="717"/>
      <c r="J20" s="717"/>
      <c r="K20" s="717"/>
      <c r="L20" s="717"/>
      <c r="M20" s="717"/>
      <c r="N20" s="721" t="s">
        <v>1065</v>
      </c>
    </row>
    <row r="21" spans="1:14" ht="59.25" customHeight="1">
      <c r="A21" s="719">
        <f t="shared" si="0"/>
        <v>10</v>
      </c>
      <c r="B21" s="733" t="s">
        <v>716</v>
      </c>
      <c r="C21" s="720" t="s">
        <v>717</v>
      </c>
      <c r="D21" s="720" t="s">
        <v>718</v>
      </c>
      <c r="E21" s="720">
        <v>11</v>
      </c>
      <c r="F21" s="2161"/>
      <c r="G21" s="720">
        <v>3603</v>
      </c>
      <c r="H21" s="717" t="s">
        <v>692</v>
      </c>
      <c r="I21" s="717"/>
      <c r="J21" s="717"/>
      <c r="K21" s="717"/>
      <c r="L21" s="717"/>
      <c r="M21" s="717"/>
      <c r="N21" s="721" t="s">
        <v>1066</v>
      </c>
    </row>
    <row r="22" spans="1:14" ht="45.75" customHeight="1">
      <c r="A22" s="719">
        <f t="shared" si="0"/>
        <v>11</v>
      </c>
      <c r="B22" s="733" t="s">
        <v>719</v>
      </c>
      <c r="C22" s="720" t="s">
        <v>720</v>
      </c>
      <c r="D22" s="720" t="s">
        <v>721</v>
      </c>
      <c r="E22" s="720">
        <v>18.899999999999999</v>
      </c>
      <c r="F22" s="2161"/>
      <c r="G22" s="720">
        <v>3603</v>
      </c>
      <c r="H22" s="717" t="s">
        <v>692</v>
      </c>
      <c r="I22" s="717"/>
      <c r="J22" s="895"/>
      <c r="K22" s="895"/>
      <c r="L22" s="895"/>
      <c r="M22" s="717"/>
      <c r="N22" s="721" t="s">
        <v>891</v>
      </c>
    </row>
    <row r="23" spans="1:14" ht="18" customHeight="1" thickBot="1">
      <c r="A23" s="724">
        <f t="shared" si="0"/>
        <v>12</v>
      </c>
      <c r="B23" s="734" t="s">
        <v>54</v>
      </c>
      <c r="C23" s="725" t="s">
        <v>723</v>
      </c>
      <c r="D23" s="725" t="s">
        <v>724</v>
      </c>
      <c r="E23" s="725">
        <v>13.6</v>
      </c>
      <c r="F23" s="2162"/>
      <c r="G23" s="725">
        <v>3603</v>
      </c>
      <c r="H23" s="726" t="s">
        <v>692</v>
      </c>
      <c r="I23" s="726"/>
      <c r="J23" s="726"/>
      <c r="K23" s="726"/>
      <c r="L23" s="717"/>
      <c r="M23" s="726"/>
      <c r="N23" s="727" t="s">
        <v>725</v>
      </c>
    </row>
    <row r="24" spans="1:14" ht="18" customHeight="1">
      <c r="A24" s="713">
        <f t="shared" si="0"/>
        <v>13</v>
      </c>
      <c r="B24" s="728" t="s">
        <v>578</v>
      </c>
      <c r="C24" s="714" t="s">
        <v>581</v>
      </c>
      <c r="D24" s="714" t="s">
        <v>726</v>
      </c>
      <c r="E24" s="714">
        <v>16</v>
      </c>
      <c r="F24" s="2163" t="s">
        <v>662</v>
      </c>
      <c r="G24" s="714">
        <v>4507</v>
      </c>
      <c r="H24" s="716" t="s">
        <v>692</v>
      </c>
      <c r="I24" s="716"/>
      <c r="J24" s="716"/>
      <c r="K24" s="716"/>
      <c r="L24" s="716"/>
      <c r="M24" s="716"/>
      <c r="N24" s="718" t="s">
        <v>727</v>
      </c>
    </row>
    <row r="25" spans="1:14" ht="18" customHeight="1">
      <c r="A25" s="719">
        <f t="shared" si="0"/>
        <v>14</v>
      </c>
      <c r="B25" s="735" t="s">
        <v>579</v>
      </c>
      <c r="C25" s="715" t="s">
        <v>582</v>
      </c>
      <c r="D25" s="715" t="s">
        <v>728</v>
      </c>
      <c r="E25" s="715">
        <v>32.700000000000003</v>
      </c>
      <c r="F25" s="2161"/>
      <c r="G25" s="715">
        <v>4507</v>
      </c>
      <c r="H25" s="736" t="s">
        <v>692</v>
      </c>
      <c r="I25" s="717"/>
      <c r="J25" s="717"/>
      <c r="K25" s="717"/>
      <c r="L25" s="717"/>
      <c r="M25" s="736"/>
      <c r="N25" s="737" t="s">
        <v>729</v>
      </c>
    </row>
    <row r="26" spans="1:14" ht="34.5" thickBot="1">
      <c r="A26" s="719">
        <f t="shared" si="0"/>
        <v>15</v>
      </c>
      <c r="B26" s="734" t="s">
        <v>730</v>
      </c>
      <c r="C26" s="725" t="s">
        <v>583</v>
      </c>
      <c r="D26" s="725" t="s">
        <v>731</v>
      </c>
      <c r="E26" s="725">
        <v>42.6</v>
      </c>
      <c r="F26" s="2162"/>
      <c r="G26" s="725">
        <v>4507</v>
      </c>
      <c r="H26" s="726" t="s">
        <v>692</v>
      </c>
      <c r="I26" s="726"/>
      <c r="J26" s="726"/>
      <c r="K26" s="717"/>
      <c r="L26" s="726"/>
      <c r="M26" s="726"/>
      <c r="N26" s="727" t="s">
        <v>865</v>
      </c>
    </row>
    <row r="27" spans="1:14" ht="18" customHeight="1" thickBot="1">
      <c r="A27" s="738"/>
      <c r="B27" s="739"/>
      <c r="C27" s="740"/>
      <c r="D27" s="740"/>
      <c r="E27" s="740"/>
      <c r="F27" s="740"/>
      <c r="G27" s="740"/>
      <c r="H27" s="741"/>
      <c r="I27" s="741"/>
      <c r="J27" s="741"/>
      <c r="K27" s="741"/>
      <c r="L27" s="741"/>
      <c r="M27" s="741"/>
      <c r="N27" s="742"/>
    </row>
    <row r="28" spans="1:14">
      <c r="A28" s="10"/>
      <c r="N28" s="7"/>
    </row>
    <row r="29" spans="1:14">
      <c r="A29" s="10"/>
      <c r="B29" s="149" t="s">
        <v>472</v>
      </c>
      <c r="C29" s="149"/>
      <c r="N29" s="7"/>
    </row>
    <row r="30" spans="1:14" ht="25.5">
      <c r="A30" s="10"/>
      <c r="B30" s="211" t="s">
        <v>180</v>
      </c>
      <c r="C30" s="211"/>
      <c r="D30" s="26"/>
      <c r="E30" s="26"/>
      <c r="F30" s="208" t="s">
        <v>31</v>
      </c>
      <c r="G30" s="2160" t="s">
        <v>320</v>
      </c>
      <c r="H30" s="2160"/>
      <c r="I30" s="2160"/>
      <c r="J30" s="2159" t="s">
        <v>179</v>
      </c>
      <c r="K30" s="2159"/>
      <c r="L30" s="2159"/>
      <c r="M30" s="209" t="s">
        <v>30</v>
      </c>
      <c r="N30" s="210" t="s">
        <v>32</v>
      </c>
    </row>
    <row r="31" spans="1:14">
      <c r="A31" s="8"/>
      <c r="B31" s="3"/>
      <c r="C31" s="3"/>
      <c r="D31" s="3"/>
      <c r="E31" s="3"/>
      <c r="F31" s="3"/>
      <c r="G31" s="3"/>
      <c r="H31" s="3"/>
      <c r="I31" s="3"/>
      <c r="J31" s="3"/>
      <c r="K31" s="3"/>
      <c r="L31" s="3"/>
      <c r="M31" s="3"/>
      <c r="N31" s="4"/>
    </row>
    <row r="33" spans="1:14">
      <c r="A33" s="207" t="s">
        <v>319</v>
      </c>
    </row>
    <row r="34" spans="1:14">
      <c r="L34" s="1585" t="s">
        <v>440</v>
      </c>
      <c r="M34" s="1585"/>
      <c r="N34" s="1585"/>
    </row>
  </sheetData>
  <mergeCells count="22">
    <mergeCell ref="A1:N1"/>
    <mergeCell ref="A2:N2"/>
    <mergeCell ref="A4:N4"/>
    <mergeCell ref="A6:N6"/>
    <mergeCell ref="H10:I10"/>
    <mergeCell ref="J10:M10"/>
    <mergeCell ref="N10:N11"/>
    <mergeCell ref="F10:F11"/>
    <mergeCell ref="D10:D11"/>
    <mergeCell ref="B10:B11"/>
    <mergeCell ref="A10:A11"/>
    <mergeCell ref="G10:G11"/>
    <mergeCell ref="C8:H8"/>
    <mergeCell ref="M8:N8"/>
    <mergeCell ref="L34:N34"/>
    <mergeCell ref="C10:C11"/>
    <mergeCell ref="E10:E11"/>
    <mergeCell ref="J30:L30"/>
    <mergeCell ref="G30:I30"/>
    <mergeCell ref="F12:F17"/>
    <mergeCell ref="F18:F23"/>
    <mergeCell ref="F24:F26"/>
  </mergeCells>
  <phoneticPr fontId="3" type="noConversion"/>
  <hyperlinks>
    <hyperlink ref="L34" location="'TABLA DE CONTENIDO'!A1" display="VOLVER A TABLA DE CONTENIDO"/>
  </hyperlinks>
  <printOptions horizontalCentered="1" verticalCentered="1"/>
  <pageMargins left="0.39370078740157483" right="0.39370078740157483" top="0.78740157480314965" bottom="0.98425196850393704" header="0.51181102362204722" footer="0.51181102362204722"/>
  <pageSetup scale="55" fitToWidth="0" orientation="portrait" horizontalDpi="120" verticalDpi="144" r:id="rId1"/>
  <headerFooter alignWithMargins="0"/>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49"/>
  <sheetViews>
    <sheetView view="pageBreakPreview" topLeftCell="D1" zoomScaleNormal="100" zoomScaleSheetLayoutView="100" workbookViewId="0">
      <selection activeCell="N33" sqref="N33"/>
    </sheetView>
  </sheetViews>
  <sheetFormatPr baseColWidth="10" defaultRowHeight="12.75"/>
  <cols>
    <col min="1" max="1" width="5" customWidth="1"/>
    <col min="2" max="2" width="18" customWidth="1"/>
    <col min="3" max="3" width="13.28515625" customWidth="1"/>
    <col min="4" max="4" width="14.28515625" customWidth="1"/>
    <col min="5" max="5" width="14.140625" bestFit="1" customWidth="1"/>
    <col min="7" max="7" width="10.5703125" customWidth="1"/>
    <col min="8" max="8" width="19.28515625" customWidth="1"/>
    <col min="12" max="12" width="14.28515625" bestFit="1" customWidth="1"/>
    <col min="14" max="14" width="17.28515625" customWidth="1"/>
    <col min="15" max="15" width="17.140625" bestFit="1" customWidth="1"/>
  </cols>
  <sheetData>
    <row r="1" spans="1:15" ht="23.25">
      <c r="A1" s="1579" t="s">
        <v>0</v>
      </c>
      <c r="B1" s="1579"/>
      <c r="C1" s="1579"/>
      <c r="D1" s="1579"/>
      <c r="E1" s="1579"/>
      <c r="F1" s="1579"/>
      <c r="G1" s="1579"/>
      <c r="H1" s="1579"/>
      <c r="I1" s="1579"/>
      <c r="J1" s="1579"/>
      <c r="K1" s="1579"/>
      <c r="L1" s="1579"/>
      <c r="M1" s="1579"/>
      <c r="N1" s="1579"/>
      <c r="O1" s="1579"/>
    </row>
    <row r="2" spans="1:15" ht="18">
      <c r="A2" s="1580" t="s">
        <v>531</v>
      </c>
      <c r="B2" s="1580"/>
      <c r="C2" s="1580"/>
      <c r="D2" s="1580"/>
      <c r="E2" s="1580"/>
      <c r="F2" s="1580"/>
      <c r="G2" s="1580"/>
      <c r="H2" s="1580"/>
      <c r="I2" s="1580"/>
      <c r="J2" s="1580"/>
      <c r="K2" s="1580"/>
      <c r="L2" s="1580"/>
      <c r="M2" s="1580"/>
      <c r="N2" s="1580"/>
      <c r="O2" s="1580"/>
    </row>
    <row r="3" spans="1:15" ht="18">
      <c r="A3" s="1580" t="s">
        <v>99</v>
      </c>
      <c r="B3" s="1580"/>
      <c r="C3" s="1580"/>
      <c r="D3" s="1580"/>
      <c r="E3" s="1580"/>
      <c r="F3" s="1580"/>
      <c r="G3" s="1580"/>
      <c r="H3" s="1580"/>
      <c r="I3" s="1580"/>
      <c r="J3" s="1580"/>
      <c r="K3" s="1580"/>
      <c r="L3" s="1580"/>
      <c r="M3" s="1580"/>
      <c r="N3" s="1580"/>
      <c r="O3" s="1580"/>
    </row>
    <row r="4" spans="1:15">
      <c r="A4" s="37"/>
      <c r="B4" s="37"/>
      <c r="C4" s="37"/>
      <c r="D4" s="31"/>
      <c r="E4" s="31"/>
      <c r="F4" s="31"/>
      <c r="G4" s="31"/>
    </row>
    <row r="5" spans="1:15" ht="18">
      <c r="A5" s="1580" t="s">
        <v>305</v>
      </c>
      <c r="B5" s="1580"/>
      <c r="C5" s="1580"/>
      <c r="D5" s="1580"/>
      <c r="E5" s="1580"/>
      <c r="F5" s="1580"/>
      <c r="G5" s="1580"/>
      <c r="H5" s="1580"/>
      <c r="I5" s="1580"/>
      <c r="J5" s="1580"/>
      <c r="K5" s="1580"/>
      <c r="L5" s="1580"/>
      <c r="M5" s="1580"/>
      <c r="N5" s="1580"/>
      <c r="O5" s="1580"/>
    </row>
    <row r="6" spans="1:15">
      <c r="A6" s="37"/>
      <c r="B6" s="37"/>
      <c r="C6" s="37"/>
      <c r="D6" s="31"/>
      <c r="E6" s="31"/>
      <c r="F6" s="31"/>
      <c r="G6" s="31"/>
    </row>
    <row r="7" spans="1:15">
      <c r="C7" s="42"/>
      <c r="D7" s="32"/>
      <c r="E7" s="32"/>
      <c r="G7" s="32"/>
    </row>
    <row r="8" spans="1:15">
      <c r="A8" s="141" t="s">
        <v>147</v>
      </c>
      <c r="B8" s="42"/>
      <c r="C8" s="2187" t="str">
        <f>'CUMPLIMIENTO % '!C7</f>
        <v>LUIS GABRIEL IBARRA ANGEL</v>
      </c>
      <c r="D8" s="2187"/>
      <c r="E8" s="2187"/>
      <c r="F8" s="2187"/>
      <c r="G8" s="2187"/>
      <c r="I8" s="139" t="s">
        <v>409</v>
      </c>
      <c r="J8" s="139"/>
      <c r="K8" s="1732" t="str">
        <f>PORTADA!C31</f>
        <v>OCTUBRE - DICIEMBRE DEL 2020</v>
      </c>
      <c r="L8" s="1732"/>
      <c r="M8" s="1732"/>
      <c r="N8" s="1732"/>
      <c r="O8" s="1732"/>
    </row>
    <row r="9" spans="1:15" ht="13.5" thickBot="1">
      <c r="K9" t="s">
        <v>54</v>
      </c>
      <c r="L9" s="19"/>
    </row>
    <row r="10" spans="1:15" ht="18" customHeight="1">
      <c r="A10" s="2172" t="s">
        <v>23</v>
      </c>
      <c r="B10" s="2175" t="s">
        <v>382</v>
      </c>
      <c r="C10" s="2178" t="s">
        <v>462</v>
      </c>
      <c r="D10" s="2178" t="s">
        <v>456</v>
      </c>
      <c r="E10" s="2175" t="s">
        <v>460</v>
      </c>
      <c r="F10" s="2175" t="s">
        <v>301</v>
      </c>
      <c r="G10" s="2178" t="s">
        <v>461</v>
      </c>
      <c r="H10" s="2178" t="s">
        <v>6</v>
      </c>
      <c r="I10" s="2178" t="s">
        <v>78</v>
      </c>
      <c r="J10" s="2178" t="s">
        <v>79</v>
      </c>
      <c r="K10" s="2178" t="s">
        <v>302</v>
      </c>
      <c r="L10" s="2178" t="s">
        <v>463</v>
      </c>
      <c r="M10" s="2185" t="s">
        <v>505</v>
      </c>
      <c r="N10" s="2186"/>
      <c r="O10" s="2178" t="s">
        <v>13</v>
      </c>
    </row>
    <row r="11" spans="1:15" ht="21" customHeight="1">
      <c r="A11" s="2173"/>
      <c r="B11" s="2176"/>
      <c r="C11" s="2179"/>
      <c r="D11" s="2179"/>
      <c r="E11" s="2176"/>
      <c r="F11" s="2176"/>
      <c r="G11" s="2179"/>
      <c r="H11" s="2179"/>
      <c r="I11" s="2179"/>
      <c r="J11" s="2179"/>
      <c r="K11" s="2179"/>
      <c r="L11" s="2179"/>
      <c r="M11" s="2183" t="s">
        <v>504</v>
      </c>
      <c r="N11" s="2184"/>
      <c r="O11" s="2179"/>
    </row>
    <row r="12" spans="1:15" ht="19.5" customHeight="1">
      <c r="A12" s="2174"/>
      <c r="B12" s="2177"/>
      <c r="C12" s="2180"/>
      <c r="D12" s="2180"/>
      <c r="E12" s="2177"/>
      <c r="F12" s="2177"/>
      <c r="G12" s="2180"/>
      <c r="H12" s="2180"/>
      <c r="I12" s="2180"/>
      <c r="J12" s="2180"/>
      <c r="K12" s="2180"/>
      <c r="L12" s="2180"/>
      <c r="M12" s="275" t="s">
        <v>464</v>
      </c>
      <c r="N12" s="276" t="s">
        <v>303</v>
      </c>
      <c r="O12" s="2180"/>
    </row>
    <row r="13" spans="1:15" ht="24">
      <c r="A13" s="744">
        <v>1</v>
      </c>
      <c r="B13" s="745" t="s">
        <v>732</v>
      </c>
      <c r="C13" s="746" t="s">
        <v>999</v>
      </c>
      <c r="D13" s="747" t="s">
        <v>688</v>
      </c>
      <c r="E13" s="748">
        <v>3</v>
      </c>
      <c r="F13" s="749">
        <v>720</v>
      </c>
      <c r="G13" s="749">
        <v>20.5</v>
      </c>
      <c r="H13" s="747" t="s">
        <v>565</v>
      </c>
      <c r="I13" s="750" t="s">
        <v>1000</v>
      </c>
      <c r="J13" s="750" t="s">
        <v>1001</v>
      </c>
      <c r="K13" s="751" t="s">
        <v>733</v>
      </c>
      <c r="L13" s="751" t="s">
        <v>734</v>
      </c>
      <c r="M13" s="752"/>
      <c r="N13" s="1511">
        <f>+'CANT OBRA 3602'!H50</f>
        <v>75048449.731996432</v>
      </c>
      <c r="O13" s="753"/>
    </row>
    <row r="14" spans="1:15" ht="18" hidden="1" customHeight="1">
      <c r="A14" s="744">
        <v>2</v>
      </c>
      <c r="B14" s="745" t="s">
        <v>732</v>
      </c>
      <c r="C14" s="746" t="s">
        <v>977</v>
      </c>
      <c r="D14" s="747" t="s">
        <v>696</v>
      </c>
      <c r="E14" s="748">
        <v>3</v>
      </c>
      <c r="F14" s="749">
        <v>720</v>
      </c>
      <c r="G14" s="749">
        <v>60</v>
      </c>
      <c r="H14" s="747" t="s">
        <v>565</v>
      </c>
      <c r="I14" s="750" t="s">
        <v>697</v>
      </c>
      <c r="J14" s="750" t="s">
        <v>698</v>
      </c>
      <c r="K14" s="751" t="s">
        <v>733</v>
      </c>
      <c r="L14" s="751" t="s">
        <v>734</v>
      </c>
      <c r="M14" s="752"/>
      <c r="N14" s="1510">
        <v>0</v>
      </c>
      <c r="O14" s="753"/>
    </row>
    <row r="15" spans="1:15" ht="18" hidden="1" customHeight="1">
      <c r="A15" s="744">
        <v>3</v>
      </c>
      <c r="B15" s="745" t="s">
        <v>732</v>
      </c>
      <c r="C15" s="746" t="s">
        <v>978</v>
      </c>
      <c r="D15" s="747" t="s">
        <v>696</v>
      </c>
      <c r="E15" s="748">
        <v>3</v>
      </c>
      <c r="F15" s="749">
        <v>720</v>
      </c>
      <c r="G15" s="749">
        <v>60</v>
      </c>
      <c r="H15" s="747" t="s">
        <v>565</v>
      </c>
      <c r="I15" s="750" t="s">
        <v>697</v>
      </c>
      <c r="J15" s="750" t="s">
        <v>698</v>
      </c>
      <c r="K15" s="751" t="s">
        <v>733</v>
      </c>
      <c r="L15" s="751" t="s">
        <v>734</v>
      </c>
      <c r="M15" s="752"/>
      <c r="N15" s="1510">
        <v>0</v>
      </c>
      <c r="O15" s="753"/>
    </row>
    <row r="16" spans="1:15" ht="18" hidden="1" customHeight="1">
      <c r="A16" s="744">
        <v>4</v>
      </c>
      <c r="B16" s="745" t="s">
        <v>732</v>
      </c>
      <c r="C16" s="746" t="s">
        <v>979</v>
      </c>
      <c r="D16" s="747" t="s">
        <v>696</v>
      </c>
      <c r="E16" s="748">
        <v>3</v>
      </c>
      <c r="F16" s="749">
        <v>720</v>
      </c>
      <c r="G16" s="749">
        <v>60</v>
      </c>
      <c r="H16" s="747" t="s">
        <v>565</v>
      </c>
      <c r="I16" s="750" t="s">
        <v>697</v>
      </c>
      <c r="J16" s="750" t="s">
        <v>698</v>
      </c>
      <c r="K16" s="751" t="s">
        <v>733</v>
      </c>
      <c r="L16" s="751" t="s">
        <v>734</v>
      </c>
      <c r="M16" s="752"/>
      <c r="N16" s="1510">
        <v>0</v>
      </c>
      <c r="O16" s="753"/>
    </row>
    <row r="17" spans="1:15" ht="18" hidden="1" customHeight="1">
      <c r="A17" s="744">
        <v>5</v>
      </c>
      <c r="B17" s="745" t="s">
        <v>732</v>
      </c>
      <c r="C17" s="746" t="s">
        <v>980</v>
      </c>
      <c r="D17" s="747" t="s">
        <v>696</v>
      </c>
      <c r="E17" s="748">
        <v>3</v>
      </c>
      <c r="F17" s="749">
        <v>720</v>
      </c>
      <c r="G17" s="749">
        <v>60</v>
      </c>
      <c r="H17" s="747" t="s">
        <v>565</v>
      </c>
      <c r="I17" s="750" t="s">
        <v>697</v>
      </c>
      <c r="J17" s="750" t="s">
        <v>698</v>
      </c>
      <c r="K17" s="751" t="s">
        <v>733</v>
      </c>
      <c r="L17" s="751" t="s">
        <v>734</v>
      </c>
      <c r="M17" s="752"/>
      <c r="N17" s="1510">
        <v>7568051.097599999</v>
      </c>
      <c r="O17" s="753"/>
    </row>
    <row r="18" spans="1:15" ht="18" hidden="1" customHeight="1">
      <c r="A18" s="744">
        <v>6</v>
      </c>
      <c r="B18" s="745" t="s">
        <v>732</v>
      </c>
      <c r="C18" s="746" t="s">
        <v>981</v>
      </c>
      <c r="D18" s="747" t="s">
        <v>696</v>
      </c>
      <c r="E18" s="748">
        <v>3</v>
      </c>
      <c r="F18" s="749">
        <v>720</v>
      </c>
      <c r="G18" s="749">
        <v>60</v>
      </c>
      <c r="H18" s="747" t="s">
        <v>565</v>
      </c>
      <c r="I18" s="750" t="s">
        <v>697</v>
      </c>
      <c r="J18" s="750" t="s">
        <v>698</v>
      </c>
      <c r="K18" s="751" t="s">
        <v>733</v>
      </c>
      <c r="L18" s="751" t="s">
        <v>734</v>
      </c>
      <c r="M18" s="752"/>
      <c r="N18" s="1510">
        <v>16757730</v>
      </c>
      <c r="O18" s="753"/>
    </row>
    <row r="19" spans="1:15" ht="18" hidden="1" customHeight="1">
      <c r="A19" s="744">
        <v>7</v>
      </c>
      <c r="B19" s="745" t="s">
        <v>732</v>
      </c>
      <c r="C19" s="746" t="s">
        <v>982</v>
      </c>
      <c r="D19" s="747" t="s">
        <v>696</v>
      </c>
      <c r="E19" s="748">
        <v>3</v>
      </c>
      <c r="F19" s="749">
        <v>720</v>
      </c>
      <c r="G19" s="749">
        <v>60</v>
      </c>
      <c r="H19" s="747" t="s">
        <v>565</v>
      </c>
      <c r="I19" s="750" t="s">
        <v>697</v>
      </c>
      <c r="J19" s="750" t="s">
        <v>698</v>
      </c>
      <c r="K19" s="751" t="s">
        <v>733</v>
      </c>
      <c r="L19" s="751" t="s">
        <v>734</v>
      </c>
      <c r="M19" s="752"/>
      <c r="N19" s="1510">
        <v>1211952.26724</v>
      </c>
      <c r="O19" s="753"/>
    </row>
    <row r="20" spans="1:15" ht="18" hidden="1" customHeight="1">
      <c r="A20" s="744">
        <v>8</v>
      </c>
      <c r="B20" s="745" t="s">
        <v>732</v>
      </c>
      <c r="C20" s="746" t="s">
        <v>983</v>
      </c>
      <c r="D20" s="747" t="s">
        <v>696</v>
      </c>
      <c r="E20" s="748">
        <v>3</v>
      </c>
      <c r="F20" s="749">
        <v>720</v>
      </c>
      <c r="G20" s="749">
        <v>60</v>
      </c>
      <c r="H20" s="747" t="s">
        <v>565</v>
      </c>
      <c r="I20" s="750" t="s">
        <v>697</v>
      </c>
      <c r="J20" s="750" t="s">
        <v>698</v>
      </c>
      <c r="K20" s="751" t="s">
        <v>733</v>
      </c>
      <c r="L20" s="751" t="s">
        <v>734</v>
      </c>
      <c r="M20" s="752"/>
      <c r="N20" s="1510">
        <v>11662185.6</v>
      </c>
      <c r="O20" s="753"/>
    </row>
    <row r="21" spans="1:15" ht="18" hidden="1" customHeight="1">
      <c r="A21" s="744">
        <v>9</v>
      </c>
      <c r="B21" s="745" t="s">
        <v>732</v>
      </c>
      <c r="C21" s="746" t="s">
        <v>984</v>
      </c>
      <c r="D21" s="747" t="s">
        <v>696</v>
      </c>
      <c r="E21" s="748">
        <v>3</v>
      </c>
      <c r="F21" s="749">
        <v>720</v>
      </c>
      <c r="G21" s="749">
        <v>60</v>
      </c>
      <c r="H21" s="747" t="s">
        <v>565</v>
      </c>
      <c r="I21" s="750" t="s">
        <v>697</v>
      </c>
      <c r="J21" s="750" t="s">
        <v>698</v>
      </c>
      <c r="K21" s="751" t="s">
        <v>733</v>
      </c>
      <c r="L21" s="751" t="s">
        <v>734</v>
      </c>
      <c r="M21" s="752"/>
      <c r="N21" s="1510">
        <v>20217599.999999996</v>
      </c>
      <c r="O21" s="753"/>
    </row>
    <row r="22" spans="1:15" ht="18" hidden="1" customHeight="1">
      <c r="A22" s="744">
        <v>10</v>
      </c>
      <c r="B22" s="745" t="s">
        <v>732</v>
      </c>
      <c r="C22" s="746" t="s">
        <v>985</v>
      </c>
      <c r="D22" s="747" t="s">
        <v>696</v>
      </c>
      <c r="E22" s="748">
        <v>3</v>
      </c>
      <c r="F22" s="749">
        <v>720</v>
      </c>
      <c r="G22" s="749">
        <v>60</v>
      </c>
      <c r="H22" s="747" t="s">
        <v>565</v>
      </c>
      <c r="I22" s="750" t="s">
        <v>697</v>
      </c>
      <c r="J22" s="750" t="s">
        <v>698</v>
      </c>
      <c r="K22" s="751" t="s">
        <v>733</v>
      </c>
      <c r="L22" s="751" t="s">
        <v>734</v>
      </c>
      <c r="M22" s="752"/>
      <c r="N22" s="1510">
        <v>66591174.045098335</v>
      </c>
      <c r="O22" s="753"/>
    </row>
    <row r="23" spans="1:15" ht="18" hidden="1" customHeight="1">
      <c r="A23" s="744">
        <v>11</v>
      </c>
      <c r="B23" s="745" t="s">
        <v>732</v>
      </c>
      <c r="C23" s="746" t="s">
        <v>986</v>
      </c>
      <c r="D23" s="747" t="s">
        <v>696</v>
      </c>
      <c r="E23" s="748">
        <v>3</v>
      </c>
      <c r="F23" s="749">
        <v>720</v>
      </c>
      <c r="G23" s="749">
        <v>60</v>
      </c>
      <c r="H23" s="747" t="s">
        <v>565</v>
      </c>
      <c r="I23" s="750" t="s">
        <v>697</v>
      </c>
      <c r="J23" s="750" t="s">
        <v>698</v>
      </c>
      <c r="K23" s="751" t="s">
        <v>733</v>
      </c>
      <c r="L23" s="751" t="s">
        <v>734</v>
      </c>
      <c r="M23" s="752"/>
      <c r="N23" s="1510">
        <v>486628</v>
      </c>
      <c r="O23" s="753"/>
    </row>
    <row r="24" spans="1:15" ht="18" hidden="1" customHeight="1">
      <c r="A24" s="744">
        <v>12</v>
      </c>
      <c r="B24" s="745" t="s">
        <v>732</v>
      </c>
      <c r="C24" s="746" t="s">
        <v>987</v>
      </c>
      <c r="D24" s="747" t="s">
        <v>696</v>
      </c>
      <c r="E24" s="748">
        <v>3</v>
      </c>
      <c r="F24" s="749">
        <v>720</v>
      </c>
      <c r="G24" s="749">
        <v>60</v>
      </c>
      <c r="H24" s="747" t="s">
        <v>565</v>
      </c>
      <c r="I24" s="750" t="s">
        <v>697</v>
      </c>
      <c r="J24" s="750" t="s">
        <v>698</v>
      </c>
      <c r="K24" s="751" t="s">
        <v>733</v>
      </c>
      <c r="L24" s="751" t="s">
        <v>734</v>
      </c>
      <c r="M24" s="752"/>
      <c r="N24" s="1510">
        <v>67077802</v>
      </c>
      <c r="O24" s="753"/>
    </row>
    <row r="25" spans="1:15" ht="18" hidden="1" customHeight="1">
      <c r="A25" s="744">
        <v>13</v>
      </c>
      <c r="B25" s="745" t="s">
        <v>732</v>
      </c>
      <c r="C25" s="746" t="s">
        <v>988</v>
      </c>
      <c r="D25" s="747" t="s">
        <v>696</v>
      </c>
      <c r="E25" s="748">
        <v>3</v>
      </c>
      <c r="F25" s="749">
        <v>720</v>
      </c>
      <c r="G25" s="749">
        <v>60</v>
      </c>
      <c r="H25" s="747" t="s">
        <v>565</v>
      </c>
      <c r="I25" s="750" t="s">
        <v>697</v>
      </c>
      <c r="J25" s="750" t="s">
        <v>698</v>
      </c>
      <c r="K25" s="751" t="s">
        <v>733</v>
      </c>
      <c r="L25" s="751" t="s">
        <v>734</v>
      </c>
      <c r="M25" s="752"/>
      <c r="N25" s="1510">
        <v>0</v>
      </c>
      <c r="O25" s="753"/>
    </row>
    <row r="26" spans="1:15" ht="18" hidden="1" customHeight="1">
      <c r="A26" s="744">
        <v>14</v>
      </c>
      <c r="B26" s="745" t="s">
        <v>732</v>
      </c>
      <c r="C26" s="746" t="s">
        <v>989</v>
      </c>
      <c r="D26" s="747" t="s">
        <v>696</v>
      </c>
      <c r="E26" s="748">
        <v>3</v>
      </c>
      <c r="F26" s="749">
        <v>720</v>
      </c>
      <c r="G26" s="749">
        <v>60</v>
      </c>
      <c r="H26" s="747" t="s">
        <v>565</v>
      </c>
      <c r="I26" s="750" t="s">
        <v>697</v>
      </c>
      <c r="J26" s="750" t="s">
        <v>698</v>
      </c>
      <c r="K26" s="751" t="s">
        <v>733</v>
      </c>
      <c r="L26" s="751" t="s">
        <v>734</v>
      </c>
      <c r="M26" s="752"/>
      <c r="N26" s="1510">
        <v>0</v>
      </c>
      <c r="O26" s="753"/>
    </row>
    <row r="27" spans="1:15" ht="18" hidden="1" customHeight="1">
      <c r="A27" s="744">
        <v>15</v>
      </c>
      <c r="B27" s="745" t="s">
        <v>732</v>
      </c>
      <c r="C27" s="746" t="s">
        <v>990</v>
      </c>
      <c r="D27" s="747" t="s">
        <v>696</v>
      </c>
      <c r="E27" s="748">
        <v>3</v>
      </c>
      <c r="F27" s="749">
        <v>720</v>
      </c>
      <c r="G27" s="749">
        <v>60</v>
      </c>
      <c r="H27" s="747" t="s">
        <v>565</v>
      </c>
      <c r="I27" s="750" t="s">
        <v>697</v>
      </c>
      <c r="J27" s="750" t="s">
        <v>698</v>
      </c>
      <c r="K27" s="751" t="s">
        <v>733</v>
      </c>
      <c r="L27" s="751" t="s">
        <v>734</v>
      </c>
      <c r="M27" s="752"/>
      <c r="N27" s="1510">
        <v>0</v>
      </c>
      <c r="O27" s="753"/>
    </row>
    <row r="28" spans="1:15" ht="18" hidden="1" customHeight="1">
      <c r="A28" s="744">
        <v>16</v>
      </c>
      <c r="B28" s="745" t="s">
        <v>732</v>
      </c>
      <c r="C28" s="746" t="s">
        <v>991</v>
      </c>
      <c r="D28" s="747" t="s">
        <v>696</v>
      </c>
      <c r="E28" s="748">
        <v>3</v>
      </c>
      <c r="F28" s="749">
        <v>720</v>
      </c>
      <c r="G28" s="749">
        <v>60</v>
      </c>
      <c r="H28" s="747" t="s">
        <v>565</v>
      </c>
      <c r="I28" s="750" t="s">
        <v>697</v>
      </c>
      <c r="J28" s="750" t="s">
        <v>698</v>
      </c>
      <c r="K28" s="751" t="s">
        <v>733</v>
      </c>
      <c r="L28" s="751" t="s">
        <v>734</v>
      </c>
      <c r="M28" s="752"/>
      <c r="N28" s="1510" t="s">
        <v>1292</v>
      </c>
      <c r="O28" s="753"/>
    </row>
    <row r="29" spans="1:15" ht="18" hidden="1" customHeight="1">
      <c r="A29" s="744">
        <v>17</v>
      </c>
      <c r="B29" s="745" t="s">
        <v>732</v>
      </c>
      <c r="C29" s="746" t="s">
        <v>992</v>
      </c>
      <c r="D29" s="747" t="s">
        <v>696</v>
      </c>
      <c r="E29" s="748">
        <v>3</v>
      </c>
      <c r="F29" s="749">
        <v>720</v>
      </c>
      <c r="G29" s="749">
        <v>60</v>
      </c>
      <c r="H29" s="747" t="s">
        <v>565</v>
      </c>
      <c r="I29" s="750" t="s">
        <v>697</v>
      </c>
      <c r="J29" s="750" t="s">
        <v>698</v>
      </c>
      <c r="K29" s="751" t="s">
        <v>733</v>
      </c>
      <c r="L29" s="751" t="s">
        <v>734</v>
      </c>
      <c r="M29" s="752"/>
      <c r="N29" s="1510" t="s">
        <v>1292</v>
      </c>
      <c r="O29" s="753"/>
    </row>
    <row r="30" spans="1:15" ht="18" hidden="1" customHeight="1">
      <c r="A30" s="744">
        <v>18</v>
      </c>
      <c r="B30" s="745" t="s">
        <v>732</v>
      </c>
      <c r="C30" s="746" t="s">
        <v>993</v>
      </c>
      <c r="D30" s="747" t="s">
        <v>696</v>
      </c>
      <c r="E30" s="748">
        <v>3</v>
      </c>
      <c r="F30" s="749">
        <v>720</v>
      </c>
      <c r="G30" s="749">
        <v>60</v>
      </c>
      <c r="H30" s="747" t="s">
        <v>565</v>
      </c>
      <c r="I30" s="750" t="s">
        <v>697</v>
      </c>
      <c r="J30" s="750" t="s">
        <v>698</v>
      </c>
      <c r="K30" s="751" t="s">
        <v>733</v>
      </c>
      <c r="L30" s="751" t="s">
        <v>734</v>
      </c>
      <c r="M30" s="752"/>
      <c r="N30" s="1510" t="s">
        <v>1292</v>
      </c>
      <c r="O30" s="753"/>
    </row>
    <row r="31" spans="1:15" ht="18" hidden="1" customHeight="1">
      <c r="A31" s="744">
        <v>19</v>
      </c>
      <c r="B31" s="745" t="s">
        <v>732</v>
      </c>
      <c r="C31" s="746" t="s">
        <v>994</v>
      </c>
      <c r="D31" s="747" t="s">
        <v>696</v>
      </c>
      <c r="E31" s="748">
        <v>3</v>
      </c>
      <c r="F31" s="749">
        <v>720</v>
      </c>
      <c r="G31" s="749">
        <v>60</v>
      </c>
      <c r="H31" s="747" t="s">
        <v>565</v>
      </c>
      <c r="I31" s="750" t="s">
        <v>697</v>
      </c>
      <c r="J31" s="750" t="s">
        <v>698</v>
      </c>
      <c r="K31" s="751" t="s">
        <v>733</v>
      </c>
      <c r="L31" s="751" t="s">
        <v>734</v>
      </c>
      <c r="M31" s="752"/>
      <c r="N31" s="1510">
        <v>7568051.097599999</v>
      </c>
      <c r="O31" s="753"/>
    </row>
    <row r="32" spans="1:15" ht="18" hidden="1" customHeight="1">
      <c r="A32" s="744">
        <v>20</v>
      </c>
      <c r="B32" s="745" t="s">
        <v>732</v>
      </c>
      <c r="C32" s="746" t="s">
        <v>995</v>
      </c>
      <c r="D32" s="747" t="s">
        <v>696</v>
      </c>
      <c r="E32" s="748">
        <v>3</v>
      </c>
      <c r="F32" s="749">
        <v>720</v>
      </c>
      <c r="G32" s="749">
        <v>60</v>
      </c>
      <c r="H32" s="747" t="s">
        <v>565</v>
      </c>
      <c r="I32" s="750" t="s">
        <v>697</v>
      </c>
      <c r="J32" s="750" t="s">
        <v>698</v>
      </c>
      <c r="K32" s="751" t="s">
        <v>733</v>
      </c>
      <c r="L32" s="751" t="s">
        <v>734</v>
      </c>
      <c r="M32" s="752"/>
      <c r="N32" s="1510">
        <v>19787832.270000003</v>
      </c>
      <c r="O32" s="753"/>
    </row>
    <row r="33" spans="1:15" ht="26.25" customHeight="1">
      <c r="A33" s="744">
        <v>2</v>
      </c>
      <c r="B33" s="745" t="s">
        <v>732</v>
      </c>
      <c r="C33" s="746" t="s">
        <v>996</v>
      </c>
      <c r="D33" s="747" t="s">
        <v>693</v>
      </c>
      <c r="E33" s="748">
        <v>3</v>
      </c>
      <c r="F33" s="749">
        <v>720</v>
      </c>
      <c r="G33" s="749">
        <v>20.3</v>
      </c>
      <c r="H33" s="747" t="s">
        <v>565</v>
      </c>
      <c r="I33" s="750" t="s">
        <v>997</v>
      </c>
      <c r="J33" s="750" t="s">
        <v>998</v>
      </c>
      <c r="K33" s="751" t="s">
        <v>733</v>
      </c>
      <c r="L33" s="751" t="s">
        <v>734</v>
      </c>
      <c r="M33" s="752"/>
      <c r="N33" s="1511">
        <f>+'CANT OBRA 3602'!H63</f>
        <v>73054603</v>
      </c>
      <c r="O33" s="753"/>
    </row>
    <row r="34" spans="1:15" ht="26.25" customHeight="1">
      <c r="A34" s="744">
        <v>3</v>
      </c>
      <c r="B34" s="745" t="s">
        <v>732</v>
      </c>
      <c r="C34" s="746" t="s">
        <v>1002</v>
      </c>
      <c r="D34" s="747" t="s">
        <v>696</v>
      </c>
      <c r="E34" s="748">
        <v>3</v>
      </c>
      <c r="F34" s="749">
        <v>720</v>
      </c>
      <c r="G34" s="749">
        <v>60</v>
      </c>
      <c r="H34" s="747" t="s">
        <v>565</v>
      </c>
      <c r="I34" s="750" t="s">
        <v>697</v>
      </c>
      <c r="J34" s="750" t="s">
        <v>698</v>
      </c>
      <c r="K34" s="751" t="s">
        <v>733</v>
      </c>
      <c r="L34" s="751" t="s">
        <v>734</v>
      </c>
      <c r="M34" s="752"/>
      <c r="N34" s="1511">
        <f>+'CANT OBRA 3602'!H272</f>
        <v>6568879626.9904242</v>
      </c>
      <c r="O34" s="1462"/>
    </row>
    <row r="35" spans="1:15" ht="26.25" customHeight="1">
      <c r="A35" s="744">
        <v>4</v>
      </c>
      <c r="B35" s="745" t="s">
        <v>732</v>
      </c>
      <c r="C35" s="746" t="s">
        <v>1003</v>
      </c>
      <c r="D35" s="747" t="s">
        <v>699</v>
      </c>
      <c r="E35" s="748">
        <v>3</v>
      </c>
      <c r="F35" s="749">
        <v>720</v>
      </c>
      <c r="G35" s="749">
        <v>20</v>
      </c>
      <c r="H35" s="747" t="s">
        <v>565</v>
      </c>
      <c r="I35" s="750" t="s">
        <v>700</v>
      </c>
      <c r="J35" s="750" t="s">
        <v>1004</v>
      </c>
      <c r="K35" s="751" t="s">
        <v>733</v>
      </c>
      <c r="L35" s="751" t="s">
        <v>734</v>
      </c>
      <c r="M35" s="752"/>
      <c r="N35" s="1511">
        <f>+'CANT OBRA 3602'!H76</f>
        <v>72893531.653941393</v>
      </c>
      <c r="O35" s="753"/>
    </row>
    <row r="36" spans="1:15" ht="26.25" customHeight="1">
      <c r="A36" s="744">
        <v>5</v>
      </c>
      <c r="B36" s="745" t="s">
        <v>732</v>
      </c>
      <c r="C36" s="746" t="s">
        <v>1005</v>
      </c>
      <c r="D36" s="747" t="s">
        <v>702</v>
      </c>
      <c r="E36" s="748">
        <v>3</v>
      </c>
      <c r="F36" s="749">
        <v>720</v>
      </c>
      <c r="G36" s="749">
        <v>25.7</v>
      </c>
      <c r="H36" s="747" t="s">
        <v>565</v>
      </c>
      <c r="I36" s="750" t="s">
        <v>1006</v>
      </c>
      <c r="J36" s="750" t="s">
        <v>1007</v>
      </c>
      <c r="K36" s="751" t="s">
        <v>733</v>
      </c>
      <c r="L36" s="751" t="s">
        <v>734</v>
      </c>
      <c r="M36" s="752"/>
      <c r="N36" s="1511">
        <f>+'CANT OBRA 3602'!H89</f>
        <v>74198230.885023713</v>
      </c>
      <c r="O36" s="753"/>
    </row>
    <row r="37" spans="1:15" ht="26.25" customHeight="1">
      <c r="A37" s="744">
        <v>6</v>
      </c>
      <c r="B37" s="745" t="s">
        <v>732</v>
      </c>
      <c r="C37" s="746" t="s">
        <v>1011</v>
      </c>
      <c r="D37" s="747" t="s">
        <v>1008</v>
      </c>
      <c r="E37" s="748">
        <v>3</v>
      </c>
      <c r="F37" s="749">
        <v>720</v>
      </c>
      <c r="G37" s="749">
        <v>12</v>
      </c>
      <c r="H37" s="747" t="s">
        <v>565</v>
      </c>
      <c r="I37" s="750" t="s">
        <v>1009</v>
      </c>
      <c r="J37" s="750" t="s">
        <v>1010</v>
      </c>
      <c r="K37" s="751" t="s">
        <v>733</v>
      </c>
      <c r="L37" s="751" t="s">
        <v>734</v>
      </c>
      <c r="M37" s="752"/>
      <c r="N37" s="1511">
        <f>+'CANT OBRA 3602'!H98</f>
        <v>24644222.402440451</v>
      </c>
      <c r="O37" s="1462"/>
    </row>
    <row r="38" spans="1:15" ht="26.25" customHeight="1">
      <c r="A38" s="744">
        <v>7</v>
      </c>
      <c r="B38" s="745" t="s">
        <v>732</v>
      </c>
      <c r="C38" s="746" t="s">
        <v>1012</v>
      </c>
      <c r="D38" s="747" t="s">
        <v>722</v>
      </c>
      <c r="E38" s="748">
        <v>3</v>
      </c>
      <c r="F38" s="749">
        <v>720</v>
      </c>
      <c r="G38" s="749">
        <v>13.43</v>
      </c>
      <c r="H38" s="747" t="s">
        <v>536</v>
      </c>
      <c r="I38" s="750" t="s">
        <v>1013</v>
      </c>
      <c r="J38" s="750" t="s">
        <v>1014</v>
      </c>
      <c r="K38" s="751" t="s">
        <v>733</v>
      </c>
      <c r="L38" s="751" t="s">
        <v>734</v>
      </c>
      <c r="M38" s="752"/>
      <c r="N38" s="1511">
        <f>+'CANT OBRA 3603'!H32</f>
        <v>68755122.305379525</v>
      </c>
      <c r="O38" s="1462"/>
    </row>
    <row r="39" spans="1:15" ht="26.25" customHeight="1">
      <c r="A39" s="744">
        <v>8</v>
      </c>
      <c r="B39" s="745" t="s">
        <v>732</v>
      </c>
      <c r="C39" s="746" t="s">
        <v>1015</v>
      </c>
      <c r="D39" s="747" t="s">
        <v>719</v>
      </c>
      <c r="E39" s="748">
        <v>5</v>
      </c>
      <c r="F39" s="749">
        <v>720</v>
      </c>
      <c r="G39" s="749">
        <v>18.75</v>
      </c>
      <c r="H39" s="747" t="s">
        <v>536</v>
      </c>
      <c r="I39" s="750" t="s">
        <v>720</v>
      </c>
      <c r="J39" s="750" t="s">
        <v>721</v>
      </c>
      <c r="K39" s="751" t="s">
        <v>1016</v>
      </c>
      <c r="L39" s="751" t="s">
        <v>1017</v>
      </c>
      <c r="M39" s="752"/>
      <c r="N39" s="1511">
        <f>+'[11]CANT OBRA 3603'!H132</f>
        <v>1433136047.3455822</v>
      </c>
      <c r="O39" s="753"/>
    </row>
    <row r="40" spans="1:15" ht="32.25" customHeight="1">
      <c r="A40" s="744">
        <v>9</v>
      </c>
      <c r="B40" s="745" t="s">
        <v>732</v>
      </c>
      <c r="C40" s="746" t="s">
        <v>1018</v>
      </c>
      <c r="D40" s="747" t="s">
        <v>711</v>
      </c>
      <c r="E40" s="748">
        <v>3</v>
      </c>
      <c r="F40" s="749">
        <v>720</v>
      </c>
      <c r="G40" s="749">
        <v>11.1</v>
      </c>
      <c r="H40" s="747" t="s">
        <v>536</v>
      </c>
      <c r="I40" s="750" t="s">
        <v>712</v>
      </c>
      <c r="J40" s="750" t="s">
        <v>876</v>
      </c>
      <c r="K40" s="917" t="s">
        <v>1019</v>
      </c>
      <c r="L40" s="751" t="s">
        <v>1020</v>
      </c>
      <c r="M40" s="752"/>
      <c r="N40" s="1511">
        <f>+'CANT OBRA 3603'!H41</f>
        <v>11279266.999999998</v>
      </c>
      <c r="O40" s="753"/>
    </row>
    <row r="41" spans="1:15" ht="26.25" customHeight="1">
      <c r="A41" s="744">
        <v>10</v>
      </c>
      <c r="B41" s="745" t="s">
        <v>732</v>
      </c>
      <c r="C41" s="746" t="s">
        <v>1021</v>
      </c>
      <c r="D41" s="747" t="s">
        <v>708</v>
      </c>
      <c r="E41" s="748">
        <v>3</v>
      </c>
      <c r="F41" s="749">
        <v>720</v>
      </c>
      <c r="G41" s="749">
        <v>59.1</v>
      </c>
      <c r="H41" s="747" t="s">
        <v>536</v>
      </c>
      <c r="I41" s="750" t="s">
        <v>1022</v>
      </c>
      <c r="J41" s="750" t="s">
        <v>710</v>
      </c>
      <c r="K41" s="751" t="s">
        <v>733</v>
      </c>
      <c r="L41" s="751" t="s">
        <v>734</v>
      </c>
      <c r="M41" s="752"/>
      <c r="N41" s="1511">
        <f>+'CANT OBRA 3603'!H103</f>
        <v>6568879626.9904242</v>
      </c>
      <c r="O41" s="753"/>
    </row>
    <row r="42" spans="1:15" ht="26.25" customHeight="1">
      <c r="A42" s="744">
        <v>11</v>
      </c>
      <c r="B42" s="745" t="s">
        <v>732</v>
      </c>
      <c r="C42" s="746" t="s">
        <v>1113</v>
      </c>
      <c r="D42" s="747" t="s">
        <v>580</v>
      </c>
      <c r="E42" s="748">
        <v>3</v>
      </c>
      <c r="F42" s="749">
        <v>720</v>
      </c>
      <c r="G42" s="749">
        <v>42.4</v>
      </c>
      <c r="H42" s="747" t="s">
        <v>632</v>
      </c>
      <c r="I42" s="750" t="s">
        <v>583</v>
      </c>
      <c r="J42" s="750" t="s">
        <v>731</v>
      </c>
      <c r="K42" s="751" t="s">
        <v>1025</v>
      </c>
      <c r="L42" s="751" t="s">
        <v>1026</v>
      </c>
      <c r="M42" s="752"/>
      <c r="N42" s="1511">
        <f>+'CANT OBRA PNG'!H34</f>
        <v>102551626</v>
      </c>
      <c r="O42" s="753" t="s">
        <v>54</v>
      </c>
    </row>
    <row r="43" spans="1:15">
      <c r="A43" s="2182"/>
      <c r="B43" s="2182"/>
      <c r="C43" s="2182"/>
      <c r="D43" s="2182"/>
      <c r="E43" s="2182"/>
      <c r="F43" s="2182"/>
      <c r="G43" s="2182"/>
      <c r="H43" s="2182"/>
      <c r="I43" s="2182"/>
      <c r="J43" s="2182"/>
      <c r="K43" s="2182"/>
      <c r="L43" s="2182"/>
      <c r="M43" s="163"/>
      <c r="N43" s="825">
        <f>+N13+N33+N34+N35+N36+N37+N38+N39+N40+N41+N42</f>
        <v>15073320354.305212</v>
      </c>
      <c r="O43" s="164"/>
    </row>
    <row r="44" spans="1:15" ht="27" customHeight="1">
      <c r="A44" s="2042" t="s">
        <v>522</v>
      </c>
      <c r="B44" s="2042"/>
      <c r="C44" s="2042"/>
      <c r="D44" s="2042"/>
      <c r="E44" s="2042"/>
      <c r="F44" s="2042"/>
      <c r="G44" s="2042"/>
      <c r="H44" s="2042"/>
      <c r="I44" s="2042"/>
      <c r="J44" s="2042"/>
      <c r="K44" s="2042"/>
      <c r="L44" s="2042"/>
      <c r="M44" s="2042"/>
      <c r="N44" s="2042"/>
      <c r="O44" s="2042"/>
    </row>
    <row r="45" spans="1:15">
      <c r="A45" s="162"/>
      <c r="B45" s="162"/>
      <c r="C45" s="162"/>
      <c r="D45" s="162"/>
      <c r="E45" s="162"/>
      <c r="F45" s="162"/>
      <c r="G45" s="162"/>
      <c r="H45" s="162"/>
      <c r="I45" s="162"/>
      <c r="J45" s="162"/>
      <c r="K45" s="162"/>
      <c r="L45" s="2181" t="s">
        <v>304</v>
      </c>
      <c r="M45" s="2181"/>
      <c r="N45" s="851">
        <v>110000000</v>
      </c>
      <c r="O45" s="164"/>
    </row>
    <row r="46" spans="1:15" ht="13.5" thickBot="1">
      <c r="A46" s="162"/>
      <c r="B46" s="162"/>
      <c r="C46" s="162"/>
      <c r="D46" s="162"/>
      <c r="E46" s="162"/>
      <c r="F46" s="162"/>
      <c r="G46" s="162"/>
      <c r="H46" s="162"/>
      <c r="I46" s="162"/>
      <c r="J46" s="162"/>
      <c r="K46" s="162"/>
      <c r="L46" s="162"/>
      <c r="M46" s="163"/>
      <c r="N46" s="165"/>
      <c r="O46" s="164"/>
    </row>
    <row r="47" spans="1:15" ht="13.5" thickTop="1">
      <c r="A47" s="166"/>
      <c r="B47" s="164"/>
      <c r="C47" s="167"/>
      <c r="D47" s="164"/>
      <c r="E47" s="164"/>
      <c r="F47" s="164"/>
      <c r="G47" s="164"/>
      <c r="H47" s="164"/>
      <c r="I47" s="164"/>
      <c r="J47" s="164"/>
      <c r="K47" s="168"/>
      <c r="L47" s="2181" t="s">
        <v>519</v>
      </c>
      <c r="M47" s="2181"/>
      <c r="N47" s="851">
        <f>+N45+N43</f>
        <v>15183320354.305212</v>
      </c>
      <c r="O47" s="164"/>
    </row>
    <row r="49" spans="13:15">
      <c r="M49" s="1585" t="s">
        <v>440</v>
      </c>
      <c r="N49" s="1585"/>
      <c r="O49" s="1585"/>
    </row>
  </sheetData>
  <mergeCells count="26">
    <mergeCell ref="A1:O1"/>
    <mergeCell ref="A3:O3"/>
    <mergeCell ref="A43:L43"/>
    <mergeCell ref="A2:O2"/>
    <mergeCell ref="J10:J12"/>
    <mergeCell ref="G10:G12"/>
    <mergeCell ref="H10:H12"/>
    <mergeCell ref="M11:N11"/>
    <mergeCell ref="K10:K12"/>
    <mergeCell ref="L10:L12"/>
    <mergeCell ref="A5:O5"/>
    <mergeCell ref="M10:N10"/>
    <mergeCell ref="F10:F12"/>
    <mergeCell ref="O10:O12"/>
    <mergeCell ref="C8:G8"/>
    <mergeCell ref="K8:O8"/>
    <mergeCell ref="M49:O49"/>
    <mergeCell ref="A10:A12"/>
    <mergeCell ref="B10:B12"/>
    <mergeCell ref="C10:C12"/>
    <mergeCell ref="D10:D12"/>
    <mergeCell ref="E10:E12"/>
    <mergeCell ref="I10:I12"/>
    <mergeCell ref="A44:O44"/>
    <mergeCell ref="L47:M47"/>
    <mergeCell ref="L45:M45"/>
  </mergeCells>
  <phoneticPr fontId="3" type="noConversion"/>
  <hyperlinks>
    <hyperlink ref="M49" location="'TABLA DE CONTENIDO'!A1" display="VOLVER A TABLA DE CONTENIDO"/>
    <hyperlink ref="N13" location="'CANT OBRA 3602'!H50" display="'CANT OBRA 3602'!H50"/>
    <hyperlink ref="N33" location="'CANT OBRA 3602'!H63" display="'CANT OBRA 3602'!H63"/>
    <hyperlink ref="N34" location="'CANT OBRA 3602'!H272" display="'CANT OBRA 3602'!H272"/>
    <hyperlink ref="N35" location="'CANT OBRA 3602'!H76" display="'CANT OBRA 3602'!H76"/>
    <hyperlink ref="N36" location="'CANT OBRA 3602'!H89" display="'CANT OBRA 3602'!H89"/>
    <hyperlink ref="N37" location="'CANT OBRA 3602'!H98" display="'CANT OBRA 3602'!H98"/>
    <hyperlink ref="N38" location="'CANT OBRA 3603'!H32" display="'CANT OBRA 3603'!H32"/>
    <hyperlink ref="N39" location="'CANT OBRA 3603'!H133" display="'CANT OBRA 3603'!H133"/>
    <hyperlink ref="N40" location="'CANT OBRA 3603'!H41" display="'CANT OBRA 3603'!H41"/>
    <hyperlink ref="N41" location="'CANT OBRA 3603'!H103" display="'CANT OBRA 3603'!H103"/>
    <hyperlink ref="N42" location="'CANT OBRA PNG'!H34" display="'CANT OBRA PNG'!H34"/>
  </hyperlinks>
  <printOptions horizontalCentered="1" verticalCentered="1"/>
  <pageMargins left="0.43307086614173229" right="0.35433070866141736" top="0.98425196850393704" bottom="0.98425196850393704" header="0" footer="0"/>
  <pageSetup scale="60" orientation="landscape" horizontalDpi="300" verticalDpi="300" r:id="rId1"/>
  <headerFooter alignWithMargins="0"/>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36"/>
  <sheetViews>
    <sheetView showGridLines="0" view="pageBreakPreview" zoomScaleNormal="75" workbookViewId="0">
      <selection activeCell="M7" sqref="M7"/>
    </sheetView>
  </sheetViews>
  <sheetFormatPr baseColWidth="10" defaultRowHeight="12.75"/>
  <cols>
    <col min="1" max="1" width="6.42578125" style="546" customWidth="1"/>
    <col min="2" max="2" width="8.7109375" style="546" customWidth="1"/>
    <col min="3" max="3" width="8.85546875" style="546" customWidth="1"/>
    <col min="4" max="4" width="20.85546875" style="546" customWidth="1"/>
    <col min="5" max="5" width="16.42578125" style="546" customWidth="1"/>
    <col min="6" max="6" width="8.5703125" style="546" customWidth="1"/>
    <col min="7" max="7" width="8.42578125" style="546" customWidth="1"/>
    <col min="8" max="8" width="10.7109375" style="546" customWidth="1"/>
    <col min="9" max="9" width="8" style="546" customWidth="1"/>
    <col min="10" max="10" width="13.5703125" style="546" customWidth="1"/>
    <col min="11" max="11" width="13.28515625" style="546" customWidth="1"/>
    <col min="12" max="12" width="33.28515625" style="546" customWidth="1"/>
    <col min="13" max="16384" width="11.42578125" style="546"/>
  </cols>
  <sheetData>
    <row r="1" spans="1:12" ht="23.25">
      <c r="A1" s="2009" t="s">
        <v>0</v>
      </c>
      <c r="B1" s="2009"/>
      <c r="C1" s="2009"/>
      <c r="D1" s="2009"/>
      <c r="E1" s="2009"/>
      <c r="F1" s="2009"/>
      <c r="G1" s="2009"/>
      <c r="H1" s="2009"/>
      <c r="I1" s="2009"/>
      <c r="J1" s="2009"/>
      <c r="K1" s="2009"/>
      <c r="L1" s="2009"/>
    </row>
    <row r="2" spans="1:12" ht="18">
      <c r="A2" s="2010" t="s">
        <v>531</v>
      </c>
      <c r="B2" s="2010"/>
      <c r="C2" s="2010"/>
      <c r="D2" s="2010"/>
      <c r="E2" s="2010"/>
      <c r="F2" s="2010"/>
      <c r="G2" s="2010"/>
      <c r="H2" s="2010"/>
      <c r="I2" s="2010"/>
      <c r="J2" s="2010"/>
      <c r="K2" s="2010"/>
      <c r="L2" s="2010"/>
    </row>
    <row r="3" spans="1:12" ht="18">
      <c r="A3" s="756"/>
      <c r="B3" s="757"/>
      <c r="C3" s="638"/>
      <c r="D3" s="638"/>
      <c r="E3" s="638"/>
      <c r="F3" s="638"/>
      <c r="G3" s="638"/>
      <c r="H3" s="638"/>
      <c r="I3" s="638"/>
      <c r="J3" s="638"/>
      <c r="K3" s="638"/>
      <c r="L3" s="638"/>
    </row>
    <row r="4" spans="1:12" s="758" customFormat="1" ht="18">
      <c r="A4" s="2010" t="s">
        <v>112</v>
      </c>
      <c r="B4" s="2010"/>
      <c r="C4" s="2010"/>
      <c r="D4" s="2010"/>
      <c r="E4" s="2010"/>
      <c r="F4" s="2010"/>
      <c r="G4" s="2010"/>
      <c r="H4" s="2010"/>
      <c r="I4" s="2010"/>
      <c r="J4" s="2010"/>
      <c r="K4" s="2010"/>
      <c r="L4" s="2010"/>
    </row>
    <row r="5" spans="1:12">
      <c r="A5" s="759"/>
      <c r="B5" s="759"/>
      <c r="C5" s="636"/>
      <c r="D5" s="636"/>
      <c r="E5" s="636"/>
      <c r="F5" s="636"/>
      <c r="G5" s="636"/>
      <c r="H5" s="636"/>
      <c r="I5" s="636"/>
      <c r="J5" s="636"/>
      <c r="K5" s="760"/>
      <c r="L5" s="636"/>
    </row>
    <row r="6" spans="1:12" ht="18">
      <c r="A6" s="2010" t="s">
        <v>94</v>
      </c>
      <c r="B6" s="2010"/>
      <c r="C6" s="2010"/>
      <c r="D6" s="2010"/>
      <c r="E6" s="2010"/>
      <c r="F6" s="2010"/>
      <c r="G6" s="2010"/>
      <c r="H6" s="2010"/>
      <c r="I6" s="2010"/>
      <c r="J6" s="2010"/>
      <c r="K6" s="2010"/>
      <c r="L6" s="2010"/>
    </row>
    <row r="7" spans="1:12" ht="18">
      <c r="A7" s="755"/>
      <c r="B7" s="755"/>
      <c r="C7" s="755"/>
      <c r="D7" s="755"/>
      <c r="E7" s="755"/>
      <c r="F7" s="755"/>
      <c r="G7" s="755"/>
      <c r="H7" s="755"/>
      <c r="I7" s="755"/>
      <c r="J7" s="755"/>
      <c r="K7" s="755"/>
      <c r="L7" s="755"/>
    </row>
    <row r="8" spans="1:12">
      <c r="A8" s="636"/>
      <c r="B8" s="636"/>
      <c r="C8" s="636"/>
      <c r="D8" s="636"/>
      <c r="E8" s="636"/>
      <c r="F8" s="636"/>
      <c r="G8" s="636"/>
      <c r="H8" s="636"/>
      <c r="I8" s="636"/>
      <c r="J8" s="760"/>
      <c r="K8" s="760"/>
      <c r="L8" s="760"/>
    </row>
    <row r="9" spans="1:12">
      <c r="A9" s="759" t="s">
        <v>147</v>
      </c>
      <c r="B9" s="636"/>
      <c r="C9" s="636"/>
      <c r="D9" s="2190" t="str">
        <f>'CUMPLIMIENTO % '!C7</f>
        <v>LUIS GABRIEL IBARRA ANGEL</v>
      </c>
      <c r="E9" s="2190"/>
      <c r="F9" s="2190"/>
      <c r="G9" s="2190"/>
      <c r="H9" s="636"/>
      <c r="I9" s="591" t="s">
        <v>409</v>
      </c>
      <c r="J9" s="636"/>
      <c r="K9" s="636"/>
      <c r="L9" s="1366" t="str">
        <f>PORTADA!C31</f>
        <v>OCTUBRE - DICIEMBRE DEL 2020</v>
      </c>
    </row>
    <row r="11" spans="1:12">
      <c r="A11" s="2189" t="s">
        <v>23</v>
      </c>
      <c r="B11" s="2189" t="s">
        <v>9</v>
      </c>
      <c r="C11" s="2189" t="s">
        <v>10</v>
      </c>
      <c r="D11" s="2189" t="s">
        <v>6</v>
      </c>
      <c r="E11" s="2189" t="s">
        <v>7</v>
      </c>
      <c r="F11" s="2191" t="s">
        <v>21</v>
      </c>
      <c r="G11" s="2191"/>
      <c r="H11" s="2191" t="s">
        <v>22</v>
      </c>
      <c r="I11" s="2191"/>
      <c r="J11" s="2191"/>
      <c r="K11" s="2191"/>
      <c r="L11" s="2189" t="s">
        <v>13</v>
      </c>
    </row>
    <row r="12" spans="1:12" s="590" customFormat="1" ht="24">
      <c r="A12" s="2189"/>
      <c r="B12" s="2189"/>
      <c r="C12" s="2189"/>
      <c r="D12" s="2189"/>
      <c r="E12" s="2189"/>
      <c r="F12" s="762" t="s">
        <v>25</v>
      </c>
      <c r="G12" s="762" t="s">
        <v>794</v>
      </c>
      <c r="H12" s="763" t="s">
        <v>26</v>
      </c>
      <c r="I12" s="763" t="s">
        <v>27</v>
      </c>
      <c r="J12" s="763" t="s">
        <v>28</v>
      </c>
      <c r="K12" s="763" t="s">
        <v>29</v>
      </c>
      <c r="L12" s="2189"/>
    </row>
    <row r="13" spans="1:12" s="590" customFormat="1" ht="26.25" customHeight="1">
      <c r="A13" s="764">
        <v>1</v>
      </c>
      <c r="B13" s="765" t="s">
        <v>735</v>
      </c>
      <c r="C13" s="765" t="s">
        <v>736</v>
      </c>
      <c r="D13" s="2192" t="s">
        <v>737</v>
      </c>
      <c r="E13" s="746" t="s">
        <v>738</v>
      </c>
      <c r="F13" s="767" t="s">
        <v>30</v>
      </c>
      <c r="G13" s="767"/>
      <c r="H13" s="768"/>
      <c r="I13" s="768"/>
      <c r="J13" s="768"/>
      <c r="K13" s="768"/>
      <c r="L13" s="918" t="s">
        <v>1027</v>
      </c>
    </row>
    <row r="14" spans="1:12" s="590" customFormat="1" ht="18" customHeight="1">
      <c r="A14" s="764">
        <v>2</v>
      </c>
      <c r="B14" s="765" t="s">
        <v>739</v>
      </c>
      <c r="C14" s="765" t="s">
        <v>740</v>
      </c>
      <c r="D14" s="2192"/>
      <c r="E14" s="746" t="s">
        <v>741</v>
      </c>
      <c r="F14" s="767" t="s">
        <v>30</v>
      </c>
      <c r="G14" s="767"/>
      <c r="H14" s="768"/>
      <c r="I14" s="768"/>
      <c r="J14" s="768" t="s">
        <v>742</v>
      </c>
      <c r="K14" s="768"/>
      <c r="L14" s="919"/>
    </row>
    <row r="15" spans="1:12" s="769" customFormat="1" ht="24" customHeight="1">
      <c r="A15" s="764">
        <v>3</v>
      </c>
      <c r="B15" s="766" t="s">
        <v>743</v>
      </c>
      <c r="C15" s="766" t="s">
        <v>744</v>
      </c>
      <c r="D15" s="711" t="s">
        <v>745</v>
      </c>
      <c r="E15" s="746" t="s">
        <v>746</v>
      </c>
      <c r="F15" s="767" t="s">
        <v>30</v>
      </c>
      <c r="G15" s="767"/>
      <c r="H15" s="768"/>
      <c r="I15" s="768"/>
      <c r="J15" s="767" t="s">
        <v>742</v>
      </c>
      <c r="K15" s="768"/>
      <c r="L15" s="920"/>
    </row>
    <row r="16" spans="1:12" s="769" customFormat="1" ht="18" customHeight="1">
      <c r="A16" s="764">
        <v>4</v>
      </c>
      <c r="B16" s="766" t="s">
        <v>747</v>
      </c>
      <c r="C16" s="766" t="s">
        <v>748</v>
      </c>
      <c r="D16" s="2188" t="s">
        <v>686</v>
      </c>
      <c r="E16" s="746" t="s">
        <v>749</v>
      </c>
      <c r="F16" s="767" t="s">
        <v>30</v>
      </c>
      <c r="G16" s="767"/>
      <c r="H16" s="768"/>
      <c r="I16" s="768"/>
      <c r="J16" s="767" t="s">
        <v>742</v>
      </c>
      <c r="K16" s="768"/>
      <c r="L16" s="770"/>
    </row>
    <row r="17" spans="1:12" s="769" customFormat="1" ht="18" hidden="1" customHeight="1">
      <c r="A17" s="764"/>
      <c r="B17" s="766" t="s">
        <v>750</v>
      </c>
      <c r="C17" s="766" t="s">
        <v>751</v>
      </c>
      <c r="D17" s="2188"/>
      <c r="E17" s="746"/>
      <c r="F17" s="767"/>
      <c r="G17" s="767"/>
      <c r="H17" s="768"/>
      <c r="I17" s="768"/>
      <c r="J17" s="767"/>
      <c r="K17" s="768"/>
      <c r="L17" s="770"/>
    </row>
    <row r="18" spans="1:12" s="769" customFormat="1" ht="18" hidden="1" customHeight="1">
      <c r="A18" s="764"/>
      <c r="B18" s="766" t="s">
        <v>752</v>
      </c>
      <c r="C18" s="766" t="s">
        <v>753</v>
      </c>
      <c r="D18" s="2188"/>
      <c r="E18" s="746"/>
      <c r="F18" s="767"/>
      <c r="G18" s="767"/>
      <c r="H18" s="768"/>
      <c r="I18" s="768"/>
      <c r="J18" s="767"/>
      <c r="K18" s="768"/>
      <c r="L18" s="828"/>
    </row>
    <row r="19" spans="1:12" s="769" customFormat="1" ht="18" hidden="1" customHeight="1">
      <c r="A19" s="764"/>
      <c r="B19" s="766" t="s">
        <v>754</v>
      </c>
      <c r="C19" s="766" t="s">
        <v>755</v>
      </c>
      <c r="D19" s="2188"/>
      <c r="E19" s="746"/>
      <c r="F19" s="767"/>
      <c r="G19" s="767"/>
      <c r="H19" s="768"/>
      <c r="I19" s="768"/>
      <c r="J19" s="767"/>
      <c r="K19" s="768"/>
      <c r="L19" s="648"/>
    </row>
    <row r="20" spans="1:12" s="852" customFormat="1" ht="18.75" customHeight="1">
      <c r="A20" s="772">
        <v>5</v>
      </c>
      <c r="B20" s="766" t="s">
        <v>756</v>
      </c>
      <c r="C20" s="766" t="s">
        <v>757</v>
      </c>
      <c r="D20" s="2188"/>
      <c r="E20" s="746" t="s">
        <v>758</v>
      </c>
      <c r="F20" s="767" t="s">
        <v>692</v>
      </c>
      <c r="G20" s="767"/>
      <c r="H20" s="767"/>
      <c r="I20" s="767"/>
      <c r="J20" s="767" t="s">
        <v>742</v>
      </c>
      <c r="K20" s="767"/>
      <c r="L20" s="648"/>
    </row>
    <row r="21" spans="1:12" s="769" customFormat="1" ht="21" customHeight="1">
      <c r="A21" s="764">
        <v>6</v>
      </c>
      <c r="B21" s="766" t="s">
        <v>759</v>
      </c>
      <c r="C21" s="766" t="s">
        <v>760</v>
      </c>
      <c r="D21" s="2188"/>
      <c r="E21" s="746" t="s">
        <v>761</v>
      </c>
      <c r="F21" s="767" t="s">
        <v>692</v>
      </c>
      <c r="G21" s="767"/>
      <c r="H21" s="768"/>
      <c r="I21" s="768"/>
      <c r="J21" s="768" t="s">
        <v>742</v>
      </c>
      <c r="K21" s="768"/>
      <c r="L21" s="648"/>
    </row>
    <row r="22" spans="1:12" s="769" customFormat="1" ht="18" customHeight="1">
      <c r="A22" s="764">
        <v>7</v>
      </c>
      <c r="B22" s="766" t="s">
        <v>762</v>
      </c>
      <c r="C22" s="766" t="s">
        <v>763</v>
      </c>
      <c r="D22" s="2188"/>
      <c r="E22" s="746" t="s">
        <v>764</v>
      </c>
      <c r="F22" s="767" t="s">
        <v>692</v>
      </c>
      <c r="G22" s="767"/>
      <c r="H22" s="768"/>
      <c r="I22" s="768"/>
      <c r="J22" s="768" t="s">
        <v>742</v>
      </c>
      <c r="K22" s="768"/>
      <c r="L22" s="771"/>
    </row>
    <row r="23" spans="1:12" s="769" customFormat="1" ht="18" hidden="1" customHeight="1" thickBot="1">
      <c r="A23" s="764"/>
      <c r="B23" s="766" t="s">
        <v>765</v>
      </c>
      <c r="C23" s="766" t="s">
        <v>766</v>
      </c>
      <c r="D23" s="2188"/>
      <c r="E23" s="746"/>
      <c r="F23" s="767"/>
      <c r="G23" s="767"/>
      <c r="H23" s="768"/>
      <c r="I23" s="768"/>
      <c r="J23" s="768"/>
      <c r="K23" s="768"/>
      <c r="L23" s="771"/>
    </row>
    <row r="24" spans="1:12" s="769" customFormat="1" ht="18" customHeight="1">
      <c r="A24" s="764">
        <v>8</v>
      </c>
      <c r="B24" s="766" t="s">
        <v>767</v>
      </c>
      <c r="C24" s="766" t="s">
        <v>768</v>
      </c>
      <c r="D24" s="2188" t="s">
        <v>687</v>
      </c>
      <c r="E24" s="746" t="s">
        <v>769</v>
      </c>
      <c r="F24" s="767" t="s">
        <v>692</v>
      </c>
      <c r="G24" s="767"/>
      <c r="H24" s="768"/>
      <c r="I24" s="768"/>
      <c r="J24" s="768" t="s">
        <v>742</v>
      </c>
      <c r="K24" s="768"/>
      <c r="L24" s="648"/>
    </row>
    <row r="25" spans="1:12" s="769" customFormat="1" ht="18" hidden="1" customHeight="1">
      <c r="A25" s="764"/>
      <c r="B25" s="766" t="s">
        <v>709</v>
      </c>
      <c r="C25" s="766" t="s">
        <v>770</v>
      </c>
      <c r="D25" s="2188"/>
      <c r="E25" s="746"/>
      <c r="F25" s="767"/>
      <c r="G25" s="767"/>
      <c r="H25" s="768"/>
      <c r="I25" s="768"/>
      <c r="J25" s="768"/>
      <c r="K25" s="768"/>
      <c r="L25" s="921" t="s">
        <v>1028</v>
      </c>
    </row>
    <row r="26" spans="1:12" s="769" customFormat="1" ht="29.25" customHeight="1">
      <c r="A26" s="764">
        <v>9</v>
      </c>
      <c r="B26" s="766" t="s">
        <v>771</v>
      </c>
      <c r="C26" s="766" t="s">
        <v>772</v>
      </c>
      <c r="D26" s="2188"/>
      <c r="E26" s="746" t="s">
        <v>773</v>
      </c>
      <c r="F26" s="767" t="s">
        <v>692</v>
      </c>
      <c r="G26" s="767"/>
      <c r="H26" s="768"/>
      <c r="I26" s="768"/>
      <c r="J26" s="768"/>
      <c r="K26" s="768"/>
      <c r="L26" s="828" t="s">
        <v>1029</v>
      </c>
    </row>
    <row r="27" spans="1:12" s="769" customFormat="1" ht="30.75" customHeight="1">
      <c r="A27" s="764">
        <f t="shared" ref="A27:A32" si="0">+A26+1</f>
        <v>10</v>
      </c>
      <c r="B27" s="766" t="s">
        <v>774</v>
      </c>
      <c r="C27" s="766" t="s">
        <v>877</v>
      </c>
      <c r="D27" s="2188"/>
      <c r="E27" s="746" t="s">
        <v>775</v>
      </c>
      <c r="F27" s="767" t="s">
        <v>692</v>
      </c>
      <c r="G27" s="767"/>
      <c r="H27" s="768"/>
      <c r="I27" s="768"/>
      <c r="J27" s="768"/>
      <c r="K27" s="768"/>
      <c r="L27" s="770" t="s">
        <v>1068</v>
      </c>
    </row>
    <row r="28" spans="1:12" s="769" customFormat="1" ht="41.25" customHeight="1">
      <c r="A28" s="764">
        <f t="shared" si="0"/>
        <v>11</v>
      </c>
      <c r="B28" s="766" t="s">
        <v>776</v>
      </c>
      <c r="C28" s="766" t="s">
        <v>777</v>
      </c>
      <c r="D28" s="2188"/>
      <c r="E28" s="746" t="s">
        <v>778</v>
      </c>
      <c r="F28" s="767" t="s">
        <v>692</v>
      </c>
      <c r="G28" s="767"/>
      <c r="H28" s="768"/>
      <c r="I28" s="768"/>
      <c r="J28" s="768"/>
      <c r="K28" s="768"/>
      <c r="L28" s="770"/>
    </row>
    <row r="29" spans="1:12" s="769" customFormat="1" ht="48" customHeight="1">
      <c r="A29" s="764">
        <f t="shared" si="0"/>
        <v>12</v>
      </c>
      <c r="B29" s="766" t="s">
        <v>779</v>
      </c>
      <c r="C29" s="766" t="s">
        <v>780</v>
      </c>
      <c r="D29" s="2188"/>
      <c r="E29" s="746" t="s">
        <v>781</v>
      </c>
      <c r="F29" s="767" t="s">
        <v>692</v>
      </c>
      <c r="G29" s="767"/>
      <c r="H29" s="768"/>
      <c r="I29" s="768"/>
      <c r="J29" s="768"/>
      <c r="K29" s="768"/>
      <c r="L29" s="922" t="s">
        <v>1030</v>
      </c>
    </row>
    <row r="30" spans="1:12" s="769" customFormat="1" ht="21" customHeight="1">
      <c r="A30" s="764">
        <f t="shared" si="0"/>
        <v>13</v>
      </c>
      <c r="B30" s="766" t="s">
        <v>782</v>
      </c>
      <c r="C30" s="766" t="s">
        <v>783</v>
      </c>
      <c r="D30" s="2188"/>
      <c r="E30" s="746" t="s">
        <v>784</v>
      </c>
      <c r="F30" s="767" t="s">
        <v>692</v>
      </c>
      <c r="G30" s="767"/>
      <c r="H30" s="768"/>
      <c r="I30" s="768"/>
      <c r="J30" s="768"/>
      <c r="K30" s="768"/>
      <c r="L30" s="828" t="s">
        <v>1069</v>
      </c>
    </row>
    <row r="31" spans="1:12" s="769" customFormat="1" ht="29.25" customHeight="1">
      <c r="A31" s="764">
        <f t="shared" si="0"/>
        <v>14</v>
      </c>
      <c r="B31" s="766" t="s">
        <v>785</v>
      </c>
      <c r="C31" s="766" t="s">
        <v>786</v>
      </c>
      <c r="D31" s="2188"/>
      <c r="E31" s="746" t="s">
        <v>787</v>
      </c>
      <c r="F31" s="767" t="s">
        <v>692</v>
      </c>
      <c r="G31" s="767"/>
      <c r="H31" s="768"/>
      <c r="I31" s="768"/>
      <c r="J31" s="768"/>
      <c r="K31" s="768"/>
      <c r="L31" s="922" t="s">
        <v>1031</v>
      </c>
    </row>
    <row r="32" spans="1:12" s="769" customFormat="1" ht="24.75" customHeight="1">
      <c r="A32" s="764">
        <f t="shared" si="0"/>
        <v>15</v>
      </c>
      <c r="B32" s="766" t="s">
        <v>788</v>
      </c>
      <c r="C32" s="766" t="s">
        <v>789</v>
      </c>
      <c r="D32" s="2188"/>
      <c r="E32" s="746" t="s">
        <v>790</v>
      </c>
      <c r="F32" s="767" t="s">
        <v>692</v>
      </c>
      <c r="G32" s="767"/>
      <c r="H32" s="768"/>
      <c r="I32" s="768"/>
      <c r="J32" s="768"/>
      <c r="K32" s="768"/>
      <c r="L32" s="828" t="s">
        <v>1070</v>
      </c>
    </row>
    <row r="33" spans="1:12" s="769" customFormat="1" ht="18" customHeight="1">
      <c r="A33" s="764">
        <f>A32+1</f>
        <v>16</v>
      </c>
      <c r="B33" s="766" t="s">
        <v>791</v>
      </c>
      <c r="C33" s="766" t="s">
        <v>792</v>
      </c>
      <c r="D33" s="2188"/>
      <c r="E33" s="746" t="s">
        <v>793</v>
      </c>
      <c r="F33" s="767" t="s">
        <v>692</v>
      </c>
      <c r="G33" s="767"/>
      <c r="H33" s="768"/>
      <c r="I33" s="768"/>
      <c r="J33" s="768"/>
      <c r="K33" s="768"/>
      <c r="L33" s="648" t="s">
        <v>1071</v>
      </c>
    </row>
    <row r="34" spans="1:12" ht="17.25" customHeight="1" thickBot="1">
      <c r="A34" s="773" t="s">
        <v>795</v>
      </c>
      <c r="B34" s="774"/>
      <c r="C34" s="774"/>
      <c r="D34" s="775" t="s">
        <v>31</v>
      </c>
      <c r="E34" s="775" t="s">
        <v>178</v>
      </c>
      <c r="F34" s="774"/>
      <c r="G34" s="774"/>
      <c r="H34" s="774"/>
      <c r="I34" s="774" t="s">
        <v>470</v>
      </c>
      <c r="J34" s="774"/>
      <c r="K34" s="774"/>
      <c r="L34" s="776" t="s">
        <v>796</v>
      </c>
    </row>
    <row r="35" spans="1:12" ht="24" customHeight="1">
      <c r="C35" s="777"/>
      <c r="D35" s="778"/>
      <c r="E35" s="778"/>
      <c r="K35" s="777"/>
      <c r="L35" s="779"/>
    </row>
    <row r="36" spans="1:12">
      <c r="L36" s="390" t="s">
        <v>440</v>
      </c>
    </row>
  </sheetData>
  <mergeCells count="16">
    <mergeCell ref="D24:D33"/>
    <mergeCell ref="A1:L1"/>
    <mergeCell ref="A2:L2"/>
    <mergeCell ref="A4:L4"/>
    <mergeCell ref="A6:L6"/>
    <mergeCell ref="A11:A12"/>
    <mergeCell ref="D9:G9"/>
    <mergeCell ref="H11:K11"/>
    <mergeCell ref="L11:L12"/>
    <mergeCell ref="D13:D14"/>
    <mergeCell ref="D16:D23"/>
    <mergeCell ref="B11:B12"/>
    <mergeCell ref="C11:C12"/>
    <mergeCell ref="D11:D12"/>
    <mergeCell ref="E11:E12"/>
    <mergeCell ref="F11:G11"/>
  </mergeCells>
  <hyperlinks>
    <hyperlink ref="L36" location="'TABLA DE CONTENIDO'!A1" display="VOLVER A TABLA DE CONTENIDO"/>
  </hyperlinks>
  <printOptions horizontalCentered="1"/>
  <pageMargins left="0.39370078740157483" right="0.39370078740157483" top="0.98425196850393704" bottom="0.59055118110236227" header="0" footer="0"/>
  <pageSetup scale="60" orientation="landscape" r:id="rId1"/>
  <headerFooter alignWithMargins="0"/>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21"/>
  <sheetViews>
    <sheetView showFormulas="1" view="pageBreakPreview" zoomScaleNormal="100" zoomScaleSheetLayoutView="100" workbookViewId="0">
      <selection activeCell="A6" sqref="A6:G6"/>
    </sheetView>
  </sheetViews>
  <sheetFormatPr baseColWidth="10" defaultRowHeight="12.75"/>
  <cols>
    <col min="1" max="1" width="17.140625" customWidth="1"/>
    <col min="2" max="2" width="9" customWidth="1"/>
    <col min="3" max="4" width="8.85546875" customWidth="1"/>
    <col min="5" max="5" width="27.28515625" customWidth="1"/>
    <col min="6" max="6" width="14" customWidth="1"/>
    <col min="7" max="7" width="24.7109375" customWidth="1"/>
    <col min="8" max="8" width="12.140625" bestFit="1" customWidth="1"/>
  </cols>
  <sheetData>
    <row r="1" spans="1:8" ht="23.25">
      <c r="A1" s="1579" t="s">
        <v>0</v>
      </c>
      <c r="B1" s="1579"/>
      <c r="C1" s="1579"/>
      <c r="D1" s="1579"/>
      <c r="E1" s="1579"/>
      <c r="F1" s="1579"/>
      <c r="G1" s="1579"/>
    </row>
    <row r="2" spans="1:8" ht="18">
      <c r="A2" s="1580" t="s">
        <v>531</v>
      </c>
      <c r="B2" s="1580"/>
      <c r="C2" s="1580"/>
      <c r="D2" s="1580"/>
      <c r="E2" s="1580"/>
      <c r="F2" s="1580"/>
      <c r="G2" s="1580"/>
    </row>
    <row r="3" spans="1:8">
      <c r="A3" s="37"/>
      <c r="B3" s="37"/>
      <c r="C3" s="31"/>
      <c r="D3" s="31"/>
      <c r="E3" s="31"/>
      <c r="F3" s="31"/>
      <c r="G3" s="31"/>
    </row>
    <row r="4" spans="1:8" ht="15.75" customHeight="1">
      <c r="A4" s="1580" t="s">
        <v>376</v>
      </c>
      <c r="B4" s="1580"/>
      <c r="C4" s="1580"/>
      <c r="D4" s="1580"/>
      <c r="E4" s="1580"/>
      <c r="F4" s="1580"/>
      <c r="G4" s="1580"/>
    </row>
    <row r="5" spans="1:8">
      <c r="A5" s="37"/>
      <c r="B5" s="37"/>
      <c r="C5" s="31"/>
      <c r="D5" s="31"/>
      <c r="E5" s="31"/>
      <c r="F5" s="31"/>
      <c r="G5" s="31"/>
    </row>
    <row r="6" spans="1:8" ht="18">
      <c r="A6" s="1580" t="s">
        <v>111</v>
      </c>
      <c r="B6" s="1580"/>
      <c r="C6" s="1580"/>
      <c r="D6" s="1580"/>
      <c r="E6" s="1580"/>
      <c r="F6" s="1580"/>
      <c r="G6" s="1580"/>
    </row>
    <row r="7" spans="1:8" ht="18">
      <c r="A7" s="36"/>
      <c r="B7" s="36"/>
      <c r="C7" s="33"/>
      <c r="D7" s="33"/>
      <c r="E7" s="31"/>
      <c r="F7" s="31"/>
      <c r="G7" s="31"/>
    </row>
    <row r="8" spans="1:8">
      <c r="B8" s="42"/>
      <c r="C8" s="32"/>
      <c r="D8" s="32"/>
      <c r="E8" s="32"/>
      <c r="F8" s="32"/>
      <c r="G8" s="32"/>
    </row>
    <row r="9" spans="1:8">
      <c r="A9" s="141" t="s">
        <v>147</v>
      </c>
      <c r="B9" s="2208" t="s">
        <v>1120</v>
      </c>
      <c r="C9" s="2208"/>
      <c r="D9" s="2208"/>
      <c r="E9" s="212" t="s">
        <v>409</v>
      </c>
      <c r="F9" s="1367" t="s">
        <v>1465</v>
      </c>
      <c r="G9" s="1320"/>
    </row>
    <row r="10" spans="1:8" ht="13.5" thickBot="1"/>
    <row r="11" spans="1:8" ht="26.25" thickBot="1">
      <c r="A11" s="1514" t="s">
        <v>6</v>
      </c>
      <c r="B11" s="103" t="s">
        <v>7</v>
      </c>
      <c r="C11" s="100" t="s">
        <v>78</v>
      </c>
      <c r="D11" s="100" t="s">
        <v>79</v>
      </c>
      <c r="E11" s="104" t="s">
        <v>42</v>
      </c>
      <c r="F11" s="104" t="s">
        <v>503</v>
      </c>
      <c r="G11" s="105" t="s">
        <v>13</v>
      </c>
    </row>
    <row r="12" spans="1:8" ht="18" customHeight="1">
      <c r="A12" s="2196" t="s">
        <v>565</v>
      </c>
      <c r="B12" s="2202" t="s">
        <v>1114</v>
      </c>
      <c r="C12" s="970" t="s">
        <v>747</v>
      </c>
      <c r="D12" s="1490" t="s">
        <v>748</v>
      </c>
      <c r="E12" s="1490" t="s">
        <v>1054</v>
      </c>
      <c r="F12" s="2193" t="s">
        <v>1117</v>
      </c>
      <c r="G12" s="971"/>
    </row>
    <row r="13" spans="1:8" ht="18" customHeight="1">
      <c r="A13" s="2197"/>
      <c r="B13" s="2203"/>
      <c r="C13" s="947" t="s">
        <v>756</v>
      </c>
      <c r="D13" s="890" t="s">
        <v>757</v>
      </c>
      <c r="E13" s="890" t="s">
        <v>1054</v>
      </c>
      <c r="F13" s="2194"/>
      <c r="G13" s="972"/>
    </row>
    <row r="14" spans="1:8" ht="18" customHeight="1">
      <c r="A14" s="2197"/>
      <c r="B14" s="2203"/>
      <c r="C14" s="947" t="s">
        <v>797</v>
      </c>
      <c r="D14" s="890" t="s">
        <v>760</v>
      </c>
      <c r="E14" s="890" t="s">
        <v>1054</v>
      </c>
      <c r="F14" s="2194"/>
      <c r="G14" s="972"/>
    </row>
    <row r="15" spans="1:8" ht="18" customHeight="1">
      <c r="A15" s="2197"/>
      <c r="B15" s="2204"/>
      <c r="C15" s="947" t="s">
        <v>762</v>
      </c>
      <c r="D15" s="890" t="s">
        <v>763</v>
      </c>
      <c r="E15" s="890" t="s">
        <v>1054</v>
      </c>
      <c r="F15" s="2194"/>
      <c r="G15" s="972"/>
      <c r="H15" s="1522"/>
    </row>
    <row r="16" spans="1:8" ht="18" customHeight="1">
      <c r="A16" s="2198" t="s">
        <v>798</v>
      </c>
      <c r="B16" s="2205" t="s">
        <v>1115</v>
      </c>
      <c r="C16" s="973" t="s">
        <v>767</v>
      </c>
      <c r="D16" s="1495" t="s">
        <v>768</v>
      </c>
      <c r="E16" s="890" t="s">
        <v>1054</v>
      </c>
      <c r="F16" s="1526">
        <v>10277417</v>
      </c>
      <c r="G16" s="974"/>
    </row>
    <row r="17" spans="1:8" ht="30" customHeight="1">
      <c r="A17" s="2198"/>
      <c r="B17" s="2206"/>
      <c r="C17" s="975" t="s">
        <v>774</v>
      </c>
      <c r="D17" s="1492" t="s">
        <v>877</v>
      </c>
      <c r="E17" s="928" t="s">
        <v>1441</v>
      </c>
      <c r="F17" s="1523">
        <v>7051154</v>
      </c>
      <c r="G17" s="976"/>
      <c r="H17" s="1521"/>
    </row>
    <row r="18" spans="1:8" ht="24" customHeight="1" thickBot="1">
      <c r="A18" s="2199"/>
      <c r="B18" s="2207"/>
      <c r="C18" s="1368" t="s">
        <v>791</v>
      </c>
      <c r="D18" s="1368" t="s">
        <v>792</v>
      </c>
      <c r="E18" s="1491" t="s">
        <v>1072</v>
      </c>
      <c r="F18" s="1525">
        <v>31155040</v>
      </c>
      <c r="G18" s="977"/>
    </row>
    <row r="19" spans="1:8" ht="24.75" customHeight="1">
      <c r="A19" s="2195" t="s">
        <v>522</v>
      </c>
      <c r="B19" s="2195"/>
      <c r="C19" s="2195"/>
      <c r="D19" s="2195"/>
      <c r="E19" s="2195"/>
      <c r="F19" s="2195"/>
      <c r="G19" s="2195"/>
    </row>
    <row r="20" spans="1:8">
      <c r="A20" s="2025" t="s">
        <v>292</v>
      </c>
      <c r="B20" s="2025"/>
    </row>
    <row r="21" spans="1:8">
      <c r="A21" s="2200" t="s">
        <v>1116</v>
      </c>
      <c r="B21" s="2201"/>
      <c r="F21" s="1585" t="s">
        <v>440</v>
      </c>
      <c r="G21" s="1585"/>
    </row>
  </sheetData>
  <mergeCells count="14">
    <mergeCell ref="A1:G1"/>
    <mergeCell ref="A2:G2"/>
    <mergeCell ref="A4:G4"/>
    <mergeCell ref="A6:G6"/>
    <mergeCell ref="B9:D9"/>
    <mergeCell ref="F12:F15"/>
    <mergeCell ref="F21:G21"/>
    <mergeCell ref="A19:G19"/>
    <mergeCell ref="A12:A15"/>
    <mergeCell ref="A16:A18"/>
    <mergeCell ref="A20:B20"/>
    <mergeCell ref="A21:B21"/>
    <mergeCell ref="B12:B15"/>
    <mergeCell ref="B16:B18"/>
  </mergeCells>
  <phoneticPr fontId="3" type="noConversion"/>
  <hyperlinks>
    <hyperlink ref="F21" location="'TABLA DE CONTENIDO'!A1" display="VOLVER A TABLA DE CONTENIDO"/>
    <hyperlink ref="F12:F15" location="'CANT OBRA 3602'!H108" display="$13,839,061"/>
    <hyperlink ref="F16" location="'CANT OBRA 3603'!H173" display="'CANT OBRA 3603'!H173"/>
    <hyperlink ref="F17" location="'CANT OBRA 3603'!H179" display="'CANT OBRA 3603'!H179"/>
    <hyperlink ref="F18" location="'CANT OBRA 3603'!H187" display="'CANT OBRA 3603'!H187"/>
  </hyperlinks>
  <printOptions horizontalCentered="1" verticalCentered="1"/>
  <pageMargins left="0.39370078740157483" right="0.27559055118110237" top="0.59055118110236227" bottom="0.98425196850393704" header="0" footer="0"/>
  <pageSetup scale="55" orientation="landscape" horizontalDpi="300" verticalDpi="300" r:id="rId1"/>
  <headerFooter alignWithMargins="0"/>
  <ignoredErrors>
    <ignoredError sqref="B12 B16" numberStoredAsText="1"/>
  </ignoredErrors>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
  <sheetViews>
    <sheetView view="pageBreakPreview" zoomScale="80" zoomScaleNormal="80" zoomScaleSheetLayoutView="80" workbookViewId="0">
      <selection activeCell="H8" sqref="H8"/>
    </sheetView>
  </sheetViews>
  <sheetFormatPr baseColWidth="10" defaultRowHeight="12.75"/>
  <cols>
    <col min="1" max="1" width="14.7109375" style="249" customWidth="1"/>
    <col min="2" max="2" width="9.85546875" style="249" customWidth="1"/>
    <col min="3" max="3" width="14.7109375" style="249" customWidth="1"/>
    <col min="4" max="7" width="11.42578125" style="249"/>
    <col min="8" max="9" width="9" style="249" customWidth="1"/>
    <col min="10" max="12" width="11.42578125" style="249"/>
    <col min="13" max="13" width="12.7109375" style="249" customWidth="1"/>
    <col min="14" max="15" width="11.42578125" style="249"/>
    <col min="16" max="16" width="12.28515625" style="249" customWidth="1"/>
    <col min="17" max="17" width="15" style="249" customWidth="1"/>
    <col min="18" max="18" width="11.42578125" style="249"/>
    <col min="19" max="19" width="12.28515625" style="249" customWidth="1"/>
    <col min="20" max="20" width="23.28515625" style="249" customWidth="1"/>
    <col min="21" max="16384" width="11.42578125" style="249"/>
  </cols>
  <sheetData>
    <row r="1" spans="1:20" ht="23.25">
      <c r="A1" s="1579" t="s">
        <v>0</v>
      </c>
      <c r="B1" s="1579"/>
      <c r="C1" s="1579"/>
      <c r="D1" s="1579"/>
      <c r="E1" s="1579"/>
      <c r="F1" s="1579"/>
      <c r="G1" s="1579"/>
      <c r="H1" s="1579"/>
      <c r="I1" s="1579"/>
      <c r="J1" s="1579"/>
      <c r="K1" s="1579"/>
      <c r="L1" s="1579"/>
      <c r="M1" s="1579"/>
      <c r="N1" s="1579"/>
      <c r="O1" s="1579"/>
      <c r="P1" s="1579"/>
      <c r="Q1" s="1579"/>
      <c r="R1" s="1579"/>
      <c r="S1" s="1579"/>
      <c r="T1" s="1579"/>
    </row>
    <row r="2" spans="1:20" ht="18">
      <c r="A2" s="1580" t="s">
        <v>531</v>
      </c>
      <c r="B2" s="1580"/>
      <c r="C2" s="1580"/>
      <c r="D2" s="1580"/>
      <c r="E2" s="1580"/>
      <c r="F2" s="1580"/>
      <c r="G2" s="1580"/>
      <c r="H2" s="1580"/>
      <c r="I2" s="1580"/>
      <c r="J2" s="1580"/>
      <c r="K2" s="1580"/>
      <c r="L2" s="1580"/>
      <c r="M2" s="1580"/>
      <c r="N2" s="1580"/>
      <c r="O2" s="1580"/>
      <c r="P2" s="1580"/>
      <c r="Q2" s="1580"/>
      <c r="R2" s="1580"/>
      <c r="S2" s="1580"/>
      <c r="T2" s="1580"/>
    </row>
    <row r="3" spans="1:20" ht="18">
      <c r="A3" s="36"/>
      <c r="B3" s="37"/>
      <c r="C3" s="28"/>
      <c r="D3" s="28"/>
      <c r="E3" s="28"/>
      <c r="F3" s="28"/>
      <c r="G3" s="28"/>
    </row>
    <row r="4" spans="1:20" ht="18">
      <c r="A4" s="1580" t="s">
        <v>444</v>
      </c>
      <c r="B4" s="1580"/>
      <c r="C4" s="1580"/>
      <c r="D4" s="1580"/>
      <c r="E4" s="1580"/>
      <c r="F4" s="1580"/>
      <c r="G4" s="1580"/>
      <c r="H4" s="1580"/>
      <c r="I4" s="1580"/>
      <c r="J4" s="1580"/>
      <c r="K4" s="1580"/>
      <c r="L4" s="1580"/>
      <c r="M4" s="1580"/>
      <c r="N4" s="1580"/>
      <c r="O4" s="1580"/>
      <c r="P4" s="1580"/>
      <c r="Q4" s="1580"/>
      <c r="R4" s="1580"/>
      <c r="S4" s="1580"/>
      <c r="T4" s="1580"/>
    </row>
    <row r="5" spans="1:20">
      <c r="A5" s="42"/>
      <c r="B5" s="42"/>
      <c r="C5" s="29"/>
      <c r="D5" s="29"/>
      <c r="E5" s="29"/>
      <c r="F5" s="29"/>
      <c r="G5" s="29"/>
    </row>
    <row r="6" spans="1:20" ht="18">
      <c r="A6" s="1580" t="s">
        <v>437</v>
      </c>
      <c r="B6" s="1580"/>
      <c r="C6" s="1580"/>
      <c r="D6" s="1580"/>
      <c r="E6" s="1580"/>
      <c r="F6" s="1580"/>
      <c r="G6" s="1580"/>
      <c r="H6" s="1580"/>
      <c r="I6" s="1580"/>
      <c r="J6" s="1580"/>
      <c r="K6" s="1580"/>
      <c r="L6" s="1580"/>
      <c r="M6" s="1580"/>
      <c r="N6" s="1580"/>
      <c r="O6" s="1580"/>
      <c r="P6" s="1580"/>
      <c r="Q6" s="1580"/>
      <c r="R6" s="1580"/>
      <c r="S6" s="1580"/>
      <c r="T6" s="1580"/>
    </row>
    <row r="7" spans="1:20">
      <c r="A7" s="29"/>
      <c r="B7" s="29"/>
      <c r="C7" s="29"/>
      <c r="D7" s="29"/>
      <c r="E7" s="29"/>
      <c r="F7" s="29"/>
      <c r="G7" s="29"/>
    </row>
    <row r="8" spans="1:20">
      <c r="A8" s="141" t="s">
        <v>147</v>
      </c>
      <c r="B8" s="29"/>
      <c r="C8" s="1369" t="str">
        <f>'CUMPLIMIENTO % '!C7</f>
        <v>LUIS GABRIEL IBARRA ANGEL</v>
      </c>
      <c r="D8" s="203"/>
      <c r="E8" s="203"/>
      <c r="F8" s="203"/>
      <c r="G8" s="29"/>
      <c r="N8" s="139" t="s">
        <v>409</v>
      </c>
      <c r="Q8" s="1370" t="str">
        <f>PORTADA!C31</f>
        <v>OCTUBRE - DICIEMBRE DEL 2020</v>
      </c>
      <c r="R8" s="278"/>
      <c r="S8" s="278"/>
    </row>
    <row r="10" spans="1:20" ht="13.5" thickBot="1"/>
    <row r="11" spans="1:20" s="245" customFormat="1" ht="18.75" customHeight="1" thickBot="1">
      <c r="A11" s="2214" t="s">
        <v>6</v>
      </c>
      <c r="B11" s="2217" t="s">
        <v>7</v>
      </c>
      <c r="C11" s="2220" t="s">
        <v>493</v>
      </c>
      <c r="D11" s="2223" t="s">
        <v>423</v>
      </c>
      <c r="E11" s="2224"/>
      <c r="F11" s="2225"/>
      <c r="G11" s="2226" t="s">
        <v>424</v>
      </c>
      <c r="H11" s="2229" t="s">
        <v>22</v>
      </c>
      <c r="I11" s="2230"/>
      <c r="J11" s="2230"/>
      <c r="K11" s="2230"/>
      <c r="L11" s="2230"/>
      <c r="M11" s="2230"/>
      <c r="N11" s="2230"/>
      <c r="O11" s="2230"/>
      <c r="P11" s="2230"/>
      <c r="Q11" s="2230"/>
      <c r="R11" s="2230"/>
      <c r="S11" s="2231"/>
      <c r="T11" s="2232" t="s">
        <v>13</v>
      </c>
    </row>
    <row r="12" spans="1:20" s="246" customFormat="1" ht="34.5" customHeight="1">
      <c r="A12" s="2215"/>
      <c r="B12" s="2218"/>
      <c r="C12" s="2221"/>
      <c r="D12" s="2235" t="s">
        <v>78</v>
      </c>
      <c r="E12" s="2236" t="s">
        <v>79</v>
      </c>
      <c r="F12" s="2237" t="s">
        <v>465</v>
      </c>
      <c r="G12" s="2227"/>
      <c r="H12" s="2212" t="s">
        <v>425</v>
      </c>
      <c r="I12" s="2217" t="s">
        <v>426</v>
      </c>
      <c r="J12" s="2217" t="s">
        <v>427</v>
      </c>
      <c r="K12" s="2217"/>
      <c r="L12" s="2217"/>
      <c r="M12" s="2210" t="s">
        <v>467</v>
      </c>
      <c r="N12" s="2210" t="s">
        <v>468</v>
      </c>
      <c r="O12" s="2210" t="s">
        <v>471</v>
      </c>
      <c r="P12" s="2210" t="s">
        <v>498</v>
      </c>
      <c r="Q12" s="2217" t="s">
        <v>428</v>
      </c>
      <c r="R12" s="2239" t="s">
        <v>429</v>
      </c>
      <c r="S12" s="2241" t="s">
        <v>430</v>
      </c>
      <c r="T12" s="2233"/>
    </row>
    <row r="13" spans="1:20" s="247" customFormat="1" ht="49.5" customHeight="1" thickBot="1">
      <c r="A13" s="2216"/>
      <c r="B13" s="2219"/>
      <c r="C13" s="2222"/>
      <c r="D13" s="2216"/>
      <c r="E13" s="2219"/>
      <c r="F13" s="2238"/>
      <c r="G13" s="2228"/>
      <c r="H13" s="2213"/>
      <c r="I13" s="2219"/>
      <c r="J13" s="279" t="s">
        <v>431</v>
      </c>
      <c r="K13" s="279" t="s">
        <v>432</v>
      </c>
      <c r="L13" s="279" t="s">
        <v>433</v>
      </c>
      <c r="M13" s="2211"/>
      <c r="N13" s="2211"/>
      <c r="O13" s="2211"/>
      <c r="P13" s="2211"/>
      <c r="Q13" s="2219"/>
      <c r="R13" s="2240"/>
      <c r="S13" s="2242"/>
      <c r="T13" s="2234"/>
    </row>
    <row r="14" spans="1:20">
      <c r="A14" s="280"/>
      <c r="B14" s="281"/>
      <c r="C14" s="281"/>
      <c r="D14" s="281"/>
      <c r="E14" s="281"/>
      <c r="F14" s="281"/>
      <c r="G14" s="281"/>
      <c r="H14" s="281"/>
      <c r="I14" s="281"/>
      <c r="J14" s="281"/>
      <c r="K14" s="281"/>
      <c r="L14" s="281"/>
      <c r="M14" s="281"/>
      <c r="N14" s="281"/>
      <c r="O14" s="281"/>
      <c r="P14" s="281"/>
      <c r="Q14" s="281"/>
      <c r="R14" s="281"/>
      <c r="S14" s="281"/>
      <c r="T14" s="282"/>
    </row>
    <row r="15" spans="1:20">
      <c r="A15" s="283"/>
      <c r="B15" s="248"/>
      <c r="C15" s="248"/>
      <c r="D15" s="248"/>
      <c r="E15" s="248"/>
      <c r="F15" s="248"/>
      <c r="G15" s="248"/>
      <c r="H15" s="248"/>
      <c r="I15" s="248"/>
      <c r="J15" s="248"/>
      <c r="K15" s="248"/>
      <c r="L15" s="248"/>
      <c r="M15" s="248"/>
      <c r="N15" s="248"/>
      <c r="O15" s="248"/>
      <c r="P15" s="248"/>
      <c r="Q15" s="248"/>
      <c r="R15" s="248"/>
      <c r="S15" s="248"/>
      <c r="T15" s="284"/>
    </row>
    <row r="16" spans="1:20">
      <c r="A16" s="283"/>
      <c r="B16" s="248"/>
      <c r="C16" s="248"/>
      <c r="D16" s="248"/>
      <c r="E16" s="248"/>
      <c r="F16" s="248"/>
      <c r="G16" s="248"/>
      <c r="H16" s="248"/>
      <c r="I16" s="248"/>
      <c r="J16" s="248"/>
      <c r="K16" s="248"/>
      <c r="L16" s="248"/>
      <c r="M16" s="248"/>
      <c r="N16" s="248"/>
      <c r="O16" s="248"/>
      <c r="P16" s="248"/>
      <c r="Q16" s="248"/>
      <c r="R16" s="248"/>
      <c r="S16" s="248"/>
      <c r="T16" s="284"/>
    </row>
    <row r="17" spans="1:20">
      <c r="A17" s="283"/>
      <c r="B17" s="248"/>
      <c r="C17" s="248"/>
      <c r="D17" s="248"/>
      <c r="E17" s="248"/>
      <c r="F17" s="248"/>
      <c r="G17" s="248"/>
      <c r="H17" s="248"/>
      <c r="I17" s="248"/>
      <c r="J17" s="248"/>
      <c r="K17" s="248"/>
      <c r="L17" s="248"/>
      <c r="M17" s="248"/>
      <c r="N17" s="248"/>
      <c r="O17" s="248"/>
      <c r="P17" s="248"/>
      <c r="Q17" s="248"/>
      <c r="R17" s="248"/>
      <c r="S17" s="248"/>
      <c r="T17" s="284"/>
    </row>
    <row r="18" spans="1:20">
      <c r="A18" s="283"/>
      <c r="B18" s="248"/>
      <c r="C18" s="248"/>
      <c r="D18" s="248"/>
      <c r="E18" s="248"/>
      <c r="F18" s="248"/>
      <c r="G18" s="248"/>
      <c r="H18" s="248"/>
      <c r="I18" s="248"/>
      <c r="J18" s="248"/>
      <c r="K18" s="248"/>
      <c r="L18" s="248"/>
      <c r="M18" s="248"/>
      <c r="N18" s="248"/>
      <c r="O18" s="248"/>
      <c r="P18" s="248"/>
      <c r="Q18" s="248"/>
      <c r="R18" s="248"/>
      <c r="S18" s="248"/>
      <c r="T18" s="284"/>
    </row>
    <row r="19" spans="1:20">
      <c r="A19" s="283"/>
      <c r="B19" s="248"/>
      <c r="C19" s="248"/>
      <c r="D19" s="248"/>
      <c r="E19" s="248"/>
      <c r="F19" s="248"/>
      <c r="G19" s="248"/>
      <c r="H19" s="248"/>
      <c r="I19" s="248"/>
      <c r="J19" s="248"/>
      <c r="K19" s="248"/>
      <c r="L19" s="248"/>
      <c r="M19" s="248"/>
      <c r="N19" s="248"/>
      <c r="O19" s="248"/>
      <c r="P19" s="248"/>
      <c r="Q19" s="248"/>
      <c r="R19" s="248"/>
      <c r="S19" s="248"/>
      <c r="T19" s="284"/>
    </row>
    <row r="20" spans="1:20">
      <c r="A20" s="283"/>
      <c r="B20" s="248"/>
      <c r="C20" s="248"/>
      <c r="D20" s="248"/>
      <c r="E20" s="248"/>
      <c r="F20" s="248"/>
      <c r="G20" s="248"/>
      <c r="H20" s="248"/>
      <c r="I20" s="248"/>
      <c r="J20" s="248"/>
      <c r="K20" s="248"/>
      <c r="L20" s="248"/>
      <c r="M20" s="248"/>
      <c r="N20" s="248"/>
      <c r="O20" s="248"/>
      <c r="P20" s="248"/>
      <c r="Q20" s="248"/>
      <c r="R20" s="248"/>
      <c r="S20" s="248"/>
      <c r="T20" s="284"/>
    </row>
    <row r="21" spans="1:20">
      <c r="A21" s="283"/>
      <c r="B21" s="248"/>
      <c r="C21" s="248"/>
      <c r="D21" s="248"/>
      <c r="E21" s="248"/>
      <c r="F21" s="248"/>
      <c r="G21" s="248"/>
      <c r="H21" s="248"/>
      <c r="I21" s="248"/>
      <c r="J21" s="248"/>
      <c r="K21" s="248"/>
      <c r="L21" s="248"/>
      <c r="M21" s="248"/>
      <c r="N21" s="248"/>
      <c r="O21" s="248"/>
      <c r="P21" s="248"/>
      <c r="Q21" s="248"/>
      <c r="R21" s="248"/>
      <c r="S21" s="248"/>
      <c r="T21" s="284"/>
    </row>
    <row r="22" spans="1:20">
      <c r="A22" s="283"/>
      <c r="B22" s="248"/>
      <c r="C22" s="248"/>
      <c r="D22" s="248"/>
      <c r="E22" s="248"/>
      <c r="F22" s="248"/>
      <c r="G22" s="248"/>
      <c r="H22" s="248"/>
      <c r="I22" s="248"/>
      <c r="J22" s="248"/>
      <c r="K22" s="248"/>
      <c r="L22" s="248"/>
      <c r="M22" s="248"/>
      <c r="N22" s="248"/>
      <c r="O22" s="248"/>
      <c r="P22" s="248"/>
      <c r="Q22" s="248"/>
      <c r="R22" s="248"/>
      <c r="S22" s="248"/>
      <c r="T22" s="284"/>
    </row>
    <row r="23" spans="1:20">
      <c r="A23" s="283"/>
      <c r="B23" s="248"/>
      <c r="C23" s="248"/>
      <c r="D23" s="248"/>
      <c r="E23" s="248"/>
      <c r="F23" s="248"/>
      <c r="G23" s="248"/>
      <c r="H23" s="248"/>
      <c r="I23" s="248"/>
      <c r="J23" s="248"/>
      <c r="K23" s="248"/>
      <c r="L23" s="248"/>
      <c r="M23" s="248"/>
      <c r="N23" s="248"/>
      <c r="O23" s="248"/>
      <c r="P23" s="248"/>
      <c r="Q23" s="248"/>
      <c r="R23" s="248"/>
      <c r="S23" s="248"/>
      <c r="T23" s="284"/>
    </row>
    <row r="24" spans="1:20">
      <c r="A24" s="283"/>
      <c r="B24" s="248"/>
      <c r="C24" s="248"/>
      <c r="D24" s="248"/>
      <c r="E24" s="248"/>
      <c r="F24" s="248"/>
      <c r="G24" s="248"/>
      <c r="H24" s="248"/>
      <c r="I24" s="248"/>
      <c r="J24" s="248"/>
      <c r="K24" s="248"/>
      <c r="L24" s="248"/>
      <c r="M24" s="248"/>
      <c r="N24" s="248"/>
      <c r="O24" s="248"/>
      <c r="P24" s="248"/>
      <c r="Q24" s="248"/>
      <c r="R24" s="248"/>
      <c r="S24" s="248"/>
      <c r="T24" s="284"/>
    </row>
    <row r="25" spans="1:20">
      <c r="A25" s="283"/>
      <c r="B25" s="248"/>
      <c r="C25" s="248"/>
      <c r="D25" s="248"/>
      <c r="E25" s="248"/>
      <c r="F25" s="248"/>
      <c r="G25" s="248"/>
      <c r="H25" s="248"/>
      <c r="I25" s="248"/>
      <c r="J25" s="248"/>
      <c r="K25" s="248"/>
      <c r="L25" s="248"/>
      <c r="M25" s="248"/>
      <c r="N25" s="248"/>
      <c r="O25" s="248"/>
      <c r="P25" s="248"/>
      <c r="Q25" s="248"/>
      <c r="R25" s="248"/>
      <c r="S25" s="248"/>
      <c r="T25" s="284"/>
    </row>
    <row r="26" spans="1:20">
      <c r="A26" s="283"/>
      <c r="B26" s="248"/>
      <c r="C26" s="248"/>
      <c r="D26" s="248"/>
      <c r="E26" s="248"/>
      <c r="F26" s="248"/>
      <c r="G26" s="248"/>
      <c r="H26" s="248"/>
      <c r="I26" s="248"/>
      <c r="J26" s="248"/>
      <c r="K26" s="248"/>
      <c r="L26" s="248"/>
      <c r="M26" s="248"/>
      <c r="N26" s="248"/>
      <c r="O26" s="248"/>
      <c r="P26" s="248"/>
      <c r="Q26" s="248"/>
      <c r="R26" s="248"/>
      <c r="S26" s="248"/>
      <c r="T26" s="284"/>
    </row>
    <row r="27" spans="1:20">
      <c r="A27" s="283"/>
      <c r="B27" s="248"/>
      <c r="C27" s="248"/>
      <c r="D27" s="248"/>
      <c r="E27" s="248"/>
      <c r="F27" s="248"/>
      <c r="G27" s="248"/>
      <c r="H27" s="248"/>
      <c r="I27" s="248"/>
      <c r="J27" s="248"/>
      <c r="K27" s="248"/>
      <c r="L27" s="248"/>
      <c r="M27" s="248"/>
      <c r="N27" s="248"/>
      <c r="O27" s="248"/>
      <c r="P27" s="248"/>
      <c r="Q27" s="248"/>
      <c r="R27" s="248"/>
      <c r="S27" s="248"/>
      <c r="T27" s="284"/>
    </row>
    <row r="28" spans="1:20" ht="13.5" thickBot="1">
      <c r="A28" s="285"/>
      <c r="B28" s="286"/>
      <c r="C28" s="286"/>
      <c r="D28" s="286"/>
      <c r="E28" s="286"/>
      <c r="F28" s="286"/>
      <c r="G28" s="286"/>
      <c r="H28" s="286"/>
      <c r="I28" s="286"/>
      <c r="J28" s="286"/>
      <c r="K28" s="286"/>
      <c r="L28" s="286"/>
      <c r="M28" s="286"/>
      <c r="N28" s="286"/>
      <c r="O28" s="286"/>
      <c r="P28" s="286"/>
      <c r="Q28" s="286"/>
      <c r="R28" s="286"/>
      <c r="S28" s="286"/>
      <c r="T28" s="287"/>
    </row>
    <row r="31" spans="1:20" ht="26.25" customHeight="1">
      <c r="A31" s="277" t="s">
        <v>180</v>
      </c>
      <c r="B31" s="211"/>
      <c r="C31" s="2160" t="s">
        <v>31</v>
      </c>
      <c r="D31" s="2160"/>
      <c r="E31" s="2160"/>
      <c r="F31" s="2160" t="s">
        <v>469</v>
      </c>
      <c r="G31" s="2160"/>
      <c r="H31" s="2160"/>
      <c r="I31" s="2209" t="s">
        <v>470</v>
      </c>
      <c r="J31" s="2159"/>
      <c r="K31" s="2159"/>
      <c r="L31" s="209" t="s">
        <v>30</v>
      </c>
      <c r="M31" s="2243" t="s">
        <v>32</v>
      </c>
      <c r="N31" s="2060"/>
      <c r="O31"/>
      <c r="P31"/>
    </row>
    <row r="32" spans="1:20">
      <c r="Q32" s="1585" t="s">
        <v>440</v>
      </c>
      <c r="R32" s="1585"/>
      <c r="S32" s="1585"/>
    </row>
    <row r="33" spans="1:2">
      <c r="A33" s="211" t="s">
        <v>466</v>
      </c>
      <c r="B33" s="249" t="s">
        <v>434</v>
      </c>
    </row>
    <row r="34" spans="1:2">
      <c r="B34" s="249" t="s">
        <v>435</v>
      </c>
    </row>
  </sheetData>
  <mergeCells count="29">
    <mergeCell ref="Q32:S32"/>
    <mergeCell ref="H11:S11"/>
    <mergeCell ref="T11:T13"/>
    <mergeCell ref="D12:D13"/>
    <mergeCell ref="E12:E13"/>
    <mergeCell ref="F12:F13"/>
    <mergeCell ref="Q12:Q13"/>
    <mergeCell ref="R12:R13"/>
    <mergeCell ref="S12:S13"/>
    <mergeCell ref="P12:P13"/>
    <mergeCell ref="M31:N31"/>
    <mergeCell ref="I12:I13"/>
    <mergeCell ref="J12:L12"/>
    <mergeCell ref="M12:M13"/>
    <mergeCell ref="C31:E31"/>
    <mergeCell ref="F31:H31"/>
    <mergeCell ref="I31:K31"/>
    <mergeCell ref="O12:O13"/>
    <mergeCell ref="A1:T1"/>
    <mergeCell ref="A2:T2"/>
    <mergeCell ref="A4:T4"/>
    <mergeCell ref="A6:T6"/>
    <mergeCell ref="H12:H13"/>
    <mergeCell ref="N12:N13"/>
    <mergeCell ref="A11:A13"/>
    <mergeCell ref="B11:B13"/>
    <mergeCell ref="C11:C13"/>
    <mergeCell ref="D11:F11"/>
    <mergeCell ref="G11:G13"/>
  </mergeCells>
  <hyperlinks>
    <hyperlink ref="Q32" location="'TABLA DE CONTENIDO'!A1" display="VOLVER A TABLA DE CONTENIDO"/>
  </hyperlinks>
  <printOptions horizontalCentered="1" verticalCentered="1"/>
  <pageMargins left="0.23622047244094491" right="0.23622047244094491" top="0.98425196850393704" bottom="0.98425196850393704" header="0" footer="0"/>
  <pageSetup scale="50" orientation="landscape" r:id="rId1"/>
  <headerFooter alignWithMargins="0"/>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1"/>
  <sheetViews>
    <sheetView view="pageBreakPreview" zoomScaleNormal="100" zoomScaleSheetLayoutView="100" workbookViewId="0">
      <selection activeCell="A11" sqref="A11:K13"/>
    </sheetView>
  </sheetViews>
  <sheetFormatPr baseColWidth="10" defaultRowHeight="12.75"/>
  <cols>
    <col min="1" max="1" width="14.7109375" style="249" customWidth="1"/>
    <col min="2" max="2" width="9.42578125" style="249" customWidth="1"/>
    <col min="3" max="3" width="14.7109375" style="249" customWidth="1"/>
    <col min="4" max="10" width="11.42578125" style="249"/>
    <col min="11" max="11" width="35.140625" style="249" customWidth="1"/>
    <col min="12" max="16384" width="11.42578125" style="249"/>
  </cols>
  <sheetData>
    <row r="1" spans="1:19" ht="23.25">
      <c r="A1" s="1579" t="s">
        <v>0</v>
      </c>
      <c r="B1" s="1579"/>
      <c r="C1" s="1579"/>
      <c r="D1" s="1579"/>
      <c r="E1" s="1579"/>
      <c r="F1" s="1579"/>
      <c r="G1" s="1579"/>
      <c r="H1" s="1579"/>
      <c r="I1" s="1579"/>
      <c r="J1" s="1579"/>
      <c r="K1" s="1579"/>
      <c r="L1" s="270"/>
    </row>
    <row r="2" spans="1:19" ht="18">
      <c r="A2" s="1580" t="s">
        <v>531</v>
      </c>
      <c r="B2" s="1580"/>
      <c r="C2" s="1580"/>
      <c r="D2" s="1580"/>
      <c r="E2" s="1580"/>
      <c r="F2" s="1580"/>
      <c r="G2" s="1580"/>
      <c r="H2" s="1580"/>
      <c r="I2" s="1580"/>
      <c r="J2" s="1580"/>
      <c r="K2" s="1580"/>
      <c r="L2" s="271"/>
    </row>
    <row r="3" spans="1:19" ht="18">
      <c r="A3" s="36"/>
      <c r="B3" s="37"/>
      <c r="C3" s="28"/>
      <c r="D3" s="28"/>
      <c r="E3" s="28"/>
      <c r="F3" s="28"/>
      <c r="G3" s="28"/>
      <c r="H3" s="28"/>
      <c r="I3" s="28"/>
      <c r="J3" s="28"/>
      <c r="K3" s="28"/>
      <c r="L3" s="28"/>
    </row>
    <row r="4" spans="1:19" ht="18">
      <c r="A4" s="1580" t="s">
        <v>445</v>
      </c>
      <c r="B4" s="1580"/>
      <c r="C4" s="1580"/>
      <c r="D4" s="1580"/>
      <c r="E4" s="1580"/>
      <c r="F4" s="1580"/>
      <c r="G4" s="1580"/>
      <c r="H4" s="1580"/>
      <c r="I4" s="1580"/>
      <c r="J4" s="1580"/>
      <c r="K4" s="1580"/>
      <c r="L4" s="271"/>
    </row>
    <row r="5" spans="1:19">
      <c r="A5" s="42"/>
      <c r="B5" s="42"/>
      <c r="C5" s="29"/>
      <c r="D5" s="29"/>
      <c r="E5" s="29"/>
      <c r="F5" s="29"/>
      <c r="G5" s="29"/>
      <c r="H5" s="29"/>
      <c r="I5" s="29"/>
      <c r="J5" s="29"/>
      <c r="K5" s="35"/>
      <c r="L5" s="29"/>
    </row>
    <row r="6" spans="1:19" ht="18">
      <c r="A6" s="1580" t="s">
        <v>446</v>
      </c>
      <c r="B6" s="1580"/>
      <c r="C6" s="1580"/>
      <c r="D6" s="1580"/>
      <c r="E6" s="1580"/>
      <c r="F6" s="1580"/>
      <c r="G6" s="1580"/>
      <c r="H6" s="1580"/>
      <c r="I6" s="1580"/>
      <c r="J6" s="1580"/>
      <c r="K6" s="1580"/>
      <c r="L6" s="271"/>
    </row>
    <row r="7" spans="1:19">
      <c r="A7" s="29"/>
      <c r="B7" s="29"/>
      <c r="C7" s="29"/>
      <c r="D7" s="29"/>
      <c r="E7" s="29"/>
      <c r="F7" s="29"/>
      <c r="G7" s="29"/>
      <c r="H7" s="29"/>
      <c r="I7" s="35"/>
      <c r="J7" s="35"/>
      <c r="K7" s="35"/>
      <c r="L7" s="35"/>
    </row>
    <row r="8" spans="1:19">
      <c r="A8" s="141" t="s">
        <v>147</v>
      </c>
      <c r="B8" s="29"/>
      <c r="C8" s="317" t="str">
        <f>'CUMPLIMIENTO % '!C7</f>
        <v>LUIS GABRIEL IBARRA ANGEL</v>
      </c>
      <c r="D8" s="203"/>
      <c r="E8" s="203"/>
      <c r="F8" s="203"/>
      <c r="G8" s="29"/>
      <c r="H8" s="139" t="s">
        <v>409</v>
      </c>
      <c r="I8" s="29"/>
      <c r="J8" s="317" t="str">
        <f>PORTADA!C31</f>
        <v>OCTUBRE - DICIEMBRE DEL 2020</v>
      </c>
      <c r="K8" s="203"/>
      <c r="L8" s="29"/>
    </row>
    <row r="11" spans="1:19" s="245" customFormat="1" ht="11.25" customHeight="1">
      <c r="A11" s="2247" t="s">
        <v>6</v>
      </c>
      <c r="B11" s="2247" t="s">
        <v>7</v>
      </c>
      <c r="C11" s="2247" t="s">
        <v>422</v>
      </c>
      <c r="D11" s="2247" t="s">
        <v>423</v>
      </c>
      <c r="E11" s="2247"/>
      <c r="F11" s="2247"/>
      <c r="G11" s="2244" t="s">
        <v>302</v>
      </c>
      <c r="H11" s="2244" t="s">
        <v>436</v>
      </c>
      <c r="I11" s="2244" t="s">
        <v>506</v>
      </c>
      <c r="J11" s="2244"/>
      <c r="K11" s="2244" t="s">
        <v>13</v>
      </c>
    </row>
    <row r="12" spans="1:19" s="246" customFormat="1" ht="22.5" customHeight="1">
      <c r="A12" s="2247"/>
      <c r="B12" s="2247"/>
      <c r="C12" s="2247"/>
      <c r="D12" s="2247" t="s">
        <v>78</v>
      </c>
      <c r="E12" s="2247" t="s">
        <v>79</v>
      </c>
      <c r="F12" s="2247" t="s">
        <v>465</v>
      </c>
      <c r="G12" s="2244"/>
      <c r="H12" s="2244"/>
      <c r="I12" s="2244"/>
      <c r="J12" s="2244"/>
      <c r="K12" s="2244"/>
    </row>
    <row r="13" spans="1:19" s="247" customFormat="1" ht="11.25">
      <c r="A13" s="2247"/>
      <c r="B13" s="2247"/>
      <c r="C13" s="2247"/>
      <c r="D13" s="2247"/>
      <c r="E13" s="2247"/>
      <c r="F13" s="2247"/>
      <c r="G13" s="2244"/>
      <c r="H13" s="2244"/>
      <c r="I13" s="1538" t="s">
        <v>464</v>
      </c>
      <c r="J13" s="1538" t="s">
        <v>303</v>
      </c>
      <c r="K13" s="1538" t="s">
        <v>54</v>
      </c>
    </row>
    <row r="14" spans="1:19">
      <c r="A14" s="248"/>
      <c r="B14" s="248"/>
      <c r="C14" s="248"/>
      <c r="D14" s="248"/>
      <c r="E14" s="248"/>
      <c r="F14" s="248"/>
      <c r="G14" s="248"/>
      <c r="H14" s="248"/>
      <c r="I14" s="248"/>
      <c r="J14" s="248"/>
      <c r="K14" s="248"/>
    </row>
    <row r="15" spans="1:19">
      <c r="A15" s="248"/>
      <c r="B15" s="248"/>
      <c r="C15" s="248"/>
      <c r="D15" s="248"/>
      <c r="E15" s="248"/>
      <c r="F15" s="248"/>
      <c r="G15" s="248"/>
      <c r="H15" s="248"/>
      <c r="I15" s="248"/>
      <c r="J15" s="248"/>
      <c r="K15" s="248"/>
      <c r="S15" s="249">
        <v>2</v>
      </c>
    </row>
    <row r="16" spans="1:19">
      <c r="A16" s="248"/>
      <c r="B16" s="248"/>
      <c r="C16" s="248"/>
      <c r="D16" s="248"/>
      <c r="E16" s="248"/>
      <c r="F16" s="248"/>
      <c r="G16" s="248"/>
      <c r="H16" s="248"/>
      <c r="I16" s="248"/>
      <c r="J16" s="248"/>
      <c r="K16" s="248"/>
    </row>
    <row r="17" spans="1:11">
      <c r="A17" s="248"/>
      <c r="B17" s="248"/>
      <c r="C17" s="248"/>
      <c r="D17" s="248"/>
      <c r="E17" s="248"/>
      <c r="F17" s="248"/>
      <c r="G17" s="248"/>
      <c r="H17" s="248"/>
      <c r="I17" s="248"/>
      <c r="J17" s="248"/>
      <c r="K17" s="248"/>
    </row>
    <row r="18" spans="1:11">
      <c r="A18" s="248"/>
      <c r="B18" s="248"/>
      <c r="C18" s="248"/>
      <c r="D18" s="248"/>
      <c r="E18" s="248"/>
      <c r="F18" s="248"/>
      <c r="G18" s="248"/>
      <c r="H18" s="248"/>
      <c r="I18" s="248"/>
      <c r="J18" s="248"/>
      <c r="K18" s="248"/>
    </row>
    <row r="19" spans="1:11">
      <c r="A19" s="248"/>
      <c r="B19" s="248"/>
      <c r="C19" s="248"/>
      <c r="D19" s="248"/>
      <c r="E19" s="248"/>
      <c r="F19" s="248"/>
      <c r="G19" s="248"/>
      <c r="H19" s="248"/>
      <c r="I19" s="248"/>
      <c r="J19" s="248"/>
      <c r="K19" s="248"/>
    </row>
    <row r="20" spans="1:11">
      <c r="A20" s="248"/>
      <c r="B20" s="248"/>
      <c r="C20" s="248"/>
      <c r="D20" s="248"/>
      <c r="E20" s="248"/>
      <c r="F20" s="248"/>
      <c r="G20" s="248"/>
      <c r="H20" s="248"/>
      <c r="I20" s="248"/>
      <c r="J20" s="248"/>
      <c r="K20" s="248"/>
    </row>
    <row r="21" spans="1:11">
      <c r="A21" s="248"/>
      <c r="B21" s="248"/>
      <c r="C21" s="248"/>
      <c r="D21" s="248"/>
      <c r="E21" s="248"/>
      <c r="F21" s="248"/>
      <c r="G21" s="248"/>
      <c r="H21" s="248"/>
      <c r="I21" s="248"/>
      <c r="J21" s="248"/>
      <c r="K21" s="248"/>
    </row>
    <row r="22" spans="1:11">
      <c r="A22" s="248"/>
      <c r="B22" s="248"/>
      <c r="C22" s="248"/>
      <c r="D22" s="248"/>
      <c r="E22" s="248"/>
      <c r="F22" s="248"/>
      <c r="G22" s="248"/>
      <c r="H22" s="248"/>
      <c r="I22" s="248"/>
      <c r="J22" s="248"/>
      <c r="K22" s="248"/>
    </row>
    <row r="23" spans="1:11">
      <c r="A23" s="248"/>
      <c r="B23" s="248"/>
      <c r="C23" s="248"/>
      <c r="D23" s="248"/>
      <c r="E23" s="248"/>
      <c r="F23" s="248"/>
      <c r="G23" s="248"/>
      <c r="H23" s="248"/>
      <c r="I23" s="248"/>
      <c r="J23" s="248"/>
      <c r="K23" s="248"/>
    </row>
    <row r="24" spans="1:11">
      <c r="A24" s="248"/>
      <c r="B24" s="248"/>
      <c r="C24" s="248"/>
      <c r="D24" s="248"/>
      <c r="E24" s="248"/>
      <c r="F24" s="248"/>
      <c r="G24" s="248"/>
      <c r="H24" s="248"/>
      <c r="I24" s="248"/>
      <c r="J24" s="248"/>
      <c r="K24" s="248"/>
    </row>
    <row r="25" spans="1:11">
      <c r="A25" s="248"/>
      <c r="B25" s="248"/>
      <c r="C25" s="248"/>
      <c r="D25" s="248"/>
      <c r="E25" s="248"/>
      <c r="F25" s="248"/>
      <c r="G25" s="248"/>
      <c r="H25" s="248"/>
      <c r="I25" s="248"/>
      <c r="J25" s="248"/>
      <c r="K25" s="248"/>
    </row>
    <row r="26" spans="1:11">
      <c r="A26" s="248"/>
      <c r="B26" s="248"/>
      <c r="C26" s="248"/>
      <c r="D26" s="248"/>
      <c r="E26" s="248"/>
      <c r="F26" s="248"/>
      <c r="G26" s="248"/>
      <c r="H26" s="248"/>
      <c r="I26" s="248"/>
      <c r="J26" s="248"/>
      <c r="K26" s="248"/>
    </row>
    <row r="27" spans="1:11">
      <c r="A27" s="248"/>
      <c r="B27" s="248"/>
      <c r="C27" s="248"/>
      <c r="D27" s="248"/>
      <c r="E27" s="248"/>
      <c r="F27" s="248"/>
      <c r="G27" s="248"/>
      <c r="H27" s="248"/>
      <c r="I27" s="248"/>
      <c r="J27" s="248"/>
      <c r="K27" s="248"/>
    </row>
    <row r="28" spans="1:11">
      <c r="A28" s="248"/>
      <c r="B28" s="248"/>
      <c r="C28" s="248"/>
      <c r="D28" s="248"/>
      <c r="E28" s="248"/>
      <c r="F28" s="248"/>
      <c r="G28" s="248"/>
      <c r="H28" s="248"/>
      <c r="I28" s="248"/>
      <c r="J28" s="248"/>
      <c r="K28" s="248"/>
    </row>
    <row r="29" spans="1:11" ht="27" customHeight="1">
      <c r="A29" s="2246" t="s">
        <v>522</v>
      </c>
      <c r="B29" s="2246"/>
      <c r="C29" s="2246"/>
      <c r="D29" s="2246"/>
      <c r="E29" s="2246"/>
      <c r="F29" s="2246"/>
      <c r="G29" s="2246"/>
      <c r="H29" s="2246"/>
      <c r="I29" s="2246"/>
      <c r="J29" s="2246"/>
      <c r="K29" s="2246"/>
    </row>
    <row r="31" spans="1:11">
      <c r="J31" s="2245" t="s">
        <v>440</v>
      </c>
      <c r="K31" s="2245"/>
    </row>
  </sheetData>
  <mergeCells count="17">
    <mergeCell ref="G11:G13"/>
    <mergeCell ref="H11:H13"/>
    <mergeCell ref="J31:K31"/>
    <mergeCell ref="A29:K29"/>
    <mergeCell ref="A1:K1"/>
    <mergeCell ref="A2:K2"/>
    <mergeCell ref="A4:K4"/>
    <mergeCell ref="A6:K6"/>
    <mergeCell ref="K11:K12"/>
    <mergeCell ref="D12:D13"/>
    <mergeCell ref="E12:E13"/>
    <mergeCell ref="F12:F13"/>
    <mergeCell ref="I11:J12"/>
    <mergeCell ref="A11:A13"/>
    <mergeCell ref="B11:B13"/>
    <mergeCell ref="C11:C13"/>
    <mergeCell ref="D11:F11"/>
  </mergeCells>
  <hyperlinks>
    <hyperlink ref="J31" location="'TABLA DE CONTENIDO'!A1" display="VOLVER A TABLA DE CONTENIDO"/>
  </hyperlinks>
  <printOptions horizontalCentered="1" verticalCentered="1"/>
  <pageMargins left="0.74803149606299213" right="0.74803149606299213" top="0.98425196850393704" bottom="0.98425196850393704" header="0" footer="0"/>
  <pageSetup scale="58" orientation="portrait" r:id="rId1"/>
  <headerFooter alignWithMargins="0"/>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I41"/>
  <sheetViews>
    <sheetView view="pageBreakPreview" zoomScale="120" zoomScaleNormal="100" zoomScaleSheetLayoutView="120" workbookViewId="0">
      <selection activeCell="L19" sqref="L19"/>
    </sheetView>
  </sheetViews>
  <sheetFormatPr baseColWidth="10" defaultRowHeight="12.75"/>
  <cols>
    <col min="1" max="1" width="8.42578125" customWidth="1"/>
    <col min="2" max="2" width="7.5703125" customWidth="1"/>
    <col min="3" max="3" width="7.28515625" customWidth="1"/>
    <col min="4" max="31" width="4.28515625" customWidth="1"/>
  </cols>
  <sheetData>
    <row r="1" spans="1:31" ht="23.25">
      <c r="A1" s="1577" t="s">
        <v>0</v>
      </c>
      <c r="B1" s="1577"/>
      <c r="C1" s="1577"/>
      <c r="D1" s="1577"/>
      <c r="E1" s="1577"/>
      <c r="F1" s="1577"/>
      <c r="G1" s="1577"/>
      <c r="H1" s="1577"/>
      <c r="I1" s="1577"/>
      <c r="J1" s="1577"/>
      <c r="K1" s="1577"/>
      <c r="L1" s="1577"/>
      <c r="M1" s="1577"/>
      <c r="N1" s="1577"/>
      <c r="O1" s="1577"/>
      <c r="P1" s="1577"/>
      <c r="Q1" s="1577"/>
      <c r="R1" s="1577"/>
      <c r="S1" s="1577"/>
      <c r="T1" s="1577"/>
      <c r="U1" s="1577"/>
      <c r="V1" s="1577"/>
      <c r="W1" s="1577"/>
      <c r="X1" s="1577"/>
      <c r="Y1" s="1577"/>
      <c r="Z1" s="1577"/>
      <c r="AA1" s="1577"/>
      <c r="AB1" s="1577"/>
      <c r="AC1" s="1577"/>
      <c r="AD1" s="1577"/>
      <c r="AE1" s="1577"/>
    </row>
    <row r="2" spans="1:31" ht="26.25" customHeight="1">
      <c r="A2" s="1576" t="s">
        <v>800</v>
      </c>
      <c r="B2" s="1576"/>
      <c r="C2" s="1576"/>
      <c r="D2" s="1576"/>
      <c r="E2" s="1576"/>
      <c r="F2" s="1576"/>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row>
    <row r="3" spans="1:31" ht="26.25" customHeight="1">
      <c r="A3" s="1576" t="s">
        <v>447</v>
      </c>
      <c r="B3" s="1576"/>
      <c r="C3" s="1576"/>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row>
    <row r="4" spans="1:31" ht="22.5" customHeight="1">
      <c r="A4" s="1576" t="s">
        <v>222</v>
      </c>
      <c r="B4" s="1576"/>
      <c r="C4" s="1576"/>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row>
    <row r="5" spans="1:31" ht="15.75">
      <c r="A5" s="151"/>
      <c r="B5" s="151"/>
      <c r="C5" s="151"/>
      <c r="D5" s="151"/>
      <c r="E5" s="151"/>
      <c r="F5" s="151"/>
      <c r="G5" s="151"/>
      <c r="H5" s="151"/>
      <c r="I5" s="151"/>
      <c r="J5" s="151"/>
      <c r="K5" s="151"/>
      <c r="L5" s="151"/>
      <c r="M5" s="151"/>
      <c r="N5" s="151"/>
      <c r="O5" s="151"/>
      <c r="P5" s="151"/>
      <c r="Q5" s="151"/>
      <c r="R5" s="151"/>
    </row>
    <row r="6" spans="1:31" ht="15.75">
      <c r="A6" s="780" t="s">
        <v>344</v>
      </c>
      <c r="B6" s="2257" t="s">
        <v>801</v>
      </c>
      <c r="C6" s="2257"/>
      <c r="D6" s="2257"/>
      <c r="E6" s="2257"/>
      <c r="F6" s="2257"/>
      <c r="G6" s="2257"/>
      <c r="H6" s="2257"/>
      <c r="I6" s="2257"/>
      <c r="J6" s="2257"/>
      <c r="K6" s="2257"/>
      <c r="L6" s="2257"/>
      <c r="M6" s="2257"/>
      <c r="N6" s="2257"/>
      <c r="O6" s="2257"/>
      <c r="P6" s="2257"/>
      <c r="Q6" s="172"/>
      <c r="R6" s="172" t="s">
        <v>345</v>
      </c>
      <c r="S6" s="151"/>
      <c r="T6" s="2257" t="s">
        <v>802</v>
      </c>
      <c r="U6" s="2257"/>
      <c r="V6" s="2257"/>
      <c r="W6" s="2257"/>
      <c r="X6" s="2257"/>
      <c r="Y6" s="2257"/>
      <c r="Z6" s="2257"/>
      <c r="AA6" s="2257"/>
      <c r="AB6" s="2257"/>
      <c r="AC6" s="2257"/>
      <c r="AD6" s="172"/>
      <c r="AE6" s="172"/>
    </row>
    <row r="7" spans="1:31" s="136" customFormat="1" ht="16.5" thickBot="1">
      <c r="A7" s="152"/>
      <c r="B7" s="152"/>
      <c r="C7" s="152"/>
      <c r="D7" s="152"/>
      <c r="E7" s="152"/>
      <c r="F7" s="152"/>
      <c r="G7" s="152"/>
      <c r="H7" s="152"/>
      <c r="I7" s="152"/>
      <c r="J7" s="152"/>
      <c r="K7" s="152"/>
      <c r="L7" s="152"/>
      <c r="M7" s="152"/>
      <c r="N7" s="152"/>
      <c r="O7" s="152"/>
      <c r="P7" s="152"/>
      <c r="Q7" s="152"/>
      <c r="R7" s="152"/>
    </row>
    <row r="8" spans="1:31" s="213" customFormat="1" ht="22.5" customHeight="1" thickBot="1">
      <c r="D8" s="2264" t="s">
        <v>321</v>
      </c>
      <c r="E8" s="2265"/>
      <c r="F8" s="2265"/>
      <c r="G8" s="2266"/>
      <c r="H8" s="2264" t="s">
        <v>184</v>
      </c>
      <c r="I8" s="2265"/>
      <c r="J8" s="2265"/>
      <c r="K8" s="2266"/>
      <c r="L8" s="2264" t="s">
        <v>185</v>
      </c>
      <c r="M8" s="2265"/>
      <c r="N8" s="2265"/>
      <c r="O8" s="2266"/>
      <c r="P8" s="2264" t="s">
        <v>186</v>
      </c>
      <c r="Q8" s="2265"/>
      <c r="R8" s="2265"/>
      <c r="S8" s="2266"/>
      <c r="T8" s="2267" t="s">
        <v>346</v>
      </c>
      <c r="U8" s="2268"/>
      <c r="V8" s="2268"/>
      <c r="W8" s="2269"/>
      <c r="X8" s="2267" t="s">
        <v>322</v>
      </c>
      <c r="Y8" s="2268"/>
      <c r="Z8" s="2268"/>
      <c r="AA8" s="2269"/>
      <c r="AB8" s="2264" t="s">
        <v>323</v>
      </c>
      <c r="AC8" s="2265"/>
      <c r="AD8" s="2265"/>
      <c r="AE8" s="2266"/>
    </row>
    <row r="9" spans="1:31">
      <c r="A9" s="2251" t="s">
        <v>187</v>
      </c>
      <c r="B9" s="2253" t="s">
        <v>188</v>
      </c>
      <c r="C9" s="2255" t="s">
        <v>189</v>
      </c>
      <c r="D9" s="224" t="s">
        <v>96</v>
      </c>
      <c r="E9" s="222" t="s">
        <v>97</v>
      </c>
      <c r="F9" s="222" t="s">
        <v>98</v>
      </c>
      <c r="G9" s="225" t="s">
        <v>324</v>
      </c>
      <c r="H9" s="224" t="s">
        <v>96</v>
      </c>
      <c r="I9" s="222" t="s">
        <v>97</v>
      </c>
      <c r="J9" s="222" t="s">
        <v>98</v>
      </c>
      <c r="K9" s="225" t="s">
        <v>324</v>
      </c>
      <c r="L9" s="224" t="s">
        <v>96</v>
      </c>
      <c r="M9" s="222" t="s">
        <v>97</v>
      </c>
      <c r="N9" s="222" t="s">
        <v>98</v>
      </c>
      <c r="O9" s="225" t="s">
        <v>324</v>
      </c>
      <c r="P9" s="224" t="s">
        <v>96</v>
      </c>
      <c r="Q9" s="222" t="s">
        <v>97</v>
      </c>
      <c r="R9" s="222" t="s">
        <v>98</v>
      </c>
      <c r="S9" s="225" t="s">
        <v>324</v>
      </c>
      <c r="T9" s="224" t="s">
        <v>96</v>
      </c>
      <c r="U9" s="222" t="s">
        <v>97</v>
      </c>
      <c r="V9" s="222" t="s">
        <v>98</v>
      </c>
      <c r="W9" s="225" t="s">
        <v>324</v>
      </c>
      <c r="X9" s="224" t="s">
        <v>96</v>
      </c>
      <c r="Y9" s="222" t="s">
        <v>97</v>
      </c>
      <c r="Z9" s="222" t="s">
        <v>98</v>
      </c>
      <c r="AA9" s="225" t="s">
        <v>324</v>
      </c>
      <c r="AB9" s="224" t="s">
        <v>96</v>
      </c>
      <c r="AC9" s="222" t="s">
        <v>97</v>
      </c>
      <c r="AD9" s="222" t="s">
        <v>98</v>
      </c>
      <c r="AE9" s="225" t="s">
        <v>324</v>
      </c>
    </row>
    <row r="10" spans="1:31" s="111" customFormat="1">
      <c r="A10" s="2252"/>
      <c r="B10" s="2254"/>
      <c r="C10" s="2256"/>
      <c r="D10" s="226" t="s">
        <v>347</v>
      </c>
      <c r="E10" s="85" t="s">
        <v>347</v>
      </c>
      <c r="F10" s="85" t="s">
        <v>347</v>
      </c>
      <c r="G10" s="227" t="s">
        <v>347</v>
      </c>
      <c r="H10" s="226" t="s">
        <v>347</v>
      </c>
      <c r="I10" s="85" t="s">
        <v>347</v>
      </c>
      <c r="J10" s="85" t="s">
        <v>347</v>
      </c>
      <c r="K10" s="227" t="s">
        <v>347</v>
      </c>
      <c r="L10" s="226" t="s">
        <v>347</v>
      </c>
      <c r="M10" s="85" t="s">
        <v>347</v>
      </c>
      <c r="N10" s="85" t="s">
        <v>347</v>
      </c>
      <c r="O10" s="227" t="s">
        <v>347</v>
      </c>
      <c r="P10" s="226" t="s">
        <v>347</v>
      </c>
      <c r="Q10" s="85" t="s">
        <v>347</v>
      </c>
      <c r="R10" s="85" t="s">
        <v>347</v>
      </c>
      <c r="S10" s="227" t="s">
        <v>347</v>
      </c>
      <c r="T10" s="226" t="s">
        <v>347</v>
      </c>
      <c r="U10" s="85" t="s">
        <v>347</v>
      </c>
      <c r="V10" s="85" t="s">
        <v>347</v>
      </c>
      <c r="W10" s="227" t="s">
        <v>347</v>
      </c>
      <c r="X10" s="226" t="s">
        <v>347</v>
      </c>
      <c r="Y10" s="85" t="s">
        <v>347</v>
      </c>
      <c r="Z10" s="85" t="s">
        <v>347</v>
      </c>
      <c r="AA10" s="227" t="s">
        <v>347</v>
      </c>
      <c r="AB10" s="226" t="s">
        <v>348</v>
      </c>
      <c r="AC10" s="85" t="s">
        <v>348</v>
      </c>
      <c r="AD10" s="85" t="s">
        <v>348</v>
      </c>
      <c r="AE10" s="227" t="s">
        <v>348</v>
      </c>
    </row>
    <row r="11" spans="1:31">
      <c r="A11" s="228" t="s">
        <v>190</v>
      </c>
      <c r="B11" s="223" t="s">
        <v>191</v>
      </c>
      <c r="C11" s="229" t="s">
        <v>192</v>
      </c>
      <c r="D11" s="228" t="s">
        <v>193</v>
      </c>
      <c r="E11" s="223" t="s">
        <v>194</v>
      </c>
      <c r="F11" s="223" t="s">
        <v>195</v>
      </c>
      <c r="G11" s="229" t="s">
        <v>196</v>
      </c>
      <c r="H11" s="228" t="s">
        <v>197</v>
      </c>
      <c r="I11" s="223" t="s">
        <v>198</v>
      </c>
      <c r="J11" s="223" t="s">
        <v>199</v>
      </c>
      <c r="K11" s="229" t="s">
        <v>200</v>
      </c>
      <c r="L11" s="228" t="s">
        <v>201</v>
      </c>
      <c r="M11" s="223" t="s">
        <v>202</v>
      </c>
      <c r="N11" s="223" t="s">
        <v>203</v>
      </c>
      <c r="O11" s="229" t="s">
        <v>204</v>
      </c>
      <c r="P11" s="228" t="s">
        <v>205</v>
      </c>
      <c r="Q11" s="223" t="s">
        <v>206</v>
      </c>
      <c r="R11" s="223" t="s">
        <v>207</v>
      </c>
      <c r="S11" s="229" t="s">
        <v>208</v>
      </c>
      <c r="T11" s="228" t="s">
        <v>209</v>
      </c>
      <c r="U11" s="223" t="s">
        <v>210</v>
      </c>
      <c r="V11" s="223" t="s">
        <v>211</v>
      </c>
      <c r="W11" s="229" t="s">
        <v>212</v>
      </c>
      <c r="X11" s="228" t="s">
        <v>213</v>
      </c>
      <c r="Y11" s="223" t="s">
        <v>214</v>
      </c>
      <c r="Z11" s="223" t="s">
        <v>215</v>
      </c>
      <c r="AA11" s="229" t="s">
        <v>216</v>
      </c>
      <c r="AB11" s="228" t="s">
        <v>325</v>
      </c>
      <c r="AC11" s="223" t="s">
        <v>326</v>
      </c>
      <c r="AD11" s="223" t="s">
        <v>327</v>
      </c>
      <c r="AE11" s="229" t="s">
        <v>349</v>
      </c>
    </row>
    <row r="12" spans="1:31">
      <c r="A12" s="781" t="s">
        <v>576</v>
      </c>
      <c r="B12" s="781" t="s">
        <v>803</v>
      </c>
      <c r="C12" s="782">
        <f>3.48+2.3</f>
        <v>5.7799999999999994</v>
      </c>
      <c r="D12" s="783">
        <v>61</v>
      </c>
      <c r="E12" s="784">
        <v>8</v>
      </c>
      <c r="F12" s="784">
        <v>3</v>
      </c>
      <c r="G12" s="785">
        <v>0</v>
      </c>
      <c r="H12" s="783">
        <v>1</v>
      </c>
      <c r="I12" s="784">
        <v>1</v>
      </c>
      <c r="J12" s="784">
        <v>0</v>
      </c>
      <c r="K12" s="785">
        <v>0</v>
      </c>
      <c r="L12" s="783">
        <v>0</v>
      </c>
      <c r="M12" s="784">
        <v>0</v>
      </c>
      <c r="N12" s="784">
        <v>1</v>
      </c>
      <c r="O12" s="785">
        <v>0</v>
      </c>
      <c r="P12" s="783">
        <v>0</v>
      </c>
      <c r="Q12" s="784">
        <v>0</v>
      </c>
      <c r="R12" s="784">
        <v>0</v>
      </c>
      <c r="S12" s="785">
        <v>0</v>
      </c>
      <c r="T12" s="783">
        <v>0</v>
      </c>
      <c r="U12" s="784">
        <v>0</v>
      </c>
      <c r="V12" s="784">
        <v>0</v>
      </c>
      <c r="W12" s="785">
        <v>0</v>
      </c>
      <c r="X12" s="783">
        <v>2</v>
      </c>
      <c r="Y12" s="784">
        <v>0</v>
      </c>
      <c r="Z12" s="784">
        <v>0</v>
      </c>
      <c r="AA12" s="785">
        <v>0</v>
      </c>
      <c r="AB12" s="783">
        <v>0</v>
      </c>
      <c r="AC12" s="784">
        <v>0</v>
      </c>
      <c r="AD12" s="784">
        <v>0</v>
      </c>
      <c r="AE12" s="786">
        <v>0</v>
      </c>
    </row>
    <row r="13" spans="1:31">
      <c r="A13" s="781" t="s">
        <v>804</v>
      </c>
      <c r="B13" s="781" t="s">
        <v>805</v>
      </c>
      <c r="C13" s="787">
        <v>3.17</v>
      </c>
      <c r="D13" s="788">
        <v>40</v>
      </c>
      <c r="E13" s="789">
        <v>22</v>
      </c>
      <c r="F13" s="789">
        <v>11</v>
      </c>
      <c r="G13" s="790">
        <v>12</v>
      </c>
      <c r="H13" s="788">
        <v>0</v>
      </c>
      <c r="I13" s="789">
        <v>1</v>
      </c>
      <c r="J13" s="789">
        <v>0</v>
      </c>
      <c r="K13" s="790">
        <v>0</v>
      </c>
      <c r="L13" s="788">
        <v>1</v>
      </c>
      <c r="M13" s="789">
        <v>0</v>
      </c>
      <c r="N13" s="789">
        <v>0</v>
      </c>
      <c r="O13" s="790">
        <v>0</v>
      </c>
      <c r="P13" s="788">
        <v>10</v>
      </c>
      <c r="Q13" s="789">
        <v>1</v>
      </c>
      <c r="R13" s="789">
        <v>0</v>
      </c>
      <c r="S13" s="790">
        <v>0</v>
      </c>
      <c r="T13" s="788">
        <v>0</v>
      </c>
      <c r="U13" s="789">
        <v>0</v>
      </c>
      <c r="V13" s="789">
        <v>0</v>
      </c>
      <c r="W13" s="790">
        <v>0</v>
      </c>
      <c r="X13" s="788">
        <v>0</v>
      </c>
      <c r="Y13" s="789">
        <v>4</v>
      </c>
      <c r="Z13" s="789">
        <v>0</v>
      </c>
      <c r="AA13" s="790">
        <v>0</v>
      </c>
      <c r="AB13" s="788">
        <v>0</v>
      </c>
      <c r="AC13" s="789">
        <v>0</v>
      </c>
      <c r="AD13" s="789">
        <v>0</v>
      </c>
      <c r="AE13" s="791">
        <v>0</v>
      </c>
    </row>
    <row r="14" spans="1:31">
      <c r="A14" s="781" t="s">
        <v>576</v>
      </c>
      <c r="B14" s="781" t="s">
        <v>803</v>
      </c>
      <c r="C14" s="787">
        <v>4.0599999999999996</v>
      </c>
      <c r="D14" s="788">
        <v>24</v>
      </c>
      <c r="E14" s="789">
        <v>14</v>
      </c>
      <c r="F14" s="789">
        <v>8</v>
      </c>
      <c r="G14" s="790">
        <v>10</v>
      </c>
      <c r="H14" s="788">
        <v>0</v>
      </c>
      <c r="I14" s="789">
        <v>0</v>
      </c>
      <c r="J14" s="789">
        <v>0</v>
      </c>
      <c r="K14" s="790">
        <v>0</v>
      </c>
      <c r="L14" s="788">
        <v>1</v>
      </c>
      <c r="M14" s="789">
        <v>1</v>
      </c>
      <c r="N14" s="789">
        <v>0</v>
      </c>
      <c r="O14" s="790">
        <v>0</v>
      </c>
      <c r="P14" s="788">
        <v>0</v>
      </c>
      <c r="Q14" s="789">
        <v>3</v>
      </c>
      <c r="R14" s="789">
        <v>2</v>
      </c>
      <c r="S14" s="790">
        <v>0</v>
      </c>
      <c r="T14" s="788">
        <v>0</v>
      </c>
      <c r="U14" s="789">
        <v>0</v>
      </c>
      <c r="V14" s="789">
        <v>0</v>
      </c>
      <c r="W14" s="790">
        <v>0</v>
      </c>
      <c r="X14" s="788">
        <v>3</v>
      </c>
      <c r="Y14" s="789">
        <v>0</v>
      </c>
      <c r="Z14" s="789">
        <v>0</v>
      </c>
      <c r="AA14" s="790">
        <v>0</v>
      </c>
      <c r="AB14" s="788">
        <v>0</v>
      </c>
      <c r="AC14" s="789">
        <v>0</v>
      </c>
      <c r="AD14" s="789">
        <v>0</v>
      </c>
      <c r="AE14" s="791">
        <v>0</v>
      </c>
    </row>
    <row r="15" spans="1:31" s="965" customFormat="1">
      <c r="A15" s="981" t="s">
        <v>806</v>
      </c>
      <c r="B15" s="981" t="s">
        <v>50</v>
      </c>
      <c r="C15" s="982">
        <v>44.77</v>
      </c>
      <c r="D15" s="983">
        <f>503+21</f>
        <v>524</v>
      </c>
      <c r="E15" s="984">
        <v>29</v>
      </c>
      <c r="F15" s="984">
        <v>17</v>
      </c>
      <c r="G15" s="985">
        <f>67-21</f>
        <v>46</v>
      </c>
      <c r="H15" s="983">
        <v>0</v>
      </c>
      <c r="I15" s="984">
        <v>0</v>
      </c>
      <c r="J15" s="984">
        <v>0</v>
      </c>
      <c r="K15" s="985">
        <v>0</v>
      </c>
      <c r="L15" s="983">
        <v>0</v>
      </c>
      <c r="M15" s="984">
        <v>1</v>
      </c>
      <c r="N15" s="984">
        <v>0</v>
      </c>
      <c r="O15" s="985">
        <v>0</v>
      </c>
      <c r="P15" s="983">
        <v>0</v>
      </c>
      <c r="Q15" s="984">
        <v>0</v>
      </c>
      <c r="R15" s="984">
        <v>0</v>
      </c>
      <c r="S15" s="985">
        <v>2</v>
      </c>
      <c r="T15" s="983">
        <v>180</v>
      </c>
      <c r="U15" s="984">
        <v>0</v>
      </c>
      <c r="V15" s="984">
        <v>0</v>
      </c>
      <c r="W15" s="985">
        <v>36</v>
      </c>
      <c r="X15" s="983">
        <v>47</v>
      </c>
      <c r="Y15" s="984">
        <v>0</v>
      </c>
      <c r="Z15" s="984">
        <v>0</v>
      </c>
      <c r="AA15" s="985">
        <v>0</v>
      </c>
      <c r="AB15" s="983">
        <f>1172+160+300</f>
        <v>1632</v>
      </c>
      <c r="AC15" s="984">
        <v>0</v>
      </c>
      <c r="AD15" s="984">
        <v>0</v>
      </c>
      <c r="AE15" s="986">
        <v>80</v>
      </c>
    </row>
    <row r="16" spans="1:31" s="965" customFormat="1" ht="13.5" thickBot="1">
      <c r="A16" s="987" t="s">
        <v>806</v>
      </c>
      <c r="B16" s="987" t="s">
        <v>51</v>
      </c>
      <c r="C16" s="988">
        <v>35.770000000000003</v>
      </c>
      <c r="D16" s="989">
        <f>378+21</f>
        <v>399</v>
      </c>
      <c r="E16" s="990">
        <v>23</v>
      </c>
      <c r="F16" s="990">
        <v>1</v>
      </c>
      <c r="G16" s="991">
        <f>48-21</f>
        <v>27</v>
      </c>
      <c r="H16" s="989">
        <v>0</v>
      </c>
      <c r="I16" s="990">
        <v>0</v>
      </c>
      <c r="J16" s="990">
        <v>0</v>
      </c>
      <c r="K16" s="991">
        <v>0</v>
      </c>
      <c r="L16" s="989">
        <v>0</v>
      </c>
      <c r="M16" s="990">
        <v>0</v>
      </c>
      <c r="N16" s="990">
        <v>0</v>
      </c>
      <c r="O16" s="991">
        <v>0</v>
      </c>
      <c r="P16" s="989">
        <v>0</v>
      </c>
      <c r="Q16" s="990">
        <v>0</v>
      </c>
      <c r="R16" s="990">
        <v>0</v>
      </c>
      <c r="S16" s="991">
        <v>0</v>
      </c>
      <c r="T16" s="989">
        <v>146</v>
      </c>
      <c r="U16" s="990">
        <v>30</v>
      </c>
      <c r="V16" s="990">
        <v>16</v>
      </c>
      <c r="W16" s="991">
        <v>20</v>
      </c>
      <c r="X16" s="989">
        <v>37</v>
      </c>
      <c r="Y16" s="990">
        <v>0</v>
      </c>
      <c r="Z16" s="990">
        <v>0</v>
      </c>
      <c r="AA16" s="991">
        <v>0</v>
      </c>
      <c r="AB16" s="989">
        <v>560</v>
      </c>
      <c r="AC16" s="990">
        <v>260</v>
      </c>
      <c r="AD16" s="990">
        <v>0</v>
      </c>
      <c r="AE16" s="992">
        <v>160</v>
      </c>
    </row>
    <row r="17" spans="1:35" ht="13.5" thickBot="1">
      <c r="A17" s="2248" t="s">
        <v>217</v>
      </c>
      <c r="B17" s="2249"/>
      <c r="C17" s="2250"/>
      <c r="D17" s="993">
        <f t="shared" ref="D17:AE17" si="0">SUM(D12:D16)</f>
        <v>1048</v>
      </c>
      <c r="E17" s="994">
        <f t="shared" si="0"/>
        <v>96</v>
      </c>
      <c r="F17" s="994">
        <f t="shared" si="0"/>
        <v>40</v>
      </c>
      <c r="G17" s="995">
        <f t="shared" si="0"/>
        <v>95</v>
      </c>
      <c r="H17" s="996">
        <f t="shared" si="0"/>
        <v>1</v>
      </c>
      <c r="I17" s="994">
        <f t="shared" si="0"/>
        <v>2</v>
      </c>
      <c r="J17" s="994">
        <f t="shared" si="0"/>
        <v>0</v>
      </c>
      <c r="K17" s="995">
        <f t="shared" si="0"/>
        <v>0</v>
      </c>
      <c r="L17" s="993">
        <f t="shared" si="0"/>
        <v>2</v>
      </c>
      <c r="M17" s="994">
        <f t="shared" si="0"/>
        <v>2</v>
      </c>
      <c r="N17" s="994">
        <f t="shared" si="0"/>
        <v>1</v>
      </c>
      <c r="O17" s="995">
        <f t="shared" si="0"/>
        <v>0</v>
      </c>
      <c r="P17" s="993">
        <f t="shared" si="0"/>
        <v>10</v>
      </c>
      <c r="Q17" s="994">
        <f t="shared" si="0"/>
        <v>4</v>
      </c>
      <c r="R17" s="994">
        <f t="shared" si="0"/>
        <v>2</v>
      </c>
      <c r="S17" s="995">
        <f t="shared" si="0"/>
        <v>2</v>
      </c>
      <c r="T17" s="993">
        <f t="shared" si="0"/>
        <v>326</v>
      </c>
      <c r="U17" s="994">
        <f t="shared" si="0"/>
        <v>30</v>
      </c>
      <c r="V17" s="994">
        <f t="shared" si="0"/>
        <v>16</v>
      </c>
      <c r="W17" s="997">
        <f t="shared" si="0"/>
        <v>56</v>
      </c>
      <c r="X17" s="993">
        <f t="shared" si="0"/>
        <v>89</v>
      </c>
      <c r="Y17" s="994">
        <f t="shared" si="0"/>
        <v>4</v>
      </c>
      <c r="Z17" s="994">
        <f t="shared" si="0"/>
        <v>0</v>
      </c>
      <c r="AA17" s="995">
        <f t="shared" si="0"/>
        <v>0</v>
      </c>
      <c r="AB17" s="996">
        <f t="shared" si="0"/>
        <v>2192</v>
      </c>
      <c r="AC17" s="994">
        <f t="shared" si="0"/>
        <v>260</v>
      </c>
      <c r="AD17" s="994">
        <f t="shared" si="0"/>
        <v>0</v>
      </c>
      <c r="AE17" s="995">
        <f t="shared" si="0"/>
        <v>240</v>
      </c>
    </row>
    <row r="18" spans="1:35" ht="13.5" thickBot="1">
      <c r="A18" s="183"/>
      <c r="B18" s="183"/>
      <c r="C18" s="183"/>
      <c r="Z18" s="51"/>
      <c r="AI18" s="876"/>
    </row>
    <row r="19" spans="1:35">
      <c r="A19" s="2258" t="s">
        <v>218</v>
      </c>
      <c r="B19" s="2259"/>
      <c r="C19" s="2259"/>
      <c r="D19" s="2259"/>
      <c r="E19" s="2259"/>
      <c r="F19" s="2259"/>
      <c r="G19" s="2260"/>
    </row>
    <row r="20" spans="1:35" ht="13.5" thickBot="1">
      <c r="A20" s="2261"/>
      <c r="B20" s="2262"/>
      <c r="C20" s="2262"/>
      <c r="D20" s="2262"/>
      <c r="E20" s="2262"/>
      <c r="F20" s="2262"/>
      <c r="G20" s="2263"/>
      <c r="H20" s="158"/>
      <c r="I20" s="158"/>
      <c r="J20" s="158"/>
      <c r="K20" s="158"/>
      <c r="L20" s="158"/>
      <c r="M20" s="158"/>
      <c r="N20" s="158"/>
      <c r="O20" s="158"/>
      <c r="P20" s="158"/>
      <c r="Q20" s="158"/>
      <c r="R20" s="158"/>
      <c r="S20" s="158"/>
    </row>
    <row r="21" spans="1:35">
      <c r="A21" s="214" t="s">
        <v>328</v>
      </c>
      <c r="B21" s="215"/>
      <c r="C21" s="215"/>
      <c r="D21" s="215"/>
      <c r="E21" s="215"/>
      <c r="F21" s="3"/>
      <c r="G21" s="3"/>
      <c r="H21" s="13"/>
      <c r="I21" s="13"/>
      <c r="J21" s="13"/>
      <c r="K21" s="13"/>
      <c r="L21" s="13"/>
      <c r="M21" s="13"/>
      <c r="N21" s="13"/>
      <c r="O21" s="13"/>
      <c r="P21" s="13"/>
      <c r="Q21" s="13"/>
      <c r="R21" s="13"/>
      <c r="S21" s="13"/>
      <c r="T21" s="13"/>
      <c r="U21" s="13"/>
      <c r="V21" s="13"/>
      <c r="W21" s="13"/>
      <c r="X21" s="13"/>
      <c r="Y21" s="13"/>
      <c r="Z21" s="13"/>
      <c r="AA21" s="13"/>
      <c r="AB21" s="13"/>
      <c r="AC21" s="13"/>
      <c r="AD21" s="13"/>
      <c r="AE21" s="5"/>
    </row>
    <row r="22" spans="1:35">
      <c r="A22" s="216" t="s">
        <v>329</v>
      </c>
      <c r="B22" s="217"/>
      <c r="C22" s="217"/>
      <c r="D22" s="217"/>
      <c r="E22" s="217"/>
      <c r="F22" s="25"/>
      <c r="G22" s="25"/>
      <c r="H22" s="25"/>
      <c r="I22" s="25"/>
      <c r="J22" s="25"/>
      <c r="K22" s="25"/>
      <c r="L22" s="25"/>
      <c r="M22" s="25"/>
      <c r="N22" s="25"/>
      <c r="O22" s="25"/>
      <c r="P22" s="25"/>
      <c r="Q22" s="25"/>
      <c r="R22" s="25"/>
      <c r="S22" s="25"/>
      <c r="T22" s="25"/>
      <c r="U22" s="25"/>
      <c r="V22" s="25"/>
      <c r="W22" s="25"/>
      <c r="X22" s="25"/>
      <c r="Y22" s="25"/>
      <c r="Z22" s="25"/>
      <c r="AA22" s="25"/>
      <c r="AB22" s="25"/>
      <c r="AC22" s="25"/>
      <c r="AD22" s="25"/>
      <c r="AE22" s="12"/>
    </row>
    <row r="23" spans="1:35">
      <c r="A23" s="216" t="s">
        <v>219</v>
      </c>
      <c r="B23" s="217"/>
      <c r="C23" s="217"/>
      <c r="D23" s="217"/>
      <c r="E23" s="217"/>
      <c r="F23" s="25"/>
      <c r="G23" s="25"/>
      <c r="H23" s="25"/>
      <c r="I23" s="25"/>
      <c r="J23" s="25"/>
      <c r="K23" s="25"/>
      <c r="L23" s="25"/>
      <c r="M23" s="25"/>
      <c r="N23" s="25"/>
      <c r="O23" s="25"/>
      <c r="P23" s="25"/>
      <c r="Q23" s="25"/>
      <c r="R23" s="25"/>
      <c r="S23" s="25"/>
      <c r="T23" s="25"/>
      <c r="U23" s="25"/>
      <c r="V23" s="25"/>
      <c r="W23" s="25"/>
      <c r="X23" s="25"/>
      <c r="Y23" s="25"/>
      <c r="Z23" s="25"/>
      <c r="AA23" s="25"/>
      <c r="AB23" s="25"/>
      <c r="AC23" s="25"/>
      <c r="AD23" s="25"/>
      <c r="AE23" s="12"/>
    </row>
    <row r="24" spans="1:35">
      <c r="A24" s="216" t="s">
        <v>330</v>
      </c>
      <c r="B24" s="217"/>
      <c r="C24" s="217"/>
      <c r="D24" s="217"/>
      <c r="E24" s="217"/>
      <c r="F24" s="217"/>
      <c r="G24" s="217"/>
      <c r="H24" s="217"/>
      <c r="I24" s="217"/>
      <c r="J24" s="217"/>
      <c r="K24" s="217"/>
      <c r="L24" s="217"/>
      <c r="M24" s="217"/>
      <c r="N24" s="217"/>
      <c r="O24" s="217"/>
      <c r="P24" s="217"/>
      <c r="Q24" s="217"/>
      <c r="R24" s="217"/>
      <c r="S24" s="217"/>
      <c r="T24" s="217"/>
      <c r="U24" s="217"/>
      <c r="V24" s="217"/>
      <c r="W24" s="217"/>
      <c r="X24" s="217"/>
      <c r="Y24" s="217"/>
      <c r="Z24" s="217"/>
      <c r="AA24" s="217"/>
      <c r="AB24" s="217"/>
      <c r="AC24" s="217"/>
      <c r="AD24" s="217"/>
      <c r="AE24" s="218"/>
      <c r="AF24" s="72"/>
    </row>
    <row r="25" spans="1:35">
      <c r="A25" s="219" t="s">
        <v>331</v>
      </c>
      <c r="B25" s="72"/>
      <c r="C25" s="72"/>
      <c r="D25" s="72"/>
      <c r="E25" s="72"/>
      <c r="F25" s="72"/>
      <c r="G25" s="72"/>
      <c r="H25" s="72"/>
      <c r="I25" s="72"/>
      <c r="J25" s="72"/>
      <c r="K25" s="72"/>
      <c r="L25" s="72"/>
      <c r="M25" s="72"/>
      <c r="N25" s="72"/>
      <c r="O25" s="72"/>
      <c r="P25" s="72"/>
      <c r="Q25" s="72"/>
      <c r="R25" s="72"/>
      <c r="S25" s="72"/>
      <c r="T25" s="72"/>
      <c r="U25" s="72"/>
      <c r="V25" s="72"/>
      <c r="W25" s="72"/>
      <c r="X25" s="72"/>
      <c r="Y25" s="72"/>
      <c r="Z25" s="72"/>
      <c r="AA25" s="72"/>
      <c r="AB25" s="72"/>
      <c r="AC25" s="72"/>
      <c r="AD25" s="72"/>
      <c r="AE25" s="220"/>
      <c r="AF25" s="72"/>
    </row>
    <row r="26" spans="1:35">
      <c r="A26" s="216" t="s">
        <v>332</v>
      </c>
      <c r="B26" s="217"/>
      <c r="C26" s="217"/>
      <c r="D26" s="217"/>
      <c r="E26" s="217"/>
      <c r="F26" s="217"/>
      <c r="G26" s="217"/>
      <c r="H26" s="217"/>
      <c r="I26" s="217"/>
      <c r="J26" s="217"/>
      <c r="K26" s="217"/>
      <c r="L26" s="217"/>
      <c r="M26" s="217"/>
      <c r="N26" s="217"/>
      <c r="O26" s="217"/>
      <c r="P26" s="217"/>
      <c r="Q26" s="217"/>
      <c r="R26" s="217"/>
      <c r="S26" s="217"/>
      <c r="T26" s="217"/>
      <c r="U26" s="217"/>
      <c r="V26" s="217"/>
      <c r="W26" s="217"/>
      <c r="X26" s="217"/>
      <c r="Y26" s="217"/>
      <c r="Z26" s="217"/>
      <c r="AA26" s="217"/>
      <c r="AB26" s="217"/>
      <c r="AC26" s="217"/>
      <c r="AD26" s="217"/>
      <c r="AE26" s="218"/>
      <c r="AF26" s="72"/>
    </row>
    <row r="27" spans="1:35">
      <c r="A27" s="219" t="s">
        <v>333</v>
      </c>
      <c r="B27" s="72"/>
      <c r="C27" s="72"/>
      <c r="D27" s="72"/>
      <c r="E27" s="72"/>
      <c r="F27" s="72"/>
      <c r="G27" s="72"/>
      <c r="H27" s="72"/>
      <c r="I27" s="72"/>
      <c r="J27" s="72"/>
      <c r="K27" s="72"/>
      <c r="L27" s="72"/>
      <c r="M27" s="72"/>
      <c r="N27" s="72"/>
      <c r="O27" s="72"/>
      <c r="P27" s="72"/>
      <c r="Q27" s="72"/>
      <c r="R27" s="72"/>
      <c r="S27" s="72"/>
      <c r="T27" s="72"/>
      <c r="U27" s="72"/>
      <c r="V27" s="72"/>
      <c r="W27" s="72"/>
      <c r="X27" s="72"/>
      <c r="Y27" s="72"/>
      <c r="Z27" s="72"/>
      <c r="AA27" s="72"/>
      <c r="AB27" s="72"/>
      <c r="AC27" s="72"/>
      <c r="AD27" s="72"/>
      <c r="AE27" s="220"/>
      <c r="AF27" s="72"/>
    </row>
    <row r="28" spans="1:35">
      <c r="A28" s="216" t="s">
        <v>334</v>
      </c>
      <c r="B28" s="217"/>
      <c r="C28" s="217"/>
      <c r="D28" s="217"/>
      <c r="E28" s="217"/>
      <c r="F28" s="217"/>
      <c r="G28" s="217"/>
      <c r="H28" s="217"/>
      <c r="I28" s="217"/>
      <c r="J28" s="217"/>
      <c r="K28" s="217"/>
      <c r="L28" s="217"/>
      <c r="M28" s="217"/>
      <c r="N28" s="217"/>
      <c r="O28" s="217"/>
      <c r="P28" s="217"/>
      <c r="Q28" s="217"/>
      <c r="R28" s="217"/>
      <c r="S28" s="217"/>
      <c r="T28" s="217"/>
      <c r="U28" s="217"/>
      <c r="V28" s="217"/>
      <c r="W28" s="217"/>
      <c r="X28" s="217"/>
      <c r="Y28" s="217"/>
      <c r="Z28" s="217"/>
      <c r="AA28" s="217"/>
      <c r="AB28" s="217"/>
      <c r="AC28" s="217"/>
      <c r="AD28" s="217"/>
      <c r="AE28" s="218"/>
      <c r="AF28" s="72"/>
    </row>
    <row r="29" spans="1:35">
      <c r="A29" s="219" t="s">
        <v>220</v>
      </c>
      <c r="B29" s="72"/>
      <c r="C29" s="72"/>
      <c r="D29" s="72"/>
      <c r="E29" s="72"/>
      <c r="F29" s="72"/>
      <c r="G29" s="72"/>
      <c r="H29" s="72"/>
      <c r="I29" s="72"/>
      <c r="J29" s="72"/>
      <c r="K29" s="72"/>
      <c r="L29" s="72"/>
      <c r="M29" s="72"/>
      <c r="N29" s="72"/>
      <c r="O29" s="72"/>
      <c r="P29" s="72"/>
      <c r="Q29" s="72"/>
      <c r="R29" s="72"/>
      <c r="S29" s="72"/>
      <c r="T29" s="72"/>
      <c r="U29" s="72"/>
      <c r="V29" s="72"/>
      <c r="W29" s="72"/>
      <c r="X29" s="72"/>
      <c r="Y29" s="72"/>
      <c r="Z29" s="72"/>
      <c r="AA29" s="72"/>
      <c r="AB29" s="72"/>
      <c r="AC29" s="72"/>
      <c r="AD29" s="72"/>
      <c r="AE29" s="220"/>
      <c r="AF29" s="72"/>
    </row>
    <row r="30" spans="1:35">
      <c r="A30" s="216" t="s">
        <v>335</v>
      </c>
      <c r="B30" s="217"/>
      <c r="C30" s="217"/>
      <c r="D30" s="217"/>
      <c r="E30" s="217"/>
      <c r="F30" s="217"/>
      <c r="G30" s="217"/>
      <c r="H30" s="217"/>
      <c r="I30" s="217"/>
      <c r="J30" s="217"/>
      <c r="K30" s="217"/>
      <c r="L30" s="217"/>
      <c r="M30" s="217"/>
      <c r="N30" s="217"/>
      <c r="O30" s="217"/>
      <c r="P30" s="217"/>
      <c r="Q30" s="217"/>
      <c r="R30" s="217"/>
      <c r="S30" s="217"/>
      <c r="T30" s="217"/>
      <c r="U30" s="217"/>
      <c r="V30" s="217"/>
      <c r="W30" s="217"/>
      <c r="X30" s="217"/>
      <c r="Y30" s="217"/>
      <c r="Z30" s="217"/>
      <c r="AA30" s="217"/>
      <c r="AB30" s="217"/>
      <c r="AC30" s="217"/>
      <c r="AD30" s="217"/>
      <c r="AE30" s="218"/>
      <c r="AF30" s="72"/>
    </row>
    <row r="31" spans="1:35">
      <c r="A31" s="216" t="s">
        <v>336</v>
      </c>
      <c r="B31" s="217"/>
      <c r="C31" s="217"/>
      <c r="D31" s="217"/>
      <c r="E31" s="217"/>
      <c r="F31" s="217"/>
      <c r="G31" s="217"/>
      <c r="H31" s="217"/>
      <c r="I31" s="217"/>
      <c r="J31" s="217"/>
      <c r="K31" s="217"/>
      <c r="L31" s="217"/>
      <c r="M31" s="217"/>
      <c r="N31" s="217"/>
      <c r="O31" s="217"/>
      <c r="P31" s="217"/>
      <c r="Q31" s="217"/>
      <c r="R31" s="217"/>
      <c r="S31" s="217"/>
      <c r="T31" s="217"/>
      <c r="U31" s="217"/>
      <c r="V31" s="217"/>
      <c r="W31" s="217"/>
      <c r="X31" s="217"/>
      <c r="Y31" s="217"/>
      <c r="Z31" s="217"/>
      <c r="AA31" s="217"/>
      <c r="AB31" s="217"/>
      <c r="AC31" s="217"/>
      <c r="AD31" s="217"/>
      <c r="AE31" s="218"/>
      <c r="AF31" s="72"/>
    </row>
    <row r="32" spans="1:35">
      <c r="A32" s="216" t="s">
        <v>337</v>
      </c>
      <c r="B32" s="217"/>
      <c r="C32" s="217"/>
      <c r="D32" s="217"/>
      <c r="E32" s="217"/>
      <c r="F32" s="217"/>
      <c r="G32" s="217"/>
      <c r="H32" s="217"/>
      <c r="I32" s="217"/>
      <c r="J32" s="217"/>
      <c r="K32" s="217"/>
      <c r="L32" s="217"/>
      <c r="M32" s="217"/>
      <c r="N32" s="217"/>
      <c r="O32" s="217"/>
      <c r="P32" s="217"/>
      <c r="Q32" s="217"/>
      <c r="R32" s="217"/>
      <c r="S32" s="217"/>
      <c r="T32" s="217"/>
      <c r="U32" s="217"/>
      <c r="V32" s="217"/>
      <c r="W32" s="217"/>
      <c r="X32" s="217"/>
      <c r="Y32" s="217"/>
      <c r="Z32" s="217"/>
      <c r="AA32" s="217"/>
      <c r="AB32" s="217"/>
      <c r="AC32" s="217"/>
      <c r="AD32" s="217"/>
      <c r="AE32" s="218"/>
      <c r="AF32" s="72"/>
    </row>
    <row r="33" spans="1:32">
      <c r="A33" s="216" t="s">
        <v>338</v>
      </c>
      <c r="B33" s="217"/>
      <c r="C33" s="217"/>
      <c r="D33" s="217"/>
      <c r="E33" s="217"/>
      <c r="F33" s="217"/>
      <c r="G33" s="217"/>
      <c r="H33" s="217"/>
      <c r="I33" s="217"/>
      <c r="J33" s="217"/>
      <c r="K33" s="217"/>
      <c r="L33" s="217"/>
      <c r="M33" s="217"/>
      <c r="N33" s="217"/>
      <c r="O33" s="217"/>
      <c r="P33" s="217"/>
      <c r="Q33" s="217"/>
      <c r="R33" s="217"/>
      <c r="S33" s="217"/>
      <c r="T33" s="217"/>
      <c r="U33" s="217"/>
      <c r="V33" s="217"/>
      <c r="W33" s="217"/>
      <c r="X33" s="217"/>
      <c r="Y33" s="217"/>
      <c r="Z33" s="217"/>
      <c r="AA33" s="217"/>
      <c r="AB33" s="217"/>
      <c r="AC33" s="217"/>
      <c r="AD33" s="217"/>
      <c r="AE33" s="218"/>
      <c r="AF33" s="72"/>
    </row>
    <row r="34" spans="1:32">
      <c r="A34" s="216" t="s">
        <v>339</v>
      </c>
      <c r="B34" s="217"/>
      <c r="C34" s="217"/>
      <c r="D34" s="217"/>
      <c r="E34" s="217"/>
      <c r="F34" s="217"/>
      <c r="G34" s="217"/>
      <c r="H34" s="217"/>
      <c r="I34" s="217"/>
      <c r="J34" s="217"/>
      <c r="K34" s="217"/>
      <c r="L34" s="217"/>
      <c r="M34" s="217"/>
      <c r="N34" s="217"/>
      <c r="O34" s="217"/>
      <c r="P34" s="217"/>
      <c r="Q34" s="217"/>
      <c r="R34" s="217"/>
      <c r="S34" s="217"/>
      <c r="T34" s="217"/>
      <c r="U34" s="217"/>
      <c r="V34" s="217"/>
      <c r="W34" s="217"/>
      <c r="X34" s="217"/>
      <c r="Y34" s="217"/>
      <c r="Z34" s="217"/>
      <c r="AA34" s="217"/>
      <c r="AB34" s="217"/>
      <c r="AC34" s="217"/>
      <c r="AD34" s="217"/>
      <c r="AE34" s="218"/>
      <c r="AF34" s="72"/>
    </row>
    <row r="35" spans="1:32">
      <c r="A35" s="216" t="s">
        <v>340</v>
      </c>
      <c r="B35" s="217"/>
      <c r="C35" s="217"/>
      <c r="D35" s="217"/>
      <c r="E35" s="217"/>
      <c r="F35" s="25"/>
      <c r="G35" s="25"/>
      <c r="H35" s="25"/>
      <c r="I35" s="25"/>
      <c r="J35" s="25"/>
      <c r="K35" s="25"/>
      <c r="L35" s="25"/>
      <c r="M35" s="25"/>
      <c r="N35" s="25"/>
      <c r="O35" s="25"/>
      <c r="P35" s="25"/>
      <c r="Q35" s="25"/>
      <c r="R35" s="25"/>
      <c r="S35" s="25"/>
      <c r="T35" s="25"/>
      <c r="U35" s="25"/>
      <c r="V35" s="25"/>
      <c r="W35" s="25"/>
      <c r="X35" s="25"/>
      <c r="Y35" s="25"/>
      <c r="Z35" s="25"/>
      <c r="AA35" s="25"/>
      <c r="AB35" s="25"/>
      <c r="AC35" s="25"/>
      <c r="AD35" s="25"/>
      <c r="AE35" s="12"/>
    </row>
    <row r="36" spans="1:32">
      <c r="A36" s="216" t="s">
        <v>341</v>
      </c>
      <c r="B36" s="217"/>
      <c r="C36" s="217"/>
      <c r="D36" s="217"/>
      <c r="E36" s="217"/>
      <c r="F36" s="25"/>
      <c r="G36" s="25"/>
      <c r="H36" s="25"/>
      <c r="I36" s="25"/>
      <c r="J36" s="25"/>
      <c r="K36" s="25"/>
      <c r="L36" s="25"/>
      <c r="M36" s="25"/>
      <c r="N36" s="25"/>
      <c r="O36" s="25"/>
      <c r="P36" s="25"/>
      <c r="Q36" s="25"/>
      <c r="R36" s="25"/>
      <c r="S36" s="25"/>
      <c r="T36" s="25"/>
      <c r="U36" s="25"/>
      <c r="V36" s="25"/>
      <c r="W36" s="25"/>
      <c r="X36" s="25"/>
      <c r="Y36" s="25"/>
      <c r="Z36" s="25"/>
      <c r="AA36" s="25"/>
      <c r="AB36" s="25"/>
      <c r="AC36" s="25"/>
      <c r="AD36" s="25"/>
      <c r="AE36" s="12"/>
    </row>
    <row r="37" spans="1:32">
      <c r="A37" s="216" t="s">
        <v>342</v>
      </c>
      <c r="B37" s="217"/>
      <c r="C37" s="217"/>
      <c r="D37" s="217"/>
      <c r="E37" s="217"/>
      <c r="F37" s="25"/>
      <c r="G37" s="25"/>
      <c r="H37" s="25"/>
      <c r="I37" s="25"/>
      <c r="J37" s="25"/>
      <c r="K37" s="25"/>
      <c r="L37" s="25"/>
      <c r="M37" s="25"/>
      <c r="N37" s="25"/>
      <c r="O37" s="25"/>
      <c r="P37" s="25"/>
      <c r="Q37" s="25"/>
      <c r="R37" s="25"/>
      <c r="S37" s="25"/>
      <c r="T37" s="25"/>
      <c r="U37" s="25"/>
      <c r="V37" s="25"/>
      <c r="W37" s="25"/>
      <c r="X37" s="25"/>
      <c r="Y37" s="25"/>
      <c r="Z37" s="25"/>
      <c r="AA37" s="25"/>
      <c r="AB37" s="25"/>
      <c r="AC37" s="25"/>
      <c r="AD37" s="25"/>
      <c r="AE37" s="12"/>
    </row>
    <row r="38" spans="1:32">
      <c r="A38" s="219" t="s">
        <v>221</v>
      </c>
      <c r="B38" s="72"/>
      <c r="C38" s="72"/>
      <c r="D38" s="72"/>
      <c r="E38" s="72"/>
      <c r="AE38" s="7"/>
    </row>
    <row r="39" spans="1:32">
      <c r="A39" s="221" t="s">
        <v>343</v>
      </c>
      <c r="B39" s="84"/>
      <c r="C39" s="84"/>
      <c r="D39" s="84"/>
      <c r="E39" s="84"/>
      <c r="F39" s="13"/>
      <c r="G39" s="13"/>
      <c r="H39" s="13"/>
      <c r="I39" s="13"/>
      <c r="J39" s="13"/>
      <c r="K39" s="13"/>
      <c r="L39" s="13"/>
      <c r="M39" s="13"/>
      <c r="N39" s="13"/>
      <c r="O39" s="13"/>
      <c r="P39" s="13"/>
      <c r="Q39" s="13"/>
      <c r="R39" s="13"/>
      <c r="S39" s="13"/>
      <c r="T39" s="13"/>
      <c r="U39" s="13"/>
      <c r="V39" s="13"/>
      <c r="W39" s="13"/>
      <c r="X39" s="13"/>
      <c r="Y39" s="13"/>
      <c r="Z39" s="13"/>
      <c r="AA39" s="13"/>
      <c r="AB39" s="13"/>
      <c r="AC39" s="13"/>
      <c r="AD39" s="13"/>
      <c r="AE39" s="5"/>
    </row>
    <row r="40" spans="1:32">
      <c r="A40" s="157"/>
    </row>
    <row r="41" spans="1:32">
      <c r="W41" s="1585" t="s">
        <v>440</v>
      </c>
      <c r="X41" s="1585"/>
      <c r="Y41" s="1585"/>
      <c r="Z41" s="1585"/>
      <c r="AA41" s="1585"/>
      <c r="AB41" s="1585"/>
      <c r="AC41" s="1585"/>
      <c r="AD41" s="1585"/>
    </row>
  </sheetData>
  <mergeCells count="19">
    <mergeCell ref="T6:AC6"/>
    <mergeCell ref="W41:AD41"/>
    <mergeCell ref="A1:AE1"/>
    <mergeCell ref="A2:AE2"/>
    <mergeCell ref="A3:AE3"/>
    <mergeCell ref="A19:G20"/>
    <mergeCell ref="A4:AE4"/>
    <mergeCell ref="D8:G8"/>
    <mergeCell ref="P8:S8"/>
    <mergeCell ref="T8:W8"/>
    <mergeCell ref="X8:AA8"/>
    <mergeCell ref="AB8:AE8"/>
    <mergeCell ref="H8:K8"/>
    <mergeCell ref="L8:O8"/>
    <mergeCell ref="A17:C17"/>
    <mergeCell ref="A9:A10"/>
    <mergeCell ref="B9:B10"/>
    <mergeCell ref="C9:C10"/>
    <mergeCell ref="B6:P6"/>
  </mergeCells>
  <phoneticPr fontId="3" type="noConversion"/>
  <hyperlinks>
    <hyperlink ref="W41" location="'TABLA DE CONTENIDO'!A1" display="VOLVER A TABLA DE CONTENIDO"/>
  </hyperlinks>
  <printOptions horizontalCentered="1" verticalCentered="1"/>
  <pageMargins left="0.47244094488188981" right="0.19685039370078741" top="0.78740157480314965" bottom="0.51181102362204722" header="0" footer="0"/>
  <pageSetup scale="86" orientation="landscape" horizontalDpi="300" verticalDpi="300" r:id="rId1"/>
  <headerFooter alignWithMargins="0"/>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C37"/>
  <sheetViews>
    <sheetView view="pageBreakPreview" zoomScaleNormal="100" zoomScaleSheetLayoutView="100" workbookViewId="0">
      <selection activeCell="T7" sqref="T7"/>
    </sheetView>
  </sheetViews>
  <sheetFormatPr baseColWidth="10" defaultRowHeight="12.75"/>
  <cols>
    <col min="1" max="1" width="7.140625" customWidth="1"/>
    <col min="2" max="2" width="7.5703125" customWidth="1"/>
    <col min="3" max="3" width="5.140625" customWidth="1"/>
    <col min="4" max="4" width="7.7109375" bestFit="1" customWidth="1"/>
    <col min="5" max="5" width="10" customWidth="1"/>
    <col min="6" max="17" width="7.7109375" customWidth="1"/>
  </cols>
  <sheetData>
    <row r="1" spans="1:29" s="136" customFormat="1" ht="19.5" customHeight="1">
      <c r="A1" s="1577" t="s">
        <v>0</v>
      </c>
      <c r="B1" s="1577"/>
      <c r="C1" s="1577"/>
      <c r="D1" s="1577"/>
      <c r="E1" s="1577"/>
      <c r="F1" s="1577"/>
      <c r="G1" s="1577"/>
      <c r="H1" s="1577"/>
      <c r="I1" s="1577"/>
      <c r="J1" s="1577"/>
      <c r="K1" s="1577"/>
      <c r="L1" s="1577"/>
      <c r="M1" s="1577"/>
      <c r="N1" s="1577"/>
      <c r="O1" s="1577"/>
      <c r="P1" s="1577"/>
      <c r="Q1" s="1577"/>
      <c r="R1" s="230"/>
      <c r="S1" s="230"/>
      <c r="T1" s="230"/>
      <c r="U1" s="230"/>
      <c r="V1" s="230"/>
      <c r="W1" s="230"/>
      <c r="X1" s="230"/>
      <c r="Y1" s="230"/>
      <c r="Z1" s="230"/>
      <c r="AA1" s="230"/>
      <c r="AB1" s="230"/>
      <c r="AC1" s="230"/>
    </row>
    <row r="2" spans="1:29" s="136" customFormat="1" ht="22.5" customHeight="1">
      <c r="A2" s="1576" t="s">
        <v>800</v>
      </c>
      <c r="B2" s="1576"/>
      <c r="C2" s="1576"/>
      <c r="D2" s="1576"/>
      <c r="E2" s="1576"/>
      <c r="F2" s="1576"/>
      <c r="G2" s="1576"/>
      <c r="H2" s="1576"/>
      <c r="I2" s="1576"/>
      <c r="J2" s="1576"/>
      <c r="K2" s="1576"/>
      <c r="L2" s="1576"/>
      <c r="M2" s="1576"/>
      <c r="N2" s="1576"/>
      <c r="O2" s="1576"/>
      <c r="P2" s="1576"/>
      <c r="Q2" s="1576"/>
      <c r="R2" s="230"/>
      <c r="S2" s="230"/>
      <c r="T2" s="230"/>
      <c r="U2" s="230"/>
      <c r="V2" s="230"/>
      <c r="W2" s="230"/>
      <c r="X2" s="230"/>
      <c r="Y2" s="230"/>
      <c r="Z2" s="230"/>
      <c r="AA2" s="230"/>
      <c r="AB2" s="230"/>
      <c r="AC2" s="230"/>
    </row>
    <row r="3" spans="1:29" s="136" customFormat="1" ht="19.5" customHeight="1">
      <c r="A3" s="1576" t="s">
        <v>448</v>
      </c>
      <c r="B3" s="1576"/>
      <c r="C3" s="1576"/>
      <c r="D3" s="1576"/>
      <c r="E3" s="1576"/>
      <c r="F3" s="1576"/>
      <c r="G3" s="1576"/>
      <c r="H3" s="1576"/>
      <c r="I3" s="1576"/>
      <c r="J3" s="1576"/>
      <c r="K3" s="1576"/>
      <c r="L3" s="1576"/>
      <c r="M3" s="1576"/>
      <c r="N3" s="1576"/>
      <c r="O3" s="1576"/>
      <c r="P3" s="1576"/>
      <c r="Q3" s="1576"/>
      <c r="R3" s="152"/>
      <c r="S3" s="152"/>
      <c r="T3" s="152"/>
      <c r="U3" s="152"/>
      <c r="V3" s="152"/>
      <c r="W3" s="152"/>
      <c r="X3" s="152"/>
      <c r="Y3" s="152"/>
      <c r="Z3" s="152"/>
      <c r="AA3" s="152"/>
      <c r="AB3" s="152"/>
      <c r="AC3" s="152"/>
    </row>
    <row r="4" spans="1:29" s="136" customFormat="1" ht="22.5" customHeight="1">
      <c r="A4" s="1576" t="s">
        <v>226</v>
      </c>
      <c r="B4" s="1576"/>
      <c r="C4" s="1576"/>
      <c r="D4" s="1576"/>
      <c r="E4" s="1576"/>
      <c r="F4" s="1576"/>
      <c r="G4" s="1576"/>
      <c r="H4" s="1576"/>
      <c r="I4" s="1576"/>
      <c r="J4" s="1576"/>
      <c r="K4" s="1576"/>
      <c r="L4" s="1576"/>
      <c r="M4" s="1576"/>
      <c r="N4" s="1576"/>
      <c r="O4" s="1576"/>
      <c r="P4" s="1576"/>
      <c r="Q4" s="1576"/>
      <c r="R4" s="152"/>
      <c r="S4" s="152"/>
      <c r="T4" s="152"/>
      <c r="U4" s="152"/>
      <c r="V4" s="152"/>
      <c r="W4" s="152"/>
      <c r="X4" s="152"/>
      <c r="Y4" s="152"/>
      <c r="Z4" s="152"/>
      <c r="AA4" s="152"/>
      <c r="AB4" s="152"/>
      <c r="AC4" s="152"/>
    </row>
    <row r="5" spans="1:29" s="136" customFormat="1" ht="12.75" customHeight="1">
      <c r="A5" s="152"/>
      <c r="B5" s="152"/>
      <c r="C5" s="152"/>
      <c r="D5" s="152"/>
      <c r="E5" s="152"/>
      <c r="F5" s="152"/>
      <c r="G5" s="152"/>
      <c r="H5" s="152"/>
      <c r="I5" s="152"/>
      <c r="J5" s="152"/>
      <c r="K5" s="152"/>
      <c r="L5" s="152"/>
      <c r="M5" s="152"/>
      <c r="N5" s="152"/>
      <c r="O5" s="152"/>
      <c r="P5" s="152"/>
      <c r="Q5" s="152"/>
    </row>
    <row r="6" spans="1:29" s="136" customFormat="1" ht="15.75">
      <c r="A6" s="152" t="s">
        <v>344</v>
      </c>
      <c r="B6" s="231"/>
      <c r="C6" s="2257" t="s">
        <v>807</v>
      </c>
      <c r="D6" s="2257"/>
      <c r="E6" s="2257"/>
      <c r="F6" s="2257"/>
      <c r="G6" s="2257"/>
      <c r="H6" s="231"/>
      <c r="J6" s="152" t="s">
        <v>345</v>
      </c>
      <c r="K6" s="231"/>
      <c r="L6" s="2257" t="s">
        <v>808</v>
      </c>
      <c r="M6" s="2257"/>
      <c r="N6" s="2257"/>
      <c r="O6" s="2257"/>
      <c r="P6" s="2257"/>
      <c r="Q6" s="231"/>
      <c r="R6" s="152"/>
      <c r="S6" s="152"/>
      <c r="T6" s="152"/>
      <c r="U6" s="152"/>
      <c r="V6" s="152"/>
      <c r="W6" s="152"/>
      <c r="X6" s="152"/>
      <c r="Y6" s="152"/>
      <c r="Z6" s="152"/>
      <c r="AA6" s="152"/>
      <c r="AB6" s="152"/>
      <c r="AC6" s="152"/>
    </row>
    <row r="7" spans="1:29" s="136" customFormat="1" ht="11.25" customHeight="1" thickBot="1">
      <c r="A7" s="152"/>
      <c r="B7" s="152"/>
      <c r="C7" s="152"/>
      <c r="D7" s="152"/>
      <c r="E7" s="152"/>
      <c r="F7" s="152"/>
      <c r="G7" s="152"/>
      <c r="H7" s="152"/>
      <c r="I7" s="152"/>
      <c r="J7" s="152"/>
      <c r="K7" s="152"/>
      <c r="L7" s="152"/>
      <c r="M7" s="152"/>
      <c r="N7" s="152"/>
      <c r="O7" s="152"/>
      <c r="P7" s="152"/>
      <c r="Q7" s="152"/>
    </row>
    <row r="8" spans="1:29" s="72" customFormat="1" ht="11.25">
      <c r="D8" s="2270" t="s">
        <v>350</v>
      </c>
      <c r="E8" s="2271"/>
      <c r="F8" s="2271"/>
      <c r="G8" s="2272"/>
      <c r="H8" s="2270" t="s">
        <v>351</v>
      </c>
      <c r="I8" s="2271"/>
      <c r="J8" s="2271"/>
      <c r="K8" s="2272"/>
      <c r="L8" s="2270" t="s">
        <v>352</v>
      </c>
      <c r="M8" s="2271"/>
      <c r="N8" s="2271"/>
      <c r="O8" s="2272"/>
      <c r="P8" s="2270" t="s">
        <v>223</v>
      </c>
      <c r="Q8" s="2272"/>
    </row>
    <row r="9" spans="1:29" s="72" customFormat="1" ht="12" thickBot="1">
      <c r="D9" s="2273"/>
      <c r="E9" s="2274"/>
      <c r="F9" s="2274"/>
      <c r="G9" s="2275"/>
      <c r="H9" s="2273"/>
      <c r="I9" s="2274"/>
      <c r="J9" s="2274"/>
      <c r="K9" s="2275"/>
      <c r="L9" s="2273"/>
      <c r="M9" s="2274"/>
      <c r="N9" s="2274"/>
      <c r="O9" s="2275"/>
      <c r="P9" s="2199"/>
      <c r="Q9" s="2276"/>
    </row>
    <row r="10" spans="1:29" ht="15">
      <c r="A10" s="2277" t="s">
        <v>187</v>
      </c>
      <c r="B10" s="2277" t="s">
        <v>188</v>
      </c>
      <c r="C10" s="2277" t="s">
        <v>189</v>
      </c>
      <c r="D10" s="254" t="s">
        <v>96</v>
      </c>
      <c r="E10" s="255" t="s">
        <v>97</v>
      </c>
      <c r="F10" s="255" t="s">
        <v>98</v>
      </c>
      <c r="G10" s="256" t="s">
        <v>324</v>
      </c>
      <c r="H10" s="257" t="s">
        <v>96</v>
      </c>
      <c r="I10" s="258" t="s">
        <v>97</v>
      </c>
      <c r="J10" s="258" t="s">
        <v>98</v>
      </c>
      <c r="K10" s="259" t="s">
        <v>324</v>
      </c>
      <c r="L10" s="257" t="s">
        <v>96</v>
      </c>
      <c r="M10" s="258" t="s">
        <v>97</v>
      </c>
      <c r="N10" s="258" t="s">
        <v>98</v>
      </c>
      <c r="O10" s="260" t="s">
        <v>324</v>
      </c>
      <c r="P10" s="257" t="s">
        <v>363</v>
      </c>
      <c r="Q10" s="261" t="s">
        <v>324</v>
      </c>
    </row>
    <row r="11" spans="1:29" s="111" customFormat="1" ht="15" thickBot="1">
      <c r="A11" s="2278"/>
      <c r="B11" s="2278"/>
      <c r="C11" s="2278"/>
      <c r="D11" s="262" t="s">
        <v>348</v>
      </c>
      <c r="E11" s="263" t="s">
        <v>348</v>
      </c>
      <c r="F11" s="263" t="s">
        <v>348</v>
      </c>
      <c r="G11" s="264" t="s">
        <v>348</v>
      </c>
      <c r="H11" s="262" t="s">
        <v>348</v>
      </c>
      <c r="I11" s="263" t="s">
        <v>348</v>
      </c>
      <c r="J11" s="263" t="s">
        <v>348</v>
      </c>
      <c r="K11" s="265" t="s">
        <v>348</v>
      </c>
      <c r="L11" s="262" t="s">
        <v>361</v>
      </c>
      <c r="M11" s="263" t="s">
        <v>361</v>
      </c>
      <c r="N11" s="263" t="s">
        <v>361</v>
      </c>
      <c r="O11" s="264" t="s">
        <v>361</v>
      </c>
      <c r="P11" s="262" t="s">
        <v>362</v>
      </c>
      <c r="Q11" s="265" t="s">
        <v>362</v>
      </c>
    </row>
    <row r="12" spans="1:29" ht="15" thickBot="1">
      <c r="A12" s="153" t="s">
        <v>190</v>
      </c>
      <c r="B12" s="153" t="s">
        <v>191</v>
      </c>
      <c r="C12" s="232" t="s">
        <v>192</v>
      </c>
      <c r="D12" s="266" t="s">
        <v>193</v>
      </c>
      <c r="E12" s="267" t="s">
        <v>194</v>
      </c>
      <c r="F12" s="267" t="s">
        <v>195</v>
      </c>
      <c r="G12" s="268" t="s">
        <v>196</v>
      </c>
      <c r="H12" s="266" t="s">
        <v>197</v>
      </c>
      <c r="I12" s="267" t="s">
        <v>198</v>
      </c>
      <c r="J12" s="267" t="s">
        <v>199</v>
      </c>
      <c r="K12" s="269" t="s">
        <v>200</v>
      </c>
      <c r="L12" s="266" t="s">
        <v>201</v>
      </c>
      <c r="M12" s="267" t="s">
        <v>202</v>
      </c>
      <c r="N12" s="267" t="s">
        <v>203</v>
      </c>
      <c r="O12" s="268" t="s">
        <v>204</v>
      </c>
      <c r="P12" s="266" t="s">
        <v>205</v>
      </c>
      <c r="Q12" s="269" t="s">
        <v>206</v>
      </c>
      <c r="S12" s="923"/>
      <c r="T12" s="923"/>
      <c r="U12" s="923"/>
      <c r="V12" s="923"/>
    </row>
    <row r="13" spans="1:29">
      <c r="A13" s="793" t="s">
        <v>576</v>
      </c>
      <c r="B13" s="794" t="s">
        <v>803</v>
      </c>
      <c r="C13" s="782">
        <v>3.48</v>
      </c>
      <c r="D13" s="795">
        <v>4500</v>
      </c>
      <c r="E13" s="796">
        <f>13500-4500</f>
        <v>9000</v>
      </c>
      <c r="F13" s="797"/>
      <c r="G13" s="798"/>
      <c r="H13" s="799">
        <v>0</v>
      </c>
      <c r="I13" s="797">
        <v>0</v>
      </c>
      <c r="J13" s="797">
        <v>0</v>
      </c>
      <c r="K13" s="800">
        <v>0</v>
      </c>
      <c r="L13" s="799"/>
      <c r="M13" s="797"/>
      <c r="N13" s="797"/>
      <c r="O13" s="798">
        <v>160</v>
      </c>
      <c r="P13" s="799">
        <v>0</v>
      </c>
      <c r="Q13" s="800">
        <f>174*2</f>
        <v>348</v>
      </c>
      <c r="S13" s="924">
        <f>+D13+E13</f>
        <v>13500</v>
      </c>
      <c r="T13" s="923"/>
      <c r="U13" s="923"/>
      <c r="V13" s="923"/>
    </row>
    <row r="14" spans="1:29">
      <c r="A14" s="107" t="s">
        <v>804</v>
      </c>
      <c r="B14" s="83" t="s">
        <v>805</v>
      </c>
      <c r="C14" s="787">
        <v>3.17</v>
      </c>
      <c r="D14" s="795">
        <f>3170*4</f>
        <v>12680</v>
      </c>
      <c r="E14" s="797"/>
      <c r="F14" s="797"/>
      <c r="G14" s="798"/>
      <c r="H14" s="799">
        <v>0</v>
      </c>
      <c r="I14" s="797">
        <v>0</v>
      </c>
      <c r="J14" s="797">
        <v>0</v>
      </c>
      <c r="K14" s="800">
        <v>0</v>
      </c>
      <c r="L14" s="799"/>
      <c r="M14" s="797">
        <v>0</v>
      </c>
      <c r="N14" s="797"/>
      <c r="O14" s="798">
        <v>0</v>
      </c>
      <c r="P14" s="799">
        <f>158.5*2</f>
        <v>317</v>
      </c>
      <c r="Q14" s="800">
        <v>0</v>
      </c>
      <c r="S14" s="923"/>
      <c r="T14" s="923"/>
      <c r="U14" s="923"/>
      <c r="V14" s="923"/>
    </row>
    <row r="15" spans="1:29">
      <c r="A15" s="107" t="s">
        <v>576</v>
      </c>
      <c r="B15" s="83" t="s">
        <v>803</v>
      </c>
      <c r="C15" s="787">
        <v>4.0599999999999996</v>
      </c>
      <c r="D15" s="795">
        <v>1136.8000000000002</v>
      </c>
      <c r="E15" s="797">
        <v>9744</v>
      </c>
      <c r="F15" s="869">
        <v>1299.2</v>
      </c>
      <c r="G15" s="798">
        <v>4060</v>
      </c>
      <c r="H15" s="799">
        <v>0</v>
      </c>
      <c r="I15" s="797">
        <v>0</v>
      </c>
      <c r="J15" s="797">
        <v>0</v>
      </c>
      <c r="K15" s="800">
        <v>0</v>
      </c>
      <c r="L15" s="799">
        <v>120</v>
      </c>
      <c r="M15" s="797"/>
      <c r="N15" s="797">
        <v>240</v>
      </c>
      <c r="O15" s="798">
        <v>0</v>
      </c>
      <c r="P15" s="799">
        <v>0</v>
      </c>
      <c r="Q15" s="800">
        <v>0</v>
      </c>
      <c r="S15" s="923"/>
      <c r="T15" s="923"/>
      <c r="U15" s="923"/>
      <c r="V15" s="923"/>
    </row>
    <row r="16" spans="1:29">
      <c r="A16" s="107" t="s">
        <v>806</v>
      </c>
      <c r="B16" s="83" t="s">
        <v>50</v>
      </c>
      <c r="C16" s="787">
        <v>44.77</v>
      </c>
      <c r="D16" s="795">
        <f>179080+14641-95000</f>
        <v>98721</v>
      </c>
      <c r="E16" s="869">
        <v>95000</v>
      </c>
      <c r="F16" s="797"/>
      <c r="G16" s="798"/>
      <c r="H16" s="799">
        <v>0</v>
      </c>
      <c r="I16" s="797">
        <v>0</v>
      </c>
      <c r="J16" s="797">
        <v>0</v>
      </c>
      <c r="K16" s="800">
        <v>0</v>
      </c>
      <c r="L16" s="799">
        <v>681</v>
      </c>
      <c r="M16" s="797">
        <v>160</v>
      </c>
      <c r="N16" s="797"/>
      <c r="O16" s="798">
        <v>0</v>
      </c>
      <c r="P16" s="799">
        <v>2000</v>
      </c>
      <c r="Q16" s="22">
        <v>2477</v>
      </c>
      <c r="S16" s="925">
        <f>+D16+E16</f>
        <v>193721</v>
      </c>
      <c r="T16" s="923"/>
      <c r="U16" s="923"/>
      <c r="V16" s="923"/>
    </row>
    <row r="17" spans="1:22" ht="13.5" thickBot="1">
      <c r="A17" s="108" t="s">
        <v>806</v>
      </c>
      <c r="B17" s="109" t="s">
        <v>51</v>
      </c>
      <c r="C17" s="792">
        <v>35.770000000000003</v>
      </c>
      <c r="D17" s="795">
        <v>1004</v>
      </c>
      <c r="E17" s="1371">
        <v>93826</v>
      </c>
      <c r="F17" s="797">
        <v>0</v>
      </c>
      <c r="G17" s="798"/>
      <c r="H17" s="802">
        <v>0</v>
      </c>
      <c r="I17" s="801">
        <v>0</v>
      </c>
      <c r="J17" s="801">
        <v>0</v>
      </c>
      <c r="K17" s="803">
        <v>0</v>
      </c>
      <c r="L17" s="802">
        <v>219</v>
      </c>
      <c r="M17" s="801">
        <v>182</v>
      </c>
      <c r="N17" s="801"/>
      <c r="O17" s="804">
        <v>0</v>
      </c>
      <c r="P17" s="802">
        <v>3577</v>
      </c>
      <c r="Q17" s="89">
        <v>70</v>
      </c>
      <c r="S17" s="925">
        <v>35770</v>
      </c>
      <c r="T17" s="923">
        <f>+S17*4</f>
        <v>143080</v>
      </c>
      <c r="U17" s="926">
        <v>0.14285714285714285</v>
      </c>
      <c r="V17" s="923"/>
    </row>
    <row r="18" spans="1:22" ht="13.5" thickBot="1">
      <c r="A18" s="2279" t="s">
        <v>217</v>
      </c>
      <c r="B18" s="2280"/>
      <c r="C18" s="2281"/>
      <c r="D18" s="805">
        <f t="shared" ref="D18:Q18" si="0">SUM(D13:D17)</f>
        <v>118041.8</v>
      </c>
      <c r="E18" s="806">
        <f t="shared" si="0"/>
        <v>207570</v>
      </c>
      <c r="F18" s="807">
        <f t="shared" si="0"/>
        <v>1299.2</v>
      </c>
      <c r="G18" s="808">
        <f t="shared" si="0"/>
        <v>4060</v>
      </c>
      <c r="H18" s="805">
        <f t="shared" si="0"/>
        <v>0</v>
      </c>
      <c r="I18" s="807">
        <f t="shared" si="0"/>
        <v>0</v>
      </c>
      <c r="J18" s="807">
        <f t="shared" si="0"/>
        <v>0</v>
      </c>
      <c r="K18" s="808">
        <f t="shared" si="0"/>
        <v>0</v>
      </c>
      <c r="L18" s="805">
        <f t="shared" si="0"/>
        <v>1020</v>
      </c>
      <c r="M18" s="807">
        <f t="shared" si="0"/>
        <v>342</v>
      </c>
      <c r="N18" s="807">
        <f t="shared" si="0"/>
        <v>240</v>
      </c>
      <c r="O18" s="808">
        <f t="shared" si="0"/>
        <v>160</v>
      </c>
      <c r="P18" s="805">
        <f t="shared" si="0"/>
        <v>5894</v>
      </c>
      <c r="Q18" s="809">
        <f t="shared" si="0"/>
        <v>2895</v>
      </c>
      <c r="S18" s="925">
        <f>+S17/20</f>
        <v>1788.5</v>
      </c>
      <c r="T18" s="923">
        <f>+S18*2</f>
        <v>3577</v>
      </c>
      <c r="U18" s="923"/>
      <c r="V18" s="923"/>
    </row>
    <row r="19" spans="1:22">
      <c r="S19" s="923"/>
      <c r="T19" s="923"/>
      <c r="U19" s="923"/>
      <c r="V19" s="923"/>
    </row>
    <row r="20" spans="1:22">
      <c r="A20" s="158" t="s">
        <v>218</v>
      </c>
      <c r="B20" s="130"/>
      <c r="C20" s="130"/>
      <c r="D20" s="130"/>
      <c r="E20" s="130"/>
      <c r="F20" s="130"/>
      <c r="G20" s="130"/>
      <c r="H20" s="130"/>
      <c r="I20" s="130"/>
      <c r="J20" s="130"/>
      <c r="K20" s="130"/>
      <c r="L20" s="130"/>
      <c r="M20" s="130"/>
      <c r="N20" s="130"/>
      <c r="O20" s="130"/>
      <c r="P20" s="130"/>
      <c r="Q20" s="130"/>
      <c r="S20" s="927"/>
      <c r="T20" s="923"/>
      <c r="U20" s="923"/>
      <c r="V20" s="923"/>
    </row>
    <row r="21" spans="1:22">
      <c r="A21" s="154" t="s">
        <v>328</v>
      </c>
      <c r="B21" s="13"/>
      <c r="C21" s="13"/>
      <c r="D21" s="13"/>
      <c r="E21" s="13"/>
      <c r="F21" s="13"/>
      <c r="G21" s="13"/>
      <c r="H21" s="13"/>
      <c r="I21" s="13"/>
      <c r="J21" s="13"/>
      <c r="K21" s="13"/>
      <c r="L21" s="13"/>
      <c r="M21" s="13"/>
      <c r="N21" s="13"/>
      <c r="O21" s="13"/>
      <c r="P21" s="13"/>
      <c r="Q21" s="5"/>
    </row>
    <row r="22" spans="1:22">
      <c r="A22" s="154" t="s">
        <v>329</v>
      </c>
      <c r="B22" s="13"/>
      <c r="C22" s="13"/>
      <c r="D22" s="13"/>
      <c r="E22" s="13"/>
      <c r="F22" s="13"/>
      <c r="G22" s="13"/>
      <c r="H22" s="13"/>
      <c r="I22" s="13"/>
      <c r="J22" s="13"/>
      <c r="K22" s="13"/>
      <c r="L22" s="13"/>
      <c r="M22" s="13"/>
      <c r="N22" s="13"/>
      <c r="O22" s="13"/>
      <c r="P22" s="13"/>
      <c r="Q22" s="5"/>
    </row>
    <row r="23" spans="1:22">
      <c r="A23" s="155" t="s">
        <v>219</v>
      </c>
      <c r="B23" s="25"/>
      <c r="C23" s="25"/>
      <c r="D23" s="25"/>
      <c r="E23" s="25"/>
      <c r="F23" s="25"/>
      <c r="G23" s="25"/>
      <c r="H23" s="25"/>
      <c r="I23" s="25"/>
      <c r="J23" s="25"/>
      <c r="K23" s="25"/>
      <c r="L23" s="25"/>
      <c r="M23" s="25"/>
      <c r="N23" s="25"/>
      <c r="O23" s="25"/>
      <c r="P23" s="25"/>
      <c r="Q23" s="12"/>
    </row>
    <row r="24" spans="1:22">
      <c r="A24" s="155" t="s">
        <v>365</v>
      </c>
      <c r="B24" s="25"/>
      <c r="C24" s="25"/>
      <c r="D24" s="25"/>
      <c r="E24" s="25"/>
      <c r="F24" s="25"/>
      <c r="G24" s="25"/>
      <c r="H24" s="25"/>
      <c r="I24" s="25"/>
      <c r="J24" s="25"/>
      <c r="K24" s="25"/>
      <c r="L24" s="25"/>
      <c r="M24" s="25"/>
      <c r="N24" s="25"/>
      <c r="O24" s="25"/>
      <c r="P24" s="25"/>
      <c r="Q24" s="12"/>
    </row>
    <row r="25" spans="1:22">
      <c r="A25" s="155" t="s">
        <v>353</v>
      </c>
      <c r="B25" s="25"/>
      <c r="C25" s="25"/>
      <c r="D25" s="25"/>
      <c r="E25" s="25"/>
      <c r="F25" s="25"/>
      <c r="G25" s="25"/>
      <c r="H25" s="25"/>
      <c r="I25" s="25"/>
      <c r="J25" s="25"/>
      <c r="K25" s="25"/>
      <c r="L25" s="25"/>
      <c r="M25" s="25"/>
      <c r="N25" s="25"/>
      <c r="O25" s="25"/>
      <c r="P25" s="25"/>
      <c r="Q25" s="12"/>
    </row>
    <row r="26" spans="1:22">
      <c r="A26" s="156"/>
      <c r="B26" s="3" t="s">
        <v>224</v>
      </c>
      <c r="C26" s="3"/>
      <c r="D26" s="3"/>
      <c r="E26" s="3"/>
      <c r="F26" s="3"/>
      <c r="G26" s="3"/>
      <c r="H26" s="3"/>
      <c r="I26" s="3"/>
      <c r="J26" s="3"/>
      <c r="K26" s="3"/>
      <c r="L26" s="3"/>
      <c r="M26" s="3"/>
      <c r="N26" s="3"/>
      <c r="O26" s="3"/>
      <c r="P26" s="3"/>
      <c r="Q26" s="4"/>
    </row>
    <row r="27" spans="1:22">
      <c r="A27" s="155" t="s">
        <v>364</v>
      </c>
      <c r="B27" s="25"/>
      <c r="C27" s="25"/>
      <c r="D27" s="25"/>
      <c r="E27" s="25"/>
      <c r="F27" s="25"/>
      <c r="G27" s="25"/>
      <c r="H27" s="25"/>
      <c r="I27" s="25"/>
      <c r="J27" s="25"/>
      <c r="K27" s="25"/>
      <c r="L27" s="25"/>
      <c r="M27" s="25"/>
      <c r="N27" s="25"/>
      <c r="O27" s="25"/>
      <c r="P27" s="25"/>
      <c r="Q27" s="12"/>
    </row>
    <row r="28" spans="1:22">
      <c r="A28" s="156"/>
      <c r="B28" s="159" t="s">
        <v>225</v>
      </c>
      <c r="C28" s="3"/>
      <c r="D28" s="3"/>
      <c r="E28" s="3"/>
      <c r="F28" s="3"/>
      <c r="G28" s="3"/>
      <c r="H28" s="3"/>
      <c r="I28" s="3"/>
      <c r="J28" s="3"/>
      <c r="K28" s="3"/>
      <c r="L28" s="3"/>
      <c r="M28" s="3"/>
      <c r="N28" s="3"/>
      <c r="O28" s="3"/>
      <c r="P28" s="3"/>
      <c r="Q28" s="4"/>
    </row>
    <row r="29" spans="1:22">
      <c r="A29" s="14" t="s">
        <v>354</v>
      </c>
      <c r="B29" s="13"/>
      <c r="C29" s="13"/>
      <c r="D29" s="13"/>
      <c r="E29" s="13"/>
      <c r="F29" s="13"/>
      <c r="G29" s="13"/>
      <c r="H29" s="13"/>
      <c r="I29" s="13"/>
      <c r="J29" s="13"/>
      <c r="K29" s="13"/>
      <c r="L29" s="13"/>
      <c r="M29" s="13"/>
      <c r="N29" s="13"/>
      <c r="O29" s="13"/>
      <c r="P29" s="13"/>
      <c r="Q29" s="5"/>
    </row>
    <row r="30" spans="1:22">
      <c r="A30" s="155" t="s">
        <v>355</v>
      </c>
      <c r="B30" s="13"/>
      <c r="C30" s="13"/>
      <c r="D30" s="13"/>
      <c r="E30" s="13"/>
      <c r="F30" s="13"/>
      <c r="G30" s="13"/>
      <c r="H30" s="13"/>
      <c r="I30" s="13"/>
      <c r="J30" s="13"/>
      <c r="K30" s="13"/>
      <c r="L30" s="13"/>
      <c r="M30" s="13"/>
      <c r="N30" s="13"/>
      <c r="O30" s="13"/>
      <c r="P30" s="13"/>
      <c r="Q30" s="5"/>
    </row>
    <row r="31" spans="1:22">
      <c r="A31" s="155" t="s">
        <v>356</v>
      </c>
      <c r="B31" s="13"/>
      <c r="C31" s="13"/>
      <c r="D31" s="13"/>
      <c r="E31" s="13"/>
      <c r="F31" s="13"/>
      <c r="G31" s="13"/>
      <c r="H31" s="13"/>
      <c r="I31" s="13"/>
      <c r="J31" s="13"/>
      <c r="K31" s="13"/>
      <c r="L31" s="13"/>
      <c r="M31" s="13"/>
      <c r="N31" s="13"/>
      <c r="O31" s="13"/>
      <c r="P31" s="13"/>
      <c r="Q31" s="5"/>
    </row>
    <row r="32" spans="1:22">
      <c r="A32" s="155" t="s">
        <v>357</v>
      </c>
      <c r="B32" s="13"/>
      <c r="C32" s="13"/>
      <c r="D32" s="13"/>
      <c r="E32" s="13"/>
      <c r="F32" s="13"/>
      <c r="G32" s="13"/>
      <c r="H32" s="13"/>
      <c r="I32" s="13"/>
      <c r="J32" s="13"/>
      <c r="K32" s="13"/>
      <c r="L32" s="13"/>
      <c r="M32" s="13"/>
      <c r="N32" s="13"/>
      <c r="O32" s="13"/>
      <c r="P32" s="13"/>
      <c r="Q32" s="5"/>
    </row>
    <row r="33" spans="1:17">
      <c r="A33" s="154" t="s">
        <v>358</v>
      </c>
      <c r="B33" s="13"/>
      <c r="C33" s="13"/>
      <c r="D33" s="13"/>
      <c r="E33" s="13"/>
      <c r="F33" s="13"/>
      <c r="G33" s="13"/>
      <c r="H33" s="13"/>
      <c r="I33" s="13"/>
      <c r="J33" s="13"/>
      <c r="K33" s="13"/>
      <c r="L33" s="13"/>
      <c r="M33" s="13"/>
      <c r="N33" s="13"/>
      <c r="O33" s="13"/>
      <c r="P33" s="13"/>
      <c r="Q33" s="5"/>
    </row>
    <row r="34" spans="1:17">
      <c r="A34" s="14" t="s">
        <v>359</v>
      </c>
      <c r="B34" s="13"/>
      <c r="C34" s="13"/>
      <c r="D34" s="13"/>
      <c r="E34" s="13"/>
      <c r="F34" s="13"/>
      <c r="G34" s="13"/>
      <c r="H34" s="13"/>
      <c r="I34" s="13"/>
      <c r="J34" s="13"/>
      <c r="K34" s="13"/>
      <c r="L34" s="13"/>
      <c r="M34" s="13"/>
      <c r="N34" s="13"/>
      <c r="O34" s="13"/>
      <c r="P34" s="13"/>
      <c r="Q34" s="5"/>
    </row>
    <row r="35" spans="1:17">
      <c r="A35" s="14" t="s">
        <v>360</v>
      </c>
      <c r="B35" s="13"/>
      <c r="C35" s="13"/>
      <c r="D35" s="13"/>
      <c r="E35" s="13"/>
      <c r="F35" s="13"/>
      <c r="G35" s="13"/>
      <c r="H35" s="13"/>
      <c r="I35" s="13"/>
      <c r="J35" s="13"/>
      <c r="K35" s="13"/>
      <c r="L35" s="13"/>
      <c r="M35" s="13"/>
      <c r="N35" s="13"/>
      <c r="O35" s="13"/>
      <c r="P35" s="13"/>
      <c r="Q35" s="5"/>
    </row>
    <row r="36" spans="1:17">
      <c r="A36" s="157"/>
    </row>
    <row r="37" spans="1:17">
      <c r="N37" s="1585" t="s">
        <v>440</v>
      </c>
      <c r="O37" s="1585"/>
      <c r="P37" s="1585"/>
      <c r="Q37" s="1585"/>
    </row>
  </sheetData>
  <mergeCells count="15">
    <mergeCell ref="A10:A11"/>
    <mergeCell ref="B10:B11"/>
    <mergeCell ref="C10:C11"/>
    <mergeCell ref="N37:Q37"/>
    <mergeCell ref="A18:C18"/>
    <mergeCell ref="A1:Q1"/>
    <mergeCell ref="A2:Q2"/>
    <mergeCell ref="A3:Q3"/>
    <mergeCell ref="A4:Q4"/>
    <mergeCell ref="D8:G9"/>
    <mergeCell ref="H8:K9"/>
    <mergeCell ref="L8:O9"/>
    <mergeCell ref="P8:Q9"/>
    <mergeCell ref="C6:G6"/>
    <mergeCell ref="L6:P6"/>
  </mergeCells>
  <phoneticPr fontId="3" type="noConversion"/>
  <hyperlinks>
    <hyperlink ref="N37" location="'TABLA DE CONTENIDO'!A1" display="VOLVER A TABLA DE CONTENIDO"/>
  </hyperlinks>
  <printOptions horizontalCentered="1" verticalCentered="1"/>
  <pageMargins left="0.59055118110236227" right="0.39370078740157483" top="0.78740157480314965" bottom="0.78740157480314965" header="0" footer="0"/>
  <pageSetup scale="96" orientation="landscape" horizontalDpi="300" verticalDpi="300" r:id="rId1"/>
  <headerFooter alignWithMargins="0"/>
  <ignoredErrors>
    <ignoredError sqref="A12:Q12" numberStoredAsText="1"/>
  </ignoredErrors>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30"/>
  <sheetViews>
    <sheetView showGridLines="0" view="pageBreakPreview" zoomScaleNormal="75" zoomScaleSheetLayoutView="100" workbookViewId="0">
      <selection activeCell="C12" sqref="C12"/>
    </sheetView>
  </sheetViews>
  <sheetFormatPr baseColWidth="10" defaultRowHeight="12.75"/>
  <cols>
    <col min="1" max="1" width="11.42578125" style="853" customWidth="1"/>
    <col min="2" max="2" width="11.7109375" style="546" customWidth="1"/>
    <col min="3" max="3" width="21.28515625" style="546" customWidth="1"/>
    <col min="4" max="4" width="8.28515625" style="546" customWidth="1"/>
    <col min="5" max="5" width="9.140625" style="546" customWidth="1"/>
    <col min="6" max="6" width="10.28515625" style="546" customWidth="1"/>
    <col min="7" max="7" width="12.28515625" style="546" customWidth="1"/>
    <col min="8" max="8" width="22.5703125" style="546" customWidth="1"/>
    <col min="9" max="9" width="26.28515625" style="546" customWidth="1"/>
    <col min="10" max="10" width="22.140625" style="546" customWidth="1"/>
    <col min="11" max="11" width="1.42578125" style="546" customWidth="1"/>
    <col min="12" max="16384" width="11.42578125" style="546"/>
  </cols>
  <sheetData>
    <row r="1" spans="1:15" ht="23.25">
      <c r="A1" s="2284" t="s">
        <v>0</v>
      </c>
      <c r="B1" s="2284"/>
      <c r="C1" s="2284"/>
      <c r="D1" s="2284"/>
      <c r="E1" s="2284"/>
      <c r="F1" s="2284"/>
      <c r="G1" s="2284"/>
      <c r="H1" s="2284"/>
      <c r="I1" s="2284"/>
      <c r="J1" s="2284"/>
    </row>
    <row r="2" spans="1:15" ht="18">
      <c r="A2" s="2285" t="s">
        <v>525</v>
      </c>
      <c r="B2" s="2286"/>
      <c r="C2" s="2286"/>
      <c r="D2" s="2286"/>
      <c r="E2" s="2286"/>
      <c r="F2" s="2286"/>
      <c r="G2" s="2286"/>
      <c r="H2" s="2286"/>
      <c r="I2" s="2286"/>
      <c r="J2" s="2286"/>
    </row>
    <row r="3" spans="1:15" ht="7.5" customHeight="1">
      <c r="A3" s="546"/>
    </row>
    <row r="4" spans="1:15" ht="18">
      <c r="A4" s="2285" t="s">
        <v>843</v>
      </c>
      <c r="B4" s="2285"/>
      <c r="C4" s="2285"/>
      <c r="D4" s="2285"/>
      <c r="E4" s="2285"/>
      <c r="F4" s="2285"/>
      <c r="G4" s="2285"/>
      <c r="H4" s="2285"/>
      <c r="I4" s="2285"/>
      <c r="J4" s="2285"/>
    </row>
    <row r="5" spans="1:15" ht="9" customHeight="1">
      <c r="A5" s="546"/>
    </row>
    <row r="6" spans="1:15" ht="18">
      <c r="A6" s="2285" t="s">
        <v>1466</v>
      </c>
      <c r="B6" s="2285"/>
      <c r="C6" s="2285"/>
      <c r="D6" s="2285"/>
      <c r="E6" s="2285"/>
      <c r="F6" s="2285"/>
      <c r="G6" s="2285"/>
      <c r="H6" s="2285"/>
      <c r="I6" s="2285"/>
      <c r="J6" s="2285"/>
    </row>
    <row r="7" spans="1:15" ht="12.75" customHeight="1"/>
    <row r="8" spans="1:15">
      <c r="A8" s="1373" t="s">
        <v>1074</v>
      </c>
      <c r="C8" s="546" t="str">
        <f>'CUMPLIMIENTO % '!C7</f>
        <v>LUIS GABRIEL IBARRA ANGEL</v>
      </c>
      <c r="H8" s="139" t="s">
        <v>409</v>
      </c>
      <c r="I8" s="2134" t="str">
        <f>PORTADA!C31</f>
        <v>OCTUBRE - DICIEMBRE DEL 2020</v>
      </c>
      <c r="J8" s="2134"/>
      <c r="K8" s="591"/>
      <c r="L8" s="591"/>
      <c r="M8" s="591"/>
      <c r="N8" s="591"/>
      <c r="O8" s="591"/>
    </row>
    <row r="9" spans="1:15">
      <c r="A9" s="546"/>
      <c r="H9" s="854"/>
      <c r="I9" s="854"/>
      <c r="J9" s="854"/>
    </row>
    <row r="10" spans="1:15" ht="25.5">
      <c r="A10" s="966" t="s">
        <v>34</v>
      </c>
      <c r="B10" s="966" t="s">
        <v>43</v>
      </c>
      <c r="C10" s="767" t="s">
        <v>6</v>
      </c>
      <c r="D10" s="767" t="s">
        <v>7</v>
      </c>
      <c r="E10" s="767" t="s">
        <v>24</v>
      </c>
      <c r="F10" s="767" t="s">
        <v>182</v>
      </c>
      <c r="G10" s="967" t="s">
        <v>183</v>
      </c>
      <c r="H10" s="967" t="s">
        <v>44</v>
      </c>
      <c r="I10" s="967" t="s">
        <v>231</v>
      </c>
      <c r="J10" s="967" t="s">
        <v>45</v>
      </c>
    </row>
    <row r="11" spans="1:15" s="590" customFormat="1" ht="33.75" customHeight="1">
      <c r="A11" s="955">
        <v>44125</v>
      </c>
      <c r="B11" s="1535">
        <v>0.73958333333333337</v>
      </c>
      <c r="C11" s="704" t="s">
        <v>557</v>
      </c>
      <c r="D11" s="306">
        <v>3603</v>
      </c>
      <c r="E11" s="1042" t="s">
        <v>562</v>
      </c>
      <c r="F11" s="1042">
        <v>1</v>
      </c>
      <c r="G11" s="1042">
        <v>2</v>
      </c>
      <c r="H11" s="1042" t="s">
        <v>1467</v>
      </c>
      <c r="I11" s="1042" t="s">
        <v>1468</v>
      </c>
      <c r="J11" s="1042" t="s">
        <v>1469</v>
      </c>
    </row>
    <row r="12" spans="1:15" s="963" customFormat="1" ht="33.75" customHeight="1">
      <c r="A12" s="955"/>
      <c r="B12" s="956"/>
      <c r="C12" s="704"/>
      <c r="D12" s="306"/>
      <c r="E12" s="1033"/>
      <c r="F12" s="1033"/>
      <c r="G12" s="1033"/>
      <c r="H12" s="1033"/>
      <c r="I12" s="1033"/>
      <c r="J12" s="1033"/>
    </row>
    <row r="13" spans="1:15" s="590" customFormat="1" ht="33.950000000000003" customHeight="1">
      <c r="A13" s="968"/>
      <c r="B13" s="1032"/>
      <c r="C13" s="704"/>
      <c r="D13" s="306"/>
      <c r="E13" s="306"/>
      <c r="F13" s="306"/>
      <c r="G13" s="704"/>
      <c r="H13" s="704"/>
      <c r="I13" s="704"/>
      <c r="J13" s="704"/>
    </row>
    <row r="14" spans="1:15" s="590" customFormat="1" ht="33.950000000000003" customHeight="1">
      <c r="A14" s="878"/>
      <c r="B14" s="1032"/>
      <c r="C14" s="704"/>
      <c r="D14" s="306"/>
      <c r="E14" s="1033"/>
      <c r="F14" s="1033"/>
      <c r="G14" s="1033"/>
      <c r="H14" s="1033"/>
      <c r="I14" s="1033"/>
      <c r="J14" s="1033"/>
    </row>
    <row r="15" spans="1:15" s="590" customFormat="1" ht="33.950000000000003" customHeight="1">
      <c r="A15" s="968"/>
      <c r="B15" s="1032"/>
      <c r="C15" s="704"/>
      <c r="D15" s="306"/>
      <c r="E15" s="306"/>
      <c r="F15" s="306"/>
      <c r="G15" s="704"/>
      <c r="H15" s="704"/>
      <c r="I15" s="704"/>
      <c r="J15" s="704"/>
    </row>
    <row r="16" spans="1:15" s="963" customFormat="1" ht="33.950000000000003" customHeight="1">
      <c r="A16" s="878"/>
      <c r="B16" s="1032"/>
      <c r="C16" s="21"/>
      <c r="D16" s="21"/>
      <c r="E16" s="21"/>
      <c r="F16" s="21"/>
      <c r="G16" s="21"/>
      <c r="H16" s="21"/>
      <c r="I16" s="21"/>
      <c r="J16" s="704"/>
    </row>
    <row r="17" spans="1:10" ht="25.5" customHeight="1">
      <c r="A17" s="2283" t="s">
        <v>1349</v>
      </c>
      <c r="B17" s="2283"/>
      <c r="C17" s="2283"/>
      <c r="D17" s="2283"/>
      <c r="E17" s="2283"/>
      <c r="F17" s="2283"/>
      <c r="G17" s="2283"/>
      <c r="H17" s="2283"/>
      <c r="I17" s="2283"/>
      <c r="J17" s="2283"/>
    </row>
    <row r="18" spans="1:10" ht="25.5" customHeight="1">
      <c r="A18" s="855" t="s">
        <v>810</v>
      </c>
      <c r="B18" s="589"/>
      <c r="C18" s="589" t="s">
        <v>1293</v>
      </c>
    </row>
    <row r="19" spans="1:10" ht="12.75" customHeight="1">
      <c r="A19" s="855" t="s">
        <v>81</v>
      </c>
      <c r="B19" s="589"/>
      <c r="C19" s="589" t="s">
        <v>1294</v>
      </c>
    </row>
    <row r="20" spans="1:10">
      <c r="A20" s="855" t="s">
        <v>82</v>
      </c>
      <c r="B20" s="589"/>
      <c r="C20" s="589" t="s">
        <v>1295</v>
      </c>
    </row>
    <row r="22" spans="1:10">
      <c r="A22" s="2282"/>
      <c r="B22" s="2282"/>
      <c r="C22" s="2282"/>
      <c r="D22" s="2282"/>
      <c r="E22" s="2282"/>
      <c r="F22" s="2282"/>
      <c r="G22" s="2282"/>
      <c r="H22" s="2282"/>
      <c r="I22" s="2282"/>
      <c r="J22" s="2282"/>
    </row>
    <row r="24" spans="1:10">
      <c r="I24" s="390" t="s">
        <v>440</v>
      </c>
    </row>
    <row r="30" spans="1:10">
      <c r="F30" s="546" t="s">
        <v>54</v>
      </c>
    </row>
  </sheetData>
  <mergeCells count="7">
    <mergeCell ref="A22:J22"/>
    <mergeCell ref="A17:J17"/>
    <mergeCell ref="A1:J1"/>
    <mergeCell ref="A2:J2"/>
    <mergeCell ref="A4:J4"/>
    <mergeCell ref="A6:J6"/>
    <mergeCell ref="I8:J8"/>
  </mergeCells>
  <dataValidations count="1">
    <dataValidation allowBlank="1" showErrorMessage="1" errorTitle="Calzada" error="Seleccione de la lista desplegable." promptTitle="Calzada" prompt="Distancia al PR del accidente." sqref="A11:B11"/>
  </dataValidations>
  <hyperlinks>
    <hyperlink ref="I24" location="'TABLA DE CONTENIDO'!A1" display="VOLVER A TABLA DE CONTENIDO"/>
  </hyperlinks>
  <printOptions horizontalCentered="1" verticalCentered="1"/>
  <pageMargins left="0.31496062992125984" right="0.31496062992125984" top="0.59055118110236227" bottom="0.59055118110236227" header="0.31496062992125984" footer="0.51181102362204722"/>
  <pageSetup scale="82" orientation="landscape" r:id="rId1"/>
  <headerFooter alignWithMargins="0"/>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41"/>
  <sheetViews>
    <sheetView showGridLines="0" view="pageBreakPreview" zoomScaleNormal="75" zoomScaleSheetLayoutView="100" workbookViewId="0">
      <selection activeCell="A9" sqref="A9:J9"/>
    </sheetView>
  </sheetViews>
  <sheetFormatPr baseColWidth="10" defaultRowHeight="12.75"/>
  <cols>
    <col min="1" max="1" width="10.85546875" style="853" customWidth="1"/>
    <col min="2" max="2" width="13.85546875" style="546" customWidth="1"/>
    <col min="3" max="3" width="19.28515625" style="546" customWidth="1"/>
    <col min="4" max="4" width="8.85546875" style="546" customWidth="1"/>
    <col min="5" max="5" width="9.140625" style="546" customWidth="1"/>
    <col min="6" max="6" width="10.28515625" style="546" customWidth="1"/>
    <col min="7" max="7" width="12.28515625" style="546" customWidth="1"/>
    <col min="8" max="8" width="22.85546875" style="546" customWidth="1"/>
    <col min="9" max="9" width="23.28515625" style="546" customWidth="1"/>
    <col min="10" max="10" width="24.5703125" style="546" customWidth="1"/>
    <col min="11" max="11" width="1.42578125" style="546" customWidth="1"/>
    <col min="12" max="16384" width="11.42578125" style="546"/>
  </cols>
  <sheetData>
    <row r="1" spans="1:15" ht="23.25">
      <c r="A1" s="2284" t="s">
        <v>0</v>
      </c>
      <c r="B1" s="2284"/>
      <c r="C1" s="2284"/>
      <c r="D1" s="2284"/>
      <c r="E1" s="2284"/>
      <c r="F1" s="2284"/>
      <c r="G1" s="2284"/>
      <c r="H1" s="2284"/>
      <c r="I1" s="2284"/>
      <c r="J1" s="2284"/>
    </row>
    <row r="2" spans="1:15" ht="18">
      <c r="A2" s="2285" t="s">
        <v>525</v>
      </c>
      <c r="B2" s="2286"/>
      <c r="C2" s="2286"/>
      <c r="D2" s="2286"/>
      <c r="E2" s="2286"/>
      <c r="F2" s="2286"/>
      <c r="G2" s="2286"/>
      <c r="H2" s="2286"/>
      <c r="I2" s="2286"/>
      <c r="J2" s="2286"/>
    </row>
    <row r="3" spans="1:15" ht="18">
      <c r="A3" s="2285" t="s">
        <v>843</v>
      </c>
      <c r="B3" s="2285"/>
      <c r="C3" s="2285"/>
      <c r="D3" s="2285"/>
      <c r="E3" s="2285"/>
      <c r="F3" s="2285"/>
      <c r="G3" s="2285"/>
      <c r="H3" s="2285"/>
      <c r="I3" s="2285"/>
      <c r="J3" s="2285"/>
    </row>
    <row r="4" spans="1:15" ht="9" customHeight="1">
      <c r="A4" s="546"/>
    </row>
    <row r="5" spans="1:15" ht="18">
      <c r="A5" s="2285" t="s">
        <v>1475</v>
      </c>
      <c r="B5" s="2285"/>
      <c r="C5" s="2285"/>
      <c r="D5" s="2285"/>
      <c r="E5" s="2285"/>
      <c r="F5" s="2285"/>
      <c r="G5" s="2285"/>
      <c r="H5" s="2285"/>
      <c r="I5" s="2285"/>
      <c r="J5" s="2285"/>
    </row>
    <row r="6" spans="1:15" ht="12.75" customHeight="1"/>
    <row r="7" spans="1:15">
      <c r="A7" s="1373" t="s">
        <v>1075</v>
      </c>
      <c r="C7" s="546" t="str">
        <f>'CUMPLIMIENTO % '!C7</f>
        <v>LUIS GABRIEL IBARRA ANGEL</v>
      </c>
      <c r="H7" s="139" t="s">
        <v>409</v>
      </c>
      <c r="I7" s="2134" t="str">
        <f>PORTADA!C31</f>
        <v>OCTUBRE - DICIEMBRE DEL 2020</v>
      </c>
      <c r="J7" s="2134"/>
      <c r="K7" s="591"/>
      <c r="L7" s="591"/>
      <c r="M7" s="591"/>
      <c r="N7" s="591"/>
      <c r="O7" s="591"/>
    </row>
    <row r="8" spans="1:15">
      <c r="A8" s="546"/>
      <c r="H8" s="854"/>
      <c r="I8" s="854"/>
      <c r="J8" s="854"/>
    </row>
    <row r="9" spans="1:15" ht="25.5">
      <c r="A9" s="966" t="s">
        <v>34</v>
      </c>
      <c r="B9" s="966" t="s">
        <v>43</v>
      </c>
      <c r="C9" s="767" t="s">
        <v>6</v>
      </c>
      <c r="D9" s="767" t="s">
        <v>7</v>
      </c>
      <c r="E9" s="767" t="s">
        <v>24</v>
      </c>
      <c r="F9" s="767" t="s">
        <v>182</v>
      </c>
      <c r="G9" s="967" t="s">
        <v>183</v>
      </c>
      <c r="H9" s="967" t="s">
        <v>44</v>
      </c>
      <c r="I9" s="967" t="s">
        <v>231</v>
      </c>
      <c r="J9" s="967" t="s">
        <v>45</v>
      </c>
    </row>
    <row r="10" spans="1:15" s="1321" customFormat="1" ht="42.75" customHeight="1">
      <c r="A10" s="1551">
        <v>44140</v>
      </c>
      <c r="B10" s="1552">
        <v>0.61111111111111105</v>
      </c>
      <c r="C10" s="1540" t="s">
        <v>1470</v>
      </c>
      <c r="D10" s="1553" t="s">
        <v>1114</v>
      </c>
      <c r="E10" s="1554" t="s">
        <v>1471</v>
      </c>
      <c r="F10" s="1554">
        <v>5</v>
      </c>
      <c r="G10" s="1555">
        <v>0</v>
      </c>
      <c r="H10" s="1556" t="s">
        <v>1472</v>
      </c>
      <c r="I10" s="1541" t="s">
        <v>1474</v>
      </c>
      <c r="J10" s="1557" t="s">
        <v>1473</v>
      </c>
    </row>
    <row r="11" spans="1:15" s="1321" customFormat="1">
      <c r="A11" s="1383"/>
      <c r="B11" s="1379"/>
      <c r="C11" s="1380"/>
      <c r="D11" s="1381"/>
      <c r="E11" s="1382"/>
      <c r="F11" s="1382"/>
      <c r="G11" s="1382"/>
      <c r="H11" s="1380"/>
      <c r="I11" s="1380"/>
      <c r="J11" s="1384"/>
    </row>
    <row r="12" spans="1:15" s="1321" customFormat="1">
      <c r="A12" s="1385"/>
      <c r="B12" s="1374"/>
      <c r="C12" s="1281"/>
      <c r="D12" s="1375"/>
      <c r="E12" s="1376"/>
      <c r="F12" s="1376"/>
      <c r="G12" s="1377"/>
      <c r="H12" s="1280"/>
      <c r="I12" s="1378"/>
      <c r="J12" s="1386"/>
    </row>
    <row r="13" spans="1:15" s="111" customFormat="1">
      <c r="A13" s="1385"/>
      <c r="B13" s="1374"/>
      <c r="C13" s="1281"/>
      <c r="D13" s="1375"/>
      <c r="E13" s="1376"/>
      <c r="F13" s="1376"/>
      <c r="G13" s="1377"/>
      <c r="H13" s="1280"/>
      <c r="I13" s="1378"/>
      <c r="J13" s="1386"/>
    </row>
    <row r="14" spans="1:15" s="111" customFormat="1">
      <c r="A14" s="864"/>
      <c r="B14" s="1032"/>
      <c r="C14" s="704"/>
      <c r="D14" s="306"/>
      <c r="E14" s="1033"/>
      <c r="F14" s="1033"/>
      <c r="G14" s="1033"/>
      <c r="H14" s="1033"/>
      <c r="I14" s="1033"/>
      <c r="J14" s="1387"/>
    </row>
    <row r="15" spans="1:15" s="111" customFormat="1">
      <c r="A15" s="864"/>
      <c r="B15" s="1032"/>
      <c r="C15" s="704"/>
      <c r="D15" s="306"/>
      <c r="E15" s="1033"/>
      <c r="F15" s="1033"/>
      <c r="G15" s="1033"/>
      <c r="H15" s="1033"/>
      <c r="I15" s="1033"/>
      <c r="J15" s="1387"/>
    </row>
    <row r="16" spans="1:15" s="111" customFormat="1">
      <c r="A16" s="864"/>
      <c r="B16" s="1032"/>
      <c r="C16" s="21"/>
      <c r="D16" s="21"/>
      <c r="E16" s="21"/>
      <c r="F16" s="21"/>
      <c r="G16" s="21"/>
      <c r="H16" s="21"/>
      <c r="I16" s="21"/>
      <c r="J16" s="700"/>
    </row>
    <row r="17" spans="1:10" s="111" customFormat="1" ht="42.75" hidden="1" customHeight="1">
      <c r="A17" s="864"/>
      <c r="B17" s="1032"/>
      <c r="C17" s="866" t="s">
        <v>557</v>
      </c>
      <c r="D17" s="298">
        <v>3603</v>
      </c>
      <c r="E17" s="867" t="s">
        <v>811</v>
      </c>
      <c r="F17" s="306"/>
      <c r="G17" s="704"/>
      <c r="H17" s="704"/>
      <c r="I17" s="704"/>
      <c r="J17" s="700"/>
    </row>
    <row r="18" spans="1:10" s="111" customFormat="1" ht="42.75" hidden="1" customHeight="1">
      <c r="A18" s="864"/>
      <c r="B18" s="1032"/>
      <c r="C18" s="866" t="s">
        <v>545</v>
      </c>
      <c r="D18" s="298">
        <v>4507</v>
      </c>
      <c r="E18" s="867" t="s">
        <v>811</v>
      </c>
      <c r="F18" s="306"/>
      <c r="G18" s="704"/>
      <c r="H18" s="704"/>
      <c r="I18" s="704"/>
      <c r="J18" s="700"/>
    </row>
    <row r="19" spans="1:10" s="111" customFormat="1">
      <c r="A19" s="864"/>
      <c r="B19" s="1032"/>
      <c r="C19" s="866" t="s">
        <v>809</v>
      </c>
      <c r="D19" s="298">
        <v>4507</v>
      </c>
      <c r="E19" s="867" t="s">
        <v>811</v>
      </c>
      <c r="F19" s="306"/>
      <c r="G19" s="704"/>
      <c r="H19" s="704"/>
      <c r="I19" s="704"/>
      <c r="J19" s="700"/>
    </row>
    <row r="20" spans="1:10">
      <c r="A20" s="2290" t="s">
        <v>1078</v>
      </c>
      <c r="B20" s="2291"/>
      <c r="C20" s="2291"/>
      <c r="D20" s="2291"/>
      <c r="E20" s="2291"/>
      <c r="F20" s="2291"/>
      <c r="G20" s="2291"/>
      <c r="H20" s="2291"/>
      <c r="I20" s="2291"/>
      <c r="J20" s="2292"/>
    </row>
    <row r="21" spans="1:10">
      <c r="A21" s="1388" t="s">
        <v>810</v>
      </c>
      <c r="B21" s="1389"/>
      <c r="C21" s="1389" t="s">
        <v>1293</v>
      </c>
      <c r="D21" s="1390"/>
      <c r="E21" s="1390"/>
      <c r="F21" s="1390"/>
      <c r="G21" s="1390"/>
      <c r="H21" s="1390"/>
      <c r="I21" s="1390"/>
      <c r="J21" s="645"/>
    </row>
    <row r="22" spans="1:10">
      <c r="A22" s="1388" t="s">
        <v>81</v>
      </c>
      <c r="B22" s="1389"/>
      <c r="C22" s="1389" t="s">
        <v>1294</v>
      </c>
      <c r="D22" s="1390"/>
      <c r="E22" s="1390"/>
      <c r="F22" s="1390"/>
      <c r="G22" s="1390"/>
      <c r="H22" s="1390"/>
      <c r="I22" s="1390"/>
      <c r="J22" s="645"/>
    </row>
    <row r="23" spans="1:10">
      <c r="A23" s="1388" t="s">
        <v>82</v>
      </c>
      <c r="B23" s="1389"/>
      <c r="C23" s="1389" t="s">
        <v>1295</v>
      </c>
      <c r="D23" s="1390"/>
      <c r="E23" s="1390"/>
      <c r="F23" s="1390"/>
      <c r="G23" s="1390"/>
      <c r="H23" s="1390"/>
      <c r="I23" s="1390"/>
      <c r="J23" s="645"/>
    </row>
    <row r="24" spans="1:10" ht="27.75" customHeight="1" thickBot="1">
      <c r="A24" s="2287" t="s">
        <v>1077</v>
      </c>
      <c r="B24" s="2288"/>
      <c r="C24" s="2288"/>
      <c r="D24" s="2288"/>
      <c r="E24" s="2288"/>
      <c r="F24" s="2288"/>
      <c r="G24" s="2288"/>
      <c r="H24" s="2288"/>
      <c r="I24" s="2288"/>
      <c r="J24" s="2289"/>
    </row>
    <row r="26" spans="1:10" ht="44.25" customHeight="1"/>
    <row r="27" spans="1:10" ht="21" customHeight="1">
      <c r="I27" s="390" t="s">
        <v>440</v>
      </c>
    </row>
    <row r="28" spans="1:10" ht="22.5" customHeight="1"/>
    <row r="37" spans="11:12" ht="44.25" customHeight="1"/>
    <row r="38" spans="11:12" ht="33.75" customHeight="1"/>
    <row r="39" spans="11:12" ht="23.25" customHeight="1"/>
    <row r="40" spans="11:12" ht="32.25" customHeight="1"/>
    <row r="41" spans="11:12" ht="31.5" customHeight="1">
      <c r="K41" s="855"/>
      <c r="L41" s="855"/>
    </row>
  </sheetData>
  <mergeCells count="7">
    <mergeCell ref="A24:J24"/>
    <mergeCell ref="A1:J1"/>
    <mergeCell ref="A2:J2"/>
    <mergeCell ref="A3:J3"/>
    <mergeCell ref="A5:J5"/>
    <mergeCell ref="I7:J7"/>
    <mergeCell ref="A20:J20"/>
  </mergeCells>
  <hyperlinks>
    <hyperlink ref="I27" location="'TABLA DE CONTENIDO'!A1" display="VOLVER A TABLA DE CONTENIDO"/>
  </hyperlinks>
  <printOptions horizontalCentered="1" verticalCentered="1"/>
  <pageMargins left="0.31496062992125984" right="0.31496062992125984" top="0.35433070866141736" bottom="0.51181102362204722" header="0.31496062992125984" footer="0.51181102362204722"/>
  <pageSetup scale="83" orientation="landscape" r:id="rId1"/>
  <headerFooter alignWithMargins="0"/>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43"/>
  <sheetViews>
    <sheetView showGridLines="0" view="pageBreakPreview" zoomScaleNormal="75" zoomScaleSheetLayoutView="100" workbookViewId="0">
      <selection activeCell="L9" sqref="L9"/>
    </sheetView>
  </sheetViews>
  <sheetFormatPr baseColWidth="10" defaultRowHeight="12.75"/>
  <cols>
    <col min="1" max="1" width="10.85546875" style="853" customWidth="1"/>
    <col min="2" max="2" width="13.85546875" style="546" customWidth="1"/>
    <col min="3" max="3" width="19.28515625" style="546" customWidth="1"/>
    <col min="4" max="4" width="8.85546875" style="546" customWidth="1"/>
    <col min="5" max="5" width="9.140625" style="546" customWidth="1"/>
    <col min="6" max="6" width="10.28515625" style="546" customWidth="1"/>
    <col min="7" max="7" width="12.28515625" style="546" customWidth="1"/>
    <col min="8" max="8" width="22.85546875" style="546" customWidth="1"/>
    <col min="9" max="9" width="23.28515625" style="546" customWidth="1"/>
    <col min="10" max="10" width="24.5703125" style="546" customWidth="1"/>
    <col min="11" max="11" width="1.42578125" style="546" customWidth="1"/>
    <col min="12" max="16384" width="11.42578125" style="546"/>
  </cols>
  <sheetData>
    <row r="1" spans="1:15" ht="23.25">
      <c r="A1" s="2284" t="s">
        <v>0</v>
      </c>
      <c r="B1" s="2284"/>
      <c r="C1" s="2284"/>
      <c r="D1" s="2284"/>
      <c r="E1" s="2284"/>
      <c r="F1" s="2284"/>
      <c r="G1" s="2284"/>
      <c r="H1" s="2284"/>
      <c r="I1" s="2284"/>
      <c r="J1" s="2284"/>
    </row>
    <row r="2" spans="1:15" ht="18">
      <c r="A2" s="2285" t="s">
        <v>525</v>
      </c>
      <c r="B2" s="2286"/>
      <c r="C2" s="2286"/>
      <c r="D2" s="2286"/>
      <c r="E2" s="2286"/>
      <c r="F2" s="2286"/>
      <c r="G2" s="2286"/>
      <c r="H2" s="2286"/>
      <c r="I2" s="2286"/>
      <c r="J2" s="2286"/>
    </row>
    <row r="3" spans="1:15" ht="18">
      <c r="A3" s="2285" t="s">
        <v>843</v>
      </c>
      <c r="B3" s="2285"/>
      <c r="C3" s="2285"/>
      <c r="D3" s="2285"/>
      <c r="E3" s="2285"/>
      <c r="F3" s="2285"/>
      <c r="G3" s="2285"/>
      <c r="H3" s="2285"/>
      <c r="I3" s="2285"/>
      <c r="J3" s="2285"/>
    </row>
    <row r="4" spans="1:15" ht="9" customHeight="1">
      <c r="A4" s="546"/>
    </row>
    <row r="5" spans="1:15" ht="18">
      <c r="A5" s="2285" t="s">
        <v>1476</v>
      </c>
      <c r="B5" s="2285"/>
      <c r="C5" s="2285"/>
      <c r="D5" s="2285"/>
      <c r="E5" s="2285"/>
      <c r="F5" s="2285"/>
      <c r="G5" s="2285"/>
      <c r="H5" s="2285"/>
      <c r="I5" s="2285"/>
      <c r="J5" s="2285"/>
    </row>
    <row r="6" spans="1:15" ht="12.75" customHeight="1"/>
    <row r="7" spans="1:15">
      <c r="A7" s="1373" t="s">
        <v>1075</v>
      </c>
      <c r="C7" s="546" t="str">
        <f>'CUMPLIMIENTO % '!C7</f>
        <v>LUIS GABRIEL IBARRA ANGEL</v>
      </c>
      <c r="H7" s="139" t="s">
        <v>409</v>
      </c>
      <c r="I7" s="2134" t="str">
        <f>PORTADA!C31</f>
        <v>OCTUBRE - DICIEMBRE DEL 2020</v>
      </c>
      <c r="J7" s="2134"/>
      <c r="K7" s="591"/>
      <c r="L7" s="591"/>
      <c r="M7" s="591"/>
      <c r="N7" s="591"/>
      <c r="O7" s="591"/>
    </row>
    <row r="8" spans="1:15">
      <c r="A8" s="546"/>
      <c r="H8" s="854"/>
      <c r="I8" s="854"/>
      <c r="J8" s="854"/>
    </row>
    <row r="9" spans="1:15" ht="25.5">
      <c r="A9" s="966" t="s">
        <v>34</v>
      </c>
      <c r="B9" s="966" t="s">
        <v>43</v>
      </c>
      <c r="C9" s="767" t="s">
        <v>6</v>
      </c>
      <c r="D9" s="767" t="s">
        <v>7</v>
      </c>
      <c r="E9" s="767" t="s">
        <v>24</v>
      </c>
      <c r="F9" s="767" t="s">
        <v>182</v>
      </c>
      <c r="G9" s="967" t="s">
        <v>183</v>
      </c>
      <c r="H9" s="967" t="s">
        <v>44</v>
      </c>
      <c r="I9" s="967" t="s">
        <v>231</v>
      </c>
      <c r="J9" s="967" t="s">
        <v>45</v>
      </c>
    </row>
    <row r="10" spans="1:15" s="1016" customFormat="1" ht="18" customHeight="1">
      <c r="A10" s="955"/>
      <c r="B10" s="956"/>
      <c r="C10" s="704"/>
      <c r="D10" s="306"/>
      <c r="E10" s="1033"/>
      <c r="F10" s="1033"/>
      <c r="G10" s="1033"/>
      <c r="H10" s="1033"/>
      <c r="I10" s="1033"/>
      <c r="J10" s="1033"/>
    </row>
    <row r="11" spans="1:15" s="1027" customFormat="1" ht="17.25" customHeight="1">
      <c r="A11" s="955"/>
      <c r="B11" s="956"/>
      <c r="C11" s="1229"/>
      <c r="D11" s="1229"/>
      <c r="E11" s="1042"/>
      <c r="F11" s="1042"/>
      <c r="G11" s="1042"/>
      <c r="H11" s="1042"/>
      <c r="I11" s="1042"/>
      <c r="J11" s="1042"/>
    </row>
    <row r="12" spans="1:15" s="1027" customFormat="1" ht="17.25" customHeight="1">
      <c r="A12" s="955"/>
      <c r="B12" s="956"/>
      <c r="C12" s="1229"/>
      <c r="D12" s="1229"/>
      <c r="E12" s="1042"/>
      <c r="F12" s="1042"/>
      <c r="G12" s="1042"/>
      <c r="H12" s="1042"/>
      <c r="I12" s="1042"/>
      <c r="J12" s="1042"/>
    </row>
    <row r="13" spans="1:15" s="1016" customFormat="1" ht="16.5" customHeight="1">
      <c r="A13" s="955"/>
      <c r="B13" s="956"/>
      <c r="C13" s="1229"/>
      <c r="D13" s="1229"/>
      <c r="E13" s="1033"/>
      <c r="F13" s="1042"/>
      <c r="G13" s="1042"/>
      <c r="H13" s="1042"/>
      <c r="I13" s="1042"/>
      <c r="J13" s="1042"/>
    </row>
    <row r="14" spans="1:15" s="1016" customFormat="1" ht="18.75" customHeight="1">
      <c r="A14" s="878"/>
      <c r="B14" s="1032"/>
      <c r="C14" s="704"/>
      <c r="D14" s="306"/>
      <c r="E14" s="1033"/>
      <c r="F14" s="1033"/>
      <c r="G14" s="1033"/>
      <c r="H14" s="1033"/>
      <c r="I14" s="1033"/>
      <c r="J14" s="1033"/>
    </row>
    <row r="15" spans="1:15" s="1016" customFormat="1" ht="18.75" customHeight="1">
      <c r="A15" s="878"/>
      <c r="B15" s="1032"/>
      <c r="C15" s="704"/>
      <c r="D15" s="306"/>
      <c r="E15" s="1033"/>
      <c r="F15" s="1033"/>
      <c r="G15" s="1033"/>
      <c r="H15" s="1033"/>
      <c r="I15" s="1033"/>
      <c r="J15" s="1033"/>
    </row>
    <row r="16" spans="1:15" s="1016" customFormat="1" ht="20.25" customHeight="1">
      <c r="A16" s="878"/>
      <c r="B16" s="1032"/>
      <c r="C16" s="704"/>
      <c r="D16" s="306"/>
      <c r="E16" s="1033"/>
      <c r="F16" s="1033"/>
      <c r="G16" s="1033"/>
      <c r="H16" s="1033"/>
      <c r="I16" s="1033"/>
      <c r="J16" s="1033"/>
    </row>
    <row r="17" spans="1:10" s="1016" customFormat="1" ht="20.25" customHeight="1">
      <c r="A17" s="878"/>
      <c r="B17" s="1032"/>
      <c r="C17" s="704"/>
      <c r="D17" s="306"/>
      <c r="E17" s="1033"/>
      <c r="F17" s="1033"/>
      <c r="G17" s="1033"/>
      <c r="H17" s="1033"/>
      <c r="I17" s="1033"/>
      <c r="J17" s="1033"/>
    </row>
    <row r="18" spans="1:10" s="1016" customFormat="1" ht="18.75" customHeight="1">
      <c r="A18" s="878"/>
      <c r="B18" s="865"/>
      <c r="C18" s="21"/>
      <c r="D18" s="21"/>
      <c r="E18" s="21"/>
      <c r="F18" s="21"/>
      <c r="G18" s="21"/>
      <c r="H18" s="21"/>
      <c r="I18" s="21"/>
      <c r="J18" s="704"/>
    </row>
    <row r="19" spans="1:10" s="1016" customFormat="1" ht="42.75" hidden="1" customHeight="1">
      <c r="A19" s="864"/>
      <c r="B19" s="865"/>
      <c r="C19" s="866" t="s">
        <v>557</v>
      </c>
      <c r="D19" s="298">
        <v>3603</v>
      </c>
      <c r="E19" s="867" t="s">
        <v>811</v>
      </c>
      <c r="F19" s="306"/>
      <c r="G19" s="704"/>
      <c r="H19" s="704"/>
      <c r="I19" s="704"/>
      <c r="J19" s="700"/>
    </row>
    <row r="20" spans="1:10" s="1016" customFormat="1" ht="42.75" hidden="1" customHeight="1">
      <c r="A20" s="864"/>
      <c r="B20" s="865"/>
      <c r="C20" s="866" t="s">
        <v>545</v>
      </c>
      <c r="D20" s="298">
        <v>4507</v>
      </c>
      <c r="E20" s="867" t="s">
        <v>811</v>
      </c>
      <c r="F20" s="306"/>
      <c r="G20" s="704"/>
      <c r="H20" s="704"/>
      <c r="I20" s="704"/>
      <c r="J20" s="700"/>
    </row>
    <row r="21" spans="1:10" s="1016" customFormat="1" ht="42.75" hidden="1" customHeight="1">
      <c r="A21" s="864"/>
      <c r="B21" s="865"/>
      <c r="C21" s="866" t="s">
        <v>809</v>
      </c>
      <c r="D21" s="298">
        <v>4507</v>
      </c>
      <c r="E21" s="867" t="s">
        <v>811</v>
      </c>
      <c r="F21" s="306"/>
      <c r="G21" s="704"/>
      <c r="H21" s="704"/>
      <c r="I21" s="704"/>
      <c r="J21" s="700"/>
    </row>
    <row r="22" spans="1:10">
      <c r="A22" s="2282" t="s">
        <v>1078</v>
      </c>
      <c r="B22" s="2282"/>
      <c r="C22" s="2282"/>
      <c r="D22" s="2282"/>
      <c r="E22" s="2282"/>
      <c r="F22" s="2282"/>
      <c r="G22" s="2282"/>
      <c r="H22" s="2282"/>
      <c r="I22" s="2282"/>
      <c r="J22" s="2282"/>
    </row>
    <row r="23" spans="1:10">
      <c r="A23" s="855" t="s">
        <v>1124</v>
      </c>
      <c r="B23" s="589"/>
      <c r="C23" s="589" t="s">
        <v>1293</v>
      </c>
    </row>
    <row r="24" spans="1:10">
      <c r="A24" s="855" t="s">
        <v>81</v>
      </c>
      <c r="B24" s="589"/>
      <c r="C24" s="589" t="s">
        <v>1294</v>
      </c>
    </row>
    <row r="25" spans="1:10">
      <c r="A25" s="855" t="s">
        <v>82</v>
      </c>
      <c r="B25" s="589"/>
      <c r="C25" s="589" t="s">
        <v>1295</v>
      </c>
    </row>
    <row r="26" spans="1:10" ht="27.75" customHeight="1">
      <c r="A26" s="2282" t="s">
        <v>1077</v>
      </c>
      <c r="B26" s="2282"/>
      <c r="C26" s="2282"/>
      <c r="D26" s="2282"/>
      <c r="E26" s="2282"/>
      <c r="F26" s="2282"/>
      <c r="G26" s="2282"/>
      <c r="H26" s="2282"/>
      <c r="I26" s="2282"/>
      <c r="J26" s="2282"/>
    </row>
    <row r="28" spans="1:10" ht="44.25" customHeight="1"/>
    <row r="29" spans="1:10" ht="21" customHeight="1">
      <c r="I29" s="390" t="s">
        <v>440</v>
      </c>
    </row>
    <row r="30" spans="1:10" ht="22.5" customHeight="1"/>
    <row r="39" spans="11:12" ht="44.25" customHeight="1"/>
    <row r="40" spans="11:12" ht="33.75" customHeight="1"/>
    <row r="41" spans="11:12" ht="23.25" customHeight="1"/>
    <row r="42" spans="11:12" ht="32.25" customHeight="1"/>
    <row r="43" spans="11:12" ht="31.5" customHeight="1">
      <c r="K43" s="855"/>
      <c r="L43" s="855"/>
    </row>
  </sheetData>
  <mergeCells count="7">
    <mergeCell ref="A26:J26"/>
    <mergeCell ref="A1:J1"/>
    <mergeCell ref="A2:J2"/>
    <mergeCell ref="A3:J3"/>
    <mergeCell ref="A5:J5"/>
    <mergeCell ref="I7:J7"/>
    <mergeCell ref="A22:J22"/>
  </mergeCells>
  <dataValidations count="2">
    <dataValidation showInputMessage="1" showErrorMessage="1" errorTitle="Sector" error="No utilizar caracteres especiales." promptTitle="Sector" prompt="Ingrese el nombre del tramo víal." sqref="C11"/>
    <dataValidation allowBlank="1" showErrorMessage="1" errorTitle="Calzada" error="Seleccione de la lista desplegable." promptTitle="Calzada" prompt="Distancia al PR del accidente." sqref="A10:B12 A13"/>
  </dataValidations>
  <hyperlinks>
    <hyperlink ref="I29" location="'TABLA DE CONTENIDO'!A1" display="VOLVER A TABLA DE CONTENIDO"/>
  </hyperlinks>
  <printOptions horizontalCentered="1" verticalCentered="1"/>
  <pageMargins left="0.31496062992125984" right="0.31496062992125984" top="0.35433070866141736" bottom="0.51181102362204722" header="0.31496062992125984" footer="0.51181102362204722"/>
  <pageSetup scale="83" orientation="landscape" r:id="rId1"/>
  <headerFooter alignWithMargins="0"/>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6"/>
  <sheetViews>
    <sheetView view="pageBreakPreview" zoomScaleNormal="100" zoomScaleSheetLayoutView="100" workbookViewId="0">
      <selection activeCell="K17" sqref="K17"/>
    </sheetView>
  </sheetViews>
  <sheetFormatPr baseColWidth="10" defaultRowHeight="12.75"/>
  <cols>
    <col min="1" max="1" width="17.85546875" customWidth="1"/>
    <col min="2" max="7" width="13.85546875" customWidth="1"/>
    <col min="8" max="8" width="21.42578125" customWidth="1"/>
    <col min="9" max="9" width="20.28515625" customWidth="1"/>
  </cols>
  <sheetData>
    <row r="1" spans="1:9" ht="23.25">
      <c r="A1" s="113" t="s">
        <v>0</v>
      </c>
      <c r="B1" s="114"/>
      <c r="C1" s="114"/>
      <c r="D1" s="114"/>
      <c r="E1" s="114"/>
      <c r="F1" s="114"/>
      <c r="G1" s="114"/>
      <c r="H1" s="114"/>
      <c r="I1" s="114"/>
    </row>
    <row r="2" spans="1:9" ht="18">
      <c r="A2" s="117" t="s">
        <v>531</v>
      </c>
      <c r="B2" s="114"/>
      <c r="C2" s="114"/>
      <c r="D2" s="114"/>
      <c r="E2" s="114"/>
      <c r="F2" s="114"/>
      <c r="G2" s="114"/>
      <c r="H2" s="114"/>
      <c r="I2" s="115"/>
    </row>
    <row r="3" spans="1:9">
      <c r="A3" s="115"/>
      <c r="B3" s="115"/>
      <c r="C3" s="115"/>
      <c r="D3" s="115"/>
      <c r="E3" s="115"/>
      <c r="F3" s="115"/>
      <c r="G3" s="115"/>
      <c r="H3" s="115"/>
      <c r="I3" s="116"/>
    </row>
    <row r="4" spans="1:9" ht="18">
      <c r="A4" s="2293" t="s">
        <v>245</v>
      </c>
      <c r="B4" s="2293"/>
      <c r="C4" s="2293"/>
      <c r="D4" s="2293"/>
      <c r="E4" s="2293"/>
      <c r="F4" s="2293"/>
      <c r="G4" s="2293"/>
      <c r="H4" s="2293"/>
      <c r="I4" s="2293"/>
    </row>
    <row r="5" spans="1:9">
      <c r="A5" s="115"/>
      <c r="B5" s="115"/>
      <c r="C5" s="115"/>
      <c r="D5" s="115"/>
      <c r="E5" s="115"/>
      <c r="F5" s="115"/>
      <c r="G5" s="115"/>
      <c r="H5" s="115"/>
      <c r="I5" s="114"/>
    </row>
    <row r="6" spans="1:9" ht="18">
      <c r="A6" s="2293" t="s">
        <v>67</v>
      </c>
      <c r="B6" s="2293"/>
      <c r="C6" s="2293"/>
      <c r="D6" s="2293"/>
      <c r="E6" s="2293"/>
      <c r="F6" s="2293"/>
      <c r="G6" s="2293"/>
      <c r="H6" s="2293"/>
      <c r="I6" s="2293"/>
    </row>
    <row r="7" spans="1:9">
      <c r="A7" s="118"/>
      <c r="B7" s="115"/>
      <c r="C7" s="115"/>
      <c r="D7" s="115"/>
      <c r="E7" s="115"/>
      <c r="F7" s="115"/>
      <c r="G7" s="115"/>
      <c r="H7" s="115"/>
      <c r="I7" s="119"/>
    </row>
    <row r="8" spans="1:9" ht="29.25" customHeight="1">
      <c r="A8" s="120" t="s">
        <v>147</v>
      </c>
      <c r="B8" s="115"/>
      <c r="C8" s="2296" t="str">
        <f>'CUMPLIMIENTO % '!C7</f>
        <v>LUIS GABRIEL IBARRA ANGEL</v>
      </c>
      <c r="D8" s="2296"/>
      <c r="E8" s="2296"/>
      <c r="F8" s="2294" t="s">
        <v>409</v>
      </c>
      <c r="G8" s="2294"/>
      <c r="H8" s="2295" t="str">
        <f>PORTADA!C31</f>
        <v>OCTUBRE - DICIEMBRE DEL 2020</v>
      </c>
      <c r="I8" s="2295"/>
    </row>
    <row r="9" spans="1:9">
      <c r="A9" s="118"/>
      <c r="B9" s="115"/>
      <c r="C9" s="115"/>
      <c r="D9" s="115"/>
      <c r="E9" s="115"/>
      <c r="F9" s="115"/>
      <c r="G9" s="115"/>
      <c r="H9" s="115"/>
      <c r="I9" s="115"/>
    </row>
    <row r="10" spans="1:9" ht="13.5" thickBot="1">
      <c r="A10" s="115"/>
      <c r="B10" s="115"/>
      <c r="C10" s="115"/>
      <c r="D10" s="115"/>
      <c r="E10" s="115"/>
      <c r="F10" s="115"/>
      <c r="G10" s="115"/>
      <c r="H10" s="115"/>
      <c r="I10" s="115"/>
    </row>
    <row r="11" spans="1:9" ht="23.25" thickBot="1">
      <c r="A11" s="233" t="s">
        <v>68</v>
      </c>
      <c r="B11" s="239" t="s">
        <v>69</v>
      </c>
      <c r="C11" s="239" t="s">
        <v>70</v>
      </c>
      <c r="D11" s="239" t="s">
        <v>71</v>
      </c>
      <c r="E11" s="239" t="s">
        <v>72</v>
      </c>
      <c r="F11" s="239" t="s">
        <v>73</v>
      </c>
      <c r="G11" s="239" t="s">
        <v>74</v>
      </c>
      <c r="H11" s="240" t="s">
        <v>75</v>
      </c>
      <c r="I11" s="233" t="s">
        <v>113</v>
      </c>
    </row>
    <row r="12" spans="1:9" s="1542" customFormat="1" ht="18" customHeight="1">
      <c r="A12" s="2412" t="s">
        <v>1585</v>
      </c>
      <c r="B12" s="812">
        <v>0</v>
      </c>
      <c r="C12" s="813">
        <v>0</v>
      </c>
      <c r="D12" s="812">
        <v>0</v>
      </c>
      <c r="E12" s="813">
        <v>0</v>
      </c>
      <c r="F12" s="812">
        <v>0</v>
      </c>
      <c r="G12" s="813">
        <v>0</v>
      </c>
      <c r="H12" s="812">
        <v>0</v>
      </c>
      <c r="I12" s="813">
        <v>0</v>
      </c>
    </row>
    <row r="13" spans="1:9" s="1542" customFormat="1" ht="18" customHeight="1">
      <c r="A13" s="2412" t="s">
        <v>1586</v>
      </c>
      <c r="B13" s="812">
        <v>12</v>
      </c>
      <c r="C13" s="813">
        <v>12</v>
      </c>
      <c r="D13" s="812">
        <v>0</v>
      </c>
      <c r="E13" s="813">
        <v>0</v>
      </c>
      <c r="F13" s="812">
        <v>0</v>
      </c>
      <c r="G13" s="813">
        <v>0</v>
      </c>
      <c r="H13" s="812">
        <v>0</v>
      </c>
      <c r="I13" s="813">
        <v>0</v>
      </c>
    </row>
    <row r="14" spans="1:9" s="1542" customFormat="1" ht="18" customHeight="1">
      <c r="A14" s="2412" t="s">
        <v>1587</v>
      </c>
      <c r="B14" s="812">
        <v>0</v>
      </c>
      <c r="C14" s="813">
        <v>0</v>
      </c>
      <c r="D14" s="812">
        <v>0</v>
      </c>
      <c r="E14" s="813">
        <v>0</v>
      </c>
      <c r="F14" s="812">
        <v>0</v>
      </c>
      <c r="G14" s="813">
        <v>0</v>
      </c>
      <c r="H14" s="812">
        <v>0</v>
      </c>
      <c r="I14" s="813">
        <v>0</v>
      </c>
    </row>
    <row r="15" spans="1:9" s="1542" customFormat="1" ht="18" customHeight="1">
      <c r="A15" s="2412" t="s">
        <v>1588</v>
      </c>
      <c r="B15" s="812">
        <v>8</v>
      </c>
      <c r="C15" s="813">
        <v>8</v>
      </c>
      <c r="D15" s="812">
        <v>0</v>
      </c>
      <c r="E15" s="813">
        <v>0</v>
      </c>
      <c r="F15" s="812">
        <v>0</v>
      </c>
      <c r="G15" s="813">
        <v>0</v>
      </c>
      <c r="H15" s="812">
        <v>0</v>
      </c>
      <c r="I15" s="813">
        <v>0</v>
      </c>
    </row>
    <row r="16" spans="1:9" s="1542" customFormat="1" ht="18" customHeight="1">
      <c r="A16" s="2412" t="s">
        <v>1589</v>
      </c>
      <c r="B16" s="812">
        <v>0</v>
      </c>
      <c r="C16" s="813">
        <v>0</v>
      </c>
      <c r="D16" s="812">
        <v>0</v>
      </c>
      <c r="E16" s="813">
        <v>0</v>
      </c>
      <c r="F16" s="812">
        <v>0</v>
      </c>
      <c r="G16" s="813">
        <v>0</v>
      </c>
      <c r="H16" s="812">
        <v>0</v>
      </c>
      <c r="I16" s="813">
        <v>0</v>
      </c>
    </row>
    <row r="17" spans="1:9" s="1542" customFormat="1" ht="18" customHeight="1">
      <c r="A17" s="2412" t="s">
        <v>1590</v>
      </c>
      <c r="B17" s="812">
        <v>0</v>
      </c>
      <c r="C17" s="813">
        <v>0</v>
      </c>
      <c r="D17" s="812">
        <v>0</v>
      </c>
      <c r="E17" s="813">
        <v>0</v>
      </c>
      <c r="F17" s="812">
        <v>0</v>
      </c>
      <c r="G17" s="813">
        <v>0</v>
      </c>
      <c r="H17" s="812">
        <v>0</v>
      </c>
      <c r="I17" s="813">
        <v>0</v>
      </c>
    </row>
    <row r="18" spans="1:9" s="1542" customFormat="1" ht="18" customHeight="1">
      <c r="A18" s="2412" t="s">
        <v>1591</v>
      </c>
      <c r="B18" s="812">
        <v>10</v>
      </c>
      <c r="C18" s="813">
        <v>0</v>
      </c>
      <c r="D18" s="812">
        <v>0</v>
      </c>
      <c r="E18" s="813">
        <v>0</v>
      </c>
      <c r="F18" s="812">
        <v>0</v>
      </c>
      <c r="G18" s="813">
        <v>0</v>
      </c>
      <c r="H18" s="812">
        <v>0</v>
      </c>
      <c r="I18" s="813">
        <v>0</v>
      </c>
    </row>
    <row r="19" spans="1:9" s="1542" customFormat="1" ht="18" customHeight="1">
      <c r="A19" s="2412" t="s">
        <v>1592</v>
      </c>
      <c r="B19" s="812">
        <v>0</v>
      </c>
      <c r="C19" s="813">
        <v>10</v>
      </c>
      <c r="D19" s="812">
        <v>0</v>
      </c>
      <c r="E19" s="813">
        <v>0</v>
      </c>
      <c r="F19" s="812">
        <v>0</v>
      </c>
      <c r="G19" s="813">
        <v>0</v>
      </c>
      <c r="H19" s="812">
        <v>0</v>
      </c>
      <c r="I19" s="813">
        <v>0</v>
      </c>
    </row>
    <row r="20" spans="1:9" s="1542" customFormat="1" ht="18" customHeight="1">
      <c r="A20" s="2412" t="s">
        <v>1593</v>
      </c>
      <c r="B20" s="812">
        <v>0</v>
      </c>
      <c r="C20" s="813">
        <v>0</v>
      </c>
      <c r="D20" s="812">
        <v>0</v>
      </c>
      <c r="E20" s="813">
        <v>0</v>
      </c>
      <c r="F20" s="812">
        <v>0</v>
      </c>
      <c r="G20" s="813">
        <v>0</v>
      </c>
      <c r="H20" s="812">
        <v>0</v>
      </c>
      <c r="I20" s="813">
        <v>0</v>
      </c>
    </row>
    <row r="21" spans="1:9" ht="18" customHeight="1">
      <c r="A21" s="2412" t="s">
        <v>1594</v>
      </c>
      <c r="B21" s="812">
        <v>10</v>
      </c>
      <c r="C21" s="813">
        <v>0</v>
      </c>
      <c r="D21" s="812">
        <v>0</v>
      </c>
      <c r="E21" s="813">
        <v>0</v>
      </c>
      <c r="F21" s="812">
        <v>0</v>
      </c>
      <c r="G21" s="813">
        <v>0</v>
      </c>
      <c r="H21" s="812">
        <v>0</v>
      </c>
      <c r="I21" s="813">
        <v>0</v>
      </c>
    </row>
    <row r="22" spans="1:9" ht="18" customHeight="1">
      <c r="A22" s="2412" t="s">
        <v>1595</v>
      </c>
      <c r="B22" s="812">
        <v>0</v>
      </c>
      <c r="C22" s="813">
        <v>10</v>
      </c>
      <c r="D22" s="812">
        <v>0</v>
      </c>
      <c r="E22" s="813">
        <v>0</v>
      </c>
      <c r="F22" s="812">
        <v>0</v>
      </c>
      <c r="G22" s="813">
        <v>0</v>
      </c>
      <c r="H22" s="812">
        <v>0</v>
      </c>
      <c r="I22" s="813">
        <v>0</v>
      </c>
    </row>
    <row r="23" spans="1:9" ht="18" customHeight="1" thickBot="1">
      <c r="A23" s="2412" t="s">
        <v>1596</v>
      </c>
      <c r="B23" s="812">
        <v>0</v>
      </c>
      <c r="C23" s="813">
        <v>0</v>
      </c>
      <c r="D23" s="812">
        <v>0</v>
      </c>
      <c r="E23" s="813">
        <v>0</v>
      </c>
      <c r="F23" s="812">
        <v>0</v>
      </c>
      <c r="G23" s="813">
        <v>0</v>
      </c>
      <c r="H23" s="812">
        <v>0</v>
      </c>
      <c r="I23" s="813">
        <v>0</v>
      </c>
    </row>
    <row r="24" spans="1:9" ht="18" customHeight="1" thickBot="1">
      <c r="A24" s="810" t="s">
        <v>76</v>
      </c>
      <c r="B24" s="811">
        <f>SUM(B12:B23)</f>
        <v>40</v>
      </c>
      <c r="C24" s="811">
        <f>SUM(C12:C23)</f>
        <v>40</v>
      </c>
      <c r="D24" s="811">
        <f>SUM(D12:D23)</f>
        <v>0</v>
      </c>
      <c r="E24" s="811">
        <f>SUM(E12:E23)</f>
        <v>0</v>
      </c>
      <c r="F24" s="811">
        <f>SUM(F12:F23)</f>
        <v>0</v>
      </c>
      <c r="G24" s="811">
        <f>SUM(G12:G23)</f>
        <v>0</v>
      </c>
      <c r="H24" s="811">
        <f>SUM(H12:H23)</f>
        <v>0</v>
      </c>
      <c r="I24" s="811">
        <f>SUM(I12:I23)</f>
        <v>0</v>
      </c>
    </row>
    <row r="26" spans="1:9">
      <c r="G26" s="1585" t="s">
        <v>440</v>
      </c>
      <c r="H26" s="1585"/>
      <c r="I26" s="1585"/>
    </row>
  </sheetData>
  <mergeCells count="6">
    <mergeCell ref="A4:I4"/>
    <mergeCell ref="A6:I6"/>
    <mergeCell ref="F8:G8"/>
    <mergeCell ref="G26:I26"/>
    <mergeCell ref="H8:I8"/>
    <mergeCell ref="C8:E8"/>
  </mergeCells>
  <phoneticPr fontId="3" type="noConversion"/>
  <hyperlinks>
    <hyperlink ref="G26" location="'TABLA DE CONTENIDO'!A1" display="VOLVER A TABLA DE CONTENIDO"/>
  </hyperlinks>
  <printOptions horizontalCentered="1" verticalCentered="1"/>
  <pageMargins left="0.39370078740157483" right="0.39370078740157483" top="0.98425196850393704" bottom="0.59055118110236227" header="0" footer="0"/>
  <pageSetup scale="90" orientation="landscape" horizontalDpi="300" verticalDpi="300" r:id="rId1"/>
  <headerFooter alignWithMargins="0"/>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J1000"/>
  <sheetViews>
    <sheetView view="pageBreakPreview" zoomScale="80" zoomScaleNormal="100" zoomScaleSheetLayoutView="80" workbookViewId="0">
      <selection activeCell="AI11" sqref="AI11"/>
    </sheetView>
  </sheetViews>
  <sheetFormatPr baseColWidth="10" defaultColWidth="14.42578125" defaultRowHeight="12.75"/>
  <cols>
    <col min="1" max="1" width="3.7109375" style="1041" customWidth="1"/>
    <col min="2" max="2" width="78" style="1041" customWidth="1"/>
    <col min="3" max="33" width="3.7109375" style="1041" customWidth="1"/>
    <col min="34" max="34" width="36.5703125" style="1041" customWidth="1"/>
    <col min="35" max="36" width="31.42578125" style="1041" customWidth="1"/>
    <col min="37" max="16384" width="14.42578125" style="1041"/>
  </cols>
  <sheetData>
    <row r="1" spans="1:36" ht="23.25" customHeight="1">
      <c r="A1" s="2107" t="s">
        <v>0</v>
      </c>
      <c r="B1" s="2060"/>
      <c r="C1" s="2060"/>
      <c r="D1" s="2060"/>
      <c r="E1" s="2060"/>
      <c r="F1" s="2060"/>
      <c r="G1" s="2060"/>
      <c r="H1" s="2060"/>
      <c r="I1" s="2060"/>
      <c r="J1" s="2060"/>
      <c r="K1" s="2060"/>
      <c r="L1" s="2060"/>
      <c r="M1" s="2060"/>
      <c r="N1" s="2060"/>
      <c r="O1" s="2060"/>
      <c r="P1" s="2060"/>
      <c r="Q1" s="2060"/>
      <c r="R1" s="2060"/>
      <c r="S1" s="2060"/>
      <c r="T1" s="2060"/>
      <c r="U1" s="2060"/>
      <c r="V1" s="2060"/>
      <c r="W1" s="2060"/>
      <c r="X1" s="2060"/>
      <c r="Y1" s="2060"/>
      <c r="Z1" s="2060"/>
      <c r="AA1" s="2060"/>
      <c r="AB1" s="2060"/>
      <c r="AC1" s="2060"/>
      <c r="AD1" s="2060"/>
      <c r="AE1" s="2060"/>
      <c r="AF1" s="2060"/>
      <c r="AG1" s="2060"/>
      <c r="AH1" s="2060"/>
      <c r="AI1" s="1173"/>
      <c r="AJ1" s="1173"/>
    </row>
    <row r="2" spans="1:36" ht="23.25" customHeight="1">
      <c r="A2" s="2107" t="s">
        <v>1296</v>
      </c>
      <c r="B2" s="2060"/>
      <c r="C2" s="2060"/>
      <c r="D2" s="2060"/>
      <c r="E2" s="2060"/>
      <c r="F2" s="2060"/>
      <c r="G2" s="2060"/>
      <c r="H2" s="2060"/>
      <c r="I2" s="2060"/>
      <c r="J2" s="2060"/>
      <c r="K2" s="2060"/>
      <c r="L2" s="2060"/>
      <c r="M2" s="2060"/>
      <c r="N2" s="2060"/>
      <c r="O2" s="2060"/>
      <c r="P2" s="2060"/>
      <c r="Q2" s="2060"/>
      <c r="R2" s="2060"/>
      <c r="S2" s="2060"/>
      <c r="T2" s="2060"/>
      <c r="U2" s="2060"/>
      <c r="V2" s="2060"/>
      <c r="W2" s="2060"/>
      <c r="X2" s="2060"/>
      <c r="Y2" s="2060"/>
      <c r="Z2" s="2060"/>
      <c r="AA2" s="2060"/>
      <c r="AB2" s="2060"/>
      <c r="AC2" s="2060"/>
      <c r="AD2" s="2060"/>
      <c r="AE2" s="2060"/>
      <c r="AF2" s="2060"/>
      <c r="AG2" s="2060"/>
      <c r="AH2" s="2060"/>
      <c r="AI2" s="1173"/>
      <c r="AJ2" s="1173"/>
    </row>
    <row r="3" spans="1:36" ht="18" customHeight="1">
      <c r="A3" s="2297" t="s">
        <v>264</v>
      </c>
      <c r="B3" s="2060"/>
      <c r="C3" s="2060"/>
      <c r="D3" s="2060"/>
      <c r="E3" s="2060"/>
      <c r="F3" s="2060"/>
      <c r="G3" s="2060"/>
      <c r="H3" s="2060"/>
      <c r="I3" s="2060"/>
      <c r="J3" s="2060"/>
      <c r="K3" s="2060"/>
      <c r="L3" s="2060"/>
      <c r="M3" s="2060"/>
      <c r="N3" s="2060"/>
      <c r="O3" s="2060"/>
      <c r="P3" s="2060"/>
      <c r="Q3" s="2060"/>
      <c r="R3" s="2060"/>
      <c r="S3" s="2060"/>
      <c r="T3" s="2060"/>
      <c r="U3" s="2060"/>
      <c r="V3" s="2060"/>
      <c r="W3" s="2060"/>
      <c r="X3" s="2060"/>
      <c r="Y3" s="2060"/>
      <c r="Z3" s="2060"/>
      <c r="AA3" s="2060"/>
      <c r="AB3" s="2060"/>
      <c r="AC3" s="2060"/>
      <c r="AD3" s="2060"/>
      <c r="AE3" s="2060"/>
      <c r="AF3" s="2060"/>
      <c r="AG3" s="2060"/>
      <c r="AH3" s="2060"/>
      <c r="AI3" s="1173"/>
      <c r="AJ3" s="1173"/>
    </row>
    <row r="4" spans="1:36" ht="18" customHeight="1">
      <c r="A4" s="2108" t="s">
        <v>1297</v>
      </c>
      <c r="B4" s="2060"/>
      <c r="C4" s="2060"/>
      <c r="D4" s="2060"/>
      <c r="E4" s="2060"/>
      <c r="F4" s="2060"/>
      <c r="G4" s="2060"/>
      <c r="H4" s="2060"/>
      <c r="I4" s="2060"/>
      <c r="J4" s="2060"/>
      <c r="K4" s="2060"/>
      <c r="L4" s="2060"/>
      <c r="M4" s="2060"/>
      <c r="N4" s="2060"/>
      <c r="O4" s="2060"/>
      <c r="P4" s="2060"/>
      <c r="Q4" s="2060"/>
      <c r="R4" s="2060"/>
      <c r="S4" s="2060"/>
      <c r="T4" s="2060"/>
      <c r="U4" s="2060"/>
      <c r="V4" s="2060"/>
      <c r="W4" s="2060"/>
      <c r="X4" s="2060"/>
      <c r="Y4" s="2060"/>
      <c r="Z4" s="2060"/>
      <c r="AA4" s="2060"/>
      <c r="AB4" s="2060"/>
      <c r="AC4" s="2060"/>
      <c r="AD4" s="2060"/>
      <c r="AE4" s="2060"/>
      <c r="AF4" s="2060"/>
      <c r="AG4" s="2060"/>
      <c r="AH4" s="2060"/>
      <c r="AI4" s="1173"/>
      <c r="AJ4" s="1173"/>
    </row>
    <row r="5" spans="1:36" ht="18.75" customHeight="1" thickBot="1">
      <c r="A5" s="2108"/>
      <c r="B5" s="2060"/>
      <c r="C5" s="2060"/>
      <c r="D5" s="2060"/>
      <c r="E5" s="2060"/>
      <c r="F5" s="2060"/>
      <c r="G5" s="2060"/>
      <c r="H5" s="2060"/>
      <c r="I5" s="2060"/>
      <c r="J5" s="2060"/>
      <c r="K5" s="2060"/>
      <c r="L5" s="2060"/>
      <c r="M5" s="2060"/>
      <c r="N5" s="2060"/>
      <c r="O5" s="2060"/>
      <c r="P5" s="2060"/>
      <c r="Q5" s="2060"/>
      <c r="R5" s="2060"/>
      <c r="S5" s="2060"/>
      <c r="T5" s="2060"/>
      <c r="U5" s="2060"/>
      <c r="V5" s="2060"/>
      <c r="W5" s="2060"/>
      <c r="X5" s="2060"/>
      <c r="Y5" s="2060"/>
      <c r="Z5" s="2060"/>
      <c r="AA5" s="2060"/>
      <c r="AB5" s="2060"/>
      <c r="AC5" s="2060"/>
      <c r="AD5" s="2060"/>
      <c r="AE5" s="2060"/>
      <c r="AF5" s="2060"/>
      <c r="AG5" s="2060"/>
      <c r="AH5" s="2060"/>
      <c r="AI5" s="1173"/>
      <c r="AJ5" s="1173"/>
    </row>
    <row r="6" spans="1:36" ht="18" customHeight="1" thickBot="1">
      <c r="A6" s="1392" t="s">
        <v>23</v>
      </c>
      <c r="B6" s="1393" t="s">
        <v>47</v>
      </c>
      <c r="C6" s="2298">
        <v>2020</v>
      </c>
      <c r="D6" s="2299"/>
      <c r="E6" s="2299"/>
      <c r="F6" s="2299"/>
      <c r="G6" s="2299"/>
      <c r="H6" s="2299"/>
      <c r="I6" s="2299"/>
      <c r="J6" s="2299"/>
      <c r="K6" s="2299"/>
      <c r="L6" s="2299"/>
      <c r="M6" s="2299"/>
      <c r="N6" s="2300"/>
      <c r="O6" s="2301">
        <v>2021</v>
      </c>
      <c r="P6" s="2100"/>
      <c r="Q6" s="2100"/>
      <c r="R6" s="2100"/>
      <c r="S6" s="2100"/>
      <c r="T6" s="2100"/>
      <c r="U6" s="2100"/>
      <c r="V6" s="2100"/>
      <c r="W6" s="2100"/>
      <c r="X6" s="2100"/>
      <c r="Y6" s="2100"/>
      <c r="Z6" s="2302"/>
      <c r="AA6" s="2303">
        <v>2022</v>
      </c>
      <c r="AB6" s="2100"/>
      <c r="AC6" s="2100"/>
      <c r="AD6" s="2100"/>
      <c r="AE6" s="2100"/>
      <c r="AF6" s="2100"/>
      <c r="AG6" s="2302"/>
      <c r="AH6" s="1230" t="s">
        <v>13</v>
      </c>
      <c r="AI6" s="1187"/>
      <c r="AJ6" s="1187"/>
    </row>
    <row r="7" spans="1:36" ht="13.5" customHeight="1">
      <c r="A7" s="1394"/>
      <c r="B7" s="1469"/>
      <c r="C7" s="1472" t="s">
        <v>1298</v>
      </c>
      <c r="D7" s="1396" t="s">
        <v>1299</v>
      </c>
      <c r="E7" s="1396" t="s">
        <v>1300</v>
      </c>
      <c r="F7" s="1396" t="s">
        <v>1301</v>
      </c>
      <c r="G7" s="1396" t="s">
        <v>1302</v>
      </c>
      <c r="H7" s="1396" t="s">
        <v>1126</v>
      </c>
      <c r="I7" s="1397" t="s">
        <v>1127</v>
      </c>
      <c r="J7" s="1398" t="s">
        <v>1128</v>
      </c>
      <c r="K7" s="1398" t="s">
        <v>1129</v>
      </c>
      <c r="L7" s="1398" t="s">
        <v>1133</v>
      </c>
      <c r="M7" s="1398" t="s">
        <v>1134</v>
      </c>
      <c r="N7" s="1400" t="s">
        <v>1130</v>
      </c>
      <c r="O7" s="1471" t="s">
        <v>1298</v>
      </c>
      <c r="P7" s="1396" t="s">
        <v>1299</v>
      </c>
      <c r="Q7" s="1396" t="s">
        <v>1300</v>
      </c>
      <c r="R7" s="1396" t="s">
        <v>1301</v>
      </c>
      <c r="S7" s="1396" t="s">
        <v>1302</v>
      </c>
      <c r="T7" s="1396" t="s">
        <v>1126</v>
      </c>
      <c r="U7" s="1396" t="s">
        <v>1127</v>
      </c>
      <c r="V7" s="1399" t="s">
        <v>1128</v>
      </c>
      <c r="W7" s="1398" t="s">
        <v>1129</v>
      </c>
      <c r="X7" s="1398" t="s">
        <v>1133</v>
      </c>
      <c r="Y7" s="1398" t="s">
        <v>1134</v>
      </c>
      <c r="Z7" s="1397" t="s">
        <v>1130</v>
      </c>
      <c r="AA7" s="1395" t="s">
        <v>1298</v>
      </c>
      <c r="AB7" s="1396" t="s">
        <v>1299</v>
      </c>
      <c r="AC7" s="1396" t="s">
        <v>1300</v>
      </c>
      <c r="AD7" s="1396" t="s">
        <v>1301</v>
      </c>
      <c r="AE7" s="1396" t="s">
        <v>1302</v>
      </c>
      <c r="AF7" s="1396" t="s">
        <v>1126</v>
      </c>
      <c r="AG7" s="1400" t="s">
        <v>1127</v>
      </c>
      <c r="AH7" s="1231"/>
    </row>
    <row r="8" spans="1:36" ht="45" customHeight="1">
      <c r="A8" s="1401">
        <v>1</v>
      </c>
      <c r="B8" s="1232" t="s">
        <v>408</v>
      </c>
      <c r="C8" s="1473"/>
      <c r="D8" s="1234"/>
      <c r="E8" s="1234"/>
      <c r="F8" s="1234"/>
      <c r="G8" s="1234"/>
      <c r="H8" s="1234"/>
      <c r="I8" s="1234"/>
      <c r="J8" s="1234"/>
      <c r="K8" s="1234"/>
      <c r="L8" s="1234"/>
      <c r="M8" s="1234"/>
      <c r="N8" s="1536"/>
      <c r="O8" s="1233"/>
      <c r="P8" s="1233"/>
      <c r="Q8" s="1233"/>
      <c r="R8" s="1233"/>
      <c r="S8" s="1233"/>
      <c r="T8" s="1233"/>
      <c r="U8" s="1233"/>
      <c r="V8" s="1233"/>
      <c r="W8" s="1233"/>
      <c r="X8" s="1233"/>
      <c r="Y8" s="1233"/>
      <c r="Z8" s="1235"/>
      <c r="AA8" s="1233"/>
      <c r="AB8" s="1233"/>
      <c r="AC8" s="1233"/>
      <c r="AD8" s="1233"/>
      <c r="AE8" s="1233"/>
      <c r="AF8" s="1049"/>
      <c r="AG8" s="1402"/>
      <c r="AH8" s="1365" t="s">
        <v>1477</v>
      </c>
    </row>
    <row r="9" spans="1:36" ht="30" customHeight="1">
      <c r="A9" s="1403">
        <v>2</v>
      </c>
      <c r="B9" s="1237" t="s">
        <v>393</v>
      </c>
      <c r="C9" s="1473"/>
      <c r="D9" s="1234"/>
      <c r="E9" s="1234"/>
      <c r="F9" s="1234"/>
      <c r="G9" s="1234"/>
      <c r="H9" s="1234"/>
      <c r="I9" s="1234"/>
      <c r="J9" s="1234"/>
      <c r="K9" s="1234"/>
      <c r="L9" s="1234"/>
      <c r="M9" s="1234"/>
      <c r="N9" s="1536"/>
      <c r="O9" s="1238"/>
      <c r="P9" s="1238"/>
      <c r="Q9" s="1238"/>
      <c r="R9" s="1238"/>
      <c r="S9" s="1238"/>
      <c r="T9" s="1238"/>
      <c r="U9" s="1238"/>
      <c r="V9" s="1238"/>
      <c r="W9" s="1238"/>
      <c r="X9" s="1238"/>
      <c r="Y9" s="1238"/>
      <c r="Z9" s="1239"/>
      <c r="AA9" s="1238"/>
      <c r="AB9" s="1238"/>
      <c r="AC9" s="1238"/>
      <c r="AD9" s="1238"/>
      <c r="AE9" s="1238"/>
      <c r="AF9" s="1240"/>
      <c r="AG9" s="1404"/>
      <c r="AH9" s="1468" t="s">
        <v>1431</v>
      </c>
    </row>
    <row r="10" spans="1:36" ht="45" customHeight="1">
      <c r="A10" s="1403">
        <v>3</v>
      </c>
      <c r="B10" s="1237" t="s">
        <v>494</v>
      </c>
      <c r="C10" s="1473"/>
      <c r="D10" s="1234"/>
      <c r="E10" s="1234"/>
      <c r="F10" s="1234"/>
      <c r="G10" s="1234"/>
      <c r="H10" s="1234"/>
      <c r="I10" s="1234"/>
      <c r="J10" s="1234"/>
      <c r="K10" s="1234"/>
      <c r="L10" s="1234"/>
      <c r="M10" s="1234"/>
      <c r="N10" s="1536"/>
      <c r="O10" s="1238"/>
      <c r="P10" s="1238"/>
      <c r="Q10" s="1238"/>
      <c r="R10" s="1238"/>
      <c r="S10" s="1238"/>
      <c r="T10" s="1238"/>
      <c r="U10" s="1238"/>
      <c r="V10" s="1238"/>
      <c r="W10" s="1238"/>
      <c r="X10" s="1238"/>
      <c r="Y10" s="1238"/>
      <c r="Z10" s="1239"/>
      <c r="AA10" s="1238"/>
      <c r="AB10" s="1238"/>
      <c r="AC10" s="1238"/>
      <c r="AD10" s="1238"/>
      <c r="AE10" s="1238"/>
      <c r="AF10" s="1240"/>
      <c r="AG10" s="1404"/>
      <c r="AH10" s="1468" t="s">
        <v>1431</v>
      </c>
    </row>
    <row r="11" spans="1:36" ht="45" customHeight="1">
      <c r="A11" s="1403">
        <v>4</v>
      </c>
      <c r="B11" s="1237" t="s">
        <v>495</v>
      </c>
      <c r="C11" s="1473"/>
      <c r="D11" s="1234"/>
      <c r="E11" s="1234"/>
      <c r="F11" s="1234"/>
      <c r="G11" s="1234"/>
      <c r="H11" s="1234"/>
      <c r="I11" s="1234"/>
      <c r="J11" s="1234"/>
      <c r="K11" s="1234"/>
      <c r="L11" s="1234"/>
      <c r="M11" s="1234"/>
      <c r="N11" s="1536"/>
      <c r="O11" s="1238"/>
      <c r="P11" s="1238"/>
      <c r="Q11" s="1238"/>
      <c r="R11" s="1238"/>
      <c r="S11" s="1238"/>
      <c r="T11" s="1238"/>
      <c r="U11" s="1238"/>
      <c r="V11" s="1238"/>
      <c r="W11" s="1238"/>
      <c r="X11" s="1238"/>
      <c r="Y11" s="1238"/>
      <c r="Z11" s="1239"/>
      <c r="AA11" s="1238"/>
      <c r="AB11" s="1238"/>
      <c r="AC11" s="1238"/>
      <c r="AD11" s="1238"/>
      <c r="AE11" s="1238"/>
      <c r="AF11" s="1240"/>
      <c r="AG11" s="1404"/>
      <c r="AH11" s="1468" t="s">
        <v>1432</v>
      </c>
    </row>
    <row r="12" spans="1:36" ht="45" customHeight="1">
      <c r="A12" s="1403">
        <v>5</v>
      </c>
      <c r="B12" s="1237" t="s">
        <v>394</v>
      </c>
      <c r="C12" s="1474"/>
      <c r="D12" s="1114"/>
      <c r="E12" s="1114"/>
      <c r="F12" s="1233"/>
      <c r="G12" s="1233"/>
      <c r="H12" s="1233"/>
      <c r="I12" s="1464"/>
      <c r="J12" s="1464"/>
      <c r="K12" s="1464"/>
      <c r="L12" s="1234"/>
      <c r="M12" s="1234"/>
      <c r="N12" s="1536"/>
      <c r="O12" s="1114"/>
      <c r="P12" s="1114"/>
      <c r="Q12" s="1114"/>
      <c r="R12" s="1114"/>
      <c r="S12" s="1114"/>
      <c r="T12" s="1114"/>
      <c r="U12" s="1114"/>
      <c r="V12" s="1114"/>
      <c r="W12" s="1114"/>
      <c r="X12" s="1114"/>
      <c r="Y12" s="1114"/>
      <c r="Z12" s="1242"/>
      <c r="AA12" s="1114"/>
      <c r="AB12" s="1114"/>
      <c r="AC12" s="1114"/>
      <c r="AD12" s="1114"/>
      <c r="AE12" s="1114"/>
      <c r="AF12" s="1052"/>
      <c r="AG12" s="1405"/>
      <c r="AH12" s="1465" t="s">
        <v>1478</v>
      </c>
    </row>
    <row r="13" spans="1:36" ht="105" customHeight="1">
      <c r="A13" s="1403">
        <v>6</v>
      </c>
      <c r="B13" s="1237" t="s">
        <v>1036</v>
      </c>
      <c r="C13" s="1473"/>
      <c r="D13" s="1234"/>
      <c r="E13" s="1234"/>
      <c r="F13" s="1234"/>
      <c r="G13" s="1234"/>
      <c r="H13" s="1234"/>
      <c r="I13" s="1234"/>
      <c r="J13" s="1234"/>
      <c r="K13" s="1234"/>
      <c r="L13" s="1234"/>
      <c r="M13" s="1234"/>
      <c r="N13" s="1536"/>
      <c r="O13" s="1238"/>
      <c r="P13" s="1238"/>
      <c r="Q13" s="1238"/>
      <c r="R13" s="1238"/>
      <c r="S13" s="1238"/>
      <c r="T13" s="1238"/>
      <c r="U13" s="1238"/>
      <c r="V13" s="1238"/>
      <c r="W13" s="1238"/>
      <c r="X13" s="1238"/>
      <c r="Y13" s="1238"/>
      <c r="Z13" s="1239"/>
      <c r="AA13" s="1238"/>
      <c r="AB13" s="1238"/>
      <c r="AC13" s="1238"/>
      <c r="AD13" s="1238"/>
      <c r="AE13" s="1238"/>
      <c r="AF13" s="1240"/>
      <c r="AG13" s="1404"/>
      <c r="AH13" s="1468" t="s">
        <v>1434</v>
      </c>
    </row>
    <row r="14" spans="1:36" ht="30" customHeight="1">
      <c r="A14" s="1403">
        <v>7</v>
      </c>
      <c r="B14" s="1237" t="s">
        <v>395</v>
      </c>
      <c r="C14" s="1473"/>
      <c r="D14" s="1234"/>
      <c r="E14" s="1234"/>
      <c r="F14" s="1234"/>
      <c r="G14" s="1234"/>
      <c r="H14" s="1234"/>
      <c r="I14" s="1234"/>
      <c r="J14" s="1234"/>
      <c r="K14" s="1234"/>
      <c r="L14" s="1234"/>
      <c r="M14" s="1234"/>
      <c r="N14" s="1536"/>
      <c r="O14" s="1238"/>
      <c r="P14" s="1238"/>
      <c r="Q14" s="1238"/>
      <c r="R14" s="1238"/>
      <c r="S14" s="1238"/>
      <c r="T14" s="1238"/>
      <c r="U14" s="1238"/>
      <c r="V14" s="1238"/>
      <c r="W14" s="1238"/>
      <c r="X14" s="1238"/>
      <c r="Y14" s="1238"/>
      <c r="Z14" s="1239"/>
      <c r="AA14" s="1238"/>
      <c r="AB14" s="1238"/>
      <c r="AC14" s="1238"/>
      <c r="AD14" s="1238"/>
      <c r="AE14" s="1238"/>
      <c r="AF14" s="1240"/>
      <c r="AG14" s="1404"/>
      <c r="AH14" s="1468" t="s">
        <v>1429</v>
      </c>
    </row>
    <row r="15" spans="1:36" ht="45" customHeight="1">
      <c r="A15" s="1403">
        <v>8</v>
      </c>
      <c r="B15" s="1237" t="s">
        <v>1037</v>
      </c>
      <c r="C15" s="1473"/>
      <c r="D15" s="1234"/>
      <c r="E15" s="1234"/>
      <c r="F15" s="1234"/>
      <c r="G15" s="1234"/>
      <c r="H15" s="1234"/>
      <c r="I15" s="1234"/>
      <c r="J15" s="1234"/>
      <c r="K15" s="1234"/>
      <c r="L15" s="1234"/>
      <c r="M15" s="1234"/>
      <c r="N15" s="1536"/>
      <c r="O15" s="1238"/>
      <c r="P15" s="1238"/>
      <c r="Q15" s="1238"/>
      <c r="R15" s="1238"/>
      <c r="S15" s="1238"/>
      <c r="T15" s="1238"/>
      <c r="U15" s="1238"/>
      <c r="V15" s="1238"/>
      <c r="W15" s="1238"/>
      <c r="X15" s="1238"/>
      <c r="Y15" s="1238"/>
      <c r="Z15" s="1239"/>
      <c r="AA15" s="1238"/>
      <c r="AB15" s="1238"/>
      <c r="AC15" s="1238"/>
      <c r="AD15" s="1238"/>
      <c r="AE15" s="1238"/>
      <c r="AF15" s="1240"/>
      <c r="AG15" s="1404"/>
      <c r="AH15" s="1468" t="s">
        <v>1433</v>
      </c>
    </row>
    <row r="16" spans="1:36" ht="60" customHeight="1">
      <c r="A16" s="1403">
        <v>9</v>
      </c>
      <c r="B16" s="1237" t="s">
        <v>396</v>
      </c>
      <c r="C16" s="1473"/>
      <c r="D16" s="1234"/>
      <c r="E16" s="1234"/>
      <c r="F16" s="1234"/>
      <c r="G16" s="1234"/>
      <c r="H16" s="1234"/>
      <c r="I16" s="1234"/>
      <c r="J16" s="1234"/>
      <c r="K16" s="1234"/>
      <c r="L16" s="1238"/>
      <c r="M16" s="1238"/>
      <c r="N16" s="1404"/>
      <c r="O16" s="1238"/>
      <c r="P16" s="1238"/>
      <c r="Q16" s="1238"/>
      <c r="R16" s="1238"/>
      <c r="S16" s="1238"/>
      <c r="T16" s="1238"/>
      <c r="U16" s="1238"/>
      <c r="V16" s="1238"/>
      <c r="W16" s="1238"/>
      <c r="X16" s="1238"/>
      <c r="Y16" s="1238"/>
      <c r="Z16" s="1239"/>
      <c r="AA16" s="1238"/>
      <c r="AB16" s="1238"/>
      <c r="AC16" s="1238"/>
      <c r="AD16" s="1238"/>
      <c r="AE16" s="1238"/>
      <c r="AF16" s="1240"/>
      <c r="AG16" s="1404"/>
      <c r="AH16" s="1468" t="s">
        <v>1429</v>
      </c>
    </row>
    <row r="17" spans="1:34" ht="30" customHeight="1">
      <c r="A17" s="1403">
        <v>10</v>
      </c>
      <c r="B17" s="1237" t="s">
        <v>397</v>
      </c>
      <c r="C17" s="1473"/>
      <c r="D17" s="1234"/>
      <c r="E17" s="1234"/>
      <c r="F17" s="1234"/>
      <c r="G17" s="1234"/>
      <c r="H17" s="1234"/>
      <c r="I17" s="1234"/>
      <c r="J17" s="1234"/>
      <c r="K17" s="1234"/>
      <c r="L17" s="1234"/>
      <c r="M17" s="1234"/>
      <c r="N17" s="1536"/>
      <c r="O17" s="1238"/>
      <c r="P17" s="1238"/>
      <c r="Q17" s="1238"/>
      <c r="R17" s="1238"/>
      <c r="S17" s="1238"/>
      <c r="T17" s="1238"/>
      <c r="U17" s="1238"/>
      <c r="V17" s="1238"/>
      <c r="W17" s="1238"/>
      <c r="X17" s="1238"/>
      <c r="Y17" s="1238"/>
      <c r="Z17" s="1239"/>
      <c r="AA17" s="1238"/>
      <c r="AB17" s="1238"/>
      <c r="AC17" s="1238"/>
      <c r="AD17" s="1238"/>
      <c r="AE17" s="1238"/>
      <c r="AF17" s="1240"/>
      <c r="AG17" s="1404"/>
      <c r="AH17" s="1468" t="s">
        <v>1429</v>
      </c>
    </row>
    <row r="18" spans="1:34" ht="30" customHeight="1">
      <c r="A18" s="1403">
        <v>11</v>
      </c>
      <c r="B18" s="1237" t="s">
        <v>496</v>
      </c>
      <c r="C18" s="1473"/>
      <c r="D18" s="1234"/>
      <c r="E18" s="1234"/>
      <c r="F18" s="1233"/>
      <c r="G18" s="1233"/>
      <c r="H18" s="1233"/>
      <c r="I18" s="1464"/>
      <c r="J18" s="1464"/>
      <c r="K18" s="1464"/>
      <c r="L18" s="1238"/>
      <c r="M18" s="1238"/>
      <c r="N18" s="1404"/>
      <c r="O18" s="1238"/>
      <c r="P18" s="1238"/>
      <c r="Q18" s="1238"/>
      <c r="R18" s="1238"/>
      <c r="S18" s="1238"/>
      <c r="T18" s="1238"/>
      <c r="U18" s="1238"/>
      <c r="V18" s="1238"/>
      <c r="W18" s="1238"/>
      <c r="X18" s="1238"/>
      <c r="Y18" s="1238"/>
      <c r="Z18" s="1239"/>
      <c r="AA18" s="1238"/>
      <c r="AB18" s="1238"/>
      <c r="AC18" s="1238"/>
      <c r="AD18" s="1238"/>
      <c r="AE18" s="1238"/>
      <c r="AF18" s="1240"/>
      <c r="AG18" s="1404"/>
      <c r="AH18" s="1236"/>
    </row>
    <row r="19" spans="1:34" ht="45" customHeight="1">
      <c r="A19" s="1403">
        <v>12</v>
      </c>
      <c r="B19" s="1237" t="s">
        <v>407</v>
      </c>
      <c r="C19" s="1473"/>
      <c r="D19" s="1234"/>
      <c r="E19" s="1234"/>
      <c r="F19" s="1234"/>
      <c r="G19" s="1234"/>
      <c r="H19" s="1234"/>
      <c r="I19" s="1234"/>
      <c r="J19" s="1234"/>
      <c r="K19" s="1234"/>
      <c r="L19" s="1234"/>
      <c r="M19" s="1234"/>
      <c r="N19" s="1536"/>
      <c r="O19" s="1238"/>
      <c r="P19" s="1238"/>
      <c r="Q19" s="1238"/>
      <c r="R19" s="1238"/>
      <c r="S19" s="1238"/>
      <c r="T19" s="1238"/>
      <c r="U19" s="1238"/>
      <c r="V19" s="1238"/>
      <c r="W19" s="1238"/>
      <c r="X19" s="1238"/>
      <c r="Y19" s="1238"/>
      <c r="Z19" s="1239"/>
      <c r="AA19" s="1238"/>
      <c r="AB19" s="1238"/>
      <c r="AC19" s="1238"/>
      <c r="AD19" s="1238"/>
      <c r="AE19" s="1238"/>
      <c r="AF19" s="1240"/>
      <c r="AG19" s="1404"/>
      <c r="AH19" s="1468" t="s">
        <v>1429</v>
      </c>
    </row>
    <row r="20" spans="1:34" ht="60" customHeight="1">
      <c r="A20" s="1403">
        <v>13</v>
      </c>
      <c r="B20" s="1237" t="s">
        <v>398</v>
      </c>
      <c r="C20" s="1473"/>
      <c r="D20" s="1234"/>
      <c r="E20" s="1234"/>
      <c r="F20" s="1234"/>
      <c r="G20" s="1234"/>
      <c r="H20" s="1234"/>
      <c r="I20" s="1234"/>
      <c r="J20" s="1234"/>
      <c r="K20" s="1234"/>
      <c r="L20" s="1234"/>
      <c r="M20" s="1234"/>
      <c r="N20" s="1536"/>
      <c r="O20" s="1238"/>
      <c r="P20" s="1238"/>
      <c r="Q20" s="1238"/>
      <c r="R20" s="1238"/>
      <c r="S20" s="1238"/>
      <c r="T20" s="1238"/>
      <c r="U20" s="1238"/>
      <c r="V20" s="1238"/>
      <c r="W20" s="1238"/>
      <c r="X20" s="1238"/>
      <c r="Y20" s="1238"/>
      <c r="Z20" s="1239"/>
      <c r="AA20" s="1238"/>
      <c r="AB20" s="1238"/>
      <c r="AC20" s="1238"/>
      <c r="AD20" s="1238"/>
      <c r="AE20" s="1238"/>
      <c r="AF20" s="1240"/>
      <c r="AG20" s="1404"/>
      <c r="AH20" s="1468" t="s">
        <v>1433</v>
      </c>
    </row>
    <row r="21" spans="1:34" ht="30" customHeight="1">
      <c r="A21" s="1403">
        <v>14</v>
      </c>
      <c r="B21" s="1237" t="s">
        <v>399</v>
      </c>
      <c r="C21" s="1473"/>
      <c r="D21" s="1234"/>
      <c r="E21" s="1234"/>
      <c r="F21" s="1234"/>
      <c r="G21" s="1234"/>
      <c r="H21" s="1234"/>
      <c r="I21" s="1234"/>
      <c r="J21" s="1234"/>
      <c r="K21" s="1234"/>
      <c r="L21" s="1234"/>
      <c r="M21" s="1234"/>
      <c r="N21" s="1536"/>
      <c r="O21" s="1238"/>
      <c r="P21" s="1238"/>
      <c r="Q21" s="1238"/>
      <c r="R21" s="1238"/>
      <c r="S21" s="1238"/>
      <c r="T21" s="1238"/>
      <c r="U21" s="1238"/>
      <c r="V21" s="1238"/>
      <c r="W21" s="1238"/>
      <c r="X21" s="1238"/>
      <c r="Y21" s="1238"/>
      <c r="Z21" s="1239"/>
      <c r="AA21" s="1238"/>
      <c r="AB21" s="1238"/>
      <c r="AC21" s="1238"/>
      <c r="AD21" s="1238"/>
      <c r="AE21" s="1238"/>
      <c r="AF21" s="1240"/>
      <c r="AG21" s="1404"/>
      <c r="AH21" s="1365" t="s">
        <v>1350</v>
      </c>
    </row>
    <row r="22" spans="1:34" ht="60" customHeight="1">
      <c r="A22" s="1403">
        <v>15</v>
      </c>
      <c r="B22" s="1237" t="s">
        <v>400</v>
      </c>
      <c r="C22" s="1473"/>
      <c r="D22" s="1234"/>
      <c r="E22" s="1234"/>
      <c r="F22" s="1234"/>
      <c r="G22" s="1234"/>
      <c r="H22" s="1234"/>
      <c r="I22" s="1234"/>
      <c r="J22" s="1234"/>
      <c r="K22" s="1234"/>
      <c r="L22" s="1234"/>
      <c r="M22" s="1234"/>
      <c r="N22" s="1536"/>
      <c r="O22" s="1238"/>
      <c r="P22" s="1238"/>
      <c r="Q22" s="1238"/>
      <c r="R22" s="1238"/>
      <c r="S22" s="1238"/>
      <c r="T22" s="1238"/>
      <c r="U22" s="1238"/>
      <c r="V22" s="1238"/>
      <c r="W22" s="1238"/>
      <c r="X22" s="1238"/>
      <c r="Y22" s="1238"/>
      <c r="Z22" s="1239"/>
      <c r="AA22" s="1238"/>
      <c r="AB22" s="1238"/>
      <c r="AC22" s="1238"/>
      <c r="AD22" s="1238"/>
      <c r="AE22" s="1238"/>
      <c r="AF22" s="1240"/>
      <c r="AG22" s="1404"/>
      <c r="AH22" s="1241"/>
    </row>
    <row r="23" spans="1:34" ht="45" customHeight="1">
      <c r="A23" s="1403">
        <v>16</v>
      </c>
      <c r="B23" s="1237" t="s">
        <v>401</v>
      </c>
      <c r="C23" s="1475"/>
      <c r="D23" s="1238"/>
      <c r="E23" s="1238"/>
      <c r="F23" s="1233"/>
      <c r="G23" s="1233"/>
      <c r="H23" s="1233"/>
      <c r="I23" s="1464"/>
      <c r="J23" s="1464"/>
      <c r="K23" s="1464"/>
      <c r="L23" s="1238"/>
      <c r="M23" s="1238"/>
      <c r="N23" s="1404"/>
      <c r="O23" s="1238"/>
      <c r="P23" s="1238"/>
      <c r="Q23" s="1238"/>
      <c r="R23" s="1238"/>
      <c r="S23" s="1238"/>
      <c r="T23" s="1238"/>
      <c r="U23" s="1238"/>
      <c r="V23" s="1238"/>
      <c r="W23" s="1238"/>
      <c r="X23" s="1238"/>
      <c r="Y23" s="1238"/>
      <c r="Z23" s="1239"/>
      <c r="AA23" s="1238"/>
      <c r="AB23" s="1238"/>
      <c r="AC23" s="1238"/>
      <c r="AD23" s="1238"/>
      <c r="AE23" s="1238"/>
      <c r="AF23" s="1240"/>
      <c r="AG23" s="1404"/>
      <c r="AH23" s="1365"/>
    </row>
    <row r="24" spans="1:34" ht="30" customHeight="1">
      <c r="A24" s="1403">
        <v>17</v>
      </c>
      <c r="B24" s="1237" t="s">
        <v>402</v>
      </c>
      <c r="C24" s="1473"/>
      <c r="D24" s="1234"/>
      <c r="E24" s="1234"/>
      <c r="F24" s="1234"/>
      <c r="G24" s="1234"/>
      <c r="H24" s="1234"/>
      <c r="I24" s="1234"/>
      <c r="J24" s="1234"/>
      <c r="K24" s="1234"/>
      <c r="L24" s="1238"/>
      <c r="M24" s="1238"/>
      <c r="N24" s="1404"/>
      <c r="O24" s="1238"/>
      <c r="P24" s="1238"/>
      <c r="Q24" s="1238"/>
      <c r="R24" s="1238"/>
      <c r="S24" s="1238"/>
      <c r="T24" s="1238"/>
      <c r="U24" s="1238"/>
      <c r="V24" s="1238"/>
      <c r="W24" s="1238"/>
      <c r="X24" s="1238"/>
      <c r="Y24" s="1238"/>
      <c r="Z24" s="1239"/>
      <c r="AA24" s="1238"/>
      <c r="AB24" s="1238"/>
      <c r="AC24" s="1238"/>
      <c r="AD24" s="1238"/>
      <c r="AE24" s="1238"/>
      <c r="AF24" s="1240"/>
      <c r="AG24" s="1404"/>
      <c r="AH24" s="1365" t="s">
        <v>1479</v>
      </c>
    </row>
    <row r="25" spans="1:34" ht="30" customHeight="1">
      <c r="A25" s="1403">
        <v>18</v>
      </c>
      <c r="B25" s="1237" t="s">
        <v>403</v>
      </c>
      <c r="C25" s="1473"/>
      <c r="D25" s="1234"/>
      <c r="E25" s="1234"/>
      <c r="F25" s="1234"/>
      <c r="G25" s="1234"/>
      <c r="H25" s="1234"/>
      <c r="I25" s="1234"/>
      <c r="J25" s="1234"/>
      <c r="K25" s="1234"/>
      <c r="L25" s="1234"/>
      <c r="M25" s="1234"/>
      <c r="N25" s="1536"/>
      <c r="O25" s="1238"/>
      <c r="P25" s="1238"/>
      <c r="Q25" s="1238"/>
      <c r="R25" s="1238"/>
      <c r="S25" s="1238"/>
      <c r="T25" s="1238"/>
      <c r="U25" s="1238"/>
      <c r="V25" s="1238"/>
      <c r="W25" s="1238"/>
      <c r="X25" s="1238"/>
      <c r="Y25" s="1238"/>
      <c r="Z25" s="1239"/>
      <c r="AA25" s="1238"/>
      <c r="AB25" s="1238"/>
      <c r="AC25" s="1238"/>
      <c r="AD25" s="1238"/>
      <c r="AE25" s="1238"/>
      <c r="AF25" s="1240"/>
      <c r="AG25" s="1404"/>
      <c r="AH25" s="1243"/>
    </row>
    <row r="26" spans="1:34" ht="30" customHeight="1">
      <c r="A26" s="1401">
        <v>19</v>
      </c>
      <c r="B26" s="1244" t="s">
        <v>404</v>
      </c>
      <c r="C26" s="1473"/>
      <c r="D26" s="1234"/>
      <c r="E26" s="1234"/>
      <c r="F26" s="1234"/>
      <c r="G26" s="1234"/>
      <c r="H26" s="1234"/>
      <c r="I26" s="1234"/>
      <c r="J26" s="1234"/>
      <c r="K26" s="1234"/>
      <c r="L26" s="1234"/>
      <c r="M26" s="1234"/>
      <c r="N26" s="1536"/>
      <c r="O26" s="1233"/>
      <c r="P26" s="1233"/>
      <c r="Q26" s="1233"/>
      <c r="R26" s="1233"/>
      <c r="S26" s="1233"/>
      <c r="T26" s="1233"/>
      <c r="U26" s="1233"/>
      <c r="V26" s="1233"/>
      <c r="W26" s="1233"/>
      <c r="X26" s="1233"/>
      <c r="Y26" s="1233"/>
      <c r="Z26" s="1235"/>
      <c r="AA26" s="1233"/>
      <c r="AB26" s="1233"/>
      <c r="AC26" s="1233"/>
      <c r="AD26" s="1233"/>
      <c r="AE26" s="1233"/>
      <c r="AF26" s="1049"/>
      <c r="AG26" s="1402"/>
      <c r="AH26" s="1365" t="s">
        <v>1430</v>
      </c>
    </row>
    <row r="27" spans="1:34" ht="57" customHeight="1">
      <c r="A27" s="1403">
        <v>20</v>
      </c>
      <c r="B27" s="1237" t="s">
        <v>1038</v>
      </c>
      <c r="C27" s="1477"/>
      <c r="D27" s="1464"/>
      <c r="E27" s="1464"/>
      <c r="F27" s="1234"/>
      <c r="G27" s="1234"/>
      <c r="H27" s="1234"/>
      <c r="I27" s="1234"/>
      <c r="J27" s="1234"/>
      <c r="K27" s="1234"/>
      <c r="L27" s="1234"/>
      <c r="M27" s="1234"/>
      <c r="N27" s="1536"/>
      <c r="O27" s="1245"/>
      <c r="P27" s="1245"/>
      <c r="Q27" s="1245"/>
      <c r="R27" s="1245"/>
      <c r="S27" s="1245"/>
      <c r="T27" s="1245"/>
      <c r="U27" s="1245"/>
      <c r="V27" s="1245"/>
      <c r="W27" s="1245"/>
      <c r="X27" s="1245"/>
      <c r="Y27" s="1245"/>
      <c r="Z27" s="1246"/>
      <c r="AA27" s="1245"/>
      <c r="AB27" s="1245"/>
      <c r="AC27" s="1245"/>
      <c r="AD27" s="1245"/>
      <c r="AE27" s="1245"/>
      <c r="AF27" s="1247"/>
      <c r="AG27" s="1406"/>
      <c r="AH27" s="1466" t="s">
        <v>1480</v>
      </c>
    </row>
    <row r="28" spans="1:34" ht="66" customHeight="1">
      <c r="A28" s="1403">
        <v>21</v>
      </c>
      <c r="B28" s="1237" t="s">
        <v>1039</v>
      </c>
      <c r="C28" s="1475"/>
      <c r="D28" s="1238"/>
      <c r="E28" s="1238"/>
      <c r="F28" s="1233"/>
      <c r="G28" s="1233"/>
      <c r="H28" s="1233"/>
      <c r="I28" s="1234"/>
      <c r="J28" s="1234"/>
      <c r="K28" s="1234"/>
      <c r="L28" s="1238"/>
      <c r="M28" s="1238"/>
      <c r="N28" s="1404"/>
      <c r="O28" s="1238"/>
      <c r="P28" s="1238"/>
      <c r="Q28" s="1238"/>
      <c r="R28" s="1238"/>
      <c r="S28" s="1238"/>
      <c r="T28" s="1238"/>
      <c r="U28" s="1238"/>
      <c r="V28" s="1238"/>
      <c r="W28" s="1238"/>
      <c r="X28" s="1238"/>
      <c r="Y28" s="1238"/>
      <c r="Z28" s="1239"/>
      <c r="AA28" s="1238"/>
      <c r="AB28" s="1238"/>
      <c r="AC28" s="1238"/>
      <c r="AD28" s="1238"/>
      <c r="AE28" s="1238"/>
      <c r="AF28" s="1240"/>
      <c r="AG28" s="1404"/>
      <c r="AH28" s="1365" t="s">
        <v>1481</v>
      </c>
    </row>
    <row r="29" spans="1:34" ht="45" customHeight="1">
      <c r="A29" s="1401">
        <v>22</v>
      </c>
      <c r="B29" s="1244" t="s">
        <v>405</v>
      </c>
      <c r="C29" s="1478"/>
      <c r="D29" s="1248"/>
      <c r="E29" s="1248"/>
      <c r="F29" s="1233"/>
      <c r="G29" s="1233"/>
      <c r="H29" s="1233"/>
      <c r="I29" s="1464"/>
      <c r="J29" s="1464"/>
      <c r="K29" s="1464"/>
      <c r="L29" s="1248"/>
      <c r="M29" s="1248"/>
      <c r="N29" s="1407"/>
      <c r="O29" s="1248"/>
      <c r="P29" s="1248"/>
      <c r="Q29" s="1248"/>
      <c r="R29" s="1248"/>
      <c r="S29" s="1248"/>
      <c r="T29" s="1248"/>
      <c r="U29" s="1248"/>
      <c r="V29" s="1248"/>
      <c r="W29" s="1248"/>
      <c r="X29" s="1248"/>
      <c r="Y29" s="1248"/>
      <c r="Z29" s="1249"/>
      <c r="AA29" s="1248"/>
      <c r="AB29" s="1248"/>
      <c r="AC29" s="1248"/>
      <c r="AD29" s="1248"/>
      <c r="AE29" s="1248"/>
      <c r="AF29" s="1250"/>
      <c r="AG29" s="1407"/>
      <c r="AH29" s="1467" t="s">
        <v>1426</v>
      </c>
    </row>
    <row r="30" spans="1:34" ht="105" customHeight="1">
      <c r="A30" s="1403">
        <v>23</v>
      </c>
      <c r="B30" s="1237" t="s">
        <v>507</v>
      </c>
      <c r="C30" s="1473"/>
      <c r="D30" s="1234"/>
      <c r="E30" s="1234"/>
      <c r="F30" s="1234"/>
      <c r="G30" s="1234"/>
      <c r="H30" s="1234"/>
      <c r="I30" s="1234"/>
      <c r="J30" s="1234"/>
      <c r="K30" s="1234"/>
      <c r="L30" s="1234"/>
      <c r="M30" s="1234"/>
      <c r="N30" s="1536"/>
      <c r="O30" s="1233"/>
      <c r="P30" s="1233"/>
      <c r="Q30" s="1233"/>
      <c r="R30" s="1233"/>
      <c r="S30" s="1233"/>
      <c r="T30" s="1233"/>
      <c r="U30" s="1233"/>
      <c r="V30" s="1233"/>
      <c r="W30" s="1233"/>
      <c r="X30" s="1233"/>
      <c r="Y30" s="1233"/>
      <c r="Z30" s="1235"/>
      <c r="AA30" s="1233"/>
      <c r="AB30" s="1233"/>
      <c r="AC30" s="1233"/>
      <c r="AD30" s="1233"/>
      <c r="AE30" s="1233"/>
      <c r="AF30" s="1049"/>
      <c r="AG30" s="1402"/>
      <c r="AH30" s="1467" t="s">
        <v>1428</v>
      </c>
    </row>
    <row r="31" spans="1:34" ht="60" customHeight="1">
      <c r="A31" s="1403">
        <v>24</v>
      </c>
      <c r="B31" s="1237" t="s">
        <v>1135</v>
      </c>
      <c r="C31" s="1476"/>
      <c r="D31" s="1233"/>
      <c r="E31" s="1233"/>
      <c r="F31" s="1233"/>
      <c r="G31" s="1233"/>
      <c r="H31" s="1233"/>
      <c r="I31" s="1234"/>
      <c r="J31" s="1234"/>
      <c r="K31" s="1234"/>
      <c r="L31" s="1234"/>
      <c r="M31" s="1234"/>
      <c r="N31" s="1536"/>
      <c r="O31" s="1233"/>
      <c r="P31" s="1233"/>
      <c r="Q31" s="1233"/>
      <c r="R31" s="1233"/>
      <c r="S31" s="1233"/>
      <c r="T31" s="1233"/>
      <c r="U31" s="1233"/>
      <c r="V31" s="1233"/>
      <c r="W31" s="1233"/>
      <c r="X31" s="1233"/>
      <c r="Y31" s="1233"/>
      <c r="Z31" s="1235"/>
      <c r="AA31" s="1233"/>
      <c r="AB31" s="1233"/>
      <c r="AC31" s="1233"/>
      <c r="AD31" s="1233"/>
      <c r="AE31" s="1233"/>
      <c r="AF31" s="1049"/>
      <c r="AG31" s="1402"/>
      <c r="AH31" s="1467" t="s">
        <v>1482</v>
      </c>
    </row>
    <row r="32" spans="1:34" ht="75" customHeight="1">
      <c r="A32" s="1401">
        <v>25</v>
      </c>
      <c r="B32" s="1470" t="s">
        <v>1136</v>
      </c>
      <c r="C32" s="1473"/>
      <c r="D32" s="1234"/>
      <c r="E32" s="1234"/>
      <c r="F32" s="1234"/>
      <c r="G32" s="1234"/>
      <c r="H32" s="1234"/>
      <c r="I32" s="1234"/>
      <c r="J32" s="1234"/>
      <c r="K32" s="1234"/>
      <c r="L32" s="1234"/>
      <c r="M32" s="1234"/>
      <c r="N32" s="1536"/>
      <c r="O32" s="1233"/>
      <c r="P32" s="1233"/>
      <c r="Q32" s="1233"/>
      <c r="R32" s="1233"/>
      <c r="S32" s="1233"/>
      <c r="T32" s="1233"/>
      <c r="U32" s="1233"/>
      <c r="V32" s="1233"/>
      <c r="W32" s="1233"/>
      <c r="X32" s="1233"/>
      <c r="Y32" s="1233"/>
      <c r="Z32" s="1235"/>
      <c r="AA32" s="1233"/>
      <c r="AB32" s="1233"/>
      <c r="AC32" s="1233"/>
      <c r="AD32" s="1233"/>
      <c r="AE32" s="1233"/>
      <c r="AF32" s="1049"/>
      <c r="AG32" s="1402"/>
      <c r="AH32" s="1467" t="s">
        <v>1427</v>
      </c>
    </row>
    <row r="33" spans="1:36" ht="105.75" customHeight="1" thickBot="1">
      <c r="A33" s="1408">
        <v>26</v>
      </c>
      <c r="B33" s="1409" t="s">
        <v>1303</v>
      </c>
      <c r="C33" s="1479"/>
      <c r="D33" s="1410"/>
      <c r="E33" s="1410"/>
      <c r="F33" s="1411"/>
      <c r="G33" s="1411"/>
      <c r="H33" s="1411"/>
      <c r="I33" s="1412"/>
      <c r="J33" s="1412"/>
      <c r="K33" s="1412"/>
      <c r="L33" s="1234"/>
      <c r="M33" s="1234"/>
      <c r="N33" s="1536"/>
      <c r="O33" s="1410"/>
      <c r="P33" s="1410"/>
      <c r="Q33" s="1410"/>
      <c r="R33" s="1410"/>
      <c r="S33" s="1410"/>
      <c r="T33" s="1410"/>
      <c r="U33" s="1410"/>
      <c r="V33" s="1410"/>
      <c r="W33" s="1410"/>
      <c r="X33" s="1410"/>
      <c r="Y33" s="1410"/>
      <c r="Z33" s="1413"/>
      <c r="AA33" s="1410"/>
      <c r="AB33" s="1410"/>
      <c r="AC33" s="1410"/>
      <c r="AD33" s="1410"/>
      <c r="AE33" s="1410"/>
      <c r="AF33" s="1414"/>
      <c r="AG33" s="1415"/>
      <c r="AH33" s="1391"/>
    </row>
    <row r="34" spans="1:36" ht="12.75" customHeight="1">
      <c r="B34" s="1251"/>
    </row>
    <row r="35" spans="1:36" ht="14.25" customHeight="1">
      <c r="A35" s="1177" t="s">
        <v>449</v>
      </c>
      <c r="B35" s="1252" t="s">
        <v>406</v>
      </c>
      <c r="C35" s="2102"/>
      <c r="D35" s="2060"/>
      <c r="E35" s="2060"/>
      <c r="F35" s="2060"/>
      <c r="G35" s="2060"/>
      <c r="H35" s="2060"/>
      <c r="I35" s="2060"/>
      <c r="J35" s="2060"/>
      <c r="K35" s="2060"/>
      <c r="L35" s="2060"/>
      <c r="M35" s="2060"/>
      <c r="N35" s="2060"/>
      <c r="O35" s="2060"/>
      <c r="P35" s="2060"/>
      <c r="Q35" s="2060"/>
      <c r="R35" s="2060"/>
      <c r="S35" s="2060"/>
      <c r="T35" s="2060"/>
      <c r="U35" s="2060"/>
      <c r="V35" s="2060"/>
      <c r="W35" s="2060"/>
      <c r="X35" s="2060"/>
      <c r="Y35" s="2060"/>
      <c r="Z35" s="2060"/>
      <c r="AA35" s="2060"/>
      <c r="AB35" s="2060"/>
      <c r="AC35" s="2060"/>
      <c r="AD35" s="2060"/>
      <c r="AE35" s="2060"/>
      <c r="AF35" s="2060"/>
      <c r="AG35" s="2060"/>
      <c r="AH35" s="2060"/>
    </row>
    <row r="36" spans="1:36" ht="12.75" customHeight="1">
      <c r="B36" s="1253"/>
      <c r="AH36" s="1043" t="s">
        <v>440</v>
      </c>
      <c r="AI36" s="1043"/>
      <c r="AJ36" s="1043"/>
    </row>
    <row r="37" spans="1:36" ht="12.75" customHeight="1">
      <c r="B37" s="1253"/>
    </row>
    <row r="38" spans="1:36" ht="12.75" customHeight="1">
      <c r="B38" s="1253"/>
    </row>
    <row r="39" spans="1:36" ht="12.75" customHeight="1">
      <c r="B39" s="1253"/>
    </row>
    <row r="40" spans="1:36" ht="12.75" customHeight="1">
      <c r="B40" s="1253"/>
    </row>
    <row r="41" spans="1:36" ht="12.75" customHeight="1">
      <c r="B41" s="1253"/>
    </row>
    <row r="42" spans="1:36" ht="12.75" customHeight="1">
      <c r="B42" s="1253"/>
    </row>
    <row r="43" spans="1:36" ht="12.75" customHeight="1">
      <c r="B43" s="1253"/>
    </row>
    <row r="44" spans="1:36" ht="12.75" customHeight="1">
      <c r="B44" s="1253"/>
    </row>
    <row r="45" spans="1:36" ht="12.75" customHeight="1">
      <c r="B45" s="1253"/>
    </row>
    <row r="46" spans="1:36" ht="12.75" customHeight="1">
      <c r="B46" s="1253"/>
    </row>
    <row r="47" spans="1:36" ht="12.75" customHeight="1">
      <c r="B47" s="1253"/>
    </row>
    <row r="48" spans="1:36"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row r="989" ht="12.75" customHeight="1"/>
    <row r="990" ht="12.75" customHeight="1"/>
    <row r="991" ht="12.75" customHeight="1"/>
    <row r="992" ht="12.75" customHeight="1"/>
    <row r="993" ht="12.75" customHeight="1"/>
    <row r="994" ht="12.75" customHeight="1"/>
    <row r="995" ht="12.75" customHeight="1"/>
    <row r="996" ht="12.75" customHeight="1"/>
    <row r="997" ht="12.75" customHeight="1"/>
    <row r="998" ht="12.75" customHeight="1"/>
    <row r="999" ht="12.75" customHeight="1"/>
    <row r="1000" ht="12.75" customHeight="1"/>
  </sheetData>
  <mergeCells count="9">
    <mergeCell ref="C35:AH35"/>
    <mergeCell ref="A1:AH1"/>
    <mergeCell ref="A2:AH2"/>
    <mergeCell ref="A3:AH3"/>
    <mergeCell ref="A4:AH4"/>
    <mergeCell ref="A5:AH5"/>
    <mergeCell ref="C6:N6"/>
    <mergeCell ref="O6:Z6"/>
    <mergeCell ref="AA6:AG6"/>
  </mergeCells>
  <phoneticPr fontId="3" type="noConversion"/>
  <printOptions horizontalCentered="1" verticalCentered="1"/>
  <pageMargins left="0.47244094488188981" right="0.47244094488188981" top="0.31496062992125984" bottom="0.19685039370078741" header="0.51181102362204722" footer="0.19685039370078741"/>
  <pageSetup scale="35" orientation="landscape" horizontalDpi="120" verticalDpi="144" r:id="rId1"/>
  <headerFooter alignWithMargins="0"/>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000"/>
  <sheetViews>
    <sheetView view="pageBreakPreview" zoomScale="130" zoomScaleNormal="100" zoomScaleSheetLayoutView="130" workbookViewId="0">
      <selection activeCell="N9" sqref="N9"/>
    </sheetView>
  </sheetViews>
  <sheetFormatPr baseColWidth="10" defaultColWidth="14.42578125" defaultRowHeight="12.75"/>
  <cols>
    <col min="1" max="1" width="6.28515625" style="1041" customWidth="1"/>
    <col min="2" max="2" width="13.7109375" style="1041" customWidth="1"/>
    <col min="3" max="3" width="7.140625" style="1041" customWidth="1"/>
    <col min="4" max="4" width="17" style="1041" customWidth="1"/>
    <col min="5" max="8" width="10" style="1041" customWidth="1"/>
    <col min="9" max="9" width="12.28515625" style="1041" customWidth="1"/>
    <col min="10" max="10" width="10" style="1041" customWidth="1"/>
    <col min="11" max="11" width="20.140625" style="1041" customWidth="1"/>
    <col min="12" max="26" width="10" style="1041" customWidth="1"/>
    <col min="27" max="16384" width="14.42578125" style="1041"/>
  </cols>
  <sheetData>
    <row r="1" spans="1:11" ht="23.25" customHeight="1">
      <c r="A1" s="2304" t="s">
        <v>0</v>
      </c>
      <c r="B1" s="2060"/>
      <c r="C1" s="2060"/>
      <c r="D1" s="2060"/>
      <c r="E1" s="2060"/>
      <c r="F1" s="2060"/>
      <c r="G1" s="2060"/>
      <c r="H1" s="2060"/>
      <c r="I1" s="2060"/>
      <c r="J1" s="2060"/>
      <c r="K1" s="2060"/>
    </row>
    <row r="2" spans="1:11" ht="12.75" customHeight="1">
      <c r="A2" s="1254"/>
      <c r="B2" s="1254"/>
      <c r="C2" s="1254"/>
      <c r="D2" s="1254"/>
      <c r="E2" s="1254"/>
      <c r="F2" s="1254"/>
      <c r="G2" s="1254"/>
      <c r="H2" s="1254"/>
      <c r="I2" s="1254"/>
      <c r="J2" s="1254"/>
      <c r="K2" s="1254"/>
    </row>
    <row r="3" spans="1:11" ht="18" customHeight="1">
      <c r="A3" s="2297" t="s">
        <v>278</v>
      </c>
      <c r="B3" s="2060"/>
      <c r="C3" s="2060"/>
      <c r="D3" s="2060"/>
      <c r="E3" s="2060"/>
      <c r="F3" s="2060"/>
      <c r="G3" s="2060"/>
      <c r="H3" s="2060"/>
      <c r="I3" s="2060"/>
      <c r="J3" s="2060"/>
      <c r="K3" s="2060"/>
    </row>
    <row r="4" spans="1:11" ht="18" customHeight="1">
      <c r="A4" s="2297" t="s">
        <v>1304</v>
      </c>
      <c r="B4" s="2060"/>
      <c r="C4" s="2060"/>
      <c r="D4" s="2060"/>
      <c r="E4" s="2060"/>
      <c r="F4" s="2060"/>
      <c r="G4" s="2060"/>
      <c r="H4" s="2060"/>
      <c r="I4" s="2060"/>
      <c r="J4" s="2060"/>
      <c r="K4" s="2060"/>
    </row>
    <row r="5" spans="1:11" ht="12.75" customHeight="1"/>
    <row r="6" spans="1:11" ht="12.75" customHeight="1"/>
    <row r="7" spans="1:11" ht="12.75" customHeight="1">
      <c r="A7" s="2305" t="s">
        <v>247</v>
      </c>
      <c r="B7" s="1255" t="s">
        <v>232</v>
      </c>
      <c r="C7" s="2305" t="s">
        <v>233</v>
      </c>
      <c r="D7" s="2305" t="s">
        <v>234</v>
      </c>
      <c r="E7" s="1255" t="s">
        <v>235</v>
      </c>
      <c r="F7" s="1255" t="s">
        <v>34</v>
      </c>
      <c r="G7" s="1255" t="s">
        <v>236</v>
      </c>
      <c r="H7" s="2306" t="s">
        <v>237</v>
      </c>
      <c r="I7" s="2052"/>
      <c r="J7" s="2053"/>
      <c r="K7" s="2305" t="s">
        <v>13</v>
      </c>
    </row>
    <row r="8" spans="1:11" ht="12.75" customHeight="1">
      <c r="A8" s="2084"/>
      <c r="B8" s="1256" t="s">
        <v>238</v>
      </c>
      <c r="C8" s="2084"/>
      <c r="D8" s="2084"/>
      <c r="E8" s="1256" t="s">
        <v>239</v>
      </c>
      <c r="F8" s="1256" t="s">
        <v>240</v>
      </c>
      <c r="G8" s="1256" t="s">
        <v>241</v>
      </c>
      <c r="H8" s="1257" t="s">
        <v>242</v>
      </c>
      <c r="I8" s="1257" t="s">
        <v>243</v>
      </c>
      <c r="J8" s="1257" t="s">
        <v>244</v>
      </c>
      <c r="K8" s="2084"/>
    </row>
    <row r="9" spans="1:11" ht="47.25" customHeight="1">
      <c r="A9" s="1052">
        <v>1</v>
      </c>
      <c r="B9" s="1267" t="s">
        <v>1137</v>
      </c>
      <c r="C9" s="1268" t="s">
        <v>1305</v>
      </c>
      <c r="D9" s="1260">
        <v>1914245015</v>
      </c>
      <c r="E9" s="1261">
        <v>43831</v>
      </c>
      <c r="F9" s="1261">
        <v>44773</v>
      </c>
      <c r="G9" s="1262">
        <v>93.55</v>
      </c>
      <c r="H9" s="1262" t="s">
        <v>1306</v>
      </c>
      <c r="I9" s="1262" t="s">
        <v>1307</v>
      </c>
      <c r="J9" s="1263" t="s">
        <v>1365</v>
      </c>
      <c r="K9" s="1258" t="s">
        <v>1308</v>
      </c>
    </row>
    <row r="10" spans="1:11" ht="18" customHeight="1">
      <c r="A10" s="1049"/>
      <c r="B10" s="1258"/>
      <c r="C10" s="1259"/>
      <c r="D10" s="1264"/>
      <c r="E10" s="1261"/>
      <c r="F10" s="1261"/>
      <c r="G10" s="1263"/>
      <c r="H10" s="1263"/>
      <c r="I10" s="1263"/>
      <c r="J10" s="1263"/>
      <c r="K10" s="1258"/>
    </row>
    <row r="11" spans="1:11" ht="18" customHeight="1">
      <c r="A11" s="1049"/>
      <c r="B11" s="1258"/>
      <c r="C11" s="1259"/>
      <c r="D11" s="1264"/>
      <c r="E11" s="1261"/>
      <c r="F11" s="1265"/>
      <c r="G11" s="1266"/>
      <c r="H11" s="1266"/>
      <c r="I11" s="1266"/>
      <c r="J11" s="1266"/>
      <c r="K11" s="1258"/>
    </row>
    <row r="12" spans="1:11" ht="18" customHeight="1">
      <c r="A12" s="1049"/>
      <c r="B12" s="1258"/>
      <c r="C12" s="1259"/>
      <c r="D12" s="1264"/>
      <c r="E12" s="1261"/>
      <c r="F12" s="1265"/>
      <c r="G12" s="1266"/>
      <c r="H12" s="1266"/>
      <c r="I12" s="1266"/>
      <c r="J12" s="1266"/>
      <c r="K12" s="1258"/>
    </row>
    <row r="13" spans="1:11" ht="18" customHeight="1">
      <c r="A13" s="1049"/>
      <c r="B13" s="1258"/>
      <c r="C13" s="1259"/>
      <c r="D13" s="1264"/>
      <c r="E13" s="1261"/>
      <c r="F13" s="1265"/>
      <c r="G13" s="1266"/>
      <c r="H13" s="1266"/>
      <c r="I13" s="1266"/>
      <c r="J13" s="1266"/>
      <c r="K13" s="1258"/>
    </row>
    <row r="14" spans="1:11" ht="18" customHeight="1">
      <c r="A14" s="1049"/>
      <c r="B14" s="1258"/>
      <c r="C14" s="1259"/>
      <c r="D14" s="1264"/>
      <c r="E14" s="1261"/>
      <c r="F14" s="1265"/>
      <c r="G14" s="1266"/>
      <c r="H14" s="1266"/>
      <c r="I14" s="1266"/>
      <c r="J14" s="1266"/>
      <c r="K14" s="1258"/>
    </row>
    <row r="15" spans="1:11" ht="18" customHeight="1">
      <c r="A15" s="1049"/>
      <c r="B15" s="1258"/>
      <c r="C15" s="1259"/>
      <c r="D15" s="1264"/>
      <c r="E15" s="1261"/>
      <c r="F15" s="1265"/>
      <c r="G15" s="1266"/>
      <c r="H15" s="1266"/>
      <c r="I15" s="1266"/>
      <c r="J15" s="1266"/>
      <c r="K15" s="1258"/>
    </row>
    <row r="16" spans="1:11" ht="18" customHeight="1">
      <c r="A16" s="1049"/>
      <c r="B16" s="1258"/>
      <c r="C16" s="1259"/>
      <c r="D16" s="1264"/>
      <c r="E16" s="1261"/>
      <c r="F16" s="1265"/>
      <c r="G16" s="1266"/>
      <c r="H16" s="1266"/>
      <c r="I16" s="1266"/>
      <c r="J16" s="1266"/>
      <c r="K16" s="1258"/>
    </row>
    <row r="17" spans="1:11" ht="18" customHeight="1">
      <c r="A17" s="1049"/>
      <c r="B17" s="1258"/>
      <c r="C17" s="1259"/>
      <c r="D17" s="1264"/>
      <c r="E17" s="1261"/>
      <c r="F17" s="1265"/>
      <c r="G17" s="1266"/>
      <c r="H17" s="1266"/>
      <c r="I17" s="1266"/>
      <c r="J17" s="1266"/>
      <c r="K17" s="1258"/>
    </row>
    <row r="18" spans="1:11" ht="18" customHeight="1">
      <c r="A18" s="1049"/>
      <c r="B18" s="1258"/>
      <c r="C18" s="1259"/>
      <c r="D18" s="1264"/>
      <c r="E18" s="1261"/>
      <c r="F18" s="1265"/>
      <c r="G18" s="1266"/>
      <c r="H18" s="1266"/>
      <c r="I18" s="1266"/>
      <c r="J18" s="1266"/>
      <c r="K18" s="1258"/>
    </row>
    <row r="19" spans="1:11" ht="18" customHeight="1">
      <c r="A19" s="1049"/>
      <c r="B19" s="1258"/>
      <c r="C19" s="1259"/>
      <c r="D19" s="1264"/>
      <c r="E19" s="1261"/>
      <c r="F19" s="1265"/>
      <c r="G19" s="1266"/>
      <c r="H19" s="1266"/>
      <c r="I19" s="1266"/>
      <c r="J19" s="1266"/>
      <c r="K19" s="1258"/>
    </row>
    <row r="20" spans="1:11" ht="18" customHeight="1">
      <c r="A20" s="1049"/>
      <c r="B20" s="1258"/>
      <c r="C20" s="1259"/>
      <c r="D20" s="1264"/>
      <c r="E20" s="1261"/>
      <c r="F20" s="1265"/>
      <c r="G20" s="1266"/>
      <c r="H20" s="1266"/>
      <c r="I20" s="1266"/>
      <c r="J20" s="1266"/>
      <c r="K20" s="1258"/>
    </row>
    <row r="21" spans="1:11" ht="18" customHeight="1">
      <c r="A21" s="1049"/>
      <c r="B21" s="1258"/>
      <c r="C21" s="1259"/>
      <c r="D21" s="1264"/>
      <c r="E21" s="1261"/>
      <c r="F21" s="1265"/>
      <c r="G21" s="1266"/>
      <c r="H21" s="1266"/>
      <c r="I21" s="1266"/>
      <c r="J21" s="1266"/>
      <c r="K21" s="1258"/>
    </row>
    <row r="22" spans="1:11" ht="12.75" customHeight="1">
      <c r="A22" s="1049"/>
      <c r="B22" s="1258"/>
      <c r="C22" s="1258"/>
      <c r="D22" s="1264"/>
      <c r="E22" s="1261"/>
      <c r="F22" s="1265"/>
      <c r="G22" s="1266"/>
      <c r="H22" s="1266"/>
      <c r="I22" s="1266"/>
      <c r="J22" s="1266"/>
      <c r="K22" s="1258"/>
    </row>
    <row r="23" spans="1:11" ht="12.75" customHeight="1"/>
    <row r="24" spans="1:11" ht="12.75" customHeight="1">
      <c r="A24" s="1188" t="s">
        <v>300</v>
      </c>
      <c r="I24" s="2102" t="s">
        <v>440</v>
      </c>
      <c r="J24" s="2060"/>
      <c r="K24" s="2060"/>
    </row>
    <row r="25" spans="1:11" ht="12.75" customHeight="1"/>
    <row r="26" spans="1:11" ht="12.75" customHeight="1"/>
    <row r="27" spans="1:11" ht="12.75" customHeight="1"/>
    <row r="28" spans="1:11" ht="12.75" customHeight="1"/>
    <row r="29" spans="1:11" ht="12.75" customHeight="1"/>
    <row r="30" spans="1:11" ht="12.75" customHeight="1"/>
    <row r="31" spans="1:11" ht="12.75" customHeight="1"/>
    <row r="32" spans="1:11" ht="12.75" customHeight="1"/>
    <row r="33" ht="12.75" customHeight="1"/>
    <row r="34" ht="12.75" customHeight="1"/>
    <row r="35" ht="12.75" customHeight="1"/>
    <row r="36" ht="12.75" customHeight="1"/>
    <row r="37" ht="12.75" customHeight="1"/>
    <row r="38" ht="12.75" customHeight="1"/>
    <row r="39" ht="12.75" customHeight="1"/>
    <row r="40" ht="12.75" customHeight="1"/>
    <row r="41" ht="12.75" customHeight="1"/>
    <row r="42" ht="12.75" customHeight="1"/>
    <row r="43" ht="12.75" customHeight="1"/>
    <row r="44" ht="12.75" customHeight="1"/>
    <row r="45" ht="12.75" customHeight="1"/>
    <row r="46" ht="12.75" customHeight="1"/>
    <row r="47" ht="12.75" customHeight="1"/>
    <row r="48"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row r="989" ht="12.75" customHeight="1"/>
    <row r="990" ht="12.75" customHeight="1"/>
    <row r="991" ht="12.75" customHeight="1"/>
    <row r="992" ht="12.75" customHeight="1"/>
    <row r="993" ht="12.75" customHeight="1"/>
    <row r="994" ht="12.75" customHeight="1"/>
    <row r="995" ht="12.75" customHeight="1"/>
    <row r="996" ht="12.75" customHeight="1"/>
    <row r="997" ht="12.75" customHeight="1"/>
    <row r="998" ht="12.75" customHeight="1"/>
    <row r="999" ht="12.75" customHeight="1"/>
    <row r="1000" ht="12.75" customHeight="1"/>
  </sheetData>
  <mergeCells count="9">
    <mergeCell ref="I24:K24"/>
    <mergeCell ref="A1:K1"/>
    <mergeCell ref="A3:K3"/>
    <mergeCell ref="A4:K4"/>
    <mergeCell ref="A7:A8"/>
    <mergeCell ref="C7:C8"/>
    <mergeCell ref="D7:D8"/>
    <mergeCell ref="K7:K8"/>
    <mergeCell ref="H7:J7"/>
  </mergeCells>
  <phoneticPr fontId="3" type="noConversion"/>
  <printOptions horizontalCentered="1" verticalCentered="1"/>
  <pageMargins left="0.55118110236220474" right="0.23622047244094491" top="0.78740157480314965" bottom="0.78740157480314965" header="0" footer="0"/>
  <pageSetup scale="90" orientation="landscape" horizontalDpi="4294967292" r:id="rId1"/>
  <headerFooter alignWithMargins="0"/>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22"/>
  <sheetViews>
    <sheetView view="pageBreakPreview" zoomScaleNormal="100" zoomScaleSheetLayoutView="100" workbookViewId="0">
      <selection activeCell="I16" sqref="I16"/>
    </sheetView>
  </sheetViews>
  <sheetFormatPr baseColWidth="10" defaultRowHeight="12.75"/>
  <cols>
    <col min="1" max="1" width="7.7109375" bestFit="1" customWidth="1"/>
    <col min="2" max="2" width="23.7109375" customWidth="1"/>
    <col min="3" max="3" width="15.5703125" customWidth="1"/>
    <col min="4" max="4" width="27" customWidth="1"/>
    <col min="5" max="5" width="32.28515625" customWidth="1"/>
    <col min="6" max="6" width="35" bestFit="1" customWidth="1"/>
    <col min="7" max="7" width="14.140625" customWidth="1"/>
    <col min="8" max="8" width="12.85546875" customWidth="1"/>
  </cols>
  <sheetData>
    <row r="1" spans="1:8" ht="23.25">
      <c r="A1" s="1577" t="s">
        <v>0</v>
      </c>
      <c r="B1" s="1577"/>
      <c r="C1" s="1577"/>
      <c r="D1" s="1577"/>
      <c r="E1" s="1577"/>
      <c r="F1" s="1577"/>
      <c r="G1" s="1577"/>
      <c r="H1" s="1577"/>
    </row>
    <row r="2" spans="1:8" ht="14.25" customHeight="1">
      <c r="A2" s="150"/>
      <c r="B2" s="150"/>
      <c r="C2" s="150"/>
      <c r="D2" s="150"/>
      <c r="E2" s="150"/>
      <c r="F2" s="150"/>
      <c r="G2" s="150"/>
      <c r="H2" s="150"/>
    </row>
    <row r="3" spans="1:8" ht="18">
      <c r="A3" s="1576" t="s">
        <v>377</v>
      </c>
      <c r="B3" s="1576"/>
      <c r="C3" s="1576"/>
      <c r="D3" s="1576"/>
      <c r="E3" s="1576"/>
      <c r="F3" s="1576"/>
      <c r="G3" s="1576"/>
      <c r="H3" s="1576"/>
    </row>
    <row r="4" spans="1:8" ht="18">
      <c r="A4" s="1576" t="s">
        <v>246</v>
      </c>
      <c r="B4" s="1576"/>
      <c r="C4" s="1576"/>
      <c r="D4" s="1576"/>
      <c r="E4" s="1576"/>
      <c r="F4" s="1576"/>
      <c r="G4" s="1576"/>
      <c r="H4" s="1576"/>
    </row>
    <row r="5" spans="1:8" ht="18">
      <c r="A5" s="194"/>
      <c r="B5" s="194"/>
      <c r="C5" s="194"/>
      <c r="D5" s="194"/>
      <c r="E5" s="194"/>
      <c r="F5" s="194"/>
      <c r="G5" s="194"/>
      <c r="H5" s="194"/>
    </row>
    <row r="6" spans="1:8">
      <c r="E6" s="212" t="s">
        <v>409</v>
      </c>
      <c r="F6" s="2313" t="str">
        <f>PORTADA!C31</f>
        <v>OCTUBRE - DICIEMBRE DEL 2020</v>
      </c>
      <c r="G6" s="2313"/>
      <c r="H6" s="115"/>
    </row>
    <row r="8" spans="1:8">
      <c r="A8" s="138" t="s">
        <v>247</v>
      </c>
      <c r="B8" s="138" t="s">
        <v>232</v>
      </c>
      <c r="C8" s="138" t="s">
        <v>248</v>
      </c>
      <c r="D8" s="138" t="s">
        <v>249</v>
      </c>
      <c r="E8" s="138" t="s">
        <v>250</v>
      </c>
      <c r="F8" s="138" t="s">
        <v>250</v>
      </c>
      <c r="G8" s="2310" t="s">
        <v>251</v>
      </c>
      <c r="H8" s="2310"/>
    </row>
    <row r="9" spans="1:8">
      <c r="A9" s="135"/>
      <c r="B9" s="135" t="s">
        <v>238</v>
      </c>
      <c r="C9" s="135" t="s">
        <v>252</v>
      </c>
      <c r="D9" s="135" t="s">
        <v>253</v>
      </c>
      <c r="E9" s="135" t="s">
        <v>254</v>
      </c>
      <c r="F9" s="135" t="s">
        <v>255</v>
      </c>
      <c r="G9" s="2311" t="s">
        <v>3</v>
      </c>
      <c r="H9" s="2311"/>
    </row>
    <row r="10" spans="1:8" s="145" customFormat="1">
      <c r="A10" s="1258">
        <v>1</v>
      </c>
      <c r="B10" s="1258" t="s">
        <v>1137</v>
      </c>
      <c r="C10" s="1259" t="s">
        <v>1309</v>
      </c>
      <c r="D10" s="1258" t="s">
        <v>1310</v>
      </c>
      <c r="E10" s="1263" t="s">
        <v>1120</v>
      </c>
      <c r="F10" s="1263" t="s">
        <v>1450</v>
      </c>
      <c r="G10" s="2312" t="s">
        <v>1121</v>
      </c>
      <c r="H10" s="2053"/>
    </row>
    <row r="11" spans="1:8">
      <c r="A11" s="72"/>
      <c r="B11" s="72"/>
      <c r="C11" s="72"/>
      <c r="D11" s="72"/>
      <c r="E11" s="72"/>
      <c r="F11" s="72"/>
      <c r="G11" s="72"/>
      <c r="H11" s="72"/>
    </row>
    <row r="13" spans="1:8">
      <c r="A13" s="138" t="s">
        <v>247</v>
      </c>
      <c r="B13" s="138" t="s">
        <v>256</v>
      </c>
      <c r="C13" s="2307" t="s">
        <v>257</v>
      </c>
      <c r="D13" s="2307"/>
      <c r="E13" s="2307"/>
      <c r="F13" s="2308" t="s">
        <v>258</v>
      </c>
      <c r="G13" s="138" t="s">
        <v>259</v>
      </c>
      <c r="H13" s="138" t="s">
        <v>260</v>
      </c>
    </row>
    <row r="14" spans="1:8">
      <c r="A14" s="135"/>
      <c r="B14" s="135" t="s">
        <v>261</v>
      </c>
      <c r="C14" s="161" t="s">
        <v>262</v>
      </c>
      <c r="D14" s="161" t="s">
        <v>263</v>
      </c>
      <c r="E14" s="161" t="s">
        <v>4</v>
      </c>
      <c r="F14" s="2309"/>
      <c r="G14" s="135"/>
      <c r="H14" s="135"/>
    </row>
    <row r="15" spans="1:8" ht="20.100000000000001" customHeight="1">
      <c r="A15" s="2314" t="s">
        <v>606</v>
      </c>
      <c r="B15" s="2315" t="s">
        <v>1138</v>
      </c>
      <c r="C15" s="2314"/>
      <c r="D15" s="2314" t="s">
        <v>1131</v>
      </c>
      <c r="E15" s="2314" t="s">
        <v>1483</v>
      </c>
      <c r="F15" s="818" t="s">
        <v>812</v>
      </c>
      <c r="G15" s="816" t="s">
        <v>106</v>
      </c>
      <c r="H15" s="814" t="s">
        <v>544</v>
      </c>
    </row>
    <row r="16" spans="1:8" ht="20.100000000000001" customHeight="1">
      <c r="A16" s="2091"/>
      <c r="B16" s="2091"/>
      <c r="C16" s="2091"/>
      <c r="D16" s="2091"/>
      <c r="E16" s="2091"/>
      <c r="F16" s="815" t="s">
        <v>813</v>
      </c>
      <c r="G16" s="816" t="s">
        <v>879</v>
      </c>
      <c r="H16" s="816" t="s">
        <v>546</v>
      </c>
    </row>
    <row r="17" spans="1:8" ht="20.100000000000001" customHeight="1">
      <c r="A17" s="2091"/>
      <c r="B17" s="2091"/>
      <c r="C17" s="2091"/>
      <c r="D17" s="2091"/>
      <c r="E17" s="2091"/>
      <c r="F17" s="815" t="s">
        <v>814</v>
      </c>
      <c r="G17" s="816" t="s">
        <v>540</v>
      </c>
      <c r="H17" s="816" t="s">
        <v>541</v>
      </c>
    </row>
    <row r="18" spans="1:8" ht="20.100000000000001" customHeight="1">
      <c r="A18" s="2091"/>
      <c r="B18" s="2091"/>
      <c r="C18" s="2091"/>
      <c r="D18" s="2091"/>
      <c r="E18" s="2091"/>
      <c r="F18" s="815" t="s">
        <v>527</v>
      </c>
      <c r="G18" s="814" t="s">
        <v>106</v>
      </c>
      <c r="H18" s="814" t="s">
        <v>537</v>
      </c>
    </row>
    <row r="19" spans="1:8" ht="20.100000000000001" customHeight="1">
      <c r="A19" s="2091"/>
      <c r="B19" s="2091"/>
      <c r="C19" s="2091"/>
      <c r="D19" s="2091"/>
      <c r="E19" s="2091"/>
      <c r="F19" s="814" t="s">
        <v>815</v>
      </c>
      <c r="G19" s="817" t="s">
        <v>533</v>
      </c>
      <c r="H19" s="816" t="s">
        <v>534</v>
      </c>
    </row>
    <row r="20" spans="1:8" ht="20.100000000000001" customHeight="1">
      <c r="A20" s="2084"/>
      <c r="B20" s="2084"/>
      <c r="C20" s="2084"/>
      <c r="D20" s="2084"/>
      <c r="E20" s="2084"/>
      <c r="F20" s="814"/>
      <c r="G20" s="817"/>
      <c r="H20" s="816"/>
    </row>
    <row r="22" spans="1:8">
      <c r="F22" s="1585" t="s">
        <v>440</v>
      </c>
      <c r="G22" s="2046"/>
      <c r="H22" s="2046"/>
    </row>
  </sheetData>
  <mergeCells count="15">
    <mergeCell ref="F22:H22"/>
    <mergeCell ref="A1:H1"/>
    <mergeCell ref="A4:H4"/>
    <mergeCell ref="C13:E13"/>
    <mergeCell ref="A3:H3"/>
    <mergeCell ref="F13:F14"/>
    <mergeCell ref="G8:H8"/>
    <mergeCell ref="G9:H9"/>
    <mergeCell ref="G10:H10"/>
    <mergeCell ref="F6:G6"/>
    <mergeCell ref="A15:A20"/>
    <mergeCell ref="B15:B20"/>
    <mergeCell ref="C15:C20"/>
    <mergeCell ref="D15:D20"/>
    <mergeCell ref="E15:E20"/>
  </mergeCells>
  <phoneticPr fontId="3" type="noConversion"/>
  <hyperlinks>
    <hyperlink ref="F22" location="'TABLA DE CONTENIDO'!A1" display="'TABLA DE CONTENIDO'!A1"/>
    <hyperlink ref="F22:H22" location="'TABLA DE CONTENIDO'!A1" display="VOLVER A TABLA DE CONTENIDO"/>
    <hyperlink ref="B15" r:id="rId1"/>
  </hyperlinks>
  <printOptions horizontalCentered="1"/>
  <pageMargins left="0" right="0.47244094488188981" top="0.78740157480314965" bottom="0.78740157480314965" header="0" footer="0"/>
  <pageSetup scale="77" orientation="landscape" horizontalDpi="4294967292" r:id="rId2"/>
  <headerFooter alignWithMargins="0"/>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1000"/>
  <sheetViews>
    <sheetView view="pageBreakPreview" zoomScaleNormal="100" zoomScaleSheetLayoutView="100" workbookViewId="0">
      <selection activeCell="P13" sqref="P13"/>
    </sheetView>
  </sheetViews>
  <sheetFormatPr baseColWidth="10" defaultColWidth="14.42578125" defaultRowHeight="12.75"/>
  <cols>
    <col min="1" max="1" width="7.85546875" style="1041" customWidth="1"/>
    <col min="2" max="2" width="15.5703125" style="1041" customWidth="1"/>
    <col min="3" max="6" width="7.7109375" style="1041" customWidth="1"/>
    <col min="7" max="7" width="6.85546875" style="1041" customWidth="1"/>
    <col min="8" max="9" width="14.140625" style="1041" customWidth="1"/>
    <col min="10" max="10" width="7.5703125" style="1041" customWidth="1"/>
    <col min="11" max="11" width="9.140625" style="1041" customWidth="1"/>
    <col min="12" max="12" width="10" style="1041" customWidth="1"/>
    <col min="13" max="13" width="12.42578125" style="1041" customWidth="1"/>
    <col min="14" max="26" width="10" style="1041" customWidth="1"/>
    <col min="27" max="16384" width="14.42578125" style="1041"/>
  </cols>
  <sheetData>
    <row r="1" spans="1:16" ht="23.25" customHeight="1">
      <c r="A1" s="2304" t="s">
        <v>0</v>
      </c>
      <c r="B1" s="2060"/>
      <c r="C1" s="2060"/>
      <c r="D1" s="2060"/>
      <c r="E1" s="2060"/>
      <c r="F1" s="2060"/>
      <c r="G1" s="2060"/>
      <c r="H1" s="2060"/>
      <c r="I1" s="2060"/>
      <c r="J1" s="2060"/>
      <c r="K1" s="2060"/>
      <c r="L1" s="2060"/>
      <c r="M1" s="2060"/>
    </row>
    <row r="2" spans="1:16" ht="12.75" customHeight="1">
      <c r="A2" s="1254"/>
      <c r="B2" s="1254"/>
      <c r="C2" s="1254"/>
      <c r="D2" s="1254"/>
      <c r="E2" s="1254"/>
      <c r="F2" s="1254"/>
      <c r="G2" s="1254"/>
      <c r="H2" s="1254"/>
      <c r="I2" s="1254"/>
      <c r="J2" s="1254"/>
      <c r="K2" s="1254"/>
      <c r="L2" s="1254"/>
      <c r="M2" s="1254"/>
    </row>
    <row r="3" spans="1:16" ht="18" customHeight="1">
      <c r="A3" s="2297" t="s">
        <v>450</v>
      </c>
      <c r="B3" s="2060"/>
      <c r="C3" s="2060"/>
      <c r="D3" s="2060"/>
      <c r="E3" s="2060"/>
      <c r="F3" s="2060"/>
      <c r="G3" s="2060"/>
      <c r="H3" s="2060"/>
      <c r="I3" s="2060"/>
      <c r="J3" s="2060"/>
      <c r="K3" s="2060"/>
      <c r="L3" s="2060"/>
      <c r="M3" s="2060"/>
    </row>
    <row r="4" spans="1:16" ht="18" customHeight="1">
      <c r="A4" s="2297" t="s">
        <v>1311</v>
      </c>
      <c r="B4" s="2060"/>
      <c r="C4" s="2060"/>
      <c r="D4" s="2060"/>
      <c r="E4" s="2060"/>
      <c r="F4" s="2060"/>
      <c r="G4" s="2060"/>
      <c r="H4" s="2060"/>
      <c r="I4" s="2060"/>
      <c r="J4" s="2060"/>
      <c r="K4" s="2060"/>
      <c r="L4" s="2060"/>
      <c r="M4" s="2060"/>
    </row>
    <row r="5" spans="1:16" ht="12.75" customHeight="1"/>
    <row r="6" spans="1:16" ht="12.75" customHeight="1">
      <c r="A6" s="1177" t="s">
        <v>800</v>
      </c>
      <c r="C6" s="1176"/>
      <c r="D6" s="1176"/>
      <c r="E6" s="1176"/>
      <c r="F6" s="1176"/>
      <c r="G6" s="1176"/>
      <c r="H6" s="1176"/>
    </row>
    <row r="7" spans="1:16" ht="13.5" customHeight="1" thickBot="1"/>
    <row r="8" spans="1:16" ht="13.5" customHeight="1" thickBot="1">
      <c r="A8" s="1269" t="s">
        <v>247</v>
      </c>
      <c r="B8" s="1269" t="s">
        <v>265</v>
      </c>
      <c r="C8" s="2320" t="s">
        <v>266</v>
      </c>
      <c r="D8" s="2321"/>
      <c r="E8" s="2321"/>
      <c r="F8" s="2067"/>
      <c r="G8" s="1269" t="s">
        <v>267</v>
      </c>
      <c r="H8" s="1269" t="s">
        <v>298</v>
      </c>
      <c r="I8" s="1270" t="s">
        <v>268</v>
      </c>
      <c r="J8" s="1270" t="s">
        <v>23</v>
      </c>
      <c r="K8" s="1271" t="s">
        <v>294</v>
      </c>
      <c r="L8" s="2320" t="s">
        <v>269</v>
      </c>
      <c r="M8" s="2067"/>
    </row>
    <row r="9" spans="1:16" ht="13.5" customHeight="1" thickBot="1">
      <c r="A9" s="1416"/>
      <c r="B9" s="1416" t="s">
        <v>1312</v>
      </c>
      <c r="C9" s="1269" t="s">
        <v>270</v>
      </c>
      <c r="D9" s="1269" t="s">
        <v>271</v>
      </c>
      <c r="E9" s="1269" t="s">
        <v>272</v>
      </c>
      <c r="F9" s="1269" t="s">
        <v>273</v>
      </c>
      <c r="G9" s="1416" t="s">
        <v>274</v>
      </c>
      <c r="H9" s="1416" t="s">
        <v>275</v>
      </c>
      <c r="I9" s="1416" t="s">
        <v>299</v>
      </c>
      <c r="J9" s="1417" t="s">
        <v>276</v>
      </c>
      <c r="K9" s="1272" t="s">
        <v>297</v>
      </c>
      <c r="L9" s="1269" t="s">
        <v>277</v>
      </c>
      <c r="M9" s="1269" t="s">
        <v>240</v>
      </c>
    </row>
    <row r="10" spans="1:16" ht="12.75" customHeight="1">
      <c r="A10" s="2322" t="s">
        <v>49</v>
      </c>
      <c r="B10" s="2325" t="s">
        <v>816</v>
      </c>
      <c r="C10" s="2327">
        <v>8.61</v>
      </c>
      <c r="D10" s="2327">
        <v>32.700000000000003</v>
      </c>
      <c r="E10" s="2327">
        <v>2.59</v>
      </c>
      <c r="F10" s="2327">
        <v>0</v>
      </c>
      <c r="G10" s="2327">
        <f>C10+D10+E10+F10</f>
        <v>43.900000000000006</v>
      </c>
      <c r="H10" s="2335">
        <v>1240380509</v>
      </c>
      <c r="I10" s="2336">
        <f>+H10</f>
        <v>1240380509</v>
      </c>
      <c r="J10" s="2337">
        <v>11</v>
      </c>
      <c r="K10" s="2325" t="s">
        <v>1313</v>
      </c>
      <c r="L10" s="2328">
        <v>43801</v>
      </c>
      <c r="M10" s="2329">
        <v>44773</v>
      </c>
    </row>
    <row r="11" spans="1:16" ht="44.25" customHeight="1">
      <c r="A11" s="2323"/>
      <c r="B11" s="2326"/>
      <c r="C11" s="2326"/>
      <c r="D11" s="2326"/>
      <c r="E11" s="2326"/>
      <c r="F11" s="2326"/>
      <c r="G11" s="2326"/>
      <c r="H11" s="2326"/>
      <c r="I11" s="2326"/>
      <c r="J11" s="2326"/>
      <c r="K11" s="2326"/>
      <c r="L11" s="2326"/>
      <c r="M11" s="2330"/>
    </row>
    <row r="12" spans="1:16" ht="12.75" customHeight="1">
      <c r="A12" s="2323"/>
      <c r="B12" s="2319" t="s">
        <v>817</v>
      </c>
      <c r="C12" s="2334">
        <v>49.65</v>
      </c>
      <c r="D12" s="2334">
        <v>0</v>
      </c>
      <c r="E12" s="2334">
        <v>0</v>
      </c>
      <c r="F12" s="2334">
        <v>0</v>
      </c>
      <c r="G12" s="2334">
        <f>C12+D12+E12+F12</f>
        <v>49.65</v>
      </c>
      <c r="H12" s="2316">
        <v>1132163722</v>
      </c>
      <c r="I12" s="2316">
        <f>+H12</f>
        <v>1132163722</v>
      </c>
      <c r="J12" s="2318">
        <v>10</v>
      </c>
      <c r="K12" s="2319" t="s">
        <v>1314</v>
      </c>
      <c r="L12" s="2331">
        <v>43801</v>
      </c>
      <c r="M12" s="2332">
        <v>44773</v>
      </c>
    </row>
    <row r="13" spans="1:16" ht="51" customHeight="1" thickBot="1">
      <c r="A13" s="2324"/>
      <c r="B13" s="2317"/>
      <c r="C13" s="2317"/>
      <c r="D13" s="2317"/>
      <c r="E13" s="2317"/>
      <c r="F13" s="2317"/>
      <c r="G13" s="2317"/>
      <c r="H13" s="2317"/>
      <c r="I13" s="2317"/>
      <c r="J13" s="2317"/>
      <c r="K13" s="2317"/>
      <c r="L13" s="2317"/>
      <c r="M13" s="2333"/>
    </row>
    <row r="14" spans="1:16" ht="12.75" customHeight="1">
      <c r="A14" s="1423"/>
      <c r="B14" s="1418"/>
      <c r="C14" s="1419"/>
      <c r="D14" s="1418"/>
      <c r="E14" s="1418"/>
      <c r="F14" s="1418"/>
      <c r="G14" s="1419"/>
      <c r="H14" s="1420"/>
      <c r="I14" s="1420"/>
      <c r="J14" s="1421"/>
      <c r="K14" s="1418"/>
      <c r="L14" s="1422"/>
      <c r="M14" s="1273"/>
    </row>
    <row r="15" spans="1:16" ht="13.5" customHeight="1" thickBot="1">
      <c r="A15" s="1427"/>
      <c r="B15" s="1428"/>
      <c r="C15" s="1428"/>
      <c r="D15" s="1429"/>
      <c r="E15" s="1428"/>
      <c r="F15" s="1428"/>
      <c r="G15" s="1428"/>
      <c r="H15" s="1430"/>
      <c r="I15" s="1430"/>
      <c r="J15" s="1431"/>
      <c r="K15" s="1275"/>
      <c r="L15" s="1276"/>
      <c r="M15" s="1277"/>
      <c r="P15" s="1277"/>
    </row>
    <row r="16" spans="1:16" ht="20.25" customHeight="1" thickBot="1">
      <c r="A16" s="1432"/>
      <c r="B16" s="1433" t="s">
        <v>157</v>
      </c>
      <c r="C16" s="1434">
        <f t="shared" ref="C16:J16" si="0">SUM(C10:C15)</f>
        <v>58.26</v>
      </c>
      <c r="D16" s="1434">
        <f t="shared" si="0"/>
        <v>32.700000000000003</v>
      </c>
      <c r="E16" s="1434">
        <f t="shared" si="0"/>
        <v>2.59</v>
      </c>
      <c r="F16" s="1434">
        <f t="shared" si="0"/>
        <v>0</v>
      </c>
      <c r="G16" s="1434">
        <f t="shared" si="0"/>
        <v>93.550000000000011</v>
      </c>
      <c r="H16" s="1434">
        <f>SUM(H10:H15)</f>
        <v>2372544231</v>
      </c>
      <c r="I16" s="1434">
        <f t="shared" si="0"/>
        <v>2372544231</v>
      </c>
      <c r="J16" s="1435">
        <f t="shared" si="0"/>
        <v>21</v>
      </c>
      <c r="K16" s="1426"/>
      <c r="L16" s="1278"/>
      <c r="M16" s="1278"/>
    </row>
    <row r="17" spans="8:13" ht="12.75" customHeight="1">
      <c r="H17" s="1424"/>
      <c r="I17" s="1425"/>
    </row>
    <row r="18" spans="8:13" ht="12.75" customHeight="1">
      <c r="J18" s="2102" t="s">
        <v>440</v>
      </c>
      <c r="K18" s="2060"/>
      <c r="L18" s="2060"/>
      <c r="M18" s="2060"/>
    </row>
    <row r="19" spans="8:13" ht="12.75" customHeight="1"/>
    <row r="20" spans="8:13" ht="12.75" customHeight="1"/>
    <row r="21" spans="8:13" ht="12.75" customHeight="1"/>
    <row r="22" spans="8:13" ht="12.75" customHeight="1"/>
    <row r="23" spans="8:13" ht="12.75" customHeight="1"/>
    <row r="24" spans="8:13" ht="12.75" customHeight="1"/>
    <row r="25" spans="8:13" ht="12.75" customHeight="1"/>
    <row r="26" spans="8:13" ht="12.75" customHeight="1"/>
    <row r="27" spans="8:13" ht="12.75" customHeight="1"/>
    <row r="28" spans="8:13" ht="12.75" customHeight="1"/>
    <row r="29" spans="8:13" ht="12.75" customHeight="1"/>
    <row r="30" spans="8:13" ht="12.75" customHeight="1"/>
    <row r="31" spans="8:13" ht="12.75" customHeight="1"/>
    <row r="32" spans="8:13" ht="12.75" customHeight="1"/>
    <row r="33" ht="12.75" customHeight="1"/>
    <row r="34" ht="12.75" customHeight="1"/>
    <row r="35" ht="12.75" customHeight="1"/>
    <row r="36" ht="12.75" customHeight="1"/>
    <row r="37" ht="12.75" customHeight="1"/>
    <row r="38" ht="12.75" customHeight="1"/>
    <row r="39" ht="12.75" customHeight="1"/>
    <row r="40" ht="12.75" customHeight="1"/>
    <row r="41" ht="12.75" customHeight="1"/>
    <row r="42" ht="12.75" customHeight="1"/>
    <row r="43" ht="12.75" customHeight="1"/>
    <row r="44" ht="12.75" customHeight="1"/>
    <row r="45" ht="12.75" customHeight="1"/>
    <row r="46" ht="12.75" customHeight="1"/>
    <row r="47" ht="12.75" customHeight="1"/>
    <row r="48"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row r="989" ht="12.75" customHeight="1"/>
    <row r="990" ht="12.75" customHeight="1"/>
    <row r="991" ht="12.75" customHeight="1"/>
    <row r="992" ht="12.75" customHeight="1"/>
    <row r="993" ht="12.75" customHeight="1"/>
    <row r="994" ht="12.75" customHeight="1"/>
    <row r="995" ht="12.75" customHeight="1"/>
    <row r="996" ht="12.75" customHeight="1"/>
    <row r="997" ht="12.75" customHeight="1"/>
    <row r="998" ht="12.75" customHeight="1"/>
    <row r="999" ht="12.75" customHeight="1"/>
    <row r="1000" ht="12.75" customHeight="1"/>
  </sheetData>
  <mergeCells count="31">
    <mergeCell ref="L10:L11"/>
    <mergeCell ref="M10:M11"/>
    <mergeCell ref="B12:B13"/>
    <mergeCell ref="L12:L13"/>
    <mergeCell ref="M12:M13"/>
    <mergeCell ref="C12:C13"/>
    <mergeCell ref="D12:D13"/>
    <mergeCell ref="E12:E13"/>
    <mergeCell ref="F12:F13"/>
    <mergeCell ref="G12:G13"/>
    <mergeCell ref="G10:G11"/>
    <mergeCell ref="H10:H11"/>
    <mergeCell ref="I10:I11"/>
    <mergeCell ref="J10:J11"/>
    <mergeCell ref="K10:K11"/>
    <mergeCell ref="A1:M1"/>
    <mergeCell ref="A4:M4"/>
    <mergeCell ref="A3:M3"/>
    <mergeCell ref="J18:M18"/>
    <mergeCell ref="H12:H13"/>
    <mergeCell ref="I12:I13"/>
    <mergeCell ref="J12:J13"/>
    <mergeCell ref="K12:K13"/>
    <mergeCell ref="C8:F8"/>
    <mergeCell ref="L8:M8"/>
    <mergeCell ref="A10:A13"/>
    <mergeCell ref="B10:B11"/>
    <mergeCell ref="C10:C11"/>
    <mergeCell ref="D10:D11"/>
    <mergeCell ref="E10:E11"/>
    <mergeCell ref="F10:F11"/>
  </mergeCells>
  <phoneticPr fontId="3" type="noConversion"/>
  <printOptions horizontalCentered="1" verticalCentered="1"/>
  <pageMargins left="0.74803149606299213" right="0.39370078740157483" top="0.78740157480314965" bottom="0.78740157480314965" header="0.15748031496062992" footer="0"/>
  <pageSetup scale="80" orientation="landscape" horizontalDpi="4294967292" verticalDpi="300" r:id="rId1"/>
  <headerFooter alignWithMargins="0"/>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000"/>
  <sheetViews>
    <sheetView view="pageBreakPreview" zoomScaleNormal="100" zoomScaleSheetLayoutView="100" workbookViewId="0">
      <selection activeCell="M11" sqref="M11"/>
    </sheetView>
  </sheetViews>
  <sheetFormatPr baseColWidth="10" defaultColWidth="14.42578125" defaultRowHeight="15" customHeight="1"/>
  <cols>
    <col min="1" max="1" width="9.28515625" style="1041" customWidth="1"/>
    <col min="2" max="2" width="22" style="1041" customWidth="1"/>
    <col min="3" max="3" width="14" style="1041" customWidth="1"/>
    <col min="4" max="4" width="10" style="1041" customWidth="1"/>
    <col min="5" max="5" width="22.5703125" style="1041" customWidth="1"/>
    <col min="6" max="6" width="10" style="1041" customWidth="1"/>
    <col min="7" max="7" width="9.5703125" style="1041" customWidth="1"/>
    <col min="8" max="8" width="19.85546875" style="1041" customWidth="1"/>
    <col min="9" max="10" width="8.7109375" style="1041" customWidth="1"/>
    <col min="11" max="11" width="17" style="1041" customWidth="1"/>
    <col min="12" max="26" width="10" style="1041" customWidth="1"/>
    <col min="27" max="16384" width="14.42578125" style="1041"/>
  </cols>
  <sheetData>
    <row r="1" spans="1:11" ht="23.25" customHeight="1">
      <c r="A1" s="2304" t="s">
        <v>0</v>
      </c>
      <c r="B1" s="2060"/>
      <c r="C1" s="2060"/>
      <c r="D1" s="2060"/>
      <c r="E1" s="2060"/>
      <c r="F1" s="2060"/>
      <c r="G1" s="2060"/>
      <c r="H1" s="2060"/>
      <c r="I1" s="2060"/>
      <c r="J1" s="2060"/>
      <c r="K1" s="2060"/>
    </row>
    <row r="2" spans="1:11" ht="14.25" customHeight="1">
      <c r="A2" s="1254"/>
      <c r="B2" s="1254"/>
      <c r="C2" s="1254"/>
      <c r="D2" s="1254"/>
      <c r="E2" s="1254"/>
      <c r="F2" s="1254"/>
      <c r="G2" s="1254"/>
      <c r="H2" s="1254"/>
      <c r="I2" s="1254"/>
      <c r="J2" s="1254"/>
      <c r="K2" s="1254"/>
    </row>
    <row r="3" spans="1:11" ht="18" customHeight="1">
      <c r="A3" s="2297" t="s">
        <v>451</v>
      </c>
      <c r="B3" s="2060"/>
      <c r="C3" s="2060"/>
      <c r="D3" s="2060"/>
      <c r="E3" s="2060"/>
      <c r="F3" s="2060"/>
      <c r="G3" s="2060"/>
      <c r="H3" s="2060"/>
      <c r="I3" s="2060"/>
      <c r="J3" s="2060"/>
      <c r="K3" s="2060"/>
    </row>
    <row r="4" spans="1:11" ht="18" customHeight="1">
      <c r="A4" s="2297" t="s">
        <v>1315</v>
      </c>
      <c r="B4" s="2060"/>
      <c r="C4" s="2060"/>
      <c r="D4" s="2060"/>
      <c r="E4" s="2060"/>
      <c r="F4" s="2060"/>
      <c r="G4" s="2060"/>
      <c r="H4" s="2060"/>
      <c r="I4" s="2060"/>
      <c r="J4" s="2060"/>
      <c r="K4" s="2060"/>
    </row>
    <row r="5" spans="1:11" ht="12.75" customHeight="1"/>
    <row r="6" spans="1:11" ht="12.75" customHeight="1">
      <c r="A6" s="1177" t="s">
        <v>800</v>
      </c>
    </row>
    <row r="7" spans="1:11" ht="12.75" customHeight="1"/>
    <row r="8" spans="1:11" ht="13.5" customHeight="1" thickBot="1"/>
    <row r="9" spans="1:11" ht="13.5" customHeight="1" thickBot="1">
      <c r="A9" s="1436" t="s">
        <v>247</v>
      </c>
      <c r="B9" s="1437" t="s">
        <v>265</v>
      </c>
      <c r="C9" s="1437" t="s">
        <v>279</v>
      </c>
      <c r="D9" s="1437" t="s">
        <v>295</v>
      </c>
      <c r="E9" s="1437" t="s">
        <v>251</v>
      </c>
      <c r="F9" s="1437" t="s">
        <v>280</v>
      </c>
      <c r="G9" s="1437" t="s">
        <v>281</v>
      </c>
      <c r="H9" s="1437" t="s">
        <v>52</v>
      </c>
      <c r="I9" s="2338" t="s">
        <v>282</v>
      </c>
      <c r="J9" s="2339"/>
      <c r="K9" s="1438" t="s">
        <v>283</v>
      </c>
    </row>
    <row r="10" spans="1:11" ht="13.5" customHeight="1" thickBot="1">
      <c r="A10" s="1439"/>
      <c r="B10" s="1440" t="s">
        <v>1312</v>
      </c>
      <c r="C10" s="1440" t="s">
        <v>253</v>
      </c>
      <c r="D10" s="1440" t="s">
        <v>252</v>
      </c>
      <c r="E10" s="1440"/>
      <c r="F10" s="1440" t="s">
        <v>296</v>
      </c>
      <c r="G10" s="1440" t="s">
        <v>284</v>
      </c>
      <c r="H10" s="1440"/>
      <c r="I10" s="1441" t="s">
        <v>285</v>
      </c>
      <c r="J10" s="1441" t="s">
        <v>286</v>
      </c>
      <c r="K10" s="1442" t="s">
        <v>238</v>
      </c>
    </row>
    <row r="11" spans="1:11" ht="71.25" customHeight="1">
      <c r="A11" s="2340" t="s">
        <v>49</v>
      </c>
      <c r="B11" s="1279" t="s">
        <v>818</v>
      </c>
      <c r="C11" s="1279" t="s">
        <v>819</v>
      </c>
      <c r="D11" s="1279" t="s">
        <v>820</v>
      </c>
      <c r="E11" s="1279" t="s">
        <v>821</v>
      </c>
      <c r="F11" s="1279" t="s">
        <v>822</v>
      </c>
      <c r="G11" s="1279">
        <v>3602</v>
      </c>
      <c r="H11" s="1279" t="s">
        <v>823</v>
      </c>
      <c r="I11" s="1279" t="s">
        <v>533</v>
      </c>
      <c r="J11" s="1279" t="s">
        <v>534</v>
      </c>
      <c r="K11" s="2343" t="s">
        <v>1137</v>
      </c>
    </row>
    <row r="12" spans="1:11" ht="37.5" customHeight="1">
      <c r="A12" s="2341"/>
      <c r="B12" s="2346" t="s">
        <v>824</v>
      </c>
      <c r="C12" s="2346" t="s">
        <v>825</v>
      </c>
      <c r="D12" s="2346" t="s">
        <v>826</v>
      </c>
      <c r="E12" s="2346" t="s">
        <v>827</v>
      </c>
      <c r="F12" s="2346" t="s">
        <v>828</v>
      </c>
      <c r="G12" s="1280" t="s">
        <v>543</v>
      </c>
      <c r="H12" s="1281" t="s">
        <v>829</v>
      </c>
      <c r="I12" s="1280" t="s">
        <v>106</v>
      </c>
      <c r="J12" s="1280" t="s">
        <v>544</v>
      </c>
      <c r="K12" s="2344"/>
    </row>
    <row r="13" spans="1:11" ht="31.5" customHeight="1">
      <c r="A13" s="2341"/>
      <c r="B13" s="2347"/>
      <c r="C13" s="2347"/>
      <c r="D13" s="2347"/>
      <c r="E13" s="2347"/>
      <c r="F13" s="2347"/>
      <c r="G13" s="2349">
        <v>4507</v>
      </c>
      <c r="H13" s="1281" t="s">
        <v>830</v>
      </c>
      <c r="I13" s="1280" t="s">
        <v>879</v>
      </c>
      <c r="J13" s="1280" t="s">
        <v>546</v>
      </c>
      <c r="K13" s="2344"/>
    </row>
    <row r="14" spans="1:11" ht="36" customHeight="1">
      <c r="A14" s="2341"/>
      <c r="B14" s="2347"/>
      <c r="C14" s="2347"/>
      <c r="D14" s="2347"/>
      <c r="E14" s="2347"/>
      <c r="F14" s="2347"/>
      <c r="G14" s="2091"/>
      <c r="H14" s="1282" t="s">
        <v>831</v>
      </c>
      <c r="I14" s="1282" t="s">
        <v>540</v>
      </c>
      <c r="J14" s="1282" t="s">
        <v>541</v>
      </c>
      <c r="K14" s="2344"/>
    </row>
    <row r="15" spans="1:11" ht="18" customHeight="1" thickBot="1">
      <c r="A15" s="2342"/>
      <c r="B15" s="2348"/>
      <c r="C15" s="2348"/>
      <c r="D15" s="2348"/>
      <c r="E15" s="2348"/>
      <c r="F15" s="2348"/>
      <c r="G15" s="1283">
        <v>3603</v>
      </c>
      <c r="H15" s="1283" t="s">
        <v>832</v>
      </c>
      <c r="I15" s="1283" t="s">
        <v>106</v>
      </c>
      <c r="J15" s="1283" t="s">
        <v>537</v>
      </c>
      <c r="K15" s="2345"/>
    </row>
    <row r="16" spans="1:11" ht="18" customHeight="1" thickBot="1">
      <c r="A16" s="1274"/>
      <c r="B16" s="1284"/>
      <c r="C16" s="1285"/>
      <c r="D16" s="1285"/>
      <c r="E16" s="1285"/>
      <c r="F16" s="1285"/>
      <c r="G16" s="1286"/>
      <c r="H16" s="1285"/>
      <c r="I16" s="1285"/>
      <c r="J16" s="1285"/>
      <c r="K16" s="1287"/>
    </row>
    <row r="17" spans="9:11" ht="12.75" customHeight="1"/>
    <row r="18" spans="9:11" ht="12.75" customHeight="1">
      <c r="I18" s="2102" t="s">
        <v>440</v>
      </c>
      <c r="J18" s="2060"/>
      <c r="K18" s="2060"/>
    </row>
    <row r="19" spans="9:11" ht="12.75" customHeight="1"/>
    <row r="20" spans="9:11" ht="12.75" customHeight="1"/>
    <row r="21" spans="9:11" ht="12.75" customHeight="1"/>
    <row r="22" spans="9:11" ht="12.75" customHeight="1"/>
    <row r="23" spans="9:11" ht="12.75" customHeight="1"/>
    <row r="24" spans="9:11" ht="12.75" customHeight="1"/>
    <row r="25" spans="9:11" ht="12.75" customHeight="1"/>
    <row r="26" spans="9:11" ht="12.75" customHeight="1"/>
    <row r="27" spans="9:11" ht="12.75" customHeight="1"/>
    <row r="28" spans="9:11" ht="12.75" customHeight="1"/>
    <row r="29" spans="9:11" ht="12.75" customHeight="1"/>
    <row r="30" spans="9:11" ht="12.75" customHeight="1"/>
    <row r="31" spans="9:11" ht="12.75" customHeight="1"/>
    <row r="32" spans="9:11" ht="12.75" customHeight="1"/>
    <row r="33" ht="12.75" customHeight="1"/>
    <row r="34" ht="12.75" customHeight="1"/>
    <row r="35" ht="12.75" customHeight="1"/>
    <row r="36" ht="12.75" customHeight="1"/>
    <row r="37" ht="12.75" customHeight="1"/>
    <row r="38" ht="12.75" customHeight="1"/>
    <row r="39" ht="12.75" customHeight="1"/>
    <row r="40" ht="12.75" customHeight="1"/>
    <row r="41" ht="12.75" customHeight="1"/>
    <row r="42" ht="12.75" customHeight="1"/>
    <row r="43" ht="12.75" customHeight="1"/>
    <row r="44" ht="12.75" customHeight="1"/>
    <row r="45" ht="12.75" customHeight="1"/>
    <row r="46" ht="12.75" customHeight="1"/>
    <row r="47" ht="12.75" customHeight="1"/>
    <row r="48"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row r="989" ht="12.75" customHeight="1"/>
    <row r="990" ht="12.75" customHeight="1"/>
    <row r="991" ht="12.75" customHeight="1"/>
    <row r="992" ht="12.75" customHeight="1"/>
    <row r="993" ht="12.75" customHeight="1"/>
    <row r="994" ht="12.75" customHeight="1"/>
    <row r="995" ht="12.75" customHeight="1"/>
    <row r="996" ht="12.75" customHeight="1"/>
    <row r="997" ht="12.75" customHeight="1"/>
    <row r="998" ht="12.75" customHeight="1"/>
    <row r="999" ht="12.75" customHeight="1"/>
    <row r="1000" ht="12.75" customHeight="1"/>
  </sheetData>
  <mergeCells count="13">
    <mergeCell ref="I18:K18"/>
    <mergeCell ref="I9:J9"/>
    <mergeCell ref="A1:K1"/>
    <mergeCell ref="A3:K3"/>
    <mergeCell ref="A4:K4"/>
    <mergeCell ref="A11:A15"/>
    <mergeCell ref="K11:K15"/>
    <mergeCell ref="B12:B15"/>
    <mergeCell ref="C12:C15"/>
    <mergeCell ref="D12:D15"/>
    <mergeCell ref="E12:E15"/>
    <mergeCell ref="F12:F15"/>
    <mergeCell ref="G13:G14"/>
  </mergeCells>
  <phoneticPr fontId="3" type="noConversion"/>
  <printOptions horizontalCentered="1"/>
  <pageMargins left="0.39370078740157483" right="0.39370078740157483" top="0.78740157480314965" bottom="0.78740157480314965" header="0" footer="0"/>
  <pageSetup scale="80" orientation="landscape" horizontalDpi="4294967292" r:id="rId1"/>
  <headerFooter alignWithMargins="0"/>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998"/>
  <sheetViews>
    <sheetView view="pageBreakPreview" zoomScale="90" zoomScaleNormal="90" zoomScaleSheetLayoutView="90" workbookViewId="0">
      <selection activeCell="N13" sqref="N13"/>
    </sheetView>
  </sheetViews>
  <sheetFormatPr baseColWidth="10" defaultColWidth="14.42578125" defaultRowHeight="12.75"/>
  <cols>
    <col min="1" max="1" width="14.7109375" style="1041" customWidth="1"/>
    <col min="2" max="2" width="31.7109375" style="1041" customWidth="1"/>
    <col min="3" max="3" width="26.7109375" style="1041" customWidth="1"/>
    <col min="4" max="7" width="11.42578125" style="1041" customWidth="1"/>
    <col min="8" max="8" width="16.42578125" style="1041" customWidth="1"/>
    <col min="9" max="9" width="16" style="1041" customWidth="1"/>
    <col min="10" max="10" width="13.28515625" style="1041" customWidth="1"/>
    <col min="11" max="11" width="16" style="1041" customWidth="1"/>
    <col min="12" max="12" width="21" style="1041" customWidth="1"/>
    <col min="13" max="26" width="10" style="1041" customWidth="1"/>
    <col min="27" max="16384" width="14.42578125" style="1041"/>
  </cols>
  <sheetData>
    <row r="1" spans="1:26" ht="23.25" customHeight="1">
      <c r="A1" s="1196"/>
      <c r="B1" s="2304" t="s">
        <v>0</v>
      </c>
      <c r="C1" s="2060"/>
      <c r="D1" s="2060"/>
      <c r="E1" s="2060"/>
      <c r="F1" s="2060"/>
      <c r="G1" s="2060"/>
      <c r="H1" s="2060"/>
      <c r="I1" s="2060"/>
      <c r="J1" s="2060"/>
      <c r="K1" s="2060"/>
      <c r="L1" s="2060"/>
      <c r="M1" s="1196"/>
      <c r="N1" s="1196"/>
      <c r="O1" s="1196"/>
      <c r="P1" s="1196"/>
      <c r="Q1" s="1196"/>
      <c r="R1" s="1196"/>
      <c r="S1" s="1196"/>
      <c r="T1" s="1196"/>
      <c r="U1" s="1196"/>
      <c r="V1" s="1196"/>
      <c r="W1" s="1196"/>
      <c r="X1" s="1196"/>
      <c r="Y1" s="1196"/>
      <c r="Z1" s="1196"/>
    </row>
    <row r="2" spans="1:26" ht="18" customHeight="1">
      <c r="A2" s="1196"/>
      <c r="B2" s="2297" t="s">
        <v>531</v>
      </c>
      <c r="C2" s="2060"/>
      <c r="D2" s="2060"/>
      <c r="E2" s="2060"/>
      <c r="F2" s="2060"/>
      <c r="G2" s="2060"/>
      <c r="H2" s="2060"/>
      <c r="I2" s="2060"/>
      <c r="J2" s="2060"/>
      <c r="K2" s="2060"/>
      <c r="L2" s="2060"/>
      <c r="M2" s="1196"/>
      <c r="N2" s="1196"/>
      <c r="O2" s="1196"/>
      <c r="P2" s="1196"/>
      <c r="Q2" s="1196"/>
      <c r="R2" s="1196"/>
      <c r="S2" s="1196"/>
      <c r="T2" s="1196"/>
      <c r="U2" s="1196"/>
      <c r="V2" s="1196"/>
      <c r="W2" s="1196"/>
      <c r="X2" s="1196"/>
      <c r="Y2" s="1196"/>
      <c r="Z2" s="1196"/>
    </row>
    <row r="3" spans="1:26" ht="12.75" customHeight="1">
      <c r="A3" s="1196"/>
      <c r="L3" s="1196"/>
      <c r="M3" s="1196"/>
      <c r="N3" s="1196"/>
      <c r="O3" s="1196"/>
      <c r="P3" s="1196"/>
      <c r="Q3" s="1196"/>
      <c r="R3" s="1196"/>
      <c r="S3" s="1196"/>
      <c r="T3" s="1196"/>
      <c r="U3" s="1196"/>
      <c r="V3" s="1196"/>
      <c r="W3" s="1196"/>
      <c r="X3" s="1196"/>
      <c r="Y3" s="1196"/>
      <c r="Z3" s="1196"/>
    </row>
    <row r="4" spans="1:26" ht="18" customHeight="1">
      <c r="A4" s="1196"/>
      <c r="B4" s="2297" t="s">
        <v>484</v>
      </c>
      <c r="C4" s="2060"/>
      <c r="D4" s="2060"/>
      <c r="E4" s="2060"/>
      <c r="F4" s="2060"/>
      <c r="G4" s="2060"/>
      <c r="H4" s="2060"/>
      <c r="I4" s="2060"/>
      <c r="J4" s="2060"/>
      <c r="K4" s="2060"/>
      <c r="L4" s="2060"/>
      <c r="M4" s="1196"/>
      <c r="N4" s="1196"/>
      <c r="O4" s="1196"/>
      <c r="P4" s="1196"/>
      <c r="Q4" s="1196"/>
      <c r="R4" s="1196"/>
      <c r="S4" s="1196"/>
      <c r="T4" s="1196"/>
      <c r="U4" s="1196"/>
      <c r="V4" s="1196"/>
      <c r="W4" s="1196"/>
      <c r="X4" s="1196"/>
      <c r="Y4" s="1196"/>
      <c r="Z4" s="1196"/>
    </row>
    <row r="5" spans="1:26" ht="12.75" customHeight="1">
      <c r="A5" s="1196"/>
      <c r="L5" s="1196"/>
      <c r="M5" s="1196"/>
      <c r="N5" s="1196"/>
      <c r="O5" s="1196"/>
      <c r="P5" s="1196"/>
      <c r="Q5" s="1196"/>
      <c r="R5" s="1196"/>
      <c r="S5" s="1196"/>
      <c r="T5" s="1196"/>
      <c r="U5" s="1196"/>
      <c r="V5" s="1196"/>
      <c r="W5" s="1196"/>
      <c r="X5" s="1196"/>
      <c r="Y5" s="1196"/>
      <c r="Z5" s="1196"/>
    </row>
    <row r="6" spans="1:26" ht="18" customHeight="1">
      <c r="A6" s="1196"/>
      <c r="B6" s="2297" t="s">
        <v>485</v>
      </c>
      <c r="C6" s="2060"/>
      <c r="D6" s="2060"/>
      <c r="E6" s="2060"/>
      <c r="F6" s="2060"/>
      <c r="G6" s="2060"/>
      <c r="H6" s="2060"/>
      <c r="I6" s="2060"/>
      <c r="J6" s="2060"/>
      <c r="K6" s="2060"/>
      <c r="L6" s="2060"/>
      <c r="M6" s="1196"/>
      <c r="N6" s="1196"/>
      <c r="O6" s="1196"/>
      <c r="P6" s="1196"/>
      <c r="Q6" s="1196"/>
      <c r="R6" s="1196"/>
      <c r="S6" s="1196"/>
      <c r="T6" s="1196"/>
      <c r="U6" s="1196"/>
      <c r="V6" s="1196"/>
      <c r="W6" s="1196"/>
      <c r="X6" s="1196"/>
      <c r="Y6" s="1196"/>
      <c r="Z6" s="1196"/>
    </row>
    <row r="7" spans="1:26" ht="12.75" customHeight="1">
      <c r="A7" s="1196"/>
      <c r="B7" s="1288"/>
      <c r="L7" s="1196"/>
      <c r="M7" s="1196"/>
      <c r="N7" s="1196"/>
      <c r="O7" s="1196"/>
      <c r="P7" s="1196"/>
      <c r="Q7" s="1196"/>
      <c r="R7" s="1196"/>
      <c r="S7" s="1196"/>
      <c r="T7" s="1196"/>
      <c r="U7" s="1196"/>
      <c r="V7" s="1196"/>
      <c r="W7" s="1196"/>
      <c r="X7" s="1196"/>
      <c r="Y7" s="1196"/>
      <c r="Z7" s="1196"/>
    </row>
    <row r="8" spans="1:26" ht="12.75" customHeight="1">
      <c r="A8" s="1196"/>
      <c r="B8" s="1061" t="s">
        <v>147</v>
      </c>
      <c r="C8" s="1176" t="s">
        <v>1120</v>
      </c>
      <c r="D8" s="1176"/>
      <c r="E8" s="1176"/>
      <c r="F8" s="1196"/>
      <c r="G8" s="1196"/>
      <c r="H8" s="1177" t="s">
        <v>409</v>
      </c>
      <c r="I8" s="1196"/>
      <c r="J8" s="1176" t="str">
        <f>+'ACC. OCT'!I8</f>
        <v>OCTUBRE - DICIEMBRE DEL 2020</v>
      </c>
      <c r="K8" s="1176"/>
      <c r="L8" s="1176"/>
      <c r="M8" s="1196"/>
      <c r="N8" s="1196"/>
      <c r="O8" s="1196"/>
      <c r="P8" s="1196"/>
      <c r="Q8" s="1196"/>
      <c r="R8" s="1196"/>
      <c r="S8" s="1196"/>
      <c r="T8" s="1196"/>
      <c r="U8" s="1196"/>
      <c r="V8" s="1196"/>
      <c r="W8" s="1196"/>
      <c r="X8" s="1196"/>
      <c r="Y8" s="1196"/>
      <c r="Z8" s="1196"/>
    </row>
    <row r="9" spans="1:26" ht="12.75" customHeight="1">
      <c r="A9" s="1196"/>
      <c r="B9" s="1196"/>
      <c r="C9" s="1196"/>
      <c r="D9" s="1196"/>
      <c r="E9" s="1196"/>
      <c r="F9" s="1196"/>
      <c r="G9" s="1196"/>
      <c r="H9" s="1196"/>
      <c r="I9" s="1196"/>
      <c r="J9" s="1196"/>
      <c r="K9" s="1196"/>
      <c r="L9" s="1196"/>
      <c r="M9" s="1196"/>
      <c r="N9" s="1196"/>
      <c r="O9" s="1196"/>
      <c r="P9" s="1196"/>
      <c r="Q9" s="1196"/>
      <c r="R9" s="1196"/>
      <c r="S9" s="1196"/>
      <c r="T9" s="1196"/>
      <c r="U9" s="1196"/>
      <c r="V9" s="1196"/>
      <c r="W9" s="1196"/>
      <c r="X9" s="1196"/>
      <c r="Y9" s="1196"/>
      <c r="Z9" s="1196"/>
    </row>
    <row r="10" spans="1:26" ht="12.75" customHeight="1">
      <c r="A10" s="1196"/>
      <c r="B10" s="1196"/>
      <c r="C10" s="1196"/>
      <c r="D10" s="1196"/>
      <c r="E10" s="1196"/>
      <c r="F10" s="1196"/>
      <c r="G10" s="1196"/>
      <c r="H10" s="1196"/>
      <c r="I10" s="1196"/>
      <c r="J10" s="1196"/>
      <c r="K10" s="1196"/>
      <c r="L10" s="1196"/>
      <c r="M10" s="1196"/>
      <c r="N10" s="1196"/>
      <c r="O10" s="1196"/>
      <c r="P10" s="1196"/>
      <c r="Q10" s="1196"/>
      <c r="R10" s="1196"/>
      <c r="S10" s="1196"/>
      <c r="T10" s="1196"/>
      <c r="U10" s="1196"/>
      <c r="V10" s="1196"/>
      <c r="W10" s="1196"/>
      <c r="X10" s="1196"/>
      <c r="Y10" s="1196"/>
      <c r="Z10" s="1196"/>
    </row>
    <row r="11" spans="1:26" ht="25.5" customHeight="1">
      <c r="A11" s="2350" t="s">
        <v>497</v>
      </c>
      <c r="B11" s="2350" t="s">
        <v>473</v>
      </c>
      <c r="C11" s="2350" t="s">
        <v>474</v>
      </c>
      <c r="D11" s="2350" t="s">
        <v>475</v>
      </c>
      <c r="E11" s="2326"/>
      <c r="F11" s="2326"/>
      <c r="G11" s="2350" t="s">
        <v>476</v>
      </c>
      <c r="H11" s="2350" t="s">
        <v>477</v>
      </c>
      <c r="I11" s="2350" t="s">
        <v>487</v>
      </c>
      <c r="J11" s="2326"/>
      <c r="K11" s="2326"/>
      <c r="L11" s="2350" t="s">
        <v>13</v>
      </c>
      <c r="M11" s="1289"/>
      <c r="N11" s="1289"/>
      <c r="O11" s="1289"/>
      <c r="P11" s="1289"/>
      <c r="Q11" s="1289"/>
      <c r="R11" s="1289"/>
      <c r="S11" s="1289"/>
      <c r="T11" s="1289"/>
      <c r="U11" s="1289"/>
      <c r="V11" s="1289"/>
      <c r="W11" s="1289"/>
      <c r="X11" s="1289"/>
      <c r="Y11" s="1289"/>
      <c r="Z11" s="1289"/>
    </row>
    <row r="12" spans="1:26" ht="12.75" customHeight="1">
      <c r="A12" s="2326"/>
      <c r="B12" s="2326"/>
      <c r="C12" s="2326"/>
      <c r="D12" s="1537" t="s">
        <v>478</v>
      </c>
      <c r="E12" s="1537" t="s">
        <v>479</v>
      </c>
      <c r="F12" s="1537" t="s">
        <v>480</v>
      </c>
      <c r="G12" s="2326"/>
      <c r="H12" s="2326"/>
      <c r="I12" s="1558" t="s">
        <v>481</v>
      </c>
      <c r="J12" s="1558" t="s">
        <v>482</v>
      </c>
      <c r="K12" s="1558" t="s">
        <v>483</v>
      </c>
      <c r="L12" s="2326"/>
      <c r="M12" s="1196"/>
      <c r="N12" s="1196"/>
      <c r="O12" s="1196"/>
      <c r="P12" s="1196"/>
      <c r="Q12" s="1196"/>
      <c r="R12" s="1196"/>
      <c r="S12" s="1196"/>
      <c r="T12" s="1196"/>
      <c r="U12" s="1196"/>
      <c r="V12" s="1196"/>
      <c r="W12" s="1196"/>
      <c r="X12" s="1196"/>
      <c r="Y12" s="1196"/>
      <c r="Z12" s="1196"/>
    </row>
    <row r="13" spans="1:26" ht="63.75" customHeight="1">
      <c r="A13" s="1547" t="s">
        <v>1316</v>
      </c>
      <c r="B13" s="1461" t="s">
        <v>1317</v>
      </c>
      <c r="C13" s="1461" t="s">
        <v>1318</v>
      </c>
      <c r="D13" s="1461" t="s">
        <v>1319</v>
      </c>
      <c r="E13" s="1461" t="s">
        <v>1320</v>
      </c>
      <c r="F13" s="1461" t="s">
        <v>1321</v>
      </c>
      <c r="G13" s="1559">
        <v>43770</v>
      </c>
      <c r="H13" s="1559">
        <v>43860</v>
      </c>
      <c r="I13" s="1560">
        <v>81403805</v>
      </c>
      <c r="J13" s="1560">
        <v>594874</v>
      </c>
      <c r="K13" s="1560">
        <f t="shared" ref="K13" si="0">+I13+J13</f>
        <v>81998679</v>
      </c>
      <c r="L13" s="1461" t="s">
        <v>1351</v>
      </c>
      <c r="M13" s="1196"/>
      <c r="N13" s="1196"/>
      <c r="O13" s="1196"/>
      <c r="P13" s="1196"/>
      <c r="Q13" s="1196"/>
      <c r="R13" s="1196"/>
      <c r="S13" s="1196"/>
      <c r="T13" s="1196"/>
      <c r="U13" s="1196"/>
      <c r="V13" s="1196"/>
      <c r="W13" s="1196"/>
      <c r="X13" s="1196"/>
      <c r="Y13" s="1196"/>
      <c r="Z13" s="1196"/>
    </row>
    <row r="14" spans="1:26" ht="76.5">
      <c r="A14" s="1547" t="s">
        <v>1352</v>
      </c>
      <c r="B14" s="1461" t="s">
        <v>1353</v>
      </c>
      <c r="C14" s="1461" t="s">
        <v>1354</v>
      </c>
      <c r="D14" s="1461" t="s">
        <v>1355</v>
      </c>
      <c r="E14" s="1547" t="s">
        <v>1359</v>
      </c>
      <c r="F14" s="1461" t="str">
        <f>+D14</f>
        <v>HASTA EL 31 DE DICIEMBRE DE 2020</v>
      </c>
      <c r="G14" s="1561">
        <v>44053</v>
      </c>
      <c r="H14" s="1561">
        <v>44255</v>
      </c>
      <c r="I14" s="1562">
        <v>82337256</v>
      </c>
      <c r="J14" s="1562">
        <v>391102</v>
      </c>
      <c r="K14" s="1562">
        <f>+I14+J14</f>
        <v>82728358</v>
      </c>
      <c r="L14" s="1547" t="s">
        <v>1322</v>
      </c>
      <c r="M14" s="1196"/>
      <c r="N14" s="1196"/>
      <c r="O14" s="1196"/>
      <c r="P14" s="1196"/>
      <c r="Q14" s="1196"/>
      <c r="R14" s="1196"/>
      <c r="S14" s="1196"/>
      <c r="T14" s="1196"/>
      <c r="U14" s="1196"/>
      <c r="V14" s="1196"/>
      <c r="W14" s="1196"/>
      <c r="X14" s="1196"/>
      <c r="Y14" s="1196"/>
      <c r="Z14" s="1196"/>
    </row>
    <row r="15" spans="1:26" ht="114.75">
      <c r="A15" s="1547" t="s">
        <v>1356</v>
      </c>
      <c r="B15" s="1461" t="s">
        <v>1357</v>
      </c>
      <c r="C15" s="1547" t="s">
        <v>1358</v>
      </c>
      <c r="D15" s="1547" t="s">
        <v>1359</v>
      </c>
      <c r="E15" s="1547">
        <v>0</v>
      </c>
      <c r="F15" s="1561" t="s">
        <v>1359</v>
      </c>
      <c r="G15" s="1561">
        <v>44044</v>
      </c>
      <c r="H15" s="1563">
        <v>44104</v>
      </c>
      <c r="I15" s="1562">
        <f>36502239*1.5</f>
        <v>54753358.5</v>
      </c>
      <c r="J15" s="1562">
        <f>1.5*6935425</f>
        <v>10403137.5</v>
      </c>
      <c r="K15" s="1562">
        <f>+I15+J15</f>
        <v>65156496</v>
      </c>
      <c r="L15" s="1547" t="s">
        <v>1351</v>
      </c>
      <c r="M15" s="1196"/>
      <c r="N15" s="1196"/>
      <c r="O15" s="1196"/>
      <c r="P15" s="1196"/>
      <c r="Q15" s="1196"/>
      <c r="R15" s="1196"/>
      <c r="S15" s="1196"/>
      <c r="T15" s="1196"/>
      <c r="U15" s="1196"/>
      <c r="V15" s="1196"/>
      <c r="W15" s="1196"/>
      <c r="X15" s="1196"/>
      <c r="Y15" s="1196"/>
      <c r="Z15" s="1196"/>
    </row>
    <row r="16" spans="1:26" ht="89.25">
      <c r="A16" s="1547" t="s">
        <v>1360</v>
      </c>
      <c r="B16" s="1564" t="s">
        <v>1361</v>
      </c>
      <c r="C16" s="1547" t="s">
        <v>1358</v>
      </c>
      <c r="D16" s="1547" t="s">
        <v>1359</v>
      </c>
      <c r="E16" s="1547">
        <v>0</v>
      </c>
      <c r="F16" s="1547" t="s">
        <v>1359</v>
      </c>
      <c r="G16" s="1561">
        <v>44044</v>
      </c>
      <c r="H16" s="1563">
        <v>44104</v>
      </c>
      <c r="I16" s="1562">
        <f>1.5*37654300</f>
        <v>56481450</v>
      </c>
      <c r="J16" s="1562">
        <f>1.5*7154317</f>
        <v>10731475.5</v>
      </c>
      <c r="K16" s="1562">
        <f>+I16+J16</f>
        <v>67212925.5</v>
      </c>
      <c r="L16" s="1547" t="s">
        <v>1351</v>
      </c>
      <c r="M16" s="1196"/>
      <c r="N16" s="1196"/>
      <c r="O16" s="1196"/>
      <c r="P16" s="1196"/>
      <c r="Q16" s="1196"/>
      <c r="R16" s="1196"/>
      <c r="S16" s="1196"/>
      <c r="T16" s="1196"/>
      <c r="U16" s="1196"/>
      <c r="V16" s="1196"/>
      <c r="W16" s="1196"/>
      <c r="X16" s="1196"/>
      <c r="Y16" s="1196"/>
      <c r="Z16" s="1196"/>
    </row>
    <row r="17" spans="1:26" ht="86.25" customHeight="1">
      <c r="A17" s="1547" t="s">
        <v>1362</v>
      </c>
      <c r="B17" s="1461" t="s">
        <v>1363</v>
      </c>
      <c r="C17" s="1547" t="s">
        <v>1364</v>
      </c>
      <c r="D17" s="1547" t="s">
        <v>1359</v>
      </c>
      <c r="E17" s="1547" t="s">
        <v>1484</v>
      </c>
      <c r="F17" s="1547" t="s">
        <v>1359</v>
      </c>
      <c r="G17" s="1561">
        <v>44068</v>
      </c>
      <c r="H17" s="1561">
        <v>44138</v>
      </c>
      <c r="I17" s="1562">
        <f>24408950+12204475</f>
        <v>36613425</v>
      </c>
      <c r="J17" s="1562">
        <f>178373+89127</f>
        <v>267500</v>
      </c>
      <c r="K17" s="1562">
        <f>+I17+J17</f>
        <v>36880925</v>
      </c>
      <c r="L17" s="1547" t="s">
        <v>1351</v>
      </c>
      <c r="M17" s="1196"/>
      <c r="N17" s="1196"/>
      <c r="O17" s="1196"/>
      <c r="P17" s="1196"/>
      <c r="Q17" s="1196"/>
      <c r="R17" s="1196"/>
      <c r="S17" s="1196"/>
      <c r="T17" s="1196"/>
      <c r="U17" s="1196"/>
      <c r="V17" s="1196"/>
      <c r="W17" s="1196"/>
      <c r="X17" s="1196"/>
      <c r="Y17" s="1196"/>
      <c r="Z17" s="1196"/>
    </row>
    <row r="18" spans="1:26" ht="12.75" customHeight="1">
      <c r="A18" s="1565"/>
      <c r="B18" s="1565"/>
      <c r="C18" s="1566"/>
      <c r="D18" s="1566"/>
      <c r="E18" s="1566"/>
      <c r="F18" s="1566"/>
      <c r="G18" s="1566"/>
      <c r="H18" s="1566"/>
      <c r="I18" s="1566"/>
      <c r="J18" s="1566"/>
      <c r="K18" s="1566"/>
      <c r="L18" s="1567"/>
      <c r="M18" s="1196"/>
      <c r="N18" s="1196"/>
      <c r="O18" s="1196"/>
      <c r="P18" s="1196"/>
      <c r="Q18" s="1196"/>
      <c r="R18" s="1196"/>
      <c r="S18" s="1196"/>
      <c r="T18" s="1196"/>
      <c r="U18" s="1196"/>
      <c r="V18" s="1196"/>
      <c r="W18" s="1196"/>
      <c r="X18" s="1196"/>
      <c r="Y18" s="1196"/>
      <c r="Z18" s="1196"/>
    </row>
    <row r="19" spans="1:26" ht="12.75" customHeight="1">
      <c r="A19" s="1196"/>
      <c r="B19" s="1196"/>
      <c r="C19" s="1196"/>
      <c r="D19" s="1196"/>
      <c r="E19" s="1196"/>
      <c r="F19" s="1196"/>
      <c r="G19" s="1196"/>
      <c r="H19" s="1196"/>
      <c r="I19" s="1196"/>
      <c r="J19" s="1196"/>
      <c r="K19" s="1196"/>
      <c r="L19" s="1196"/>
      <c r="M19" s="1196"/>
      <c r="N19" s="1196"/>
      <c r="O19" s="1196"/>
      <c r="P19" s="1196"/>
      <c r="Q19" s="1196"/>
      <c r="R19" s="1196"/>
      <c r="S19" s="1196"/>
      <c r="T19" s="1196"/>
      <c r="U19" s="1196"/>
      <c r="V19" s="1196"/>
      <c r="W19" s="1196"/>
      <c r="X19" s="1196"/>
      <c r="Y19" s="1196"/>
      <c r="Z19" s="1196"/>
    </row>
    <row r="20" spans="1:26" ht="15" customHeight="1">
      <c r="A20" s="1290" t="s">
        <v>486</v>
      </c>
      <c r="B20" s="1196"/>
      <c r="C20" s="1196"/>
      <c r="D20" s="1196"/>
      <c r="E20" s="1196"/>
      <c r="F20" s="1196"/>
      <c r="G20" s="1196"/>
      <c r="H20" s="1196"/>
      <c r="I20" s="1196"/>
      <c r="J20" s="1196"/>
      <c r="K20" s="1196"/>
      <c r="L20" s="1196"/>
      <c r="M20" s="1196"/>
      <c r="N20" s="1196"/>
      <c r="O20" s="1196"/>
      <c r="P20" s="1196"/>
      <c r="Q20" s="1196"/>
      <c r="R20" s="1196"/>
      <c r="S20" s="1196"/>
      <c r="T20" s="1196"/>
      <c r="U20" s="1196"/>
      <c r="V20" s="1196"/>
      <c r="W20" s="1196"/>
      <c r="X20" s="1196"/>
      <c r="Y20" s="1196"/>
      <c r="Z20" s="1196"/>
    </row>
    <row r="21" spans="1:26" ht="12.75" customHeight="1">
      <c r="A21" s="1196"/>
      <c r="B21" s="1196"/>
      <c r="C21" s="1196"/>
      <c r="D21" s="1196"/>
      <c r="E21" s="1196"/>
      <c r="F21" s="1196"/>
      <c r="G21" s="1196"/>
      <c r="H21" s="1196"/>
      <c r="I21" s="1196"/>
      <c r="J21" s="1196"/>
      <c r="K21" s="1196"/>
      <c r="L21" s="1196"/>
      <c r="M21" s="1196"/>
      <c r="N21" s="1196"/>
      <c r="O21" s="1196"/>
      <c r="P21" s="1196"/>
      <c r="Q21" s="1196"/>
      <c r="R21" s="1196"/>
      <c r="S21" s="1196"/>
      <c r="T21" s="1196"/>
      <c r="U21" s="1196"/>
      <c r="V21" s="1196"/>
      <c r="W21" s="1196"/>
      <c r="X21" s="1196"/>
      <c r="Y21" s="1196"/>
      <c r="Z21" s="1196"/>
    </row>
    <row r="22" spans="1:26" ht="12.75" customHeight="1">
      <c r="A22" s="1196"/>
      <c r="B22" s="1196"/>
      <c r="C22" s="1196"/>
      <c r="D22" s="1196"/>
      <c r="E22" s="1196"/>
      <c r="F22" s="1196"/>
      <c r="G22" s="1196"/>
      <c r="H22" s="1196"/>
      <c r="I22" s="1196"/>
      <c r="J22" s="2102" t="s">
        <v>440</v>
      </c>
      <c r="K22" s="2060"/>
      <c r="L22" s="2060"/>
      <c r="M22" s="1196"/>
      <c r="N22" s="1196"/>
      <c r="O22" s="1196"/>
      <c r="P22" s="1196"/>
      <c r="Q22" s="1196"/>
      <c r="R22" s="1196"/>
      <c r="S22" s="1196"/>
      <c r="T22" s="1196"/>
      <c r="U22" s="1196"/>
      <c r="V22" s="1196"/>
      <c r="W22" s="1196"/>
      <c r="X22" s="1196"/>
      <c r="Y22" s="1196"/>
      <c r="Z22" s="1196"/>
    </row>
    <row r="23" spans="1:26" ht="12.75" customHeight="1">
      <c r="A23" s="1196"/>
      <c r="B23" s="1196"/>
      <c r="C23" s="1196"/>
      <c r="D23" s="1196"/>
      <c r="E23" s="1196"/>
      <c r="F23" s="1196"/>
      <c r="G23" s="1196"/>
      <c r="H23" s="1196"/>
      <c r="I23" s="1196"/>
      <c r="J23" s="1196"/>
      <c r="K23" s="1196"/>
      <c r="L23" s="1196"/>
      <c r="M23" s="1196"/>
      <c r="N23" s="1196"/>
      <c r="O23" s="1196"/>
      <c r="P23" s="1196"/>
      <c r="Q23" s="1196"/>
      <c r="R23" s="1196"/>
      <c r="S23" s="1196"/>
      <c r="T23" s="1196"/>
      <c r="U23" s="1196"/>
      <c r="V23" s="1196"/>
      <c r="W23" s="1196"/>
      <c r="X23" s="1196"/>
      <c r="Y23" s="1196"/>
      <c r="Z23" s="1196"/>
    </row>
    <row r="24" spans="1:26" ht="12.75" customHeight="1">
      <c r="A24" s="1196"/>
      <c r="B24" s="1196"/>
      <c r="C24" s="1196"/>
      <c r="D24" s="1196"/>
      <c r="E24" s="1196"/>
      <c r="F24" s="1196"/>
      <c r="G24" s="1196"/>
      <c r="H24" s="1196"/>
      <c r="I24" s="1196"/>
      <c r="J24" s="1196"/>
      <c r="K24" s="1196"/>
      <c r="L24" s="1196"/>
      <c r="M24" s="1196"/>
      <c r="N24" s="1196"/>
      <c r="O24" s="1196"/>
      <c r="P24" s="1196"/>
      <c r="Q24" s="1196"/>
      <c r="R24" s="1196"/>
      <c r="S24" s="1196"/>
      <c r="T24" s="1196"/>
      <c r="U24" s="1196"/>
      <c r="V24" s="1196"/>
      <c r="W24" s="1196"/>
      <c r="X24" s="1196"/>
      <c r="Y24" s="1196"/>
      <c r="Z24" s="1196"/>
    </row>
    <row r="25" spans="1:26" ht="12.75" customHeight="1">
      <c r="A25" s="1196"/>
      <c r="B25" s="1196"/>
      <c r="C25" s="1196"/>
      <c r="D25" s="1196"/>
      <c r="E25" s="1196"/>
      <c r="F25" s="1196"/>
      <c r="G25" s="1196"/>
      <c r="H25" s="1196"/>
      <c r="I25" s="1196"/>
      <c r="J25" s="1196"/>
      <c r="K25" s="1196"/>
      <c r="L25" s="1196"/>
      <c r="M25" s="1196"/>
      <c r="N25" s="1196"/>
      <c r="O25" s="1196"/>
      <c r="P25" s="1196"/>
      <c r="Q25" s="1196"/>
      <c r="R25" s="1196"/>
      <c r="S25" s="1196"/>
      <c r="T25" s="1196"/>
      <c r="U25" s="1196"/>
      <c r="V25" s="1196"/>
      <c r="W25" s="1196"/>
      <c r="X25" s="1196"/>
      <c r="Y25" s="1196"/>
      <c r="Z25" s="1196"/>
    </row>
    <row r="26" spans="1:26" ht="12.75" customHeight="1">
      <c r="A26" s="1196"/>
      <c r="B26" s="1196"/>
      <c r="C26" s="1196"/>
      <c r="D26" s="1196"/>
      <c r="E26" s="1196"/>
      <c r="F26" s="1196"/>
      <c r="G26" s="1196"/>
      <c r="H26" s="1196"/>
      <c r="I26" s="1196"/>
      <c r="J26" s="1196"/>
      <c r="K26" s="1196"/>
      <c r="L26" s="1196"/>
      <c r="M26" s="1196"/>
      <c r="N26" s="1196"/>
      <c r="O26" s="1196"/>
      <c r="P26" s="1196"/>
      <c r="Q26" s="1196"/>
      <c r="R26" s="1196"/>
      <c r="S26" s="1196"/>
      <c r="T26" s="1196"/>
      <c r="U26" s="1196"/>
      <c r="V26" s="1196"/>
      <c r="W26" s="1196"/>
      <c r="X26" s="1196"/>
      <c r="Y26" s="1196"/>
      <c r="Z26" s="1196"/>
    </row>
    <row r="27" spans="1:26" ht="12.75" customHeight="1">
      <c r="A27" s="1196"/>
      <c r="B27" s="1196"/>
      <c r="C27" s="1196"/>
      <c r="D27" s="1196"/>
      <c r="E27" s="1196"/>
      <c r="F27" s="1196"/>
      <c r="G27" s="1196"/>
      <c r="H27" s="1196"/>
      <c r="I27" s="1196"/>
      <c r="J27" s="1196"/>
      <c r="K27" s="1196"/>
      <c r="L27" s="1196"/>
      <c r="M27" s="1196"/>
      <c r="N27" s="1196"/>
      <c r="O27" s="1196"/>
      <c r="P27" s="1196"/>
      <c r="Q27" s="1196"/>
      <c r="R27" s="1196"/>
      <c r="S27" s="1196"/>
      <c r="T27" s="1196"/>
      <c r="U27" s="1196"/>
      <c r="V27" s="1196"/>
      <c r="W27" s="1196"/>
      <c r="X27" s="1196"/>
      <c r="Y27" s="1196"/>
      <c r="Z27" s="1196"/>
    </row>
    <row r="28" spans="1:26" ht="12.75" customHeight="1">
      <c r="A28" s="1196"/>
      <c r="B28" s="1196"/>
      <c r="C28" s="1196"/>
      <c r="D28" s="1196"/>
      <c r="E28" s="1196"/>
      <c r="F28" s="1196"/>
      <c r="G28" s="1196"/>
      <c r="H28" s="1196"/>
      <c r="I28" s="1196"/>
      <c r="J28" s="1196"/>
      <c r="K28" s="1196"/>
      <c r="L28" s="1196"/>
      <c r="M28" s="1196"/>
      <c r="N28" s="1196"/>
      <c r="O28" s="1196"/>
      <c r="P28" s="1196"/>
      <c r="Q28" s="1196"/>
      <c r="R28" s="1196"/>
      <c r="S28" s="1196"/>
      <c r="T28" s="1196"/>
      <c r="U28" s="1196"/>
      <c r="V28" s="1196"/>
      <c r="W28" s="1196"/>
      <c r="X28" s="1196"/>
      <c r="Y28" s="1196"/>
      <c r="Z28" s="1196"/>
    </row>
    <row r="29" spans="1:26" ht="12.75" customHeight="1">
      <c r="A29" s="1196"/>
      <c r="B29" s="1196"/>
      <c r="C29" s="1196"/>
      <c r="D29" s="1196"/>
      <c r="E29" s="1196"/>
      <c r="F29" s="1196"/>
      <c r="G29" s="1196"/>
      <c r="H29" s="1196"/>
      <c r="I29" s="1196"/>
      <c r="J29" s="1196"/>
      <c r="K29" s="1196"/>
      <c r="L29" s="1196"/>
      <c r="M29" s="1196"/>
      <c r="N29" s="1196"/>
      <c r="O29" s="1196"/>
      <c r="P29" s="1196"/>
      <c r="Q29" s="1196"/>
      <c r="R29" s="1196"/>
      <c r="S29" s="1196"/>
      <c r="T29" s="1196"/>
      <c r="U29" s="1196"/>
      <c r="V29" s="1196"/>
      <c r="W29" s="1196"/>
      <c r="X29" s="1196"/>
      <c r="Y29" s="1196"/>
      <c r="Z29" s="1196"/>
    </row>
    <row r="30" spans="1:26" ht="12.75" customHeight="1">
      <c r="A30" s="1196"/>
      <c r="B30" s="1196"/>
      <c r="C30" s="1196"/>
      <c r="D30" s="1196"/>
      <c r="E30" s="1196"/>
      <c r="F30" s="1196"/>
      <c r="G30" s="1196"/>
      <c r="H30" s="1196"/>
      <c r="I30" s="1196"/>
      <c r="J30" s="1196"/>
      <c r="K30" s="1196"/>
      <c r="L30" s="1196"/>
      <c r="M30" s="1196"/>
      <c r="N30" s="1196"/>
      <c r="O30" s="1196"/>
      <c r="P30" s="1196"/>
      <c r="Q30" s="1196"/>
      <c r="R30" s="1196"/>
      <c r="S30" s="1196"/>
      <c r="T30" s="1196"/>
      <c r="U30" s="1196"/>
      <c r="V30" s="1196"/>
      <c r="W30" s="1196"/>
      <c r="X30" s="1196"/>
      <c r="Y30" s="1196"/>
      <c r="Z30" s="1196"/>
    </row>
    <row r="31" spans="1:26" ht="12.75" customHeight="1">
      <c r="A31" s="1196"/>
      <c r="B31" s="1196"/>
      <c r="C31" s="1196"/>
      <c r="D31" s="1196"/>
      <c r="E31" s="1196"/>
      <c r="F31" s="1196"/>
      <c r="G31" s="1196"/>
      <c r="H31" s="1196"/>
      <c r="I31" s="1196"/>
      <c r="J31" s="1196"/>
      <c r="K31" s="1196"/>
      <c r="L31" s="1196"/>
      <c r="M31" s="1196"/>
      <c r="N31" s="1196"/>
      <c r="O31" s="1196"/>
      <c r="P31" s="1196"/>
      <c r="Q31" s="1196"/>
      <c r="R31" s="1196"/>
      <c r="S31" s="1196"/>
      <c r="T31" s="1196"/>
      <c r="U31" s="1196"/>
      <c r="V31" s="1196"/>
      <c r="W31" s="1196"/>
      <c r="X31" s="1196"/>
      <c r="Y31" s="1196"/>
      <c r="Z31" s="1196"/>
    </row>
    <row r="32" spans="1:26" ht="12.75" customHeight="1">
      <c r="A32" s="1196"/>
      <c r="B32" s="1196"/>
      <c r="C32" s="1196"/>
      <c r="D32" s="1196"/>
      <c r="E32" s="1196"/>
      <c r="F32" s="1196"/>
      <c r="G32" s="1196"/>
      <c r="H32" s="1196"/>
      <c r="I32" s="1196"/>
      <c r="J32" s="1196"/>
      <c r="K32" s="1196"/>
      <c r="L32" s="1196"/>
      <c r="M32" s="1196"/>
      <c r="N32" s="1196"/>
      <c r="O32" s="1196"/>
      <c r="P32" s="1196"/>
      <c r="Q32" s="1196"/>
      <c r="R32" s="1196"/>
      <c r="S32" s="1196"/>
      <c r="T32" s="1196"/>
      <c r="U32" s="1196"/>
      <c r="V32" s="1196"/>
      <c r="W32" s="1196"/>
      <c r="X32" s="1196"/>
      <c r="Y32" s="1196"/>
      <c r="Z32" s="1196"/>
    </row>
    <row r="33" spans="1:26" ht="12.75" customHeight="1">
      <c r="A33" s="1196"/>
      <c r="B33" s="1196"/>
      <c r="C33" s="1196"/>
      <c r="D33" s="1196"/>
      <c r="E33" s="1196"/>
      <c r="F33" s="1196"/>
      <c r="G33" s="1196"/>
      <c r="H33" s="1196"/>
      <c r="I33" s="1196"/>
      <c r="J33" s="1196"/>
      <c r="K33" s="1196"/>
      <c r="L33" s="1196"/>
      <c r="M33" s="1196"/>
      <c r="N33" s="1196"/>
      <c r="O33" s="1196"/>
      <c r="P33" s="1196"/>
      <c r="Q33" s="1196"/>
      <c r="R33" s="1196"/>
      <c r="S33" s="1196"/>
      <c r="T33" s="1196"/>
      <c r="U33" s="1196"/>
      <c r="V33" s="1196"/>
      <c r="W33" s="1196"/>
      <c r="X33" s="1196"/>
      <c r="Y33" s="1196"/>
      <c r="Z33" s="1196"/>
    </row>
    <row r="34" spans="1:26" ht="12.75" customHeight="1">
      <c r="A34" s="1196"/>
      <c r="B34" s="1196"/>
      <c r="C34" s="1196"/>
      <c r="D34" s="1196"/>
      <c r="E34" s="1196"/>
      <c r="F34" s="1196"/>
      <c r="G34" s="1196"/>
      <c r="H34" s="1196"/>
      <c r="I34" s="1196"/>
      <c r="J34" s="1196"/>
      <c r="K34" s="1196"/>
      <c r="L34" s="1196"/>
      <c r="M34" s="1196"/>
      <c r="N34" s="1196"/>
      <c r="O34" s="1196"/>
      <c r="P34" s="1196"/>
      <c r="Q34" s="1196"/>
      <c r="R34" s="1196"/>
      <c r="S34" s="1196"/>
      <c r="T34" s="1196"/>
      <c r="U34" s="1196"/>
      <c r="V34" s="1196"/>
      <c r="W34" s="1196"/>
      <c r="X34" s="1196"/>
      <c r="Y34" s="1196"/>
      <c r="Z34" s="1196"/>
    </row>
    <row r="35" spans="1:26" ht="12.75" customHeight="1">
      <c r="A35" s="1196"/>
      <c r="B35" s="1196"/>
      <c r="C35" s="1196"/>
      <c r="D35" s="1196"/>
      <c r="E35" s="1196"/>
      <c r="F35" s="1196"/>
      <c r="G35" s="1196"/>
      <c r="H35" s="1196"/>
      <c r="I35" s="1196"/>
      <c r="J35" s="1196"/>
      <c r="K35" s="1196"/>
      <c r="L35" s="1196"/>
      <c r="M35" s="1196"/>
      <c r="N35" s="1196"/>
      <c r="O35" s="1196"/>
      <c r="P35" s="1196"/>
      <c r="Q35" s="1196"/>
      <c r="R35" s="1196"/>
      <c r="S35" s="1196"/>
      <c r="T35" s="1196"/>
      <c r="U35" s="1196"/>
      <c r="V35" s="1196"/>
      <c r="W35" s="1196"/>
      <c r="X35" s="1196"/>
      <c r="Y35" s="1196"/>
      <c r="Z35" s="1196"/>
    </row>
    <row r="36" spans="1:26" ht="12.75" customHeight="1">
      <c r="A36" s="1196"/>
      <c r="B36" s="1196"/>
      <c r="C36" s="1196"/>
      <c r="D36" s="1196"/>
      <c r="E36" s="1196"/>
      <c r="F36" s="1196"/>
      <c r="G36" s="1196"/>
      <c r="H36" s="1196"/>
      <c r="I36" s="1196"/>
      <c r="J36" s="1196"/>
      <c r="K36" s="1196"/>
      <c r="L36" s="1196"/>
      <c r="M36" s="1196"/>
      <c r="N36" s="1196"/>
      <c r="O36" s="1196"/>
      <c r="P36" s="1196"/>
      <c r="Q36" s="1196"/>
      <c r="R36" s="1196"/>
      <c r="S36" s="1196"/>
      <c r="T36" s="1196"/>
      <c r="U36" s="1196"/>
      <c r="V36" s="1196"/>
      <c r="W36" s="1196"/>
      <c r="X36" s="1196"/>
      <c r="Y36" s="1196"/>
      <c r="Z36" s="1196"/>
    </row>
    <row r="37" spans="1:26" ht="12.75" customHeight="1">
      <c r="A37" s="1196"/>
      <c r="B37" s="1196"/>
      <c r="C37" s="1196"/>
      <c r="D37" s="1196"/>
      <c r="E37" s="1196"/>
      <c r="F37" s="1196"/>
      <c r="G37" s="1196"/>
      <c r="H37" s="1196"/>
      <c r="I37" s="1196"/>
      <c r="J37" s="1196"/>
      <c r="K37" s="1196"/>
      <c r="L37" s="1196"/>
      <c r="M37" s="1196"/>
      <c r="N37" s="1196"/>
      <c r="O37" s="1196"/>
      <c r="P37" s="1196"/>
      <c r="Q37" s="1196"/>
      <c r="R37" s="1196"/>
      <c r="S37" s="1196"/>
      <c r="T37" s="1196"/>
      <c r="U37" s="1196"/>
      <c r="V37" s="1196"/>
      <c r="W37" s="1196"/>
      <c r="X37" s="1196"/>
      <c r="Y37" s="1196"/>
      <c r="Z37" s="1196"/>
    </row>
    <row r="38" spans="1:26" ht="12.75" customHeight="1">
      <c r="A38" s="1196"/>
      <c r="B38" s="1196"/>
      <c r="C38" s="1196"/>
      <c r="D38" s="1196"/>
      <c r="E38" s="1196"/>
      <c r="F38" s="1196"/>
      <c r="G38" s="1196"/>
      <c r="H38" s="1196"/>
      <c r="I38" s="1196"/>
      <c r="J38" s="1196"/>
      <c r="K38" s="1196"/>
      <c r="L38" s="1196"/>
      <c r="M38" s="1196"/>
      <c r="N38" s="1196"/>
      <c r="O38" s="1196"/>
      <c r="P38" s="1196"/>
      <c r="Q38" s="1196"/>
      <c r="R38" s="1196"/>
      <c r="S38" s="1196"/>
      <c r="T38" s="1196"/>
      <c r="U38" s="1196"/>
      <c r="V38" s="1196"/>
      <c r="W38" s="1196"/>
      <c r="X38" s="1196"/>
      <c r="Y38" s="1196"/>
      <c r="Z38" s="1196"/>
    </row>
    <row r="39" spans="1:26" ht="12.75" customHeight="1">
      <c r="A39" s="1196"/>
      <c r="B39" s="1196"/>
      <c r="C39" s="1196"/>
      <c r="D39" s="1196"/>
      <c r="E39" s="1196"/>
      <c r="F39" s="1196"/>
      <c r="G39" s="1196"/>
      <c r="H39" s="1196"/>
      <c r="I39" s="1196"/>
      <c r="J39" s="1196"/>
      <c r="K39" s="1196"/>
      <c r="L39" s="1196"/>
      <c r="M39" s="1196"/>
      <c r="N39" s="1196"/>
      <c r="O39" s="1196"/>
      <c r="P39" s="1196"/>
      <c r="Q39" s="1196"/>
      <c r="R39" s="1196"/>
      <c r="S39" s="1196"/>
      <c r="T39" s="1196"/>
      <c r="U39" s="1196"/>
      <c r="V39" s="1196"/>
      <c r="W39" s="1196"/>
      <c r="X39" s="1196"/>
      <c r="Y39" s="1196"/>
      <c r="Z39" s="1196"/>
    </row>
    <row r="40" spans="1:26" ht="12.75" customHeight="1">
      <c r="A40" s="1196"/>
      <c r="B40" s="1196"/>
      <c r="C40" s="1196"/>
      <c r="D40" s="1196"/>
      <c r="E40" s="1196"/>
      <c r="F40" s="1196"/>
      <c r="G40" s="1196"/>
      <c r="H40" s="1196"/>
      <c r="I40" s="1196"/>
      <c r="J40" s="1196"/>
      <c r="K40" s="1196"/>
      <c r="L40" s="1196"/>
      <c r="M40" s="1196"/>
      <c r="N40" s="1196"/>
      <c r="O40" s="1196"/>
      <c r="P40" s="1196"/>
      <c r="Q40" s="1196"/>
      <c r="R40" s="1196"/>
      <c r="S40" s="1196"/>
      <c r="T40" s="1196"/>
      <c r="U40" s="1196"/>
      <c r="V40" s="1196"/>
      <c r="W40" s="1196"/>
      <c r="X40" s="1196"/>
      <c r="Y40" s="1196"/>
      <c r="Z40" s="1196"/>
    </row>
    <row r="41" spans="1:26" ht="12.75" customHeight="1">
      <c r="A41" s="1196"/>
      <c r="B41" s="1196"/>
      <c r="C41" s="1196"/>
      <c r="D41" s="1196"/>
      <c r="E41" s="1196"/>
      <c r="F41" s="1196"/>
      <c r="G41" s="1196"/>
      <c r="H41" s="1196"/>
      <c r="I41" s="1196"/>
      <c r="J41" s="1196"/>
      <c r="K41" s="1196"/>
      <c r="L41" s="1196"/>
      <c r="M41" s="1196"/>
      <c r="N41" s="1196"/>
      <c r="O41" s="1196"/>
      <c r="P41" s="1196"/>
      <c r="Q41" s="1196"/>
      <c r="R41" s="1196"/>
      <c r="S41" s="1196"/>
      <c r="T41" s="1196"/>
      <c r="U41" s="1196"/>
      <c r="V41" s="1196"/>
      <c r="W41" s="1196"/>
      <c r="X41" s="1196"/>
      <c r="Y41" s="1196"/>
      <c r="Z41" s="1196"/>
    </row>
    <row r="42" spans="1:26" ht="12.75" customHeight="1">
      <c r="A42" s="1196"/>
      <c r="B42" s="1196"/>
      <c r="C42" s="1196"/>
      <c r="D42" s="1196"/>
      <c r="E42" s="1196"/>
      <c r="F42" s="1196"/>
      <c r="G42" s="1196"/>
      <c r="H42" s="1196"/>
      <c r="I42" s="1196"/>
      <c r="J42" s="1196"/>
      <c r="K42" s="1196"/>
      <c r="L42" s="1196"/>
      <c r="M42" s="1196"/>
      <c r="N42" s="1196"/>
      <c r="O42" s="1196"/>
      <c r="P42" s="1196"/>
      <c r="Q42" s="1196"/>
      <c r="R42" s="1196"/>
      <c r="S42" s="1196"/>
      <c r="T42" s="1196"/>
      <c r="U42" s="1196"/>
      <c r="V42" s="1196"/>
      <c r="W42" s="1196"/>
      <c r="X42" s="1196"/>
      <c r="Y42" s="1196"/>
      <c r="Z42" s="1196"/>
    </row>
    <row r="43" spans="1:26" ht="12.75" customHeight="1">
      <c r="A43" s="1196"/>
      <c r="B43" s="1196"/>
      <c r="C43" s="1196"/>
      <c r="D43" s="1196"/>
      <c r="E43" s="1196"/>
      <c r="F43" s="1196"/>
      <c r="G43" s="1196"/>
      <c r="H43" s="1196"/>
      <c r="I43" s="1196"/>
      <c r="J43" s="1196"/>
      <c r="K43" s="1196"/>
      <c r="L43" s="1196"/>
      <c r="M43" s="1196"/>
      <c r="N43" s="1196"/>
      <c r="O43" s="1196"/>
      <c r="P43" s="1196"/>
      <c r="Q43" s="1196"/>
      <c r="R43" s="1196"/>
      <c r="S43" s="1196"/>
      <c r="T43" s="1196"/>
      <c r="U43" s="1196"/>
      <c r="V43" s="1196"/>
      <c r="W43" s="1196"/>
      <c r="X43" s="1196"/>
      <c r="Y43" s="1196"/>
      <c r="Z43" s="1196"/>
    </row>
    <row r="44" spans="1:26" ht="12.75" customHeight="1">
      <c r="A44" s="1196"/>
      <c r="B44" s="1196"/>
      <c r="C44" s="1196"/>
      <c r="D44" s="1196"/>
      <c r="E44" s="1196"/>
      <c r="F44" s="1196"/>
      <c r="G44" s="1196"/>
      <c r="H44" s="1196"/>
      <c r="I44" s="1196"/>
      <c r="J44" s="1196"/>
      <c r="K44" s="1196"/>
      <c r="L44" s="1196"/>
      <c r="M44" s="1196"/>
      <c r="N44" s="1196"/>
      <c r="O44" s="1196"/>
      <c r="P44" s="1196"/>
      <c r="Q44" s="1196"/>
      <c r="R44" s="1196"/>
      <c r="S44" s="1196"/>
      <c r="T44" s="1196"/>
      <c r="U44" s="1196"/>
      <c r="V44" s="1196"/>
      <c r="W44" s="1196"/>
      <c r="X44" s="1196"/>
      <c r="Y44" s="1196"/>
      <c r="Z44" s="1196"/>
    </row>
    <row r="45" spans="1:26" ht="12.75" customHeight="1">
      <c r="A45" s="1196"/>
      <c r="B45" s="1196"/>
      <c r="C45" s="1196"/>
      <c r="D45" s="1196"/>
      <c r="E45" s="1196"/>
      <c r="F45" s="1196"/>
      <c r="G45" s="1196"/>
      <c r="H45" s="1196"/>
      <c r="I45" s="1196"/>
      <c r="J45" s="1196"/>
      <c r="K45" s="1196"/>
      <c r="L45" s="1196"/>
      <c r="M45" s="1196"/>
      <c r="N45" s="1196"/>
      <c r="O45" s="1196"/>
      <c r="P45" s="1196"/>
      <c r="Q45" s="1196"/>
      <c r="R45" s="1196"/>
      <c r="S45" s="1196"/>
      <c r="T45" s="1196"/>
      <c r="U45" s="1196"/>
      <c r="V45" s="1196"/>
      <c r="W45" s="1196"/>
      <c r="X45" s="1196"/>
      <c r="Y45" s="1196"/>
      <c r="Z45" s="1196"/>
    </row>
    <row r="46" spans="1:26" ht="12.75" customHeight="1">
      <c r="A46" s="1196"/>
      <c r="B46" s="1196"/>
      <c r="C46" s="1196"/>
      <c r="D46" s="1196"/>
      <c r="E46" s="1196"/>
      <c r="F46" s="1196"/>
      <c r="G46" s="1196"/>
      <c r="H46" s="1196"/>
      <c r="I46" s="1196"/>
      <c r="J46" s="1196"/>
      <c r="K46" s="1196"/>
      <c r="L46" s="1196"/>
      <c r="M46" s="1196"/>
      <c r="N46" s="1196"/>
      <c r="O46" s="1196"/>
      <c r="P46" s="1196"/>
      <c r="Q46" s="1196"/>
      <c r="R46" s="1196"/>
      <c r="S46" s="1196"/>
      <c r="T46" s="1196"/>
      <c r="U46" s="1196"/>
      <c r="V46" s="1196"/>
      <c r="W46" s="1196"/>
      <c r="X46" s="1196"/>
      <c r="Y46" s="1196"/>
      <c r="Z46" s="1196"/>
    </row>
    <row r="47" spans="1:26" ht="12.75" customHeight="1">
      <c r="A47" s="1196"/>
      <c r="B47" s="1196"/>
      <c r="C47" s="1196"/>
      <c r="D47" s="1196"/>
      <c r="E47" s="1196"/>
      <c r="F47" s="1196"/>
      <c r="G47" s="1196"/>
      <c r="H47" s="1196"/>
      <c r="I47" s="1196"/>
      <c r="J47" s="1196"/>
      <c r="K47" s="1196"/>
      <c r="L47" s="1196"/>
      <c r="M47" s="1196"/>
      <c r="N47" s="1196"/>
      <c r="O47" s="1196"/>
      <c r="P47" s="1196"/>
      <c r="Q47" s="1196"/>
      <c r="R47" s="1196"/>
      <c r="S47" s="1196"/>
      <c r="T47" s="1196"/>
      <c r="U47" s="1196"/>
      <c r="V47" s="1196"/>
      <c r="W47" s="1196"/>
      <c r="X47" s="1196"/>
      <c r="Y47" s="1196"/>
      <c r="Z47" s="1196"/>
    </row>
    <row r="48" spans="1:26" ht="12.75" customHeight="1">
      <c r="A48" s="1196"/>
      <c r="B48" s="1196"/>
      <c r="C48" s="1196"/>
      <c r="D48" s="1196"/>
      <c r="E48" s="1196"/>
      <c r="F48" s="1196"/>
      <c r="G48" s="1196"/>
      <c r="H48" s="1196"/>
      <c r="I48" s="1196"/>
      <c r="J48" s="1196"/>
      <c r="K48" s="1196"/>
      <c r="L48" s="1196"/>
      <c r="M48" s="1196"/>
      <c r="N48" s="1196"/>
      <c r="O48" s="1196"/>
      <c r="P48" s="1196"/>
      <c r="Q48" s="1196"/>
      <c r="R48" s="1196"/>
      <c r="S48" s="1196"/>
      <c r="T48" s="1196"/>
      <c r="U48" s="1196"/>
      <c r="V48" s="1196"/>
      <c r="W48" s="1196"/>
      <c r="X48" s="1196"/>
      <c r="Y48" s="1196"/>
      <c r="Z48" s="1196"/>
    </row>
    <row r="49" spans="1:26" ht="12.75" customHeight="1">
      <c r="A49" s="1196"/>
      <c r="B49" s="1196"/>
      <c r="C49" s="1196"/>
      <c r="D49" s="1196"/>
      <c r="E49" s="1196"/>
      <c r="F49" s="1196"/>
      <c r="G49" s="1196"/>
      <c r="H49" s="1196"/>
      <c r="I49" s="1196"/>
      <c r="J49" s="1196"/>
      <c r="K49" s="1196"/>
      <c r="L49" s="1196"/>
      <c r="M49" s="1196"/>
      <c r="N49" s="1196"/>
      <c r="O49" s="1196"/>
      <c r="P49" s="1196"/>
      <c r="Q49" s="1196"/>
      <c r="R49" s="1196"/>
      <c r="S49" s="1196"/>
      <c r="T49" s="1196"/>
      <c r="U49" s="1196"/>
      <c r="V49" s="1196"/>
      <c r="W49" s="1196"/>
      <c r="X49" s="1196"/>
      <c r="Y49" s="1196"/>
      <c r="Z49" s="1196"/>
    </row>
    <row r="50" spans="1:26" ht="12.75" customHeight="1">
      <c r="A50" s="1196"/>
      <c r="B50" s="1196"/>
      <c r="C50" s="1196"/>
      <c r="D50" s="1196"/>
      <c r="E50" s="1196"/>
      <c r="F50" s="1196"/>
      <c r="G50" s="1196"/>
      <c r="H50" s="1196"/>
      <c r="I50" s="1196"/>
      <c r="J50" s="1196"/>
      <c r="K50" s="1196"/>
      <c r="L50" s="1196"/>
      <c r="M50" s="1196"/>
      <c r="N50" s="1196"/>
      <c r="O50" s="1196"/>
      <c r="P50" s="1196"/>
      <c r="Q50" s="1196"/>
      <c r="R50" s="1196"/>
      <c r="S50" s="1196"/>
      <c r="T50" s="1196"/>
      <c r="U50" s="1196"/>
      <c r="V50" s="1196"/>
      <c r="W50" s="1196"/>
      <c r="X50" s="1196"/>
      <c r="Y50" s="1196"/>
      <c r="Z50" s="1196"/>
    </row>
    <row r="51" spans="1:26" ht="12.75" customHeight="1">
      <c r="A51" s="1196"/>
      <c r="B51" s="1196"/>
      <c r="C51" s="1196"/>
      <c r="D51" s="1196"/>
      <c r="E51" s="1196"/>
      <c r="F51" s="1196"/>
      <c r="G51" s="1196"/>
      <c r="H51" s="1196"/>
      <c r="I51" s="1196"/>
      <c r="J51" s="1196"/>
      <c r="K51" s="1196"/>
      <c r="L51" s="1196"/>
      <c r="M51" s="1196"/>
      <c r="N51" s="1196"/>
      <c r="O51" s="1196"/>
      <c r="P51" s="1196"/>
      <c r="Q51" s="1196"/>
      <c r="R51" s="1196"/>
      <c r="S51" s="1196"/>
      <c r="T51" s="1196"/>
      <c r="U51" s="1196"/>
      <c r="V51" s="1196"/>
      <c r="W51" s="1196"/>
      <c r="X51" s="1196"/>
      <c r="Y51" s="1196"/>
      <c r="Z51" s="1196"/>
    </row>
    <row r="52" spans="1:26" ht="12.75" customHeight="1">
      <c r="A52" s="1196"/>
      <c r="B52" s="1196"/>
      <c r="C52" s="1196"/>
      <c r="D52" s="1196"/>
      <c r="E52" s="1196"/>
      <c r="F52" s="1196"/>
      <c r="G52" s="1196"/>
      <c r="H52" s="1196"/>
      <c r="I52" s="1196"/>
      <c r="J52" s="1196"/>
      <c r="K52" s="1196"/>
      <c r="L52" s="1196"/>
      <c r="M52" s="1196"/>
      <c r="N52" s="1196"/>
      <c r="O52" s="1196"/>
      <c r="P52" s="1196"/>
      <c r="Q52" s="1196"/>
      <c r="R52" s="1196"/>
      <c r="S52" s="1196"/>
      <c r="T52" s="1196"/>
      <c r="U52" s="1196"/>
      <c r="V52" s="1196"/>
      <c r="W52" s="1196"/>
      <c r="X52" s="1196"/>
      <c r="Y52" s="1196"/>
      <c r="Z52" s="1196"/>
    </row>
    <row r="53" spans="1:26" ht="12.75" customHeight="1">
      <c r="A53" s="1196"/>
      <c r="B53" s="1196"/>
      <c r="C53" s="1196"/>
      <c r="D53" s="1196"/>
      <c r="E53" s="1196"/>
      <c r="F53" s="1196"/>
      <c r="G53" s="1196"/>
      <c r="H53" s="1196"/>
      <c r="I53" s="1196"/>
      <c r="J53" s="1196"/>
      <c r="K53" s="1196"/>
      <c r="L53" s="1196"/>
      <c r="M53" s="1196"/>
      <c r="N53" s="1196"/>
      <c r="O53" s="1196"/>
      <c r="P53" s="1196"/>
      <c r="Q53" s="1196"/>
      <c r="R53" s="1196"/>
      <c r="S53" s="1196"/>
      <c r="T53" s="1196"/>
      <c r="U53" s="1196"/>
      <c r="V53" s="1196"/>
      <c r="W53" s="1196"/>
      <c r="X53" s="1196"/>
      <c r="Y53" s="1196"/>
      <c r="Z53" s="1196"/>
    </row>
    <row r="54" spans="1:26" ht="12.75" customHeight="1">
      <c r="A54" s="1196"/>
      <c r="B54" s="1196"/>
      <c r="C54" s="1196"/>
      <c r="D54" s="1196"/>
      <c r="E54" s="1196"/>
      <c r="F54" s="1196"/>
      <c r="G54" s="1196"/>
      <c r="H54" s="1196"/>
      <c r="I54" s="1196"/>
      <c r="J54" s="1196"/>
      <c r="K54" s="1196"/>
      <c r="L54" s="1196"/>
      <c r="M54" s="1196"/>
      <c r="N54" s="1196"/>
      <c r="O54" s="1196"/>
      <c r="P54" s="1196"/>
      <c r="Q54" s="1196"/>
      <c r="R54" s="1196"/>
      <c r="S54" s="1196"/>
      <c r="T54" s="1196"/>
      <c r="U54" s="1196"/>
      <c r="V54" s="1196"/>
      <c r="W54" s="1196"/>
      <c r="X54" s="1196"/>
      <c r="Y54" s="1196"/>
      <c r="Z54" s="1196"/>
    </row>
    <row r="55" spans="1:26" ht="12.75" customHeight="1">
      <c r="A55" s="1196"/>
      <c r="B55" s="1196"/>
      <c r="C55" s="1196"/>
      <c r="D55" s="1196"/>
      <c r="E55" s="1196"/>
      <c r="F55" s="1196"/>
      <c r="G55" s="1196"/>
      <c r="H55" s="1196"/>
      <c r="I55" s="1196"/>
      <c r="J55" s="1196"/>
      <c r="K55" s="1196"/>
      <c r="L55" s="1196"/>
      <c r="M55" s="1196"/>
      <c r="N55" s="1196"/>
      <c r="O55" s="1196"/>
      <c r="P55" s="1196"/>
      <c r="Q55" s="1196"/>
      <c r="R55" s="1196"/>
      <c r="S55" s="1196"/>
      <c r="T55" s="1196"/>
      <c r="U55" s="1196"/>
      <c r="V55" s="1196"/>
      <c r="W55" s="1196"/>
      <c r="X55" s="1196"/>
      <c r="Y55" s="1196"/>
      <c r="Z55" s="1196"/>
    </row>
    <row r="56" spans="1:26" ht="12.75" customHeight="1">
      <c r="A56" s="1196"/>
      <c r="B56" s="1196"/>
      <c r="C56" s="1196"/>
      <c r="D56" s="1196"/>
      <c r="E56" s="1196"/>
      <c r="F56" s="1196"/>
      <c r="G56" s="1196"/>
      <c r="H56" s="1196"/>
      <c r="I56" s="1196"/>
      <c r="J56" s="1196"/>
      <c r="K56" s="1196"/>
      <c r="L56" s="1196"/>
      <c r="M56" s="1196"/>
      <c r="N56" s="1196"/>
      <c r="O56" s="1196"/>
      <c r="P56" s="1196"/>
      <c r="Q56" s="1196"/>
      <c r="R56" s="1196"/>
      <c r="S56" s="1196"/>
      <c r="T56" s="1196"/>
      <c r="U56" s="1196"/>
      <c r="V56" s="1196"/>
      <c r="W56" s="1196"/>
      <c r="X56" s="1196"/>
      <c r="Y56" s="1196"/>
      <c r="Z56" s="1196"/>
    </row>
    <row r="57" spans="1:26" ht="12.75" customHeight="1">
      <c r="A57" s="1196"/>
      <c r="B57" s="1196"/>
      <c r="C57" s="1196"/>
      <c r="D57" s="1196"/>
      <c r="E57" s="1196"/>
      <c r="F57" s="1196"/>
      <c r="G57" s="1196"/>
      <c r="H57" s="1196"/>
      <c r="I57" s="1196"/>
      <c r="J57" s="1196"/>
      <c r="K57" s="1196"/>
      <c r="L57" s="1196"/>
      <c r="M57" s="1196"/>
      <c r="N57" s="1196"/>
      <c r="O57" s="1196"/>
      <c r="P57" s="1196"/>
      <c r="Q57" s="1196"/>
      <c r="R57" s="1196"/>
      <c r="S57" s="1196"/>
      <c r="T57" s="1196"/>
      <c r="U57" s="1196"/>
      <c r="V57" s="1196"/>
      <c r="W57" s="1196"/>
      <c r="X57" s="1196"/>
      <c r="Y57" s="1196"/>
      <c r="Z57" s="1196"/>
    </row>
    <row r="58" spans="1:26" ht="12.75" customHeight="1">
      <c r="A58" s="1196"/>
      <c r="B58" s="1196"/>
      <c r="C58" s="1196"/>
      <c r="D58" s="1196"/>
      <c r="E58" s="1196"/>
      <c r="F58" s="1196"/>
      <c r="G58" s="1196"/>
      <c r="H58" s="1196"/>
      <c r="I58" s="1196"/>
      <c r="J58" s="1196"/>
      <c r="K58" s="1196"/>
      <c r="L58" s="1196"/>
      <c r="M58" s="1196"/>
      <c r="N58" s="1196"/>
      <c r="O58" s="1196"/>
      <c r="P58" s="1196"/>
      <c r="Q58" s="1196"/>
      <c r="R58" s="1196"/>
      <c r="S58" s="1196"/>
      <c r="T58" s="1196"/>
      <c r="U58" s="1196"/>
      <c r="V58" s="1196"/>
      <c r="W58" s="1196"/>
      <c r="X58" s="1196"/>
      <c r="Y58" s="1196"/>
      <c r="Z58" s="1196"/>
    </row>
    <row r="59" spans="1:26" ht="12.75" customHeight="1">
      <c r="A59" s="1196"/>
      <c r="B59" s="1196"/>
      <c r="C59" s="1196"/>
      <c r="D59" s="1196"/>
      <c r="E59" s="1196"/>
      <c r="F59" s="1196"/>
      <c r="G59" s="1196"/>
      <c r="H59" s="1196"/>
      <c r="I59" s="1196"/>
      <c r="J59" s="1196"/>
      <c r="K59" s="1196"/>
      <c r="L59" s="1196"/>
      <c r="M59" s="1196"/>
      <c r="N59" s="1196"/>
      <c r="O59" s="1196"/>
      <c r="P59" s="1196"/>
      <c r="Q59" s="1196"/>
      <c r="R59" s="1196"/>
      <c r="S59" s="1196"/>
      <c r="T59" s="1196"/>
      <c r="U59" s="1196"/>
      <c r="V59" s="1196"/>
      <c r="W59" s="1196"/>
      <c r="X59" s="1196"/>
      <c r="Y59" s="1196"/>
      <c r="Z59" s="1196"/>
    </row>
    <row r="60" spans="1:26" ht="12.75" customHeight="1">
      <c r="A60" s="1196"/>
      <c r="B60" s="1196"/>
      <c r="C60" s="1196"/>
      <c r="D60" s="1196"/>
      <c r="E60" s="1196"/>
      <c r="F60" s="1196"/>
      <c r="G60" s="1196"/>
      <c r="H60" s="1196"/>
      <c r="I60" s="1196"/>
      <c r="J60" s="1196"/>
      <c r="K60" s="1196"/>
      <c r="L60" s="1196"/>
      <c r="M60" s="1196"/>
      <c r="N60" s="1196"/>
      <c r="O60" s="1196"/>
      <c r="P60" s="1196"/>
      <c r="Q60" s="1196"/>
      <c r="R60" s="1196"/>
      <c r="S60" s="1196"/>
      <c r="T60" s="1196"/>
      <c r="U60" s="1196"/>
      <c r="V60" s="1196"/>
      <c r="W60" s="1196"/>
      <c r="X60" s="1196"/>
      <c r="Y60" s="1196"/>
      <c r="Z60" s="1196"/>
    </row>
    <row r="61" spans="1:26" ht="12.75" customHeight="1">
      <c r="A61" s="1196"/>
      <c r="B61" s="1196"/>
      <c r="C61" s="1196"/>
      <c r="D61" s="1196"/>
      <c r="E61" s="1196"/>
      <c r="F61" s="1196"/>
      <c r="G61" s="1196"/>
      <c r="H61" s="1196"/>
      <c r="I61" s="1196"/>
      <c r="J61" s="1196"/>
      <c r="K61" s="1196"/>
      <c r="L61" s="1196"/>
      <c r="M61" s="1196"/>
      <c r="N61" s="1196"/>
      <c r="O61" s="1196"/>
      <c r="P61" s="1196"/>
      <c r="Q61" s="1196"/>
      <c r="R61" s="1196"/>
      <c r="S61" s="1196"/>
      <c r="T61" s="1196"/>
      <c r="U61" s="1196"/>
      <c r="V61" s="1196"/>
      <c r="W61" s="1196"/>
      <c r="X61" s="1196"/>
      <c r="Y61" s="1196"/>
      <c r="Z61" s="1196"/>
    </row>
    <row r="62" spans="1:26" ht="12.75" customHeight="1">
      <c r="A62" s="1196"/>
      <c r="B62" s="1196"/>
      <c r="C62" s="1196"/>
      <c r="D62" s="1196"/>
      <c r="E62" s="1196"/>
      <c r="F62" s="1196"/>
      <c r="G62" s="1196"/>
      <c r="H62" s="1196"/>
      <c r="I62" s="1196"/>
      <c r="J62" s="1196"/>
      <c r="K62" s="1196"/>
      <c r="L62" s="1196"/>
      <c r="M62" s="1196"/>
      <c r="N62" s="1196"/>
      <c r="O62" s="1196"/>
      <c r="P62" s="1196"/>
      <c r="Q62" s="1196"/>
      <c r="R62" s="1196"/>
      <c r="S62" s="1196"/>
      <c r="T62" s="1196"/>
      <c r="U62" s="1196"/>
      <c r="V62" s="1196"/>
      <c r="W62" s="1196"/>
      <c r="X62" s="1196"/>
      <c r="Y62" s="1196"/>
      <c r="Z62" s="1196"/>
    </row>
    <row r="63" spans="1:26" ht="12.75" customHeight="1">
      <c r="A63" s="1196"/>
      <c r="B63" s="1196"/>
      <c r="C63" s="1196"/>
      <c r="D63" s="1196"/>
      <c r="E63" s="1196"/>
      <c r="F63" s="1196"/>
      <c r="G63" s="1196"/>
      <c r="H63" s="1196"/>
      <c r="I63" s="1196"/>
      <c r="J63" s="1196"/>
      <c r="K63" s="1196"/>
      <c r="L63" s="1196"/>
      <c r="M63" s="1196"/>
      <c r="N63" s="1196"/>
      <c r="O63" s="1196"/>
      <c r="P63" s="1196"/>
      <c r="Q63" s="1196"/>
      <c r="R63" s="1196"/>
      <c r="S63" s="1196"/>
      <c r="T63" s="1196"/>
      <c r="U63" s="1196"/>
      <c r="V63" s="1196"/>
      <c r="W63" s="1196"/>
      <c r="X63" s="1196"/>
      <c r="Y63" s="1196"/>
      <c r="Z63" s="1196"/>
    </row>
    <row r="64" spans="1:26" ht="12.75" customHeight="1">
      <c r="A64" s="1196"/>
      <c r="B64" s="1196"/>
      <c r="C64" s="1196"/>
      <c r="D64" s="1196"/>
      <c r="E64" s="1196"/>
      <c r="F64" s="1196"/>
      <c r="G64" s="1196"/>
      <c r="H64" s="1196"/>
      <c r="I64" s="1196"/>
      <c r="J64" s="1196"/>
      <c r="K64" s="1196"/>
      <c r="L64" s="1196"/>
      <c r="M64" s="1196"/>
      <c r="N64" s="1196"/>
      <c r="O64" s="1196"/>
      <c r="P64" s="1196"/>
      <c r="Q64" s="1196"/>
      <c r="R64" s="1196"/>
      <c r="S64" s="1196"/>
      <c r="T64" s="1196"/>
      <c r="U64" s="1196"/>
      <c r="V64" s="1196"/>
      <c r="W64" s="1196"/>
      <c r="X64" s="1196"/>
      <c r="Y64" s="1196"/>
      <c r="Z64" s="1196"/>
    </row>
    <row r="65" spans="1:26" ht="12.75" customHeight="1">
      <c r="A65" s="1196"/>
      <c r="B65" s="1196"/>
      <c r="C65" s="1196"/>
      <c r="D65" s="1196"/>
      <c r="E65" s="1196"/>
      <c r="F65" s="1196"/>
      <c r="G65" s="1196"/>
      <c r="H65" s="1196"/>
      <c r="I65" s="1196"/>
      <c r="J65" s="1196"/>
      <c r="K65" s="1196"/>
      <c r="L65" s="1196"/>
      <c r="M65" s="1196"/>
      <c r="N65" s="1196"/>
      <c r="O65" s="1196"/>
      <c r="P65" s="1196"/>
      <c r="Q65" s="1196"/>
      <c r="R65" s="1196"/>
      <c r="S65" s="1196"/>
      <c r="T65" s="1196"/>
      <c r="U65" s="1196"/>
      <c r="V65" s="1196"/>
      <c r="W65" s="1196"/>
      <c r="X65" s="1196"/>
      <c r="Y65" s="1196"/>
      <c r="Z65" s="1196"/>
    </row>
    <row r="66" spans="1:26" ht="12.75" customHeight="1">
      <c r="A66" s="1196"/>
      <c r="B66" s="1196"/>
      <c r="C66" s="1196"/>
      <c r="D66" s="1196"/>
      <c r="E66" s="1196"/>
      <c r="F66" s="1196"/>
      <c r="G66" s="1196"/>
      <c r="H66" s="1196"/>
      <c r="I66" s="1196"/>
      <c r="J66" s="1196"/>
      <c r="K66" s="1196"/>
      <c r="L66" s="1196"/>
      <c r="M66" s="1196"/>
      <c r="N66" s="1196"/>
      <c r="O66" s="1196"/>
      <c r="P66" s="1196"/>
      <c r="Q66" s="1196"/>
      <c r="R66" s="1196"/>
      <c r="S66" s="1196"/>
      <c r="T66" s="1196"/>
      <c r="U66" s="1196"/>
      <c r="V66" s="1196"/>
      <c r="W66" s="1196"/>
      <c r="X66" s="1196"/>
      <c r="Y66" s="1196"/>
      <c r="Z66" s="1196"/>
    </row>
    <row r="67" spans="1:26" ht="12.75" customHeight="1">
      <c r="A67" s="1196"/>
      <c r="B67" s="1196"/>
      <c r="C67" s="1196"/>
      <c r="D67" s="1196"/>
      <c r="E67" s="1196"/>
      <c r="F67" s="1196"/>
      <c r="G67" s="1196"/>
      <c r="H67" s="1196"/>
      <c r="I67" s="1196"/>
      <c r="J67" s="1196"/>
      <c r="K67" s="1196"/>
      <c r="L67" s="1196"/>
      <c r="M67" s="1196"/>
      <c r="N67" s="1196"/>
      <c r="O67" s="1196"/>
      <c r="P67" s="1196"/>
      <c r="Q67" s="1196"/>
      <c r="R67" s="1196"/>
      <c r="S67" s="1196"/>
      <c r="T67" s="1196"/>
      <c r="U67" s="1196"/>
      <c r="V67" s="1196"/>
      <c r="W67" s="1196"/>
      <c r="X67" s="1196"/>
      <c r="Y67" s="1196"/>
      <c r="Z67" s="1196"/>
    </row>
    <row r="68" spans="1:26" ht="12.75" customHeight="1">
      <c r="A68" s="1196"/>
      <c r="B68" s="1196"/>
      <c r="C68" s="1196"/>
      <c r="D68" s="1196"/>
      <c r="E68" s="1196"/>
      <c r="F68" s="1196"/>
      <c r="G68" s="1196"/>
      <c r="H68" s="1196"/>
      <c r="I68" s="1196"/>
      <c r="J68" s="1196"/>
      <c r="K68" s="1196"/>
      <c r="L68" s="1196"/>
      <c r="M68" s="1196"/>
      <c r="N68" s="1196"/>
      <c r="O68" s="1196"/>
      <c r="P68" s="1196"/>
      <c r="Q68" s="1196"/>
      <c r="R68" s="1196"/>
      <c r="S68" s="1196"/>
      <c r="T68" s="1196"/>
      <c r="U68" s="1196"/>
      <c r="V68" s="1196"/>
      <c r="W68" s="1196"/>
      <c r="X68" s="1196"/>
      <c r="Y68" s="1196"/>
      <c r="Z68" s="1196"/>
    </row>
    <row r="69" spans="1:26" ht="12.75" customHeight="1">
      <c r="A69" s="1196"/>
      <c r="B69" s="1196"/>
      <c r="C69" s="1196"/>
      <c r="D69" s="1196"/>
      <c r="E69" s="1196"/>
      <c r="F69" s="1196"/>
      <c r="G69" s="1196"/>
      <c r="H69" s="1196"/>
      <c r="I69" s="1196"/>
      <c r="J69" s="1196"/>
      <c r="K69" s="1196"/>
      <c r="L69" s="1196"/>
      <c r="M69" s="1196"/>
      <c r="N69" s="1196"/>
      <c r="O69" s="1196"/>
      <c r="P69" s="1196"/>
      <c r="Q69" s="1196"/>
      <c r="R69" s="1196"/>
      <c r="S69" s="1196"/>
      <c r="T69" s="1196"/>
      <c r="U69" s="1196"/>
      <c r="V69" s="1196"/>
      <c r="W69" s="1196"/>
      <c r="X69" s="1196"/>
      <c r="Y69" s="1196"/>
      <c r="Z69" s="1196"/>
    </row>
    <row r="70" spans="1:26" ht="12.75" customHeight="1">
      <c r="A70" s="1196"/>
      <c r="B70" s="1196"/>
      <c r="C70" s="1196"/>
      <c r="D70" s="1196"/>
      <c r="E70" s="1196"/>
      <c r="F70" s="1196"/>
      <c r="G70" s="1196"/>
      <c r="H70" s="1196"/>
      <c r="I70" s="1196"/>
      <c r="J70" s="1196"/>
      <c r="K70" s="1196"/>
      <c r="L70" s="1196"/>
      <c r="M70" s="1196"/>
      <c r="N70" s="1196"/>
      <c r="O70" s="1196"/>
      <c r="P70" s="1196"/>
      <c r="Q70" s="1196"/>
      <c r="R70" s="1196"/>
      <c r="S70" s="1196"/>
      <c r="T70" s="1196"/>
      <c r="U70" s="1196"/>
      <c r="V70" s="1196"/>
      <c r="W70" s="1196"/>
      <c r="X70" s="1196"/>
      <c r="Y70" s="1196"/>
      <c r="Z70" s="1196"/>
    </row>
    <row r="71" spans="1:26" ht="12.75" customHeight="1">
      <c r="A71" s="1196"/>
      <c r="B71" s="1196"/>
      <c r="C71" s="1196"/>
      <c r="D71" s="1196"/>
      <c r="E71" s="1196"/>
      <c r="F71" s="1196"/>
      <c r="G71" s="1196"/>
      <c r="H71" s="1196"/>
      <c r="I71" s="1196"/>
      <c r="J71" s="1196"/>
      <c r="K71" s="1196"/>
      <c r="L71" s="1196"/>
      <c r="M71" s="1196"/>
      <c r="N71" s="1196"/>
      <c r="O71" s="1196"/>
      <c r="P71" s="1196"/>
      <c r="Q71" s="1196"/>
      <c r="R71" s="1196"/>
      <c r="S71" s="1196"/>
      <c r="T71" s="1196"/>
      <c r="U71" s="1196"/>
      <c r="V71" s="1196"/>
      <c r="W71" s="1196"/>
      <c r="X71" s="1196"/>
      <c r="Y71" s="1196"/>
      <c r="Z71" s="1196"/>
    </row>
    <row r="72" spans="1:26" ht="12.75" customHeight="1">
      <c r="A72" s="1196"/>
      <c r="B72" s="1196"/>
      <c r="C72" s="1196"/>
      <c r="D72" s="1196"/>
      <c r="E72" s="1196"/>
      <c r="F72" s="1196"/>
      <c r="G72" s="1196"/>
      <c r="H72" s="1196"/>
      <c r="I72" s="1196"/>
      <c r="J72" s="1196"/>
      <c r="K72" s="1196"/>
      <c r="L72" s="1196"/>
      <c r="M72" s="1196"/>
      <c r="N72" s="1196"/>
      <c r="O72" s="1196"/>
      <c r="P72" s="1196"/>
      <c r="Q72" s="1196"/>
      <c r="R72" s="1196"/>
      <c r="S72" s="1196"/>
      <c r="T72" s="1196"/>
      <c r="U72" s="1196"/>
      <c r="V72" s="1196"/>
      <c r="W72" s="1196"/>
      <c r="X72" s="1196"/>
      <c r="Y72" s="1196"/>
      <c r="Z72" s="1196"/>
    </row>
    <row r="73" spans="1:26" ht="12.75" customHeight="1">
      <c r="A73" s="1196"/>
      <c r="B73" s="1196"/>
      <c r="C73" s="1196"/>
      <c r="D73" s="1196"/>
      <c r="E73" s="1196"/>
      <c r="F73" s="1196"/>
      <c r="G73" s="1196"/>
      <c r="H73" s="1196"/>
      <c r="I73" s="1196"/>
      <c r="J73" s="1196"/>
      <c r="K73" s="1196"/>
      <c r="L73" s="1196"/>
      <c r="M73" s="1196"/>
      <c r="N73" s="1196"/>
      <c r="O73" s="1196"/>
      <c r="P73" s="1196"/>
      <c r="Q73" s="1196"/>
      <c r="R73" s="1196"/>
      <c r="S73" s="1196"/>
      <c r="T73" s="1196"/>
      <c r="U73" s="1196"/>
      <c r="V73" s="1196"/>
      <c r="W73" s="1196"/>
      <c r="X73" s="1196"/>
      <c r="Y73" s="1196"/>
      <c r="Z73" s="1196"/>
    </row>
    <row r="74" spans="1:26" ht="12.75" customHeight="1">
      <c r="A74" s="1196"/>
      <c r="B74" s="1196"/>
      <c r="C74" s="1196"/>
      <c r="D74" s="1196"/>
      <c r="E74" s="1196"/>
      <c r="F74" s="1196"/>
      <c r="G74" s="1196"/>
      <c r="H74" s="1196"/>
      <c r="I74" s="1196"/>
      <c r="J74" s="1196"/>
      <c r="K74" s="1196"/>
      <c r="L74" s="1196"/>
      <c r="M74" s="1196"/>
      <c r="N74" s="1196"/>
      <c r="O74" s="1196"/>
      <c r="P74" s="1196"/>
      <c r="Q74" s="1196"/>
      <c r="R74" s="1196"/>
      <c r="S74" s="1196"/>
      <c r="T74" s="1196"/>
      <c r="U74" s="1196"/>
      <c r="V74" s="1196"/>
      <c r="W74" s="1196"/>
      <c r="X74" s="1196"/>
      <c r="Y74" s="1196"/>
      <c r="Z74" s="1196"/>
    </row>
    <row r="75" spans="1:26" ht="12.75" customHeight="1">
      <c r="A75" s="1196"/>
      <c r="B75" s="1196"/>
      <c r="C75" s="1196"/>
      <c r="D75" s="1196"/>
      <c r="E75" s="1196"/>
      <c r="F75" s="1196"/>
      <c r="G75" s="1196"/>
      <c r="H75" s="1196"/>
      <c r="I75" s="1196"/>
      <c r="J75" s="1196"/>
      <c r="K75" s="1196"/>
      <c r="L75" s="1196"/>
      <c r="M75" s="1196"/>
      <c r="N75" s="1196"/>
      <c r="O75" s="1196"/>
      <c r="P75" s="1196"/>
      <c r="Q75" s="1196"/>
      <c r="R75" s="1196"/>
      <c r="S75" s="1196"/>
      <c r="T75" s="1196"/>
      <c r="U75" s="1196"/>
      <c r="V75" s="1196"/>
      <c r="W75" s="1196"/>
      <c r="X75" s="1196"/>
      <c r="Y75" s="1196"/>
      <c r="Z75" s="1196"/>
    </row>
    <row r="76" spans="1:26" ht="12.75" customHeight="1">
      <c r="A76" s="1196"/>
      <c r="B76" s="1196"/>
      <c r="C76" s="1196"/>
      <c r="D76" s="1196"/>
      <c r="E76" s="1196"/>
      <c r="F76" s="1196"/>
      <c r="G76" s="1196"/>
      <c r="H76" s="1196"/>
      <c r="I76" s="1196"/>
      <c r="J76" s="1196"/>
      <c r="K76" s="1196"/>
      <c r="L76" s="1196"/>
      <c r="M76" s="1196"/>
      <c r="N76" s="1196"/>
      <c r="O76" s="1196"/>
      <c r="P76" s="1196"/>
      <c r="Q76" s="1196"/>
      <c r="R76" s="1196"/>
      <c r="S76" s="1196"/>
      <c r="T76" s="1196"/>
      <c r="U76" s="1196"/>
      <c r="V76" s="1196"/>
      <c r="W76" s="1196"/>
      <c r="X76" s="1196"/>
      <c r="Y76" s="1196"/>
      <c r="Z76" s="1196"/>
    </row>
    <row r="77" spans="1:26" ht="12.75" customHeight="1">
      <c r="A77" s="1196"/>
      <c r="B77" s="1196"/>
      <c r="C77" s="1196"/>
      <c r="D77" s="1196"/>
      <c r="E77" s="1196"/>
      <c r="F77" s="1196"/>
      <c r="G77" s="1196"/>
      <c r="H77" s="1196"/>
      <c r="I77" s="1196"/>
      <c r="J77" s="1196"/>
      <c r="K77" s="1196"/>
      <c r="L77" s="1196"/>
      <c r="M77" s="1196"/>
      <c r="N77" s="1196"/>
      <c r="O77" s="1196"/>
      <c r="P77" s="1196"/>
      <c r="Q77" s="1196"/>
      <c r="R77" s="1196"/>
      <c r="S77" s="1196"/>
      <c r="T77" s="1196"/>
      <c r="U77" s="1196"/>
      <c r="V77" s="1196"/>
      <c r="W77" s="1196"/>
      <c r="X77" s="1196"/>
      <c r="Y77" s="1196"/>
      <c r="Z77" s="1196"/>
    </row>
    <row r="78" spans="1:26" ht="12.75" customHeight="1">
      <c r="A78" s="1196"/>
      <c r="B78" s="1196"/>
      <c r="C78" s="1196"/>
      <c r="D78" s="1196"/>
      <c r="E78" s="1196"/>
      <c r="F78" s="1196"/>
      <c r="G78" s="1196"/>
      <c r="H78" s="1196"/>
      <c r="I78" s="1196"/>
      <c r="J78" s="1196"/>
      <c r="K78" s="1196"/>
      <c r="L78" s="1196"/>
      <c r="M78" s="1196"/>
      <c r="N78" s="1196"/>
      <c r="O78" s="1196"/>
      <c r="P78" s="1196"/>
      <c r="Q78" s="1196"/>
      <c r="R78" s="1196"/>
      <c r="S78" s="1196"/>
      <c r="T78" s="1196"/>
      <c r="U78" s="1196"/>
      <c r="V78" s="1196"/>
      <c r="W78" s="1196"/>
      <c r="X78" s="1196"/>
      <c r="Y78" s="1196"/>
      <c r="Z78" s="1196"/>
    </row>
    <row r="79" spans="1:26" ht="12.75" customHeight="1">
      <c r="A79" s="1196"/>
      <c r="B79" s="1196"/>
      <c r="C79" s="1196"/>
      <c r="D79" s="1196"/>
      <c r="E79" s="1196"/>
      <c r="F79" s="1196"/>
      <c r="G79" s="1196"/>
      <c r="H79" s="1196"/>
      <c r="I79" s="1196"/>
      <c r="J79" s="1196"/>
      <c r="K79" s="1196"/>
      <c r="L79" s="1196"/>
      <c r="M79" s="1196"/>
      <c r="N79" s="1196"/>
      <c r="O79" s="1196"/>
      <c r="P79" s="1196"/>
      <c r="Q79" s="1196"/>
      <c r="R79" s="1196"/>
      <c r="S79" s="1196"/>
      <c r="T79" s="1196"/>
      <c r="U79" s="1196"/>
      <c r="V79" s="1196"/>
      <c r="W79" s="1196"/>
      <c r="X79" s="1196"/>
      <c r="Y79" s="1196"/>
      <c r="Z79" s="1196"/>
    </row>
    <row r="80" spans="1:26" ht="12.75" customHeight="1">
      <c r="A80" s="1196"/>
      <c r="B80" s="1196"/>
      <c r="C80" s="1196"/>
      <c r="D80" s="1196"/>
      <c r="E80" s="1196"/>
      <c r="F80" s="1196"/>
      <c r="G80" s="1196"/>
      <c r="H80" s="1196"/>
      <c r="I80" s="1196"/>
      <c r="J80" s="1196"/>
      <c r="K80" s="1196"/>
      <c r="L80" s="1196"/>
      <c r="M80" s="1196"/>
      <c r="N80" s="1196"/>
      <c r="O80" s="1196"/>
      <c r="P80" s="1196"/>
      <c r="Q80" s="1196"/>
      <c r="R80" s="1196"/>
      <c r="S80" s="1196"/>
      <c r="T80" s="1196"/>
      <c r="U80" s="1196"/>
      <c r="V80" s="1196"/>
      <c r="W80" s="1196"/>
      <c r="X80" s="1196"/>
      <c r="Y80" s="1196"/>
      <c r="Z80" s="1196"/>
    </row>
    <row r="81" spans="1:26" ht="12.75" customHeight="1">
      <c r="A81" s="1196"/>
      <c r="B81" s="1196"/>
      <c r="C81" s="1196"/>
      <c r="D81" s="1196"/>
      <c r="E81" s="1196"/>
      <c r="F81" s="1196"/>
      <c r="G81" s="1196"/>
      <c r="H81" s="1196"/>
      <c r="I81" s="1196"/>
      <c r="J81" s="1196"/>
      <c r="K81" s="1196"/>
      <c r="L81" s="1196"/>
      <c r="M81" s="1196"/>
      <c r="N81" s="1196"/>
      <c r="O81" s="1196"/>
      <c r="P81" s="1196"/>
      <c r="Q81" s="1196"/>
      <c r="R81" s="1196"/>
      <c r="S81" s="1196"/>
      <c r="T81" s="1196"/>
      <c r="U81" s="1196"/>
      <c r="V81" s="1196"/>
      <c r="W81" s="1196"/>
      <c r="X81" s="1196"/>
      <c r="Y81" s="1196"/>
      <c r="Z81" s="1196"/>
    </row>
    <row r="82" spans="1:26" ht="12.75" customHeight="1">
      <c r="A82" s="1196"/>
      <c r="B82" s="1196"/>
      <c r="C82" s="1196"/>
      <c r="D82" s="1196"/>
      <c r="E82" s="1196"/>
      <c r="F82" s="1196"/>
      <c r="G82" s="1196"/>
      <c r="H82" s="1196"/>
      <c r="I82" s="1196"/>
      <c r="J82" s="1196"/>
      <c r="K82" s="1196"/>
      <c r="L82" s="1196"/>
      <c r="M82" s="1196"/>
      <c r="N82" s="1196"/>
      <c r="O82" s="1196"/>
      <c r="P82" s="1196"/>
      <c r="Q82" s="1196"/>
      <c r="R82" s="1196"/>
      <c r="S82" s="1196"/>
      <c r="T82" s="1196"/>
      <c r="U82" s="1196"/>
      <c r="V82" s="1196"/>
      <c r="W82" s="1196"/>
      <c r="X82" s="1196"/>
      <c r="Y82" s="1196"/>
      <c r="Z82" s="1196"/>
    </row>
    <row r="83" spans="1:26" ht="12.75" customHeight="1">
      <c r="A83" s="1196"/>
      <c r="B83" s="1196"/>
      <c r="C83" s="1196"/>
      <c r="D83" s="1196"/>
      <c r="E83" s="1196"/>
      <c r="F83" s="1196"/>
      <c r="G83" s="1196"/>
      <c r="H83" s="1196"/>
      <c r="I83" s="1196"/>
      <c r="J83" s="1196"/>
      <c r="K83" s="1196"/>
      <c r="L83" s="1196"/>
      <c r="M83" s="1196"/>
      <c r="N83" s="1196"/>
      <c r="O83" s="1196"/>
      <c r="P83" s="1196"/>
      <c r="Q83" s="1196"/>
      <c r="R83" s="1196"/>
      <c r="S83" s="1196"/>
      <c r="T83" s="1196"/>
      <c r="U83" s="1196"/>
      <c r="V83" s="1196"/>
      <c r="W83" s="1196"/>
      <c r="X83" s="1196"/>
      <c r="Y83" s="1196"/>
      <c r="Z83" s="1196"/>
    </row>
    <row r="84" spans="1:26" ht="12.75" customHeight="1">
      <c r="A84" s="1196"/>
      <c r="B84" s="1196"/>
      <c r="C84" s="1196"/>
      <c r="D84" s="1196"/>
      <c r="E84" s="1196"/>
      <c r="F84" s="1196"/>
      <c r="G84" s="1196"/>
      <c r="H84" s="1196"/>
      <c r="I84" s="1196"/>
      <c r="J84" s="1196"/>
      <c r="K84" s="1196"/>
      <c r="L84" s="1196"/>
      <c r="M84" s="1196"/>
      <c r="N84" s="1196"/>
      <c r="O84" s="1196"/>
      <c r="P84" s="1196"/>
      <c r="Q84" s="1196"/>
      <c r="R84" s="1196"/>
      <c r="S84" s="1196"/>
      <c r="T84" s="1196"/>
      <c r="U84" s="1196"/>
      <c r="V84" s="1196"/>
      <c r="W84" s="1196"/>
      <c r="X84" s="1196"/>
      <c r="Y84" s="1196"/>
      <c r="Z84" s="1196"/>
    </row>
    <row r="85" spans="1:26" ht="12.75" customHeight="1">
      <c r="A85" s="1196"/>
      <c r="B85" s="1196"/>
      <c r="C85" s="1196"/>
      <c r="D85" s="1196"/>
      <c r="E85" s="1196"/>
      <c r="F85" s="1196"/>
      <c r="G85" s="1196"/>
      <c r="H85" s="1196"/>
      <c r="I85" s="1196"/>
      <c r="J85" s="1196"/>
      <c r="K85" s="1196"/>
      <c r="L85" s="1196"/>
      <c r="M85" s="1196"/>
      <c r="N85" s="1196"/>
      <c r="O85" s="1196"/>
      <c r="P85" s="1196"/>
      <c r="Q85" s="1196"/>
      <c r="R85" s="1196"/>
      <c r="S85" s="1196"/>
      <c r="T85" s="1196"/>
      <c r="U85" s="1196"/>
      <c r="V85" s="1196"/>
      <c r="W85" s="1196"/>
      <c r="X85" s="1196"/>
      <c r="Y85" s="1196"/>
      <c r="Z85" s="1196"/>
    </row>
    <row r="86" spans="1:26" ht="12.75" customHeight="1">
      <c r="A86" s="1196"/>
      <c r="B86" s="1196"/>
      <c r="C86" s="1196"/>
      <c r="D86" s="1196"/>
      <c r="E86" s="1196"/>
      <c r="F86" s="1196"/>
      <c r="G86" s="1196"/>
      <c r="H86" s="1196"/>
      <c r="I86" s="1196"/>
      <c r="J86" s="1196"/>
      <c r="K86" s="1196"/>
      <c r="L86" s="1196"/>
      <c r="M86" s="1196"/>
      <c r="N86" s="1196"/>
      <c r="O86" s="1196"/>
      <c r="P86" s="1196"/>
      <c r="Q86" s="1196"/>
      <c r="R86" s="1196"/>
      <c r="S86" s="1196"/>
      <c r="T86" s="1196"/>
      <c r="U86" s="1196"/>
      <c r="V86" s="1196"/>
      <c r="W86" s="1196"/>
      <c r="X86" s="1196"/>
      <c r="Y86" s="1196"/>
      <c r="Z86" s="1196"/>
    </row>
    <row r="87" spans="1:26" ht="12.75" customHeight="1">
      <c r="A87" s="1196"/>
      <c r="B87" s="1196"/>
      <c r="C87" s="1196"/>
      <c r="D87" s="1196"/>
      <c r="E87" s="1196"/>
      <c r="F87" s="1196"/>
      <c r="G87" s="1196"/>
      <c r="H87" s="1196"/>
      <c r="I87" s="1196"/>
      <c r="J87" s="1196"/>
      <c r="K87" s="1196"/>
      <c r="L87" s="1196"/>
      <c r="M87" s="1196"/>
      <c r="N87" s="1196"/>
      <c r="O87" s="1196"/>
      <c r="P87" s="1196"/>
      <c r="Q87" s="1196"/>
      <c r="R87" s="1196"/>
      <c r="S87" s="1196"/>
      <c r="T87" s="1196"/>
      <c r="U87" s="1196"/>
      <c r="V87" s="1196"/>
      <c r="W87" s="1196"/>
      <c r="X87" s="1196"/>
      <c r="Y87" s="1196"/>
      <c r="Z87" s="1196"/>
    </row>
    <row r="88" spans="1:26" ht="12.75" customHeight="1">
      <c r="A88" s="1196"/>
      <c r="B88" s="1196"/>
      <c r="C88" s="1196"/>
      <c r="D88" s="1196"/>
      <c r="E88" s="1196"/>
      <c r="F88" s="1196"/>
      <c r="G88" s="1196"/>
      <c r="H88" s="1196"/>
      <c r="I88" s="1196"/>
      <c r="J88" s="1196"/>
      <c r="K88" s="1196"/>
      <c r="L88" s="1196"/>
      <c r="M88" s="1196"/>
      <c r="N88" s="1196"/>
      <c r="O88" s="1196"/>
      <c r="P88" s="1196"/>
      <c r="Q88" s="1196"/>
      <c r="R88" s="1196"/>
      <c r="S88" s="1196"/>
      <c r="T88" s="1196"/>
      <c r="U88" s="1196"/>
      <c r="V88" s="1196"/>
      <c r="W88" s="1196"/>
      <c r="X88" s="1196"/>
      <c r="Y88" s="1196"/>
      <c r="Z88" s="1196"/>
    </row>
    <row r="89" spans="1:26" ht="12.75" customHeight="1">
      <c r="A89" s="1196"/>
      <c r="B89" s="1196"/>
      <c r="C89" s="1196"/>
      <c r="D89" s="1196"/>
      <c r="E89" s="1196"/>
      <c r="F89" s="1196"/>
      <c r="G89" s="1196"/>
      <c r="H89" s="1196"/>
      <c r="I89" s="1196"/>
      <c r="J89" s="1196"/>
      <c r="K89" s="1196"/>
      <c r="L89" s="1196"/>
      <c r="M89" s="1196"/>
      <c r="N89" s="1196"/>
      <c r="O89" s="1196"/>
      <c r="P89" s="1196"/>
      <c r="Q89" s="1196"/>
      <c r="R89" s="1196"/>
      <c r="S89" s="1196"/>
      <c r="T89" s="1196"/>
      <c r="U89" s="1196"/>
      <c r="V89" s="1196"/>
      <c r="W89" s="1196"/>
      <c r="X89" s="1196"/>
      <c r="Y89" s="1196"/>
      <c r="Z89" s="1196"/>
    </row>
    <row r="90" spans="1:26" ht="12.75" customHeight="1">
      <c r="A90" s="1196"/>
      <c r="B90" s="1196"/>
      <c r="C90" s="1196"/>
      <c r="D90" s="1196"/>
      <c r="E90" s="1196"/>
      <c r="F90" s="1196"/>
      <c r="G90" s="1196"/>
      <c r="H90" s="1196"/>
      <c r="I90" s="1196"/>
      <c r="J90" s="1196"/>
      <c r="K90" s="1196"/>
      <c r="L90" s="1196"/>
      <c r="M90" s="1196"/>
      <c r="N90" s="1196"/>
      <c r="O90" s="1196"/>
      <c r="P90" s="1196"/>
      <c r="Q90" s="1196"/>
      <c r="R90" s="1196"/>
      <c r="S90" s="1196"/>
      <c r="T90" s="1196"/>
      <c r="U90" s="1196"/>
      <c r="V90" s="1196"/>
      <c r="W90" s="1196"/>
      <c r="X90" s="1196"/>
      <c r="Y90" s="1196"/>
      <c r="Z90" s="1196"/>
    </row>
    <row r="91" spans="1:26" ht="12.75" customHeight="1">
      <c r="A91" s="1196"/>
      <c r="B91" s="1196"/>
      <c r="C91" s="1196"/>
      <c r="D91" s="1196"/>
      <c r="E91" s="1196"/>
      <c r="F91" s="1196"/>
      <c r="G91" s="1196"/>
      <c r="H91" s="1196"/>
      <c r="I91" s="1196"/>
      <c r="J91" s="1196"/>
      <c r="K91" s="1196"/>
      <c r="L91" s="1196"/>
      <c r="M91" s="1196"/>
      <c r="N91" s="1196"/>
      <c r="O91" s="1196"/>
      <c r="P91" s="1196"/>
      <c r="Q91" s="1196"/>
      <c r="R91" s="1196"/>
      <c r="S91" s="1196"/>
      <c r="T91" s="1196"/>
      <c r="U91" s="1196"/>
      <c r="V91" s="1196"/>
      <c r="W91" s="1196"/>
      <c r="X91" s="1196"/>
      <c r="Y91" s="1196"/>
      <c r="Z91" s="1196"/>
    </row>
    <row r="92" spans="1:26" ht="12.75" customHeight="1">
      <c r="A92" s="1196"/>
      <c r="B92" s="1196"/>
      <c r="C92" s="1196"/>
      <c r="D92" s="1196"/>
      <c r="E92" s="1196"/>
      <c r="F92" s="1196"/>
      <c r="G92" s="1196"/>
      <c r="H92" s="1196"/>
      <c r="I92" s="1196"/>
      <c r="J92" s="1196"/>
      <c r="K92" s="1196"/>
      <c r="L92" s="1196"/>
      <c r="M92" s="1196"/>
      <c r="N92" s="1196"/>
      <c r="O92" s="1196"/>
      <c r="P92" s="1196"/>
      <c r="Q92" s="1196"/>
      <c r="R92" s="1196"/>
      <c r="S92" s="1196"/>
      <c r="T92" s="1196"/>
      <c r="U92" s="1196"/>
      <c r="V92" s="1196"/>
      <c r="W92" s="1196"/>
      <c r="X92" s="1196"/>
      <c r="Y92" s="1196"/>
      <c r="Z92" s="1196"/>
    </row>
    <row r="93" spans="1:26" ht="12.75" customHeight="1">
      <c r="A93" s="1196"/>
      <c r="B93" s="1196"/>
      <c r="C93" s="1196"/>
      <c r="D93" s="1196"/>
      <c r="E93" s="1196"/>
      <c r="F93" s="1196"/>
      <c r="G93" s="1196"/>
      <c r="H93" s="1196"/>
      <c r="I93" s="1196"/>
      <c r="J93" s="1196"/>
      <c r="K93" s="1196"/>
      <c r="L93" s="1196"/>
      <c r="M93" s="1196"/>
      <c r="N93" s="1196"/>
      <c r="O93" s="1196"/>
      <c r="P93" s="1196"/>
      <c r="Q93" s="1196"/>
      <c r="R93" s="1196"/>
      <c r="S93" s="1196"/>
      <c r="T93" s="1196"/>
      <c r="U93" s="1196"/>
      <c r="V93" s="1196"/>
      <c r="W93" s="1196"/>
      <c r="X93" s="1196"/>
      <c r="Y93" s="1196"/>
      <c r="Z93" s="1196"/>
    </row>
    <row r="94" spans="1:26" ht="12.75" customHeight="1">
      <c r="A94" s="1196"/>
      <c r="B94" s="1196"/>
      <c r="C94" s="1196"/>
      <c r="D94" s="1196"/>
      <c r="E94" s="1196"/>
      <c r="F94" s="1196"/>
      <c r="G94" s="1196"/>
      <c r="H94" s="1196"/>
      <c r="I94" s="1196"/>
      <c r="J94" s="1196"/>
      <c r="K94" s="1196"/>
      <c r="L94" s="1196"/>
      <c r="M94" s="1196"/>
      <c r="N94" s="1196"/>
      <c r="O94" s="1196"/>
      <c r="P94" s="1196"/>
      <c r="Q94" s="1196"/>
      <c r="R94" s="1196"/>
      <c r="S94" s="1196"/>
      <c r="T94" s="1196"/>
      <c r="U94" s="1196"/>
      <c r="V94" s="1196"/>
      <c r="W94" s="1196"/>
      <c r="X94" s="1196"/>
      <c r="Y94" s="1196"/>
      <c r="Z94" s="1196"/>
    </row>
    <row r="95" spans="1:26" ht="12.75" customHeight="1">
      <c r="A95" s="1196"/>
      <c r="B95" s="1196"/>
      <c r="C95" s="1196"/>
      <c r="D95" s="1196"/>
      <c r="E95" s="1196"/>
      <c r="F95" s="1196"/>
      <c r="G95" s="1196"/>
      <c r="H95" s="1196"/>
      <c r="I95" s="1196"/>
      <c r="J95" s="1196"/>
      <c r="K95" s="1196"/>
      <c r="L95" s="1196"/>
      <c r="M95" s="1196"/>
      <c r="N95" s="1196"/>
      <c r="O95" s="1196"/>
      <c r="P95" s="1196"/>
      <c r="Q95" s="1196"/>
      <c r="R95" s="1196"/>
      <c r="S95" s="1196"/>
      <c r="T95" s="1196"/>
      <c r="U95" s="1196"/>
      <c r="V95" s="1196"/>
      <c r="W95" s="1196"/>
      <c r="X95" s="1196"/>
      <c r="Y95" s="1196"/>
      <c r="Z95" s="1196"/>
    </row>
    <row r="96" spans="1:26" ht="12.75" customHeight="1">
      <c r="A96" s="1196"/>
      <c r="B96" s="1196"/>
      <c r="C96" s="1196"/>
      <c r="D96" s="1196"/>
      <c r="E96" s="1196"/>
      <c r="F96" s="1196"/>
      <c r="G96" s="1196"/>
      <c r="H96" s="1196"/>
      <c r="I96" s="1196"/>
      <c r="J96" s="1196"/>
      <c r="K96" s="1196"/>
      <c r="L96" s="1196"/>
      <c r="M96" s="1196"/>
      <c r="N96" s="1196"/>
      <c r="O96" s="1196"/>
      <c r="P96" s="1196"/>
      <c r="Q96" s="1196"/>
      <c r="R96" s="1196"/>
      <c r="S96" s="1196"/>
      <c r="T96" s="1196"/>
      <c r="U96" s="1196"/>
      <c r="V96" s="1196"/>
      <c r="W96" s="1196"/>
      <c r="X96" s="1196"/>
      <c r="Y96" s="1196"/>
      <c r="Z96" s="1196"/>
    </row>
    <row r="97" spans="1:26" ht="12.75" customHeight="1">
      <c r="A97" s="1196"/>
      <c r="B97" s="1196"/>
      <c r="C97" s="1196"/>
      <c r="D97" s="1196"/>
      <c r="E97" s="1196"/>
      <c r="F97" s="1196"/>
      <c r="G97" s="1196"/>
      <c r="H97" s="1196"/>
      <c r="I97" s="1196"/>
      <c r="J97" s="1196"/>
      <c r="K97" s="1196"/>
      <c r="L97" s="1196"/>
      <c r="M97" s="1196"/>
      <c r="N97" s="1196"/>
      <c r="O97" s="1196"/>
      <c r="P97" s="1196"/>
      <c r="Q97" s="1196"/>
      <c r="R97" s="1196"/>
      <c r="S97" s="1196"/>
      <c r="T97" s="1196"/>
      <c r="U97" s="1196"/>
      <c r="V97" s="1196"/>
      <c r="W97" s="1196"/>
      <c r="X97" s="1196"/>
      <c r="Y97" s="1196"/>
      <c r="Z97" s="1196"/>
    </row>
    <row r="98" spans="1:26" ht="12.75" customHeight="1">
      <c r="A98" s="1196"/>
      <c r="B98" s="1196"/>
      <c r="C98" s="1196"/>
      <c r="D98" s="1196"/>
      <c r="E98" s="1196"/>
      <c r="F98" s="1196"/>
      <c r="G98" s="1196"/>
      <c r="H98" s="1196"/>
      <c r="I98" s="1196"/>
      <c r="J98" s="1196"/>
      <c r="K98" s="1196"/>
      <c r="L98" s="1196"/>
      <c r="M98" s="1196"/>
      <c r="N98" s="1196"/>
      <c r="O98" s="1196"/>
      <c r="P98" s="1196"/>
      <c r="Q98" s="1196"/>
      <c r="R98" s="1196"/>
      <c r="S98" s="1196"/>
      <c r="T98" s="1196"/>
      <c r="U98" s="1196"/>
      <c r="V98" s="1196"/>
      <c r="W98" s="1196"/>
      <c r="X98" s="1196"/>
      <c r="Y98" s="1196"/>
      <c r="Z98" s="1196"/>
    </row>
    <row r="99" spans="1:26" ht="12.75" customHeight="1">
      <c r="A99" s="1196"/>
      <c r="B99" s="1196"/>
      <c r="C99" s="1196"/>
      <c r="D99" s="1196"/>
      <c r="E99" s="1196"/>
      <c r="F99" s="1196"/>
      <c r="G99" s="1196"/>
      <c r="H99" s="1196"/>
      <c r="I99" s="1196"/>
      <c r="J99" s="1196"/>
      <c r="K99" s="1196"/>
      <c r="L99" s="1196"/>
      <c r="M99" s="1196"/>
      <c r="N99" s="1196"/>
      <c r="O99" s="1196"/>
      <c r="P99" s="1196"/>
      <c r="Q99" s="1196"/>
      <c r="R99" s="1196"/>
      <c r="S99" s="1196"/>
      <c r="T99" s="1196"/>
      <c r="U99" s="1196"/>
      <c r="V99" s="1196"/>
      <c r="W99" s="1196"/>
      <c r="X99" s="1196"/>
      <c r="Y99" s="1196"/>
      <c r="Z99" s="1196"/>
    </row>
    <row r="100" spans="1:26" ht="12.75" customHeight="1">
      <c r="A100" s="1196"/>
      <c r="B100" s="1196"/>
      <c r="C100" s="1196"/>
      <c r="D100" s="1196"/>
      <c r="E100" s="1196"/>
      <c r="F100" s="1196"/>
      <c r="G100" s="1196"/>
      <c r="H100" s="1196"/>
      <c r="I100" s="1196"/>
      <c r="J100" s="1196"/>
      <c r="K100" s="1196"/>
      <c r="L100" s="1196"/>
      <c r="M100" s="1196"/>
      <c r="N100" s="1196"/>
      <c r="O100" s="1196"/>
      <c r="P100" s="1196"/>
      <c r="Q100" s="1196"/>
      <c r="R100" s="1196"/>
      <c r="S100" s="1196"/>
      <c r="T100" s="1196"/>
      <c r="U100" s="1196"/>
      <c r="V100" s="1196"/>
      <c r="W100" s="1196"/>
      <c r="X100" s="1196"/>
      <c r="Y100" s="1196"/>
      <c r="Z100" s="1196"/>
    </row>
    <row r="101" spans="1:26" ht="12.75" customHeight="1">
      <c r="A101" s="1196"/>
      <c r="B101" s="1196"/>
      <c r="C101" s="1196"/>
      <c r="D101" s="1196"/>
      <c r="E101" s="1196"/>
      <c r="F101" s="1196"/>
      <c r="G101" s="1196"/>
      <c r="H101" s="1196"/>
      <c r="I101" s="1196"/>
      <c r="J101" s="1196"/>
      <c r="K101" s="1196"/>
      <c r="L101" s="1196"/>
      <c r="M101" s="1196"/>
      <c r="N101" s="1196"/>
      <c r="O101" s="1196"/>
      <c r="P101" s="1196"/>
      <c r="Q101" s="1196"/>
      <c r="R101" s="1196"/>
      <c r="S101" s="1196"/>
      <c r="T101" s="1196"/>
      <c r="U101" s="1196"/>
      <c r="V101" s="1196"/>
      <c r="W101" s="1196"/>
      <c r="X101" s="1196"/>
      <c r="Y101" s="1196"/>
      <c r="Z101" s="1196"/>
    </row>
    <row r="102" spans="1:26" ht="12.75" customHeight="1">
      <c r="A102" s="1196"/>
      <c r="B102" s="1196"/>
      <c r="C102" s="1196"/>
      <c r="D102" s="1196"/>
      <c r="E102" s="1196"/>
      <c r="F102" s="1196"/>
      <c r="G102" s="1196"/>
      <c r="H102" s="1196"/>
      <c r="I102" s="1196"/>
      <c r="J102" s="1196"/>
      <c r="K102" s="1196"/>
      <c r="L102" s="1196"/>
      <c r="M102" s="1196"/>
      <c r="N102" s="1196"/>
      <c r="O102" s="1196"/>
      <c r="P102" s="1196"/>
      <c r="Q102" s="1196"/>
      <c r="R102" s="1196"/>
      <c r="S102" s="1196"/>
      <c r="T102" s="1196"/>
      <c r="U102" s="1196"/>
      <c r="V102" s="1196"/>
      <c r="W102" s="1196"/>
      <c r="X102" s="1196"/>
      <c r="Y102" s="1196"/>
      <c r="Z102" s="1196"/>
    </row>
    <row r="103" spans="1:26" ht="12.75" customHeight="1">
      <c r="A103" s="1196"/>
      <c r="B103" s="1196"/>
      <c r="C103" s="1196"/>
      <c r="D103" s="1196"/>
      <c r="E103" s="1196"/>
      <c r="F103" s="1196"/>
      <c r="G103" s="1196"/>
      <c r="H103" s="1196"/>
      <c r="I103" s="1196"/>
      <c r="J103" s="1196"/>
      <c r="K103" s="1196"/>
      <c r="L103" s="1196"/>
      <c r="M103" s="1196"/>
      <c r="N103" s="1196"/>
      <c r="O103" s="1196"/>
      <c r="P103" s="1196"/>
      <c r="Q103" s="1196"/>
      <c r="R103" s="1196"/>
      <c r="S103" s="1196"/>
      <c r="T103" s="1196"/>
      <c r="U103" s="1196"/>
      <c r="V103" s="1196"/>
      <c r="W103" s="1196"/>
      <c r="X103" s="1196"/>
      <c r="Y103" s="1196"/>
      <c r="Z103" s="1196"/>
    </row>
    <row r="104" spans="1:26" ht="12.75" customHeight="1">
      <c r="A104" s="1196"/>
      <c r="B104" s="1196"/>
      <c r="C104" s="1196"/>
      <c r="D104" s="1196"/>
      <c r="E104" s="1196"/>
      <c r="F104" s="1196"/>
      <c r="G104" s="1196"/>
      <c r="H104" s="1196"/>
      <c r="I104" s="1196"/>
      <c r="J104" s="1196"/>
      <c r="K104" s="1196"/>
      <c r="L104" s="1196"/>
      <c r="M104" s="1196"/>
      <c r="N104" s="1196"/>
      <c r="O104" s="1196"/>
      <c r="P104" s="1196"/>
      <c r="Q104" s="1196"/>
      <c r="R104" s="1196"/>
      <c r="S104" s="1196"/>
      <c r="T104" s="1196"/>
      <c r="U104" s="1196"/>
      <c r="V104" s="1196"/>
      <c r="W104" s="1196"/>
      <c r="X104" s="1196"/>
      <c r="Y104" s="1196"/>
      <c r="Z104" s="1196"/>
    </row>
    <row r="105" spans="1:26" ht="12.75" customHeight="1">
      <c r="A105" s="1196"/>
      <c r="B105" s="1196"/>
      <c r="C105" s="1196"/>
      <c r="D105" s="1196"/>
      <c r="E105" s="1196"/>
      <c r="F105" s="1196"/>
      <c r="G105" s="1196"/>
      <c r="H105" s="1196"/>
      <c r="I105" s="1196"/>
      <c r="J105" s="1196"/>
      <c r="K105" s="1196"/>
      <c r="L105" s="1196"/>
      <c r="M105" s="1196"/>
      <c r="N105" s="1196"/>
      <c r="O105" s="1196"/>
      <c r="P105" s="1196"/>
      <c r="Q105" s="1196"/>
      <c r="R105" s="1196"/>
      <c r="S105" s="1196"/>
      <c r="T105" s="1196"/>
      <c r="U105" s="1196"/>
      <c r="V105" s="1196"/>
      <c r="W105" s="1196"/>
      <c r="X105" s="1196"/>
      <c r="Y105" s="1196"/>
      <c r="Z105" s="1196"/>
    </row>
    <row r="106" spans="1:26" ht="12.75" customHeight="1">
      <c r="A106" s="1196"/>
      <c r="B106" s="1196"/>
      <c r="C106" s="1196"/>
      <c r="D106" s="1196"/>
      <c r="E106" s="1196"/>
      <c r="F106" s="1196"/>
      <c r="G106" s="1196"/>
      <c r="H106" s="1196"/>
      <c r="I106" s="1196"/>
      <c r="J106" s="1196"/>
      <c r="K106" s="1196"/>
      <c r="L106" s="1196"/>
      <c r="M106" s="1196"/>
      <c r="N106" s="1196"/>
      <c r="O106" s="1196"/>
      <c r="P106" s="1196"/>
      <c r="Q106" s="1196"/>
      <c r="R106" s="1196"/>
      <c r="S106" s="1196"/>
      <c r="T106" s="1196"/>
      <c r="U106" s="1196"/>
      <c r="V106" s="1196"/>
      <c r="W106" s="1196"/>
      <c r="X106" s="1196"/>
      <c r="Y106" s="1196"/>
      <c r="Z106" s="1196"/>
    </row>
    <row r="107" spans="1:26" ht="12.75" customHeight="1">
      <c r="A107" s="1196"/>
      <c r="B107" s="1196"/>
      <c r="C107" s="1196"/>
      <c r="D107" s="1196"/>
      <c r="E107" s="1196"/>
      <c r="F107" s="1196"/>
      <c r="G107" s="1196"/>
      <c r="H107" s="1196"/>
      <c r="I107" s="1196"/>
      <c r="J107" s="1196"/>
      <c r="K107" s="1196"/>
      <c r="L107" s="1196"/>
      <c r="M107" s="1196"/>
      <c r="N107" s="1196"/>
      <c r="O107" s="1196"/>
      <c r="P107" s="1196"/>
      <c r="Q107" s="1196"/>
      <c r="R107" s="1196"/>
      <c r="S107" s="1196"/>
      <c r="T107" s="1196"/>
      <c r="U107" s="1196"/>
      <c r="V107" s="1196"/>
      <c r="W107" s="1196"/>
      <c r="X107" s="1196"/>
      <c r="Y107" s="1196"/>
      <c r="Z107" s="1196"/>
    </row>
    <row r="108" spans="1:26" ht="12.75" customHeight="1">
      <c r="A108" s="1196"/>
      <c r="B108" s="1196"/>
      <c r="C108" s="1196"/>
      <c r="D108" s="1196"/>
      <c r="E108" s="1196"/>
      <c r="F108" s="1196"/>
      <c r="G108" s="1196"/>
      <c r="H108" s="1196"/>
      <c r="I108" s="1196"/>
      <c r="J108" s="1196"/>
      <c r="K108" s="1196"/>
      <c r="L108" s="1196"/>
      <c r="M108" s="1196"/>
      <c r="N108" s="1196"/>
      <c r="O108" s="1196"/>
      <c r="P108" s="1196"/>
      <c r="Q108" s="1196"/>
      <c r="R108" s="1196"/>
      <c r="S108" s="1196"/>
      <c r="T108" s="1196"/>
      <c r="U108" s="1196"/>
      <c r="V108" s="1196"/>
      <c r="W108" s="1196"/>
      <c r="X108" s="1196"/>
      <c r="Y108" s="1196"/>
      <c r="Z108" s="1196"/>
    </row>
    <row r="109" spans="1:26" ht="12.75" customHeight="1">
      <c r="A109" s="1196"/>
      <c r="B109" s="1196"/>
      <c r="C109" s="1196"/>
      <c r="D109" s="1196"/>
      <c r="E109" s="1196"/>
      <c r="F109" s="1196"/>
      <c r="G109" s="1196"/>
      <c r="H109" s="1196"/>
      <c r="I109" s="1196"/>
      <c r="J109" s="1196"/>
      <c r="K109" s="1196"/>
      <c r="L109" s="1196"/>
      <c r="M109" s="1196"/>
      <c r="N109" s="1196"/>
      <c r="O109" s="1196"/>
      <c r="P109" s="1196"/>
      <c r="Q109" s="1196"/>
      <c r="R109" s="1196"/>
      <c r="S109" s="1196"/>
      <c r="T109" s="1196"/>
      <c r="U109" s="1196"/>
      <c r="V109" s="1196"/>
      <c r="W109" s="1196"/>
      <c r="X109" s="1196"/>
      <c r="Y109" s="1196"/>
      <c r="Z109" s="1196"/>
    </row>
    <row r="110" spans="1:26" ht="12.75" customHeight="1">
      <c r="A110" s="1196"/>
      <c r="B110" s="1196"/>
      <c r="C110" s="1196"/>
      <c r="D110" s="1196"/>
      <c r="E110" s="1196"/>
      <c r="F110" s="1196"/>
      <c r="G110" s="1196"/>
      <c r="H110" s="1196"/>
      <c r="I110" s="1196"/>
      <c r="J110" s="1196"/>
      <c r="K110" s="1196"/>
      <c r="L110" s="1196"/>
      <c r="M110" s="1196"/>
      <c r="N110" s="1196"/>
      <c r="O110" s="1196"/>
      <c r="P110" s="1196"/>
      <c r="Q110" s="1196"/>
      <c r="R110" s="1196"/>
      <c r="S110" s="1196"/>
      <c r="T110" s="1196"/>
      <c r="U110" s="1196"/>
      <c r="V110" s="1196"/>
      <c r="W110" s="1196"/>
      <c r="X110" s="1196"/>
      <c r="Y110" s="1196"/>
      <c r="Z110" s="1196"/>
    </row>
    <row r="111" spans="1:26" ht="12.75" customHeight="1">
      <c r="A111" s="1196"/>
      <c r="B111" s="1196"/>
      <c r="C111" s="1196"/>
      <c r="D111" s="1196"/>
      <c r="E111" s="1196"/>
      <c r="F111" s="1196"/>
      <c r="G111" s="1196"/>
      <c r="H111" s="1196"/>
      <c r="I111" s="1196"/>
      <c r="J111" s="1196"/>
      <c r="K111" s="1196"/>
      <c r="L111" s="1196"/>
      <c r="M111" s="1196"/>
      <c r="N111" s="1196"/>
      <c r="O111" s="1196"/>
      <c r="P111" s="1196"/>
      <c r="Q111" s="1196"/>
      <c r="R111" s="1196"/>
      <c r="S111" s="1196"/>
      <c r="T111" s="1196"/>
      <c r="U111" s="1196"/>
      <c r="V111" s="1196"/>
      <c r="W111" s="1196"/>
      <c r="X111" s="1196"/>
      <c r="Y111" s="1196"/>
      <c r="Z111" s="1196"/>
    </row>
    <row r="112" spans="1:26" ht="12.75" customHeight="1">
      <c r="A112" s="1196"/>
      <c r="B112" s="1196"/>
      <c r="C112" s="1196"/>
      <c r="D112" s="1196"/>
      <c r="E112" s="1196"/>
      <c r="F112" s="1196"/>
      <c r="G112" s="1196"/>
      <c r="H112" s="1196"/>
      <c r="I112" s="1196"/>
      <c r="J112" s="1196"/>
      <c r="K112" s="1196"/>
      <c r="L112" s="1196"/>
      <c r="M112" s="1196"/>
      <c r="N112" s="1196"/>
      <c r="O112" s="1196"/>
      <c r="P112" s="1196"/>
      <c r="Q112" s="1196"/>
      <c r="R112" s="1196"/>
      <c r="S112" s="1196"/>
      <c r="T112" s="1196"/>
      <c r="U112" s="1196"/>
      <c r="V112" s="1196"/>
      <c r="W112" s="1196"/>
      <c r="X112" s="1196"/>
      <c r="Y112" s="1196"/>
      <c r="Z112" s="1196"/>
    </row>
    <row r="113" spans="1:26" ht="12.75" customHeight="1">
      <c r="A113" s="1196"/>
      <c r="B113" s="1196"/>
      <c r="C113" s="1196"/>
      <c r="D113" s="1196"/>
      <c r="E113" s="1196"/>
      <c r="F113" s="1196"/>
      <c r="G113" s="1196"/>
      <c r="H113" s="1196"/>
      <c r="I113" s="1196"/>
      <c r="J113" s="1196"/>
      <c r="K113" s="1196"/>
      <c r="L113" s="1196"/>
      <c r="M113" s="1196"/>
      <c r="N113" s="1196"/>
      <c r="O113" s="1196"/>
      <c r="P113" s="1196"/>
      <c r="Q113" s="1196"/>
      <c r="R113" s="1196"/>
      <c r="S113" s="1196"/>
      <c r="T113" s="1196"/>
      <c r="U113" s="1196"/>
      <c r="V113" s="1196"/>
      <c r="W113" s="1196"/>
      <c r="X113" s="1196"/>
      <c r="Y113" s="1196"/>
      <c r="Z113" s="1196"/>
    </row>
    <row r="114" spans="1:26" ht="12.75" customHeight="1">
      <c r="A114" s="1196"/>
      <c r="B114" s="1196"/>
      <c r="C114" s="1196"/>
      <c r="D114" s="1196"/>
      <c r="E114" s="1196"/>
      <c r="F114" s="1196"/>
      <c r="G114" s="1196"/>
      <c r="H114" s="1196"/>
      <c r="I114" s="1196"/>
      <c r="J114" s="1196"/>
      <c r="K114" s="1196"/>
      <c r="L114" s="1196"/>
      <c r="M114" s="1196"/>
      <c r="N114" s="1196"/>
      <c r="O114" s="1196"/>
      <c r="P114" s="1196"/>
      <c r="Q114" s="1196"/>
      <c r="R114" s="1196"/>
      <c r="S114" s="1196"/>
      <c r="T114" s="1196"/>
      <c r="U114" s="1196"/>
      <c r="V114" s="1196"/>
      <c r="W114" s="1196"/>
      <c r="X114" s="1196"/>
      <c r="Y114" s="1196"/>
      <c r="Z114" s="1196"/>
    </row>
    <row r="115" spans="1:26" ht="12.75" customHeight="1">
      <c r="A115" s="1196"/>
      <c r="B115" s="1196"/>
      <c r="C115" s="1196"/>
      <c r="D115" s="1196"/>
      <c r="E115" s="1196"/>
      <c r="F115" s="1196"/>
      <c r="G115" s="1196"/>
      <c r="H115" s="1196"/>
      <c r="I115" s="1196"/>
      <c r="J115" s="1196"/>
      <c r="K115" s="1196"/>
      <c r="L115" s="1196"/>
      <c r="M115" s="1196"/>
      <c r="N115" s="1196"/>
      <c r="O115" s="1196"/>
      <c r="P115" s="1196"/>
      <c r="Q115" s="1196"/>
      <c r="R115" s="1196"/>
      <c r="S115" s="1196"/>
      <c r="T115" s="1196"/>
      <c r="U115" s="1196"/>
      <c r="V115" s="1196"/>
      <c r="W115" s="1196"/>
      <c r="X115" s="1196"/>
      <c r="Y115" s="1196"/>
      <c r="Z115" s="1196"/>
    </row>
    <row r="116" spans="1:26" ht="12.75" customHeight="1">
      <c r="A116" s="1196"/>
      <c r="B116" s="1196"/>
      <c r="C116" s="1196"/>
      <c r="D116" s="1196"/>
      <c r="E116" s="1196"/>
      <c r="F116" s="1196"/>
      <c r="G116" s="1196"/>
      <c r="H116" s="1196"/>
      <c r="I116" s="1196"/>
      <c r="J116" s="1196"/>
      <c r="K116" s="1196"/>
      <c r="L116" s="1196"/>
      <c r="M116" s="1196"/>
      <c r="N116" s="1196"/>
      <c r="O116" s="1196"/>
      <c r="P116" s="1196"/>
      <c r="Q116" s="1196"/>
      <c r="R116" s="1196"/>
      <c r="S116" s="1196"/>
      <c r="T116" s="1196"/>
      <c r="U116" s="1196"/>
      <c r="V116" s="1196"/>
      <c r="W116" s="1196"/>
      <c r="X116" s="1196"/>
      <c r="Y116" s="1196"/>
      <c r="Z116" s="1196"/>
    </row>
    <row r="117" spans="1:26" ht="12.75" customHeight="1">
      <c r="A117" s="1196"/>
      <c r="B117" s="1196"/>
      <c r="C117" s="1196"/>
      <c r="D117" s="1196"/>
      <c r="E117" s="1196"/>
      <c r="F117" s="1196"/>
      <c r="G117" s="1196"/>
      <c r="H117" s="1196"/>
      <c r="I117" s="1196"/>
      <c r="J117" s="1196"/>
      <c r="K117" s="1196"/>
      <c r="L117" s="1196"/>
      <c r="M117" s="1196"/>
      <c r="N117" s="1196"/>
      <c r="O117" s="1196"/>
      <c r="P117" s="1196"/>
      <c r="Q117" s="1196"/>
      <c r="R117" s="1196"/>
      <c r="S117" s="1196"/>
      <c r="T117" s="1196"/>
      <c r="U117" s="1196"/>
      <c r="V117" s="1196"/>
      <c r="W117" s="1196"/>
      <c r="X117" s="1196"/>
      <c r="Y117" s="1196"/>
      <c r="Z117" s="1196"/>
    </row>
    <row r="118" spans="1:26" ht="12.75" customHeight="1">
      <c r="A118" s="1196"/>
      <c r="B118" s="1196"/>
      <c r="C118" s="1196"/>
      <c r="D118" s="1196"/>
      <c r="E118" s="1196"/>
      <c r="F118" s="1196"/>
      <c r="G118" s="1196"/>
      <c r="H118" s="1196"/>
      <c r="I118" s="1196"/>
      <c r="J118" s="1196"/>
      <c r="K118" s="1196"/>
      <c r="L118" s="1196"/>
      <c r="M118" s="1196"/>
      <c r="N118" s="1196"/>
      <c r="O118" s="1196"/>
      <c r="P118" s="1196"/>
      <c r="Q118" s="1196"/>
      <c r="R118" s="1196"/>
      <c r="S118" s="1196"/>
      <c r="T118" s="1196"/>
      <c r="U118" s="1196"/>
      <c r="V118" s="1196"/>
      <c r="W118" s="1196"/>
      <c r="X118" s="1196"/>
      <c r="Y118" s="1196"/>
      <c r="Z118" s="1196"/>
    </row>
    <row r="119" spans="1:26" ht="12.75" customHeight="1">
      <c r="A119" s="1196"/>
      <c r="B119" s="1196"/>
      <c r="C119" s="1196"/>
      <c r="D119" s="1196"/>
      <c r="E119" s="1196"/>
      <c r="F119" s="1196"/>
      <c r="G119" s="1196"/>
      <c r="H119" s="1196"/>
      <c r="I119" s="1196"/>
      <c r="J119" s="1196"/>
      <c r="K119" s="1196"/>
      <c r="L119" s="1196"/>
      <c r="M119" s="1196"/>
      <c r="N119" s="1196"/>
      <c r="O119" s="1196"/>
      <c r="P119" s="1196"/>
      <c r="Q119" s="1196"/>
      <c r="R119" s="1196"/>
      <c r="S119" s="1196"/>
      <c r="T119" s="1196"/>
      <c r="U119" s="1196"/>
      <c r="V119" s="1196"/>
      <c r="W119" s="1196"/>
      <c r="X119" s="1196"/>
      <c r="Y119" s="1196"/>
      <c r="Z119" s="1196"/>
    </row>
    <row r="120" spans="1:26" ht="12.75" customHeight="1">
      <c r="A120" s="1196"/>
      <c r="B120" s="1196"/>
      <c r="C120" s="1196"/>
      <c r="D120" s="1196"/>
      <c r="E120" s="1196"/>
      <c r="F120" s="1196"/>
      <c r="G120" s="1196"/>
      <c r="H120" s="1196"/>
      <c r="I120" s="1196"/>
      <c r="J120" s="1196"/>
      <c r="K120" s="1196"/>
      <c r="L120" s="1196"/>
      <c r="M120" s="1196"/>
      <c r="N120" s="1196"/>
      <c r="O120" s="1196"/>
      <c r="P120" s="1196"/>
      <c r="Q120" s="1196"/>
      <c r="R120" s="1196"/>
      <c r="S120" s="1196"/>
      <c r="T120" s="1196"/>
      <c r="U120" s="1196"/>
      <c r="V120" s="1196"/>
      <c r="W120" s="1196"/>
      <c r="X120" s="1196"/>
      <c r="Y120" s="1196"/>
      <c r="Z120" s="1196"/>
    </row>
    <row r="121" spans="1:26" ht="12.75" customHeight="1">
      <c r="A121" s="1196"/>
      <c r="B121" s="1196"/>
      <c r="C121" s="1196"/>
      <c r="D121" s="1196"/>
      <c r="E121" s="1196"/>
      <c r="F121" s="1196"/>
      <c r="G121" s="1196"/>
      <c r="H121" s="1196"/>
      <c r="I121" s="1196"/>
      <c r="J121" s="1196"/>
      <c r="K121" s="1196"/>
      <c r="L121" s="1196"/>
      <c r="M121" s="1196"/>
      <c r="N121" s="1196"/>
      <c r="O121" s="1196"/>
      <c r="P121" s="1196"/>
      <c r="Q121" s="1196"/>
      <c r="R121" s="1196"/>
      <c r="S121" s="1196"/>
      <c r="T121" s="1196"/>
      <c r="U121" s="1196"/>
      <c r="V121" s="1196"/>
      <c r="W121" s="1196"/>
      <c r="X121" s="1196"/>
      <c r="Y121" s="1196"/>
      <c r="Z121" s="1196"/>
    </row>
    <row r="122" spans="1:26" ht="12.75" customHeight="1">
      <c r="A122" s="1196"/>
      <c r="B122" s="1196"/>
      <c r="C122" s="1196"/>
      <c r="D122" s="1196"/>
      <c r="E122" s="1196"/>
      <c r="F122" s="1196"/>
      <c r="G122" s="1196"/>
      <c r="H122" s="1196"/>
      <c r="I122" s="1196"/>
      <c r="J122" s="1196"/>
      <c r="K122" s="1196"/>
      <c r="L122" s="1196"/>
      <c r="M122" s="1196"/>
      <c r="N122" s="1196"/>
      <c r="O122" s="1196"/>
      <c r="P122" s="1196"/>
      <c r="Q122" s="1196"/>
      <c r="R122" s="1196"/>
      <c r="S122" s="1196"/>
      <c r="T122" s="1196"/>
      <c r="U122" s="1196"/>
      <c r="V122" s="1196"/>
      <c r="W122" s="1196"/>
      <c r="X122" s="1196"/>
      <c r="Y122" s="1196"/>
      <c r="Z122" s="1196"/>
    </row>
    <row r="123" spans="1:26" ht="12.75" customHeight="1">
      <c r="A123" s="1196"/>
      <c r="B123" s="1196"/>
      <c r="C123" s="1196"/>
      <c r="D123" s="1196"/>
      <c r="E123" s="1196"/>
      <c r="F123" s="1196"/>
      <c r="G123" s="1196"/>
      <c r="H123" s="1196"/>
      <c r="I123" s="1196"/>
      <c r="J123" s="1196"/>
      <c r="K123" s="1196"/>
      <c r="L123" s="1196"/>
      <c r="M123" s="1196"/>
      <c r="N123" s="1196"/>
      <c r="O123" s="1196"/>
      <c r="P123" s="1196"/>
      <c r="Q123" s="1196"/>
      <c r="R123" s="1196"/>
      <c r="S123" s="1196"/>
      <c r="T123" s="1196"/>
      <c r="U123" s="1196"/>
      <c r="V123" s="1196"/>
      <c r="W123" s="1196"/>
      <c r="X123" s="1196"/>
      <c r="Y123" s="1196"/>
      <c r="Z123" s="1196"/>
    </row>
    <row r="124" spans="1:26" ht="12.75" customHeight="1">
      <c r="A124" s="1196"/>
      <c r="B124" s="1196"/>
      <c r="C124" s="1196"/>
      <c r="D124" s="1196"/>
      <c r="E124" s="1196"/>
      <c r="F124" s="1196"/>
      <c r="G124" s="1196"/>
      <c r="H124" s="1196"/>
      <c r="I124" s="1196"/>
      <c r="J124" s="1196"/>
      <c r="K124" s="1196"/>
      <c r="L124" s="1196"/>
      <c r="M124" s="1196"/>
      <c r="N124" s="1196"/>
      <c r="O124" s="1196"/>
      <c r="P124" s="1196"/>
      <c r="Q124" s="1196"/>
      <c r="R124" s="1196"/>
      <c r="S124" s="1196"/>
      <c r="T124" s="1196"/>
      <c r="U124" s="1196"/>
      <c r="V124" s="1196"/>
      <c r="W124" s="1196"/>
      <c r="X124" s="1196"/>
      <c r="Y124" s="1196"/>
      <c r="Z124" s="1196"/>
    </row>
    <row r="125" spans="1:26" ht="12.75" customHeight="1">
      <c r="A125" s="1196"/>
      <c r="B125" s="1196"/>
      <c r="C125" s="1196"/>
      <c r="D125" s="1196"/>
      <c r="E125" s="1196"/>
      <c r="F125" s="1196"/>
      <c r="G125" s="1196"/>
      <c r="H125" s="1196"/>
      <c r="I125" s="1196"/>
      <c r="J125" s="1196"/>
      <c r="K125" s="1196"/>
      <c r="L125" s="1196"/>
      <c r="M125" s="1196"/>
      <c r="N125" s="1196"/>
      <c r="O125" s="1196"/>
      <c r="P125" s="1196"/>
      <c r="Q125" s="1196"/>
      <c r="R125" s="1196"/>
      <c r="S125" s="1196"/>
      <c r="T125" s="1196"/>
      <c r="U125" s="1196"/>
      <c r="V125" s="1196"/>
      <c r="W125" s="1196"/>
      <c r="X125" s="1196"/>
      <c r="Y125" s="1196"/>
      <c r="Z125" s="1196"/>
    </row>
    <row r="126" spans="1:26" ht="12.75" customHeight="1">
      <c r="A126" s="1196"/>
      <c r="B126" s="1196"/>
      <c r="C126" s="1196"/>
      <c r="D126" s="1196"/>
      <c r="E126" s="1196"/>
      <c r="F126" s="1196"/>
      <c r="G126" s="1196"/>
      <c r="H126" s="1196"/>
      <c r="I126" s="1196"/>
      <c r="J126" s="1196"/>
      <c r="K126" s="1196"/>
      <c r="L126" s="1196"/>
      <c r="M126" s="1196"/>
      <c r="N126" s="1196"/>
      <c r="O126" s="1196"/>
      <c r="P126" s="1196"/>
      <c r="Q126" s="1196"/>
      <c r="R126" s="1196"/>
      <c r="S126" s="1196"/>
      <c r="T126" s="1196"/>
      <c r="U126" s="1196"/>
      <c r="V126" s="1196"/>
      <c r="W126" s="1196"/>
      <c r="X126" s="1196"/>
      <c r="Y126" s="1196"/>
      <c r="Z126" s="1196"/>
    </row>
    <row r="127" spans="1:26" ht="12.75" customHeight="1">
      <c r="A127" s="1196"/>
      <c r="B127" s="1196"/>
      <c r="C127" s="1196"/>
      <c r="D127" s="1196"/>
      <c r="E127" s="1196"/>
      <c r="F127" s="1196"/>
      <c r="G127" s="1196"/>
      <c r="H127" s="1196"/>
      <c r="I127" s="1196"/>
      <c r="J127" s="1196"/>
      <c r="K127" s="1196"/>
      <c r="L127" s="1196"/>
      <c r="M127" s="1196"/>
      <c r="N127" s="1196"/>
      <c r="O127" s="1196"/>
      <c r="P127" s="1196"/>
      <c r="Q127" s="1196"/>
      <c r="R127" s="1196"/>
      <c r="S127" s="1196"/>
      <c r="T127" s="1196"/>
      <c r="U127" s="1196"/>
      <c r="V127" s="1196"/>
      <c r="W127" s="1196"/>
      <c r="X127" s="1196"/>
      <c r="Y127" s="1196"/>
      <c r="Z127" s="1196"/>
    </row>
    <row r="128" spans="1:26" ht="12.75" customHeight="1">
      <c r="A128" s="1196"/>
      <c r="B128" s="1196"/>
      <c r="C128" s="1196"/>
      <c r="D128" s="1196"/>
      <c r="E128" s="1196"/>
      <c r="F128" s="1196"/>
      <c r="G128" s="1196"/>
      <c r="H128" s="1196"/>
      <c r="I128" s="1196"/>
      <c r="J128" s="1196"/>
      <c r="K128" s="1196"/>
      <c r="L128" s="1196"/>
      <c r="M128" s="1196"/>
      <c r="N128" s="1196"/>
      <c r="O128" s="1196"/>
      <c r="P128" s="1196"/>
      <c r="Q128" s="1196"/>
      <c r="R128" s="1196"/>
      <c r="S128" s="1196"/>
      <c r="T128" s="1196"/>
      <c r="U128" s="1196"/>
      <c r="V128" s="1196"/>
      <c r="W128" s="1196"/>
      <c r="X128" s="1196"/>
      <c r="Y128" s="1196"/>
      <c r="Z128" s="1196"/>
    </row>
    <row r="129" spans="1:26" ht="12.75" customHeight="1">
      <c r="A129" s="1196"/>
      <c r="B129" s="1196"/>
      <c r="C129" s="1196"/>
      <c r="D129" s="1196"/>
      <c r="E129" s="1196"/>
      <c r="F129" s="1196"/>
      <c r="G129" s="1196"/>
      <c r="H129" s="1196"/>
      <c r="I129" s="1196"/>
      <c r="J129" s="1196"/>
      <c r="K129" s="1196"/>
      <c r="L129" s="1196"/>
      <c r="M129" s="1196"/>
      <c r="N129" s="1196"/>
      <c r="O129" s="1196"/>
      <c r="P129" s="1196"/>
      <c r="Q129" s="1196"/>
      <c r="R129" s="1196"/>
      <c r="S129" s="1196"/>
      <c r="T129" s="1196"/>
      <c r="U129" s="1196"/>
      <c r="V129" s="1196"/>
      <c r="W129" s="1196"/>
      <c r="X129" s="1196"/>
      <c r="Y129" s="1196"/>
      <c r="Z129" s="1196"/>
    </row>
    <row r="130" spans="1:26" ht="12.75" customHeight="1">
      <c r="A130" s="1196"/>
      <c r="B130" s="1196"/>
      <c r="C130" s="1196"/>
      <c r="D130" s="1196"/>
      <c r="E130" s="1196"/>
      <c r="F130" s="1196"/>
      <c r="G130" s="1196"/>
      <c r="H130" s="1196"/>
      <c r="I130" s="1196"/>
      <c r="J130" s="1196"/>
      <c r="K130" s="1196"/>
      <c r="L130" s="1196"/>
      <c r="M130" s="1196"/>
      <c r="N130" s="1196"/>
      <c r="O130" s="1196"/>
      <c r="P130" s="1196"/>
      <c r="Q130" s="1196"/>
      <c r="R130" s="1196"/>
      <c r="S130" s="1196"/>
      <c r="T130" s="1196"/>
      <c r="U130" s="1196"/>
      <c r="V130" s="1196"/>
      <c r="W130" s="1196"/>
      <c r="X130" s="1196"/>
      <c r="Y130" s="1196"/>
      <c r="Z130" s="1196"/>
    </row>
    <row r="131" spans="1:26" ht="12.75" customHeight="1">
      <c r="A131" s="1196"/>
      <c r="B131" s="1196"/>
      <c r="C131" s="1196"/>
      <c r="D131" s="1196"/>
      <c r="E131" s="1196"/>
      <c r="F131" s="1196"/>
      <c r="G131" s="1196"/>
      <c r="H131" s="1196"/>
      <c r="I131" s="1196"/>
      <c r="J131" s="1196"/>
      <c r="K131" s="1196"/>
      <c r="L131" s="1196"/>
      <c r="M131" s="1196"/>
      <c r="N131" s="1196"/>
      <c r="O131" s="1196"/>
      <c r="P131" s="1196"/>
      <c r="Q131" s="1196"/>
      <c r="R131" s="1196"/>
      <c r="S131" s="1196"/>
      <c r="T131" s="1196"/>
      <c r="U131" s="1196"/>
      <c r="V131" s="1196"/>
      <c r="W131" s="1196"/>
      <c r="X131" s="1196"/>
      <c r="Y131" s="1196"/>
      <c r="Z131" s="1196"/>
    </row>
    <row r="132" spans="1:26" ht="12.75" customHeight="1">
      <c r="A132" s="1196"/>
      <c r="B132" s="1196"/>
      <c r="C132" s="1196"/>
      <c r="D132" s="1196"/>
      <c r="E132" s="1196"/>
      <c r="F132" s="1196"/>
      <c r="G132" s="1196"/>
      <c r="H132" s="1196"/>
      <c r="I132" s="1196"/>
      <c r="J132" s="1196"/>
      <c r="K132" s="1196"/>
      <c r="L132" s="1196"/>
      <c r="M132" s="1196"/>
      <c r="N132" s="1196"/>
      <c r="O132" s="1196"/>
      <c r="P132" s="1196"/>
      <c r="Q132" s="1196"/>
      <c r="R132" s="1196"/>
      <c r="S132" s="1196"/>
      <c r="T132" s="1196"/>
      <c r="U132" s="1196"/>
      <c r="V132" s="1196"/>
      <c r="W132" s="1196"/>
      <c r="X132" s="1196"/>
      <c r="Y132" s="1196"/>
      <c r="Z132" s="1196"/>
    </row>
    <row r="133" spans="1:26" ht="12.75" customHeight="1">
      <c r="A133" s="1196"/>
      <c r="B133" s="1196"/>
      <c r="C133" s="1196"/>
      <c r="D133" s="1196"/>
      <c r="E133" s="1196"/>
      <c r="F133" s="1196"/>
      <c r="G133" s="1196"/>
      <c r="H133" s="1196"/>
      <c r="I133" s="1196"/>
      <c r="J133" s="1196"/>
      <c r="K133" s="1196"/>
      <c r="L133" s="1196"/>
      <c r="M133" s="1196"/>
      <c r="N133" s="1196"/>
      <c r="O133" s="1196"/>
      <c r="P133" s="1196"/>
      <c r="Q133" s="1196"/>
      <c r="R133" s="1196"/>
      <c r="S133" s="1196"/>
      <c r="T133" s="1196"/>
      <c r="U133" s="1196"/>
      <c r="V133" s="1196"/>
      <c r="W133" s="1196"/>
      <c r="X133" s="1196"/>
      <c r="Y133" s="1196"/>
      <c r="Z133" s="1196"/>
    </row>
    <row r="134" spans="1:26" ht="12.75" customHeight="1">
      <c r="A134" s="1196"/>
      <c r="B134" s="1196"/>
      <c r="C134" s="1196"/>
      <c r="D134" s="1196"/>
      <c r="E134" s="1196"/>
      <c r="F134" s="1196"/>
      <c r="G134" s="1196"/>
      <c r="H134" s="1196"/>
      <c r="I134" s="1196"/>
      <c r="J134" s="1196"/>
      <c r="K134" s="1196"/>
      <c r="L134" s="1196"/>
      <c r="M134" s="1196"/>
      <c r="N134" s="1196"/>
      <c r="O134" s="1196"/>
      <c r="P134" s="1196"/>
      <c r="Q134" s="1196"/>
      <c r="R134" s="1196"/>
      <c r="S134" s="1196"/>
      <c r="T134" s="1196"/>
      <c r="U134" s="1196"/>
      <c r="V134" s="1196"/>
      <c r="W134" s="1196"/>
      <c r="X134" s="1196"/>
      <c r="Y134" s="1196"/>
      <c r="Z134" s="1196"/>
    </row>
    <row r="135" spans="1:26" ht="12.75" customHeight="1">
      <c r="A135" s="1196"/>
      <c r="B135" s="1196"/>
      <c r="C135" s="1196"/>
      <c r="D135" s="1196"/>
      <c r="E135" s="1196"/>
      <c r="F135" s="1196"/>
      <c r="G135" s="1196"/>
      <c r="H135" s="1196"/>
      <c r="I135" s="1196"/>
      <c r="J135" s="1196"/>
      <c r="K135" s="1196"/>
      <c r="L135" s="1196"/>
      <c r="M135" s="1196"/>
      <c r="N135" s="1196"/>
      <c r="O135" s="1196"/>
      <c r="P135" s="1196"/>
      <c r="Q135" s="1196"/>
      <c r="R135" s="1196"/>
      <c r="S135" s="1196"/>
      <c r="T135" s="1196"/>
      <c r="U135" s="1196"/>
      <c r="V135" s="1196"/>
      <c r="W135" s="1196"/>
      <c r="X135" s="1196"/>
      <c r="Y135" s="1196"/>
      <c r="Z135" s="1196"/>
    </row>
    <row r="136" spans="1:26" ht="12.75" customHeight="1">
      <c r="A136" s="1196"/>
      <c r="B136" s="1196"/>
      <c r="C136" s="1196"/>
      <c r="D136" s="1196"/>
      <c r="E136" s="1196"/>
      <c r="F136" s="1196"/>
      <c r="G136" s="1196"/>
      <c r="H136" s="1196"/>
      <c r="I136" s="1196"/>
      <c r="J136" s="1196"/>
      <c r="K136" s="1196"/>
      <c r="L136" s="1196"/>
      <c r="M136" s="1196"/>
      <c r="N136" s="1196"/>
      <c r="O136" s="1196"/>
      <c r="P136" s="1196"/>
      <c r="Q136" s="1196"/>
      <c r="R136" s="1196"/>
      <c r="S136" s="1196"/>
      <c r="T136" s="1196"/>
      <c r="U136" s="1196"/>
      <c r="V136" s="1196"/>
      <c r="W136" s="1196"/>
      <c r="X136" s="1196"/>
      <c r="Y136" s="1196"/>
      <c r="Z136" s="1196"/>
    </row>
    <row r="137" spans="1:26" ht="12.75" customHeight="1">
      <c r="A137" s="1196"/>
      <c r="B137" s="1196"/>
      <c r="C137" s="1196"/>
      <c r="D137" s="1196"/>
      <c r="E137" s="1196"/>
      <c r="F137" s="1196"/>
      <c r="G137" s="1196"/>
      <c r="H137" s="1196"/>
      <c r="I137" s="1196"/>
      <c r="J137" s="1196"/>
      <c r="K137" s="1196"/>
      <c r="L137" s="1196"/>
      <c r="M137" s="1196"/>
      <c r="N137" s="1196"/>
      <c r="O137" s="1196"/>
      <c r="P137" s="1196"/>
      <c r="Q137" s="1196"/>
      <c r="R137" s="1196"/>
      <c r="S137" s="1196"/>
      <c r="T137" s="1196"/>
      <c r="U137" s="1196"/>
      <c r="V137" s="1196"/>
      <c r="W137" s="1196"/>
      <c r="X137" s="1196"/>
      <c r="Y137" s="1196"/>
      <c r="Z137" s="1196"/>
    </row>
    <row r="138" spans="1:26" ht="12.75" customHeight="1">
      <c r="A138" s="1196"/>
      <c r="B138" s="1196"/>
      <c r="C138" s="1196"/>
      <c r="D138" s="1196"/>
      <c r="E138" s="1196"/>
      <c r="F138" s="1196"/>
      <c r="G138" s="1196"/>
      <c r="H138" s="1196"/>
      <c r="I138" s="1196"/>
      <c r="J138" s="1196"/>
      <c r="K138" s="1196"/>
      <c r="L138" s="1196"/>
      <c r="M138" s="1196"/>
      <c r="N138" s="1196"/>
      <c r="O138" s="1196"/>
      <c r="P138" s="1196"/>
      <c r="Q138" s="1196"/>
      <c r="R138" s="1196"/>
      <c r="S138" s="1196"/>
      <c r="T138" s="1196"/>
      <c r="U138" s="1196"/>
      <c r="V138" s="1196"/>
      <c r="W138" s="1196"/>
      <c r="X138" s="1196"/>
      <c r="Y138" s="1196"/>
      <c r="Z138" s="1196"/>
    </row>
    <row r="139" spans="1:26" ht="12.75" customHeight="1">
      <c r="A139" s="1196"/>
      <c r="B139" s="1196"/>
      <c r="C139" s="1196"/>
      <c r="D139" s="1196"/>
      <c r="E139" s="1196"/>
      <c r="F139" s="1196"/>
      <c r="G139" s="1196"/>
      <c r="H139" s="1196"/>
      <c r="I139" s="1196"/>
      <c r="J139" s="1196"/>
      <c r="K139" s="1196"/>
      <c r="L139" s="1196"/>
      <c r="M139" s="1196"/>
      <c r="N139" s="1196"/>
      <c r="O139" s="1196"/>
      <c r="P139" s="1196"/>
      <c r="Q139" s="1196"/>
      <c r="R139" s="1196"/>
      <c r="S139" s="1196"/>
      <c r="T139" s="1196"/>
      <c r="U139" s="1196"/>
      <c r="V139" s="1196"/>
      <c r="W139" s="1196"/>
      <c r="X139" s="1196"/>
      <c r="Y139" s="1196"/>
      <c r="Z139" s="1196"/>
    </row>
    <row r="140" spans="1:26" ht="12.75" customHeight="1">
      <c r="A140" s="1196"/>
      <c r="B140" s="1196"/>
      <c r="C140" s="1196"/>
      <c r="D140" s="1196"/>
      <c r="E140" s="1196"/>
      <c r="F140" s="1196"/>
      <c r="G140" s="1196"/>
      <c r="H140" s="1196"/>
      <c r="I140" s="1196"/>
      <c r="J140" s="1196"/>
      <c r="K140" s="1196"/>
      <c r="L140" s="1196"/>
      <c r="M140" s="1196"/>
      <c r="N140" s="1196"/>
      <c r="O140" s="1196"/>
      <c r="P140" s="1196"/>
      <c r="Q140" s="1196"/>
      <c r="R140" s="1196"/>
      <c r="S140" s="1196"/>
      <c r="T140" s="1196"/>
      <c r="U140" s="1196"/>
      <c r="V140" s="1196"/>
      <c r="W140" s="1196"/>
      <c r="X140" s="1196"/>
      <c r="Y140" s="1196"/>
      <c r="Z140" s="1196"/>
    </row>
    <row r="141" spans="1:26" ht="12.75" customHeight="1">
      <c r="A141" s="1196"/>
      <c r="B141" s="1196"/>
      <c r="C141" s="1196"/>
      <c r="D141" s="1196"/>
      <c r="E141" s="1196"/>
      <c r="F141" s="1196"/>
      <c r="G141" s="1196"/>
      <c r="H141" s="1196"/>
      <c r="I141" s="1196"/>
      <c r="J141" s="1196"/>
      <c r="K141" s="1196"/>
      <c r="L141" s="1196"/>
      <c r="M141" s="1196"/>
      <c r="N141" s="1196"/>
      <c r="O141" s="1196"/>
      <c r="P141" s="1196"/>
      <c r="Q141" s="1196"/>
      <c r="R141" s="1196"/>
      <c r="S141" s="1196"/>
      <c r="T141" s="1196"/>
      <c r="U141" s="1196"/>
      <c r="V141" s="1196"/>
      <c r="W141" s="1196"/>
      <c r="X141" s="1196"/>
      <c r="Y141" s="1196"/>
      <c r="Z141" s="1196"/>
    </row>
    <row r="142" spans="1:26" ht="12.75" customHeight="1">
      <c r="A142" s="1196"/>
      <c r="B142" s="1196"/>
      <c r="C142" s="1196"/>
      <c r="D142" s="1196"/>
      <c r="E142" s="1196"/>
      <c r="F142" s="1196"/>
      <c r="G142" s="1196"/>
      <c r="H142" s="1196"/>
      <c r="I142" s="1196"/>
      <c r="J142" s="1196"/>
      <c r="K142" s="1196"/>
      <c r="L142" s="1196"/>
      <c r="M142" s="1196"/>
      <c r="N142" s="1196"/>
      <c r="O142" s="1196"/>
      <c r="P142" s="1196"/>
      <c r="Q142" s="1196"/>
      <c r="R142" s="1196"/>
      <c r="S142" s="1196"/>
      <c r="T142" s="1196"/>
      <c r="U142" s="1196"/>
      <c r="V142" s="1196"/>
      <c r="W142" s="1196"/>
      <c r="X142" s="1196"/>
      <c r="Y142" s="1196"/>
      <c r="Z142" s="1196"/>
    </row>
    <row r="143" spans="1:26" ht="12.75" customHeight="1">
      <c r="A143" s="1196"/>
      <c r="B143" s="1196"/>
      <c r="C143" s="1196"/>
      <c r="D143" s="1196"/>
      <c r="E143" s="1196"/>
      <c r="F143" s="1196"/>
      <c r="G143" s="1196"/>
      <c r="H143" s="1196"/>
      <c r="I143" s="1196"/>
      <c r="J143" s="1196"/>
      <c r="K143" s="1196"/>
      <c r="L143" s="1196"/>
      <c r="M143" s="1196"/>
      <c r="N143" s="1196"/>
      <c r="O143" s="1196"/>
      <c r="P143" s="1196"/>
      <c r="Q143" s="1196"/>
      <c r="R143" s="1196"/>
      <c r="S143" s="1196"/>
      <c r="T143" s="1196"/>
      <c r="U143" s="1196"/>
      <c r="V143" s="1196"/>
      <c r="W143" s="1196"/>
      <c r="X143" s="1196"/>
      <c r="Y143" s="1196"/>
      <c r="Z143" s="1196"/>
    </row>
    <row r="144" spans="1:26" ht="12.75" customHeight="1">
      <c r="A144" s="1196"/>
      <c r="B144" s="1196"/>
      <c r="C144" s="1196"/>
      <c r="D144" s="1196"/>
      <c r="E144" s="1196"/>
      <c r="F144" s="1196"/>
      <c r="G144" s="1196"/>
      <c r="H144" s="1196"/>
      <c r="I144" s="1196"/>
      <c r="J144" s="1196"/>
      <c r="K144" s="1196"/>
      <c r="L144" s="1196"/>
      <c r="M144" s="1196"/>
      <c r="N144" s="1196"/>
      <c r="O144" s="1196"/>
      <c r="P144" s="1196"/>
      <c r="Q144" s="1196"/>
      <c r="R144" s="1196"/>
      <c r="S144" s="1196"/>
      <c r="T144" s="1196"/>
      <c r="U144" s="1196"/>
      <c r="V144" s="1196"/>
      <c r="W144" s="1196"/>
      <c r="X144" s="1196"/>
      <c r="Y144" s="1196"/>
      <c r="Z144" s="1196"/>
    </row>
    <row r="145" spans="1:26" ht="12.75" customHeight="1">
      <c r="A145" s="1196"/>
      <c r="B145" s="1196"/>
      <c r="C145" s="1196"/>
      <c r="D145" s="1196"/>
      <c r="E145" s="1196"/>
      <c r="F145" s="1196"/>
      <c r="G145" s="1196"/>
      <c r="H145" s="1196"/>
      <c r="I145" s="1196"/>
      <c r="J145" s="1196"/>
      <c r="K145" s="1196"/>
      <c r="L145" s="1196"/>
      <c r="M145" s="1196"/>
      <c r="N145" s="1196"/>
      <c r="O145" s="1196"/>
      <c r="P145" s="1196"/>
      <c r="Q145" s="1196"/>
      <c r="R145" s="1196"/>
      <c r="S145" s="1196"/>
      <c r="T145" s="1196"/>
      <c r="U145" s="1196"/>
      <c r="V145" s="1196"/>
      <c r="W145" s="1196"/>
      <c r="X145" s="1196"/>
      <c r="Y145" s="1196"/>
      <c r="Z145" s="1196"/>
    </row>
    <row r="146" spans="1:26" ht="12.75" customHeight="1">
      <c r="A146" s="1196"/>
      <c r="B146" s="1196"/>
      <c r="C146" s="1196"/>
      <c r="D146" s="1196"/>
      <c r="E146" s="1196"/>
      <c r="F146" s="1196"/>
      <c r="G146" s="1196"/>
      <c r="H146" s="1196"/>
      <c r="I146" s="1196"/>
      <c r="J146" s="1196"/>
      <c r="K146" s="1196"/>
      <c r="L146" s="1196"/>
      <c r="M146" s="1196"/>
      <c r="N146" s="1196"/>
      <c r="O146" s="1196"/>
      <c r="P146" s="1196"/>
      <c r="Q146" s="1196"/>
      <c r="R146" s="1196"/>
      <c r="S146" s="1196"/>
      <c r="T146" s="1196"/>
      <c r="U146" s="1196"/>
      <c r="V146" s="1196"/>
      <c r="W146" s="1196"/>
      <c r="X146" s="1196"/>
      <c r="Y146" s="1196"/>
      <c r="Z146" s="1196"/>
    </row>
    <row r="147" spans="1:26" ht="12.75" customHeight="1">
      <c r="A147" s="1196"/>
      <c r="B147" s="1196"/>
      <c r="C147" s="1196"/>
      <c r="D147" s="1196"/>
      <c r="E147" s="1196"/>
      <c r="F147" s="1196"/>
      <c r="G147" s="1196"/>
      <c r="H147" s="1196"/>
      <c r="I147" s="1196"/>
      <c r="J147" s="1196"/>
      <c r="K147" s="1196"/>
      <c r="L147" s="1196"/>
      <c r="M147" s="1196"/>
      <c r="N147" s="1196"/>
      <c r="O147" s="1196"/>
      <c r="P147" s="1196"/>
      <c r="Q147" s="1196"/>
      <c r="R147" s="1196"/>
      <c r="S147" s="1196"/>
      <c r="T147" s="1196"/>
      <c r="U147" s="1196"/>
      <c r="V147" s="1196"/>
      <c r="W147" s="1196"/>
      <c r="X147" s="1196"/>
      <c r="Y147" s="1196"/>
      <c r="Z147" s="1196"/>
    </row>
    <row r="148" spans="1:26" ht="12.75" customHeight="1">
      <c r="A148" s="1196"/>
      <c r="B148" s="1196"/>
      <c r="C148" s="1196"/>
      <c r="D148" s="1196"/>
      <c r="E148" s="1196"/>
      <c r="F148" s="1196"/>
      <c r="G148" s="1196"/>
      <c r="H148" s="1196"/>
      <c r="I148" s="1196"/>
      <c r="J148" s="1196"/>
      <c r="K148" s="1196"/>
      <c r="L148" s="1196"/>
      <c r="M148" s="1196"/>
      <c r="N148" s="1196"/>
      <c r="O148" s="1196"/>
      <c r="P148" s="1196"/>
      <c r="Q148" s="1196"/>
      <c r="R148" s="1196"/>
      <c r="S148" s="1196"/>
      <c r="T148" s="1196"/>
      <c r="U148" s="1196"/>
      <c r="V148" s="1196"/>
      <c r="W148" s="1196"/>
      <c r="X148" s="1196"/>
      <c r="Y148" s="1196"/>
      <c r="Z148" s="1196"/>
    </row>
    <row r="149" spans="1:26" ht="12.75" customHeight="1">
      <c r="A149" s="1196"/>
      <c r="B149" s="1196"/>
      <c r="C149" s="1196"/>
      <c r="D149" s="1196"/>
      <c r="E149" s="1196"/>
      <c r="F149" s="1196"/>
      <c r="G149" s="1196"/>
      <c r="H149" s="1196"/>
      <c r="I149" s="1196"/>
      <c r="J149" s="1196"/>
      <c r="K149" s="1196"/>
      <c r="L149" s="1196"/>
      <c r="M149" s="1196"/>
      <c r="N149" s="1196"/>
      <c r="O149" s="1196"/>
      <c r="P149" s="1196"/>
      <c r="Q149" s="1196"/>
      <c r="R149" s="1196"/>
      <c r="S149" s="1196"/>
      <c r="T149" s="1196"/>
      <c r="U149" s="1196"/>
      <c r="V149" s="1196"/>
      <c r="W149" s="1196"/>
      <c r="X149" s="1196"/>
      <c r="Y149" s="1196"/>
      <c r="Z149" s="1196"/>
    </row>
    <row r="150" spans="1:26" ht="12.75" customHeight="1">
      <c r="A150" s="1196"/>
      <c r="B150" s="1196"/>
      <c r="C150" s="1196"/>
      <c r="D150" s="1196"/>
      <c r="E150" s="1196"/>
      <c r="F150" s="1196"/>
      <c r="G150" s="1196"/>
      <c r="H150" s="1196"/>
      <c r="I150" s="1196"/>
      <c r="J150" s="1196"/>
      <c r="K150" s="1196"/>
      <c r="L150" s="1196"/>
      <c r="M150" s="1196"/>
      <c r="N150" s="1196"/>
      <c r="O150" s="1196"/>
      <c r="P150" s="1196"/>
      <c r="Q150" s="1196"/>
      <c r="R150" s="1196"/>
      <c r="S150" s="1196"/>
      <c r="T150" s="1196"/>
      <c r="U150" s="1196"/>
      <c r="V150" s="1196"/>
      <c r="W150" s="1196"/>
      <c r="X150" s="1196"/>
      <c r="Y150" s="1196"/>
      <c r="Z150" s="1196"/>
    </row>
    <row r="151" spans="1:26" ht="12.75" customHeight="1">
      <c r="A151" s="1196"/>
      <c r="B151" s="1196"/>
      <c r="C151" s="1196"/>
      <c r="D151" s="1196"/>
      <c r="E151" s="1196"/>
      <c r="F151" s="1196"/>
      <c r="G151" s="1196"/>
      <c r="H151" s="1196"/>
      <c r="I151" s="1196"/>
      <c r="J151" s="1196"/>
      <c r="K151" s="1196"/>
      <c r="L151" s="1196"/>
      <c r="M151" s="1196"/>
      <c r="N151" s="1196"/>
      <c r="O151" s="1196"/>
      <c r="P151" s="1196"/>
      <c r="Q151" s="1196"/>
      <c r="R151" s="1196"/>
      <c r="S151" s="1196"/>
      <c r="T151" s="1196"/>
      <c r="U151" s="1196"/>
      <c r="V151" s="1196"/>
      <c r="W151" s="1196"/>
      <c r="X151" s="1196"/>
      <c r="Y151" s="1196"/>
      <c r="Z151" s="1196"/>
    </row>
    <row r="152" spans="1:26" ht="12.75" customHeight="1">
      <c r="A152" s="1196"/>
      <c r="B152" s="1196"/>
      <c r="C152" s="1196"/>
      <c r="D152" s="1196"/>
      <c r="E152" s="1196"/>
      <c r="F152" s="1196"/>
      <c r="G152" s="1196"/>
      <c r="H152" s="1196"/>
      <c r="I152" s="1196"/>
      <c r="J152" s="1196"/>
      <c r="K152" s="1196"/>
      <c r="L152" s="1196"/>
      <c r="M152" s="1196"/>
      <c r="N152" s="1196"/>
      <c r="O152" s="1196"/>
      <c r="P152" s="1196"/>
      <c r="Q152" s="1196"/>
      <c r="R152" s="1196"/>
      <c r="S152" s="1196"/>
      <c r="T152" s="1196"/>
      <c r="U152" s="1196"/>
      <c r="V152" s="1196"/>
      <c r="W152" s="1196"/>
      <c r="X152" s="1196"/>
      <c r="Y152" s="1196"/>
      <c r="Z152" s="1196"/>
    </row>
    <row r="153" spans="1:26" ht="12.75" customHeight="1">
      <c r="A153" s="1196"/>
      <c r="B153" s="1196"/>
      <c r="C153" s="1196"/>
      <c r="D153" s="1196"/>
      <c r="E153" s="1196"/>
      <c r="F153" s="1196"/>
      <c r="G153" s="1196"/>
      <c r="H153" s="1196"/>
      <c r="I153" s="1196"/>
      <c r="J153" s="1196"/>
      <c r="K153" s="1196"/>
      <c r="L153" s="1196"/>
      <c r="M153" s="1196"/>
      <c r="N153" s="1196"/>
      <c r="O153" s="1196"/>
      <c r="P153" s="1196"/>
      <c r="Q153" s="1196"/>
      <c r="R153" s="1196"/>
      <c r="S153" s="1196"/>
      <c r="T153" s="1196"/>
      <c r="U153" s="1196"/>
      <c r="V153" s="1196"/>
      <c r="W153" s="1196"/>
      <c r="X153" s="1196"/>
      <c r="Y153" s="1196"/>
      <c r="Z153" s="1196"/>
    </row>
    <row r="154" spans="1:26" ht="12.75" customHeight="1">
      <c r="A154" s="1196"/>
      <c r="B154" s="1196"/>
      <c r="C154" s="1196"/>
      <c r="D154" s="1196"/>
      <c r="E154" s="1196"/>
      <c r="F154" s="1196"/>
      <c r="G154" s="1196"/>
      <c r="H154" s="1196"/>
      <c r="I154" s="1196"/>
      <c r="J154" s="1196"/>
      <c r="K154" s="1196"/>
      <c r="L154" s="1196"/>
      <c r="M154" s="1196"/>
      <c r="N154" s="1196"/>
      <c r="O154" s="1196"/>
      <c r="P154" s="1196"/>
      <c r="Q154" s="1196"/>
      <c r="R154" s="1196"/>
      <c r="S154" s="1196"/>
      <c r="T154" s="1196"/>
      <c r="U154" s="1196"/>
      <c r="V154" s="1196"/>
      <c r="W154" s="1196"/>
      <c r="X154" s="1196"/>
      <c r="Y154" s="1196"/>
      <c r="Z154" s="1196"/>
    </row>
    <row r="155" spans="1:26" ht="12.75" customHeight="1">
      <c r="A155" s="1196"/>
      <c r="B155" s="1196"/>
      <c r="C155" s="1196"/>
      <c r="D155" s="1196"/>
      <c r="E155" s="1196"/>
      <c r="F155" s="1196"/>
      <c r="G155" s="1196"/>
      <c r="H155" s="1196"/>
      <c r="I155" s="1196"/>
      <c r="J155" s="1196"/>
      <c r="K155" s="1196"/>
      <c r="L155" s="1196"/>
      <c r="M155" s="1196"/>
      <c r="N155" s="1196"/>
      <c r="O155" s="1196"/>
      <c r="P155" s="1196"/>
      <c r="Q155" s="1196"/>
      <c r="R155" s="1196"/>
      <c r="S155" s="1196"/>
      <c r="T155" s="1196"/>
      <c r="U155" s="1196"/>
      <c r="V155" s="1196"/>
      <c r="W155" s="1196"/>
      <c r="X155" s="1196"/>
      <c r="Y155" s="1196"/>
      <c r="Z155" s="1196"/>
    </row>
    <row r="156" spans="1:26" ht="12.75" customHeight="1">
      <c r="A156" s="1196"/>
      <c r="B156" s="1196"/>
      <c r="C156" s="1196"/>
      <c r="D156" s="1196"/>
      <c r="E156" s="1196"/>
      <c r="F156" s="1196"/>
      <c r="G156" s="1196"/>
      <c r="H156" s="1196"/>
      <c r="I156" s="1196"/>
      <c r="J156" s="1196"/>
      <c r="K156" s="1196"/>
      <c r="L156" s="1196"/>
      <c r="M156" s="1196"/>
      <c r="N156" s="1196"/>
      <c r="O156" s="1196"/>
      <c r="P156" s="1196"/>
      <c r="Q156" s="1196"/>
      <c r="R156" s="1196"/>
      <c r="S156" s="1196"/>
      <c r="T156" s="1196"/>
      <c r="U156" s="1196"/>
      <c r="V156" s="1196"/>
      <c r="W156" s="1196"/>
      <c r="X156" s="1196"/>
      <c r="Y156" s="1196"/>
      <c r="Z156" s="1196"/>
    </row>
    <row r="157" spans="1:26" ht="12.75" customHeight="1">
      <c r="A157" s="1196"/>
      <c r="B157" s="1196"/>
      <c r="C157" s="1196"/>
      <c r="D157" s="1196"/>
      <c r="E157" s="1196"/>
      <c r="F157" s="1196"/>
      <c r="G157" s="1196"/>
      <c r="H157" s="1196"/>
      <c r="I157" s="1196"/>
      <c r="J157" s="1196"/>
      <c r="K157" s="1196"/>
      <c r="L157" s="1196"/>
      <c r="M157" s="1196"/>
      <c r="N157" s="1196"/>
      <c r="O157" s="1196"/>
      <c r="P157" s="1196"/>
      <c r="Q157" s="1196"/>
      <c r="R157" s="1196"/>
      <c r="S157" s="1196"/>
      <c r="T157" s="1196"/>
      <c r="U157" s="1196"/>
      <c r="V157" s="1196"/>
      <c r="W157" s="1196"/>
      <c r="X157" s="1196"/>
      <c r="Y157" s="1196"/>
      <c r="Z157" s="1196"/>
    </row>
    <row r="158" spans="1:26" ht="12.75" customHeight="1">
      <c r="A158" s="1196"/>
      <c r="B158" s="1196"/>
      <c r="C158" s="1196"/>
      <c r="D158" s="1196"/>
      <c r="E158" s="1196"/>
      <c r="F158" s="1196"/>
      <c r="G158" s="1196"/>
      <c r="H158" s="1196"/>
      <c r="I158" s="1196"/>
      <c r="J158" s="1196"/>
      <c r="K158" s="1196"/>
      <c r="L158" s="1196"/>
      <c r="M158" s="1196"/>
      <c r="N158" s="1196"/>
      <c r="O158" s="1196"/>
      <c r="P158" s="1196"/>
      <c r="Q158" s="1196"/>
      <c r="R158" s="1196"/>
      <c r="S158" s="1196"/>
      <c r="T158" s="1196"/>
      <c r="U158" s="1196"/>
      <c r="V158" s="1196"/>
      <c r="W158" s="1196"/>
      <c r="X158" s="1196"/>
      <c r="Y158" s="1196"/>
      <c r="Z158" s="1196"/>
    </row>
    <row r="159" spans="1:26" ht="12.75" customHeight="1">
      <c r="A159" s="1196"/>
      <c r="B159" s="1196"/>
      <c r="C159" s="1196"/>
      <c r="D159" s="1196"/>
      <c r="E159" s="1196"/>
      <c r="F159" s="1196"/>
      <c r="G159" s="1196"/>
      <c r="H159" s="1196"/>
      <c r="I159" s="1196"/>
      <c r="J159" s="1196"/>
      <c r="K159" s="1196"/>
      <c r="L159" s="1196"/>
      <c r="M159" s="1196"/>
      <c r="N159" s="1196"/>
      <c r="O159" s="1196"/>
      <c r="P159" s="1196"/>
      <c r="Q159" s="1196"/>
      <c r="R159" s="1196"/>
      <c r="S159" s="1196"/>
      <c r="T159" s="1196"/>
      <c r="U159" s="1196"/>
      <c r="V159" s="1196"/>
      <c r="W159" s="1196"/>
      <c r="X159" s="1196"/>
      <c r="Y159" s="1196"/>
      <c r="Z159" s="1196"/>
    </row>
    <row r="160" spans="1:26" ht="12.75" customHeight="1">
      <c r="A160" s="1196"/>
      <c r="B160" s="1196"/>
      <c r="C160" s="1196"/>
      <c r="D160" s="1196"/>
      <c r="E160" s="1196"/>
      <c r="F160" s="1196"/>
      <c r="G160" s="1196"/>
      <c r="H160" s="1196"/>
      <c r="I160" s="1196"/>
      <c r="J160" s="1196"/>
      <c r="K160" s="1196"/>
      <c r="L160" s="1196"/>
      <c r="M160" s="1196"/>
      <c r="N160" s="1196"/>
      <c r="O160" s="1196"/>
      <c r="P160" s="1196"/>
      <c r="Q160" s="1196"/>
      <c r="R160" s="1196"/>
      <c r="S160" s="1196"/>
      <c r="T160" s="1196"/>
      <c r="U160" s="1196"/>
      <c r="V160" s="1196"/>
      <c r="W160" s="1196"/>
      <c r="X160" s="1196"/>
      <c r="Y160" s="1196"/>
      <c r="Z160" s="1196"/>
    </row>
    <row r="161" spans="1:26" ht="12.75" customHeight="1">
      <c r="A161" s="1196"/>
      <c r="B161" s="1196"/>
      <c r="C161" s="1196"/>
      <c r="D161" s="1196"/>
      <c r="E161" s="1196"/>
      <c r="F161" s="1196"/>
      <c r="G161" s="1196"/>
      <c r="H161" s="1196"/>
      <c r="I161" s="1196"/>
      <c r="J161" s="1196"/>
      <c r="K161" s="1196"/>
      <c r="L161" s="1196"/>
      <c r="M161" s="1196"/>
      <c r="N161" s="1196"/>
      <c r="O161" s="1196"/>
      <c r="P161" s="1196"/>
      <c r="Q161" s="1196"/>
      <c r="R161" s="1196"/>
      <c r="S161" s="1196"/>
      <c r="T161" s="1196"/>
      <c r="U161" s="1196"/>
      <c r="V161" s="1196"/>
      <c r="W161" s="1196"/>
      <c r="X161" s="1196"/>
      <c r="Y161" s="1196"/>
      <c r="Z161" s="1196"/>
    </row>
    <row r="162" spans="1:26" ht="12.75" customHeight="1">
      <c r="A162" s="1196"/>
      <c r="B162" s="1196"/>
      <c r="C162" s="1196"/>
      <c r="D162" s="1196"/>
      <c r="E162" s="1196"/>
      <c r="F162" s="1196"/>
      <c r="G162" s="1196"/>
      <c r="H162" s="1196"/>
      <c r="I162" s="1196"/>
      <c r="J162" s="1196"/>
      <c r="K162" s="1196"/>
      <c r="L162" s="1196"/>
      <c r="M162" s="1196"/>
      <c r="N162" s="1196"/>
      <c r="O162" s="1196"/>
      <c r="P162" s="1196"/>
      <c r="Q162" s="1196"/>
      <c r="R162" s="1196"/>
      <c r="S162" s="1196"/>
      <c r="T162" s="1196"/>
      <c r="U162" s="1196"/>
      <c r="V162" s="1196"/>
      <c r="W162" s="1196"/>
      <c r="X162" s="1196"/>
      <c r="Y162" s="1196"/>
      <c r="Z162" s="1196"/>
    </row>
    <row r="163" spans="1:26" ht="12.75" customHeight="1">
      <c r="A163" s="1196"/>
      <c r="B163" s="1196"/>
      <c r="C163" s="1196"/>
      <c r="D163" s="1196"/>
      <c r="E163" s="1196"/>
      <c r="F163" s="1196"/>
      <c r="G163" s="1196"/>
      <c r="H163" s="1196"/>
      <c r="I163" s="1196"/>
      <c r="J163" s="1196"/>
      <c r="K163" s="1196"/>
      <c r="L163" s="1196"/>
      <c r="M163" s="1196"/>
      <c r="N163" s="1196"/>
      <c r="O163" s="1196"/>
      <c r="P163" s="1196"/>
      <c r="Q163" s="1196"/>
      <c r="R163" s="1196"/>
      <c r="S163" s="1196"/>
      <c r="T163" s="1196"/>
      <c r="U163" s="1196"/>
      <c r="V163" s="1196"/>
      <c r="W163" s="1196"/>
      <c r="X163" s="1196"/>
      <c r="Y163" s="1196"/>
      <c r="Z163" s="1196"/>
    </row>
    <row r="164" spans="1:26" ht="12.75" customHeight="1">
      <c r="A164" s="1196"/>
      <c r="B164" s="1196"/>
      <c r="C164" s="1196"/>
      <c r="D164" s="1196"/>
      <c r="E164" s="1196"/>
      <c r="F164" s="1196"/>
      <c r="G164" s="1196"/>
      <c r="H164" s="1196"/>
      <c r="I164" s="1196"/>
      <c r="J164" s="1196"/>
      <c r="K164" s="1196"/>
      <c r="L164" s="1196"/>
      <c r="M164" s="1196"/>
      <c r="N164" s="1196"/>
      <c r="O164" s="1196"/>
      <c r="P164" s="1196"/>
      <c r="Q164" s="1196"/>
      <c r="R164" s="1196"/>
      <c r="S164" s="1196"/>
      <c r="T164" s="1196"/>
      <c r="U164" s="1196"/>
      <c r="V164" s="1196"/>
      <c r="W164" s="1196"/>
      <c r="X164" s="1196"/>
      <c r="Y164" s="1196"/>
      <c r="Z164" s="1196"/>
    </row>
    <row r="165" spans="1:26" ht="12.75" customHeight="1">
      <c r="A165" s="1196"/>
      <c r="B165" s="1196"/>
      <c r="C165" s="1196"/>
      <c r="D165" s="1196"/>
      <c r="E165" s="1196"/>
      <c r="F165" s="1196"/>
      <c r="G165" s="1196"/>
      <c r="H165" s="1196"/>
      <c r="I165" s="1196"/>
      <c r="J165" s="1196"/>
      <c r="K165" s="1196"/>
      <c r="L165" s="1196"/>
      <c r="M165" s="1196"/>
      <c r="N165" s="1196"/>
      <c r="O165" s="1196"/>
      <c r="P165" s="1196"/>
      <c r="Q165" s="1196"/>
      <c r="R165" s="1196"/>
      <c r="S165" s="1196"/>
      <c r="T165" s="1196"/>
      <c r="U165" s="1196"/>
      <c r="V165" s="1196"/>
      <c r="W165" s="1196"/>
      <c r="X165" s="1196"/>
      <c r="Y165" s="1196"/>
      <c r="Z165" s="1196"/>
    </row>
    <row r="166" spans="1:26" ht="12.75" customHeight="1">
      <c r="A166" s="1196"/>
      <c r="B166" s="1196"/>
      <c r="C166" s="1196"/>
      <c r="D166" s="1196"/>
      <c r="E166" s="1196"/>
      <c r="F166" s="1196"/>
      <c r="G166" s="1196"/>
      <c r="H166" s="1196"/>
      <c r="I166" s="1196"/>
      <c r="J166" s="1196"/>
      <c r="K166" s="1196"/>
      <c r="L166" s="1196"/>
      <c r="M166" s="1196"/>
      <c r="N166" s="1196"/>
      <c r="O166" s="1196"/>
      <c r="P166" s="1196"/>
      <c r="Q166" s="1196"/>
      <c r="R166" s="1196"/>
      <c r="S166" s="1196"/>
      <c r="T166" s="1196"/>
      <c r="U166" s="1196"/>
      <c r="V166" s="1196"/>
      <c r="W166" s="1196"/>
      <c r="X166" s="1196"/>
      <c r="Y166" s="1196"/>
      <c r="Z166" s="1196"/>
    </row>
    <row r="167" spans="1:26" ht="12.75" customHeight="1">
      <c r="A167" s="1196"/>
      <c r="B167" s="1196"/>
      <c r="C167" s="1196"/>
      <c r="D167" s="1196"/>
      <c r="E167" s="1196"/>
      <c r="F167" s="1196"/>
      <c r="G167" s="1196"/>
      <c r="H167" s="1196"/>
      <c r="I167" s="1196"/>
      <c r="J167" s="1196"/>
      <c r="K167" s="1196"/>
      <c r="L167" s="1196"/>
      <c r="M167" s="1196"/>
      <c r="N167" s="1196"/>
      <c r="O167" s="1196"/>
      <c r="P167" s="1196"/>
      <c r="Q167" s="1196"/>
      <c r="R167" s="1196"/>
      <c r="S167" s="1196"/>
      <c r="T167" s="1196"/>
      <c r="U167" s="1196"/>
      <c r="V167" s="1196"/>
      <c r="W167" s="1196"/>
      <c r="X167" s="1196"/>
      <c r="Y167" s="1196"/>
      <c r="Z167" s="1196"/>
    </row>
    <row r="168" spans="1:26" ht="12.75" customHeight="1">
      <c r="A168" s="1196"/>
      <c r="B168" s="1196"/>
      <c r="C168" s="1196"/>
      <c r="D168" s="1196"/>
      <c r="E168" s="1196"/>
      <c r="F168" s="1196"/>
      <c r="G168" s="1196"/>
      <c r="H168" s="1196"/>
      <c r="I168" s="1196"/>
      <c r="J168" s="1196"/>
      <c r="K168" s="1196"/>
      <c r="L168" s="1196"/>
      <c r="M168" s="1196"/>
      <c r="N168" s="1196"/>
      <c r="O168" s="1196"/>
      <c r="P168" s="1196"/>
      <c r="Q168" s="1196"/>
      <c r="R168" s="1196"/>
      <c r="S168" s="1196"/>
      <c r="T168" s="1196"/>
      <c r="U168" s="1196"/>
      <c r="V168" s="1196"/>
      <c r="W168" s="1196"/>
      <c r="X168" s="1196"/>
      <c r="Y168" s="1196"/>
      <c r="Z168" s="1196"/>
    </row>
    <row r="169" spans="1:26" ht="12.75" customHeight="1">
      <c r="A169" s="1196"/>
      <c r="B169" s="1196"/>
      <c r="C169" s="1196"/>
      <c r="D169" s="1196"/>
      <c r="E169" s="1196"/>
      <c r="F169" s="1196"/>
      <c r="G169" s="1196"/>
      <c r="H169" s="1196"/>
      <c r="I169" s="1196"/>
      <c r="J169" s="1196"/>
      <c r="K169" s="1196"/>
      <c r="L169" s="1196"/>
      <c r="M169" s="1196"/>
      <c r="N169" s="1196"/>
      <c r="O169" s="1196"/>
      <c r="P169" s="1196"/>
      <c r="Q169" s="1196"/>
      <c r="R169" s="1196"/>
      <c r="S169" s="1196"/>
      <c r="T169" s="1196"/>
      <c r="U169" s="1196"/>
      <c r="V169" s="1196"/>
      <c r="W169" s="1196"/>
      <c r="X169" s="1196"/>
      <c r="Y169" s="1196"/>
      <c r="Z169" s="1196"/>
    </row>
    <row r="170" spans="1:26" ht="12.75" customHeight="1">
      <c r="A170" s="1196"/>
      <c r="B170" s="1196"/>
      <c r="C170" s="1196"/>
      <c r="D170" s="1196"/>
      <c r="E170" s="1196"/>
      <c r="F170" s="1196"/>
      <c r="G170" s="1196"/>
      <c r="H170" s="1196"/>
      <c r="I170" s="1196"/>
      <c r="J170" s="1196"/>
      <c r="K170" s="1196"/>
      <c r="L170" s="1196"/>
      <c r="M170" s="1196"/>
      <c r="N170" s="1196"/>
      <c r="O170" s="1196"/>
      <c r="P170" s="1196"/>
      <c r="Q170" s="1196"/>
      <c r="R170" s="1196"/>
      <c r="S170" s="1196"/>
      <c r="T170" s="1196"/>
      <c r="U170" s="1196"/>
      <c r="V170" s="1196"/>
      <c r="W170" s="1196"/>
      <c r="X170" s="1196"/>
      <c r="Y170" s="1196"/>
      <c r="Z170" s="1196"/>
    </row>
    <row r="171" spans="1:26" ht="12.75" customHeight="1">
      <c r="A171" s="1196"/>
      <c r="B171" s="1196"/>
      <c r="C171" s="1196"/>
      <c r="D171" s="1196"/>
      <c r="E171" s="1196"/>
      <c r="F171" s="1196"/>
      <c r="G171" s="1196"/>
      <c r="H171" s="1196"/>
      <c r="I171" s="1196"/>
      <c r="J171" s="1196"/>
      <c r="K171" s="1196"/>
      <c r="L171" s="1196"/>
      <c r="M171" s="1196"/>
      <c r="N171" s="1196"/>
      <c r="O171" s="1196"/>
      <c r="P171" s="1196"/>
      <c r="Q171" s="1196"/>
      <c r="R171" s="1196"/>
      <c r="S171" s="1196"/>
      <c r="T171" s="1196"/>
      <c r="U171" s="1196"/>
      <c r="V171" s="1196"/>
      <c r="W171" s="1196"/>
      <c r="X171" s="1196"/>
      <c r="Y171" s="1196"/>
      <c r="Z171" s="1196"/>
    </row>
    <row r="172" spans="1:26" ht="12.75" customHeight="1">
      <c r="A172" s="1196"/>
      <c r="B172" s="1196"/>
      <c r="C172" s="1196"/>
      <c r="D172" s="1196"/>
      <c r="E172" s="1196"/>
      <c r="F172" s="1196"/>
      <c r="G172" s="1196"/>
      <c r="H172" s="1196"/>
      <c r="I172" s="1196"/>
      <c r="J172" s="1196"/>
      <c r="K172" s="1196"/>
      <c r="L172" s="1196"/>
      <c r="M172" s="1196"/>
      <c r="N172" s="1196"/>
      <c r="O172" s="1196"/>
      <c r="P172" s="1196"/>
      <c r="Q172" s="1196"/>
      <c r="R172" s="1196"/>
      <c r="S172" s="1196"/>
      <c r="T172" s="1196"/>
      <c r="U172" s="1196"/>
      <c r="V172" s="1196"/>
      <c r="W172" s="1196"/>
      <c r="X172" s="1196"/>
      <c r="Y172" s="1196"/>
      <c r="Z172" s="1196"/>
    </row>
    <row r="173" spans="1:26" ht="12.75" customHeight="1">
      <c r="A173" s="1196"/>
      <c r="B173" s="1196"/>
      <c r="C173" s="1196"/>
      <c r="D173" s="1196"/>
      <c r="E173" s="1196"/>
      <c r="F173" s="1196"/>
      <c r="G173" s="1196"/>
      <c r="H173" s="1196"/>
      <c r="I173" s="1196"/>
      <c r="J173" s="1196"/>
      <c r="K173" s="1196"/>
      <c r="L173" s="1196"/>
      <c r="M173" s="1196"/>
      <c r="N173" s="1196"/>
      <c r="O173" s="1196"/>
      <c r="P173" s="1196"/>
      <c r="Q173" s="1196"/>
      <c r="R173" s="1196"/>
      <c r="S173" s="1196"/>
      <c r="T173" s="1196"/>
      <c r="U173" s="1196"/>
      <c r="V173" s="1196"/>
      <c r="W173" s="1196"/>
      <c r="X173" s="1196"/>
      <c r="Y173" s="1196"/>
      <c r="Z173" s="1196"/>
    </row>
    <row r="174" spans="1:26" ht="12.75" customHeight="1">
      <c r="A174" s="1196"/>
      <c r="B174" s="1196"/>
      <c r="C174" s="1196"/>
      <c r="D174" s="1196"/>
      <c r="E174" s="1196"/>
      <c r="F174" s="1196"/>
      <c r="G174" s="1196"/>
      <c r="H174" s="1196"/>
      <c r="I174" s="1196"/>
      <c r="J174" s="1196"/>
      <c r="K174" s="1196"/>
      <c r="L174" s="1196"/>
      <c r="M174" s="1196"/>
      <c r="N174" s="1196"/>
      <c r="O174" s="1196"/>
      <c r="P174" s="1196"/>
      <c r="Q174" s="1196"/>
      <c r="R174" s="1196"/>
      <c r="S174" s="1196"/>
      <c r="T174" s="1196"/>
      <c r="U174" s="1196"/>
      <c r="V174" s="1196"/>
      <c r="W174" s="1196"/>
      <c r="X174" s="1196"/>
      <c r="Y174" s="1196"/>
      <c r="Z174" s="1196"/>
    </row>
    <row r="175" spans="1:26" ht="12.75" customHeight="1">
      <c r="A175" s="1196"/>
      <c r="B175" s="1196"/>
      <c r="C175" s="1196"/>
      <c r="D175" s="1196"/>
      <c r="E175" s="1196"/>
      <c r="F175" s="1196"/>
      <c r="G175" s="1196"/>
      <c r="H175" s="1196"/>
      <c r="I175" s="1196"/>
      <c r="J175" s="1196"/>
      <c r="K175" s="1196"/>
      <c r="L175" s="1196"/>
      <c r="M175" s="1196"/>
      <c r="N175" s="1196"/>
      <c r="O175" s="1196"/>
      <c r="P175" s="1196"/>
      <c r="Q175" s="1196"/>
      <c r="R175" s="1196"/>
      <c r="S175" s="1196"/>
      <c r="T175" s="1196"/>
      <c r="U175" s="1196"/>
      <c r="V175" s="1196"/>
      <c r="W175" s="1196"/>
      <c r="X175" s="1196"/>
      <c r="Y175" s="1196"/>
      <c r="Z175" s="1196"/>
    </row>
    <row r="176" spans="1:26" ht="12.75" customHeight="1">
      <c r="A176" s="1196"/>
      <c r="B176" s="1196"/>
      <c r="C176" s="1196"/>
      <c r="D176" s="1196"/>
      <c r="E176" s="1196"/>
      <c r="F176" s="1196"/>
      <c r="G176" s="1196"/>
      <c r="H176" s="1196"/>
      <c r="I176" s="1196"/>
      <c r="J176" s="1196"/>
      <c r="K176" s="1196"/>
      <c r="L176" s="1196"/>
      <c r="M176" s="1196"/>
      <c r="N176" s="1196"/>
      <c r="O176" s="1196"/>
      <c r="P176" s="1196"/>
      <c r="Q176" s="1196"/>
      <c r="R176" s="1196"/>
      <c r="S176" s="1196"/>
      <c r="T176" s="1196"/>
      <c r="U176" s="1196"/>
      <c r="V176" s="1196"/>
      <c r="W176" s="1196"/>
      <c r="X176" s="1196"/>
      <c r="Y176" s="1196"/>
      <c r="Z176" s="1196"/>
    </row>
    <row r="177" spans="1:26" ht="12.75" customHeight="1">
      <c r="A177" s="1196"/>
      <c r="B177" s="1196"/>
      <c r="C177" s="1196"/>
      <c r="D177" s="1196"/>
      <c r="E177" s="1196"/>
      <c r="F177" s="1196"/>
      <c r="G177" s="1196"/>
      <c r="H177" s="1196"/>
      <c r="I177" s="1196"/>
      <c r="J177" s="1196"/>
      <c r="K177" s="1196"/>
      <c r="L177" s="1196"/>
      <c r="M177" s="1196"/>
      <c r="N177" s="1196"/>
      <c r="O177" s="1196"/>
      <c r="P177" s="1196"/>
      <c r="Q177" s="1196"/>
      <c r="R177" s="1196"/>
      <c r="S177" s="1196"/>
      <c r="T177" s="1196"/>
      <c r="U177" s="1196"/>
      <c r="V177" s="1196"/>
      <c r="W177" s="1196"/>
      <c r="X177" s="1196"/>
      <c r="Y177" s="1196"/>
      <c r="Z177" s="1196"/>
    </row>
    <row r="178" spans="1:26" ht="12.75" customHeight="1">
      <c r="A178" s="1196"/>
      <c r="B178" s="1196"/>
      <c r="C178" s="1196"/>
      <c r="D178" s="1196"/>
      <c r="E178" s="1196"/>
      <c r="F178" s="1196"/>
      <c r="G178" s="1196"/>
      <c r="H178" s="1196"/>
      <c r="I178" s="1196"/>
      <c r="J178" s="1196"/>
      <c r="K178" s="1196"/>
      <c r="L178" s="1196"/>
      <c r="M178" s="1196"/>
      <c r="N178" s="1196"/>
      <c r="O178" s="1196"/>
      <c r="P178" s="1196"/>
      <c r="Q178" s="1196"/>
      <c r="R178" s="1196"/>
      <c r="S178" s="1196"/>
      <c r="T178" s="1196"/>
      <c r="U178" s="1196"/>
      <c r="V178" s="1196"/>
      <c r="W178" s="1196"/>
      <c r="X178" s="1196"/>
      <c r="Y178" s="1196"/>
      <c r="Z178" s="1196"/>
    </row>
    <row r="179" spans="1:26" ht="12.75" customHeight="1">
      <c r="A179" s="1196"/>
      <c r="B179" s="1196"/>
      <c r="C179" s="1196"/>
      <c r="D179" s="1196"/>
      <c r="E179" s="1196"/>
      <c r="F179" s="1196"/>
      <c r="G179" s="1196"/>
      <c r="H179" s="1196"/>
      <c r="I179" s="1196"/>
      <c r="J179" s="1196"/>
      <c r="K179" s="1196"/>
      <c r="L179" s="1196"/>
      <c r="M179" s="1196"/>
      <c r="N179" s="1196"/>
      <c r="O179" s="1196"/>
      <c r="P179" s="1196"/>
      <c r="Q179" s="1196"/>
      <c r="R179" s="1196"/>
      <c r="S179" s="1196"/>
      <c r="T179" s="1196"/>
      <c r="U179" s="1196"/>
      <c r="V179" s="1196"/>
      <c r="W179" s="1196"/>
      <c r="X179" s="1196"/>
      <c r="Y179" s="1196"/>
      <c r="Z179" s="1196"/>
    </row>
    <row r="180" spans="1:26" ht="12.75" customHeight="1">
      <c r="A180" s="1196"/>
      <c r="B180" s="1196"/>
      <c r="C180" s="1196"/>
      <c r="D180" s="1196"/>
      <c r="E180" s="1196"/>
      <c r="F180" s="1196"/>
      <c r="G180" s="1196"/>
      <c r="H180" s="1196"/>
      <c r="I180" s="1196"/>
      <c r="J180" s="1196"/>
      <c r="K180" s="1196"/>
      <c r="L180" s="1196"/>
      <c r="M180" s="1196"/>
      <c r="N180" s="1196"/>
      <c r="O180" s="1196"/>
      <c r="P180" s="1196"/>
      <c r="Q180" s="1196"/>
      <c r="R180" s="1196"/>
      <c r="S180" s="1196"/>
      <c r="T180" s="1196"/>
      <c r="U180" s="1196"/>
      <c r="V180" s="1196"/>
      <c r="W180" s="1196"/>
      <c r="X180" s="1196"/>
      <c r="Y180" s="1196"/>
      <c r="Z180" s="1196"/>
    </row>
    <row r="181" spans="1:26" ht="12.75" customHeight="1">
      <c r="A181" s="1196"/>
      <c r="B181" s="1196"/>
      <c r="C181" s="1196"/>
      <c r="D181" s="1196"/>
      <c r="E181" s="1196"/>
      <c r="F181" s="1196"/>
      <c r="G181" s="1196"/>
      <c r="H181" s="1196"/>
      <c r="I181" s="1196"/>
      <c r="J181" s="1196"/>
      <c r="K181" s="1196"/>
      <c r="L181" s="1196"/>
      <c r="M181" s="1196"/>
      <c r="N181" s="1196"/>
      <c r="O181" s="1196"/>
      <c r="P181" s="1196"/>
      <c r="Q181" s="1196"/>
      <c r="R181" s="1196"/>
      <c r="S181" s="1196"/>
      <c r="T181" s="1196"/>
      <c r="U181" s="1196"/>
      <c r="V181" s="1196"/>
      <c r="W181" s="1196"/>
      <c r="X181" s="1196"/>
      <c r="Y181" s="1196"/>
      <c r="Z181" s="1196"/>
    </row>
    <row r="182" spans="1:26" ht="12.75" customHeight="1">
      <c r="A182" s="1196"/>
      <c r="B182" s="1196"/>
      <c r="C182" s="1196"/>
      <c r="D182" s="1196"/>
      <c r="E182" s="1196"/>
      <c r="F182" s="1196"/>
      <c r="G182" s="1196"/>
      <c r="H182" s="1196"/>
      <c r="I182" s="1196"/>
      <c r="J182" s="1196"/>
      <c r="K182" s="1196"/>
      <c r="L182" s="1196"/>
      <c r="M182" s="1196"/>
      <c r="N182" s="1196"/>
      <c r="O182" s="1196"/>
      <c r="P182" s="1196"/>
      <c r="Q182" s="1196"/>
      <c r="R182" s="1196"/>
      <c r="S182" s="1196"/>
      <c r="T182" s="1196"/>
      <c r="U182" s="1196"/>
      <c r="V182" s="1196"/>
      <c r="W182" s="1196"/>
      <c r="X182" s="1196"/>
      <c r="Y182" s="1196"/>
      <c r="Z182" s="1196"/>
    </row>
    <row r="183" spans="1:26" ht="12.75" customHeight="1">
      <c r="A183" s="1196"/>
      <c r="B183" s="1196"/>
      <c r="C183" s="1196"/>
      <c r="D183" s="1196"/>
      <c r="E183" s="1196"/>
      <c r="F183" s="1196"/>
      <c r="G183" s="1196"/>
      <c r="H183" s="1196"/>
      <c r="I183" s="1196"/>
      <c r="J183" s="1196"/>
      <c r="K183" s="1196"/>
      <c r="L183" s="1196"/>
      <c r="M183" s="1196"/>
      <c r="N183" s="1196"/>
      <c r="O183" s="1196"/>
      <c r="P183" s="1196"/>
      <c r="Q183" s="1196"/>
      <c r="R183" s="1196"/>
      <c r="S183" s="1196"/>
      <c r="T183" s="1196"/>
      <c r="U183" s="1196"/>
      <c r="V183" s="1196"/>
      <c r="W183" s="1196"/>
      <c r="X183" s="1196"/>
      <c r="Y183" s="1196"/>
      <c r="Z183" s="1196"/>
    </row>
    <row r="184" spans="1:26" ht="12.75" customHeight="1">
      <c r="A184" s="1196"/>
      <c r="B184" s="1196"/>
      <c r="C184" s="1196"/>
      <c r="D184" s="1196"/>
      <c r="E184" s="1196"/>
      <c r="F184" s="1196"/>
      <c r="G184" s="1196"/>
      <c r="H184" s="1196"/>
      <c r="I184" s="1196"/>
      <c r="J184" s="1196"/>
      <c r="K184" s="1196"/>
      <c r="L184" s="1196"/>
      <c r="M184" s="1196"/>
      <c r="N184" s="1196"/>
      <c r="O184" s="1196"/>
      <c r="P184" s="1196"/>
      <c r="Q184" s="1196"/>
      <c r="R184" s="1196"/>
      <c r="S184" s="1196"/>
      <c r="T184" s="1196"/>
      <c r="U184" s="1196"/>
      <c r="V184" s="1196"/>
      <c r="W184" s="1196"/>
      <c r="X184" s="1196"/>
      <c r="Y184" s="1196"/>
      <c r="Z184" s="1196"/>
    </row>
    <row r="185" spans="1:26" ht="12.75" customHeight="1">
      <c r="A185" s="1196"/>
      <c r="B185" s="1196"/>
      <c r="C185" s="1196"/>
      <c r="D185" s="1196"/>
      <c r="E185" s="1196"/>
      <c r="F185" s="1196"/>
      <c r="G185" s="1196"/>
      <c r="H185" s="1196"/>
      <c r="I185" s="1196"/>
      <c r="J185" s="1196"/>
      <c r="K185" s="1196"/>
      <c r="L185" s="1196"/>
      <c r="M185" s="1196"/>
      <c r="N185" s="1196"/>
      <c r="O185" s="1196"/>
      <c r="P185" s="1196"/>
      <c r="Q185" s="1196"/>
      <c r="R185" s="1196"/>
      <c r="S185" s="1196"/>
      <c r="T185" s="1196"/>
      <c r="U185" s="1196"/>
      <c r="V185" s="1196"/>
      <c r="W185" s="1196"/>
      <c r="X185" s="1196"/>
      <c r="Y185" s="1196"/>
      <c r="Z185" s="1196"/>
    </row>
    <row r="186" spans="1:26" ht="12.75" customHeight="1">
      <c r="A186" s="1196"/>
      <c r="B186" s="1196"/>
      <c r="C186" s="1196"/>
      <c r="D186" s="1196"/>
      <c r="E186" s="1196"/>
      <c r="F186" s="1196"/>
      <c r="G186" s="1196"/>
      <c r="H186" s="1196"/>
      <c r="I186" s="1196"/>
      <c r="J186" s="1196"/>
      <c r="K186" s="1196"/>
      <c r="L186" s="1196"/>
      <c r="M186" s="1196"/>
      <c r="N186" s="1196"/>
      <c r="O186" s="1196"/>
      <c r="P186" s="1196"/>
      <c r="Q186" s="1196"/>
      <c r="R186" s="1196"/>
      <c r="S186" s="1196"/>
      <c r="T186" s="1196"/>
      <c r="U186" s="1196"/>
      <c r="V186" s="1196"/>
      <c r="W186" s="1196"/>
      <c r="X186" s="1196"/>
      <c r="Y186" s="1196"/>
      <c r="Z186" s="1196"/>
    </row>
    <row r="187" spans="1:26" ht="12.75" customHeight="1">
      <c r="A187" s="1196"/>
      <c r="B187" s="1196"/>
      <c r="C187" s="1196"/>
      <c r="D187" s="1196"/>
      <c r="E187" s="1196"/>
      <c r="F187" s="1196"/>
      <c r="G187" s="1196"/>
      <c r="H187" s="1196"/>
      <c r="I187" s="1196"/>
      <c r="J187" s="1196"/>
      <c r="K187" s="1196"/>
      <c r="L187" s="1196"/>
      <c r="M187" s="1196"/>
      <c r="N187" s="1196"/>
      <c r="O187" s="1196"/>
      <c r="P187" s="1196"/>
      <c r="Q187" s="1196"/>
      <c r="R187" s="1196"/>
      <c r="S187" s="1196"/>
      <c r="T187" s="1196"/>
      <c r="U187" s="1196"/>
      <c r="V187" s="1196"/>
      <c r="W187" s="1196"/>
      <c r="X187" s="1196"/>
      <c r="Y187" s="1196"/>
      <c r="Z187" s="1196"/>
    </row>
    <row r="188" spans="1:26" ht="12.75" customHeight="1">
      <c r="A188" s="1196"/>
      <c r="B188" s="1196"/>
      <c r="C188" s="1196"/>
      <c r="D188" s="1196"/>
      <c r="E188" s="1196"/>
      <c r="F188" s="1196"/>
      <c r="G188" s="1196"/>
      <c r="H188" s="1196"/>
      <c r="I188" s="1196"/>
      <c r="J188" s="1196"/>
      <c r="K188" s="1196"/>
      <c r="L188" s="1196"/>
      <c r="M188" s="1196"/>
      <c r="N188" s="1196"/>
      <c r="O188" s="1196"/>
      <c r="P188" s="1196"/>
      <c r="Q188" s="1196"/>
      <c r="R188" s="1196"/>
      <c r="S188" s="1196"/>
      <c r="T188" s="1196"/>
      <c r="U188" s="1196"/>
      <c r="V188" s="1196"/>
      <c r="W188" s="1196"/>
      <c r="X188" s="1196"/>
      <c r="Y188" s="1196"/>
      <c r="Z188" s="1196"/>
    </row>
    <row r="189" spans="1:26" ht="12.75" customHeight="1">
      <c r="A189" s="1196"/>
      <c r="B189" s="1196"/>
      <c r="C189" s="1196"/>
      <c r="D189" s="1196"/>
      <c r="E189" s="1196"/>
      <c r="F189" s="1196"/>
      <c r="G189" s="1196"/>
      <c r="H189" s="1196"/>
      <c r="I189" s="1196"/>
      <c r="J189" s="1196"/>
      <c r="K189" s="1196"/>
      <c r="L189" s="1196"/>
      <c r="M189" s="1196"/>
      <c r="N189" s="1196"/>
      <c r="O189" s="1196"/>
      <c r="P189" s="1196"/>
      <c r="Q189" s="1196"/>
      <c r="R189" s="1196"/>
      <c r="S189" s="1196"/>
      <c r="T189" s="1196"/>
      <c r="U189" s="1196"/>
      <c r="V189" s="1196"/>
      <c r="W189" s="1196"/>
      <c r="X189" s="1196"/>
      <c r="Y189" s="1196"/>
      <c r="Z189" s="1196"/>
    </row>
    <row r="190" spans="1:26" ht="12.75" customHeight="1">
      <c r="A190" s="1196"/>
      <c r="B190" s="1196"/>
      <c r="C190" s="1196"/>
      <c r="D190" s="1196"/>
      <c r="E190" s="1196"/>
      <c r="F190" s="1196"/>
      <c r="G190" s="1196"/>
      <c r="H190" s="1196"/>
      <c r="I190" s="1196"/>
      <c r="J190" s="1196"/>
      <c r="K190" s="1196"/>
      <c r="L190" s="1196"/>
      <c r="M190" s="1196"/>
      <c r="N190" s="1196"/>
      <c r="O190" s="1196"/>
      <c r="P190" s="1196"/>
      <c r="Q190" s="1196"/>
      <c r="R190" s="1196"/>
      <c r="S190" s="1196"/>
      <c r="T190" s="1196"/>
      <c r="U190" s="1196"/>
      <c r="V190" s="1196"/>
      <c r="W190" s="1196"/>
      <c r="X190" s="1196"/>
      <c r="Y190" s="1196"/>
      <c r="Z190" s="1196"/>
    </row>
    <row r="191" spans="1:26" ht="12.75" customHeight="1">
      <c r="A191" s="1196"/>
      <c r="B191" s="1196"/>
      <c r="C191" s="1196"/>
      <c r="D191" s="1196"/>
      <c r="E191" s="1196"/>
      <c r="F191" s="1196"/>
      <c r="G191" s="1196"/>
      <c r="H191" s="1196"/>
      <c r="I191" s="1196"/>
      <c r="J191" s="1196"/>
      <c r="K191" s="1196"/>
      <c r="L191" s="1196"/>
      <c r="M191" s="1196"/>
      <c r="N191" s="1196"/>
      <c r="O191" s="1196"/>
      <c r="P191" s="1196"/>
      <c r="Q191" s="1196"/>
      <c r="R191" s="1196"/>
      <c r="S191" s="1196"/>
      <c r="T191" s="1196"/>
      <c r="U191" s="1196"/>
      <c r="V191" s="1196"/>
      <c r="W191" s="1196"/>
      <c r="X191" s="1196"/>
      <c r="Y191" s="1196"/>
      <c r="Z191" s="1196"/>
    </row>
    <row r="192" spans="1:26" ht="12.75" customHeight="1">
      <c r="A192" s="1196"/>
      <c r="B192" s="1196"/>
      <c r="C192" s="1196"/>
      <c r="D192" s="1196"/>
      <c r="E192" s="1196"/>
      <c r="F192" s="1196"/>
      <c r="G192" s="1196"/>
      <c r="H192" s="1196"/>
      <c r="I192" s="1196"/>
      <c r="J192" s="1196"/>
      <c r="K192" s="1196"/>
      <c r="L192" s="1196"/>
      <c r="M192" s="1196"/>
      <c r="N192" s="1196"/>
      <c r="O192" s="1196"/>
      <c r="P192" s="1196"/>
      <c r="Q192" s="1196"/>
      <c r="R192" s="1196"/>
      <c r="S192" s="1196"/>
      <c r="T192" s="1196"/>
      <c r="U192" s="1196"/>
      <c r="V192" s="1196"/>
      <c r="W192" s="1196"/>
      <c r="X192" s="1196"/>
      <c r="Y192" s="1196"/>
      <c r="Z192" s="1196"/>
    </row>
    <row r="193" spans="1:26" ht="12.75" customHeight="1">
      <c r="A193" s="1196"/>
      <c r="B193" s="1196"/>
      <c r="C193" s="1196"/>
      <c r="D193" s="1196"/>
      <c r="E193" s="1196"/>
      <c r="F193" s="1196"/>
      <c r="G193" s="1196"/>
      <c r="H193" s="1196"/>
      <c r="I193" s="1196"/>
      <c r="J193" s="1196"/>
      <c r="K193" s="1196"/>
      <c r="L193" s="1196"/>
      <c r="M193" s="1196"/>
      <c r="N193" s="1196"/>
      <c r="O193" s="1196"/>
      <c r="P193" s="1196"/>
      <c r="Q193" s="1196"/>
      <c r="R193" s="1196"/>
      <c r="S193" s="1196"/>
      <c r="T193" s="1196"/>
      <c r="U193" s="1196"/>
      <c r="V193" s="1196"/>
      <c r="W193" s="1196"/>
      <c r="X193" s="1196"/>
      <c r="Y193" s="1196"/>
      <c r="Z193" s="1196"/>
    </row>
    <row r="194" spans="1:26" ht="12.75" customHeight="1">
      <c r="A194" s="1196"/>
      <c r="B194" s="1196"/>
      <c r="C194" s="1196"/>
      <c r="D194" s="1196"/>
      <c r="E194" s="1196"/>
      <c r="F194" s="1196"/>
      <c r="G194" s="1196"/>
      <c r="H194" s="1196"/>
      <c r="I194" s="1196"/>
      <c r="J194" s="1196"/>
      <c r="K194" s="1196"/>
      <c r="L194" s="1196"/>
      <c r="M194" s="1196"/>
      <c r="N194" s="1196"/>
      <c r="O194" s="1196"/>
      <c r="P194" s="1196"/>
      <c r="Q194" s="1196"/>
      <c r="R194" s="1196"/>
      <c r="S194" s="1196"/>
      <c r="T194" s="1196"/>
      <c r="U194" s="1196"/>
      <c r="V194" s="1196"/>
      <c r="W194" s="1196"/>
      <c r="X194" s="1196"/>
      <c r="Y194" s="1196"/>
      <c r="Z194" s="1196"/>
    </row>
    <row r="195" spans="1:26" ht="12.75" customHeight="1">
      <c r="A195" s="1196"/>
      <c r="B195" s="1196"/>
      <c r="C195" s="1196"/>
      <c r="D195" s="1196"/>
      <c r="E195" s="1196"/>
      <c r="F195" s="1196"/>
      <c r="G195" s="1196"/>
      <c r="H195" s="1196"/>
      <c r="I195" s="1196"/>
      <c r="J195" s="1196"/>
      <c r="K195" s="1196"/>
      <c r="L195" s="1196"/>
      <c r="M195" s="1196"/>
      <c r="N195" s="1196"/>
      <c r="O195" s="1196"/>
      <c r="P195" s="1196"/>
      <c r="Q195" s="1196"/>
      <c r="R195" s="1196"/>
      <c r="S195" s="1196"/>
      <c r="T195" s="1196"/>
      <c r="U195" s="1196"/>
      <c r="V195" s="1196"/>
      <c r="W195" s="1196"/>
      <c r="X195" s="1196"/>
      <c r="Y195" s="1196"/>
      <c r="Z195" s="1196"/>
    </row>
    <row r="196" spans="1:26" ht="12.75" customHeight="1">
      <c r="A196" s="1196"/>
      <c r="B196" s="1196"/>
      <c r="C196" s="1196"/>
      <c r="D196" s="1196"/>
      <c r="E196" s="1196"/>
      <c r="F196" s="1196"/>
      <c r="G196" s="1196"/>
      <c r="H196" s="1196"/>
      <c r="I196" s="1196"/>
      <c r="J196" s="1196"/>
      <c r="K196" s="1196"/>
      <c r="L196" s="1196"/>
      <c r="M196" s="1196"/>
      <c r="N196" s="1196"/>
      <c r="O196" s="1196"/>
      <c r="P196" s="1196"/>
      <c r="Q196" s="1196"/>
      <c r="R196" s="1196"/>
      <c r="S196" s="1196"/>
      <c r="T196" s="1196"/>
      <c r="U196" s="1196"/>
      <c r="V196" s="1196"/>
      <c r="W196" s="1196"/>
      <c r="X196" s="1196"/>
      <c r="Y196" s="1196"/>
      <c r="Z196" s="1196"/>
    </row>
    <row r="197" spans="1:26" ht="12.75" customHeight="1">
      <c r="A197" s="1196"/>
      <c r="B197" s="1196"/>
      <c r="C197" s="1196"/>
      <c r="D197" s="1196"/>
      <c r="E197" s="1196"/>
      <c r="F197" s="1196"/>
      <c r="G197" s="1196"/>
      <c r="H197" s="1196"/>
      <c r="I197" s="1196"/>
      <c r="J197" s="1196"/>
      <c r="K197" s="1196"/>
      <c r="L197" s="1196"/>
      <c r="M197" s="1196"/>
      <c r="N197" s="1196"/>
      <c r="O197" s="1196"/>
      <c r="P197" s="1196"/>
      <c r="Q197" s="1196"/>
      <c r="R197" s="1196"/>
      <c r="S197" s="1196"/>
      <c r="T197" s="1196"/>
      <c r="U197" s="1196"/>
      <c r="V197" s="1196"/>
      <c r="W197" s="1196"/>
      <c r="X197" s="1196"/>
      <c r="Y197" s="1196"/>
      <c r="Z197" s="1196"/>
    </row>
    <row r="198" spans="1:26" ht="12.75" customHeight="1">
      <c r="A198" s="1196"/>
      <c r="B198" s="1196"/>
      <c r="C198" s="1196"/>
      <c r="D198" s="1196"/>
      <c r="E198" s="1196"/>
      <c r="F198" s="1196"/>
      <c r="G198" s="1196"/>
      <c r="H198" s="1196"/>
      <c r="I198" s="1196"/>
      <c r="J198" s="1196"/>
      <c r="K198" s="1196"/>
      <c r="L198" s="1196"/>
      <c r="M198" s="1196"/>
      <c r="N198" s="1196"/>
      <c r="O198" s="1196"/>
      <c r="P198" s="1196"/>
      <c r="Q198" s="1196"/>
      <c r="R198" s="1196"/>
      <c r="S198" s="1196"/>
      <c r="T198" s="1196"/>
      <c r="U198" s="1196"/>
      <c r="V198" s="1196"/>
      <c r="W198" s="1196"/>
      <c r="X198" s="1196"/>
      <c r="Y198" s="1196"/>
      <c r="Z198" s="1196"/>
    </row>
    <row r="199" spans="1:26" ht="12.75" customHeight="1">
      <c r="A199" s="1196"/>
      <c r="B199" s="1196"/>
      <c r="C199" s="1196"/>
      <c r="D199" s="1196"/>
      <c r="E199" s="1196"/>
      <c r="F199" s="1196"/>
      <c r="G199" s="1196"/>
      <c r="H199" s="1196"/>
      <c r="I199" s="1196"/>
      <c r="J199" s="1196"/>
      <c r="K199" s="1196"/>
      <c r="L199" s="1196"/>
      <c r="M199" s="1196"/>
      <c r="N199" s="1196"/>
      <c r="O199" s="1196"/>
      <c r="P199" s="1196"/>
      <c r="Q199" s="1196"/>
      <c r="R199" s="1196"/>
      <c r="S199" s="1196"/>
      <c r="T199" s="1196"/>
      <c r="U199" s="1196"/>
      <c r="V199" s="1196"/>
      <c r="W199" s="1196"/>
      <c r="X199" s="1196"/>
      <c r="Y199" s="1196"/>
      <c r="Z199" s="1196"/>
    </row>
    <row r="200" spans="1:26" ht="12.75" customHeight="1">
      <c r="A200" s="1196"/>
      <c r="B200" s="1196"/>
      <c r="C200" s="1196"/>
      <c r="D200" s="1196"/>
      <c r="E200" s="1196"/>
      <c r="F200" s="1196"/>
      <c r="G200" s="1196"/>
      <c r="H200" s="1196"/>
      <c r="I200" s="1196"/>
      <c r="J200" s="1196"/>
      <c r="K200" s="1196"/>
      <c r="L200" s="1196"/>
      <c r="M200" s="1196"/>
      <c r="N200" s="1196"/>
      <c r="O200" s="1196"/>
      <c r="P200" s="1196"/>
      <c r="Q200" s="1196"/>
      <c r="R200" s="1196"/>
      <c r="S200" s="1196"/>
      <c r="T200" s="1196"/>
      <c r="U200" s="1196"/>
      <c r="V200" s="1196"/>
      <c r="W200" s="1196"/>
      <c r="X200" s="1196"/>
      <c r="Y200" s="1196"/>
      <c r="Z200" s="1196"/>
    </row>
    <row r="201" spans="1:26" ht="12.75" customHeight="1">
      <c r="A201" s="1196"/>
      <c r="B201" s="1196"/>
      <c r="C201" s="1196"/>
      <c r="D201" s="1196"/>
      <c r="E201" s="1196"/>
      <c r="F201" s="1196"/>
      <c r="G201" s="1196"/>
      <c r="H201" s="1196"/>
      <c r="I201" s="1196"/>
      <c r="J201" s="1196"/>
      <c r="K201" s="1196"/>
      <c r="L201" s="1196"/>
      <c r="M201" s="1196"/>
      <c r="N201" s="1196"/>
      <c r="O201" s="1196"/>
      <c r="P201" s="1196"/>
      <c r="Q201" s="1196"/>
      <c r="R201" s="1196"/>
      <c r="S201" s="1196"/>
      <c r="T201" s="1196"/>
      <c r="U201" s="1196"/>
      <c r="V201" s="1196"/>
      <c r="W201" s="1196"/>
      <c r="X201" s="1196"/>
      <c r="Y201" s="1196"/>
      <c r="Z201" s="1196"/>
    </row>
    <row r="202" spans="1:26" ht="12.75" customHeight="1">
      <c r="A202" s="1196"/>
      <c r="B202" s="1196"/>
      <c r="C202" s="1196"/>
      <c r="D202" s="1196"/>
      <c r="E202" s="1196"/>
      <c r="F202" s="1196"/>
      <c r="G202" s="1196"/>
      <c r="H202" s="1196"/>
      <c r="I202" s="1196"/>
      <c r="J202" s="1196"/>
      <c r="K202" s="1196"/>
      <c r="L202" s="1196"/>
      <c r="M202" s="1196"/>
      <c r="N202" s="1196"/>
      <c r="O202" s="1196"/>
      <c r="P202" s="1196"/>
      <c r="Q202" s="1196"/>
      <c r="R202" s="1196"/>
      <c r="S202" s="1196"/>
      <c r="T202" s="1196"/>
      <c r="U202" s="1196"/>
      <c r="V202" s="1196"/>
      <c r="W202" s="1196"/>
      <c r="X202" s="1196"/>
      <c r="Y202" s="1196"/>
      <c r="Z202" s="1196"/>
    </row>
    <row r="203" spans="1:26" ht="12.75" customHeight="1">
      <c r="A203" s="1196"/>
      <c r="B203" s="1196"/>
      <c r="C203" s="1196"/>
      <c r="D203" s="1196"/>
      <c r="E203" s="1196"/>
      <c r="F203" s="1196"/>
      <c r="G203" s="1196"/>
      <c r="H203" s="1196"/>
      <c r="I203" s="1196"/>
      <c r="J203" s="1196"/>
      <c r="K203" s="1196"/>
      <c r="L203" s="1196"/>
      <c r="M203" s="1196"/>
      <c r="N203" s="1196"/>
      <c r="O203" s="1196"/>
      <c r="P203" s="1196"/>
      <c r="Q203" s="1196"/>
      <c r="R203" s="1196"/>
      <c r="S203" s="1196"/>
      <c r="T203" s="1196"/>
      <c r="U203" s="1196"/>
      <c r="V203" s="1196"/>
      <c r="W203" s="1196"/>
      <c r="X203" s="1196"/>
      <c r="Y203" s="1196"/>
      <c r="Z203" s="1196"/>
    </row>
    <row r="204" spans="1:26" ht="12.75" customHeight="1">
      <c r="A204" s="1196"/>
      <c r="B204" s="1196"/>
      <c r="C204" s="1196"/>
      <c r="D204" s="1196"/>
      <c r="E204" s="1196"/>
      <c r="F204" s="1196"/>
      <c r="G204" s="1196"/>
      <c r="H204" s="1196"/>
      <c r="I204" s="1196"/>
      <c r="J204" s="1196"/>
      <c r="K204" s="1196"/>
      <c r="L204" s="1196"/>
      <c r="M204" s="1196"/>
      <c r="N204" s="1196"/>
      <c r="O204" s="1196"/>
      <c r="P204" s="1196"/>
      <c r="Q204" s="1196"/>
      <c r="R204" s="1196"/>
      <c r="S204" s="1196"/>
      <c r="T204" s="1196"/>
      <c r="U204" s="1196"/>
      <c r="V204" s="1196"/>
      <c r="W204" s="1196"/>
      <c r="X204" s="1196"/>
      <c r="Y204" s="1196"/>
      <c r="Z204" s="1196"/>
    </row>
    <row r="205" spans="1:26" ht="12.75" customHeight="1">
      <c r="A205" s="1196"/>
      <c r="B205" s="1196"/>
      <c r="C205" s="1196"/>
      <c r="D205" s="1196"/>
      <c r="E205" s="1196"/>
      <c r="F205" s="1196"/>
      <c r="G205" s="1196"/>
      <c r="H205" s="1196"/>
      <c r="I205" s="1196"/>
      <c r="J205" s="1196"/>
      <c r="K205" s="1196"/>
      <c r="L205" s="1196"/>
      <c r="M205" s="1196"/>
      <c r="N205" s="1196"/>
      <c r="O205" s="1196"/>
      <c r="P205" s="1196"/>
      <c r="Q205" s="1196"/>
      <c r="R205" s="1196"/>
      <c r="S205" s="1196"/>
      <c r="T205" s="1196"/>
      <c r="U205" s="1196"/>
      <c r="V205" s="1196"/>
      <c r="W205" s="1196"/>
      <c r="X205" s="1196"/>
      <c r="Y205" s="1196"/>
      <c r="Z205" s="1196"/>
    </row>
    <row r="206" spans="1:26" ht="12.75" customHeight="1">
      <c r="A206" s="1196"/>
      <c r="B206" s="1196"/>
      <c r="C206" s="1196"/>
      <c r="D206" s="1196"/>
      <c r="E206" s="1196"/>
      <c r="F206" s="1196"/>
      <c r="G206" s="1196"/>
      <c r="H206" s="1196"/>
      <c r="I206" s="1196"/>
      <c r="J206" s="1196"/>
      <c r="K206" s="1196"/>
      <c r="L206" s="1196"/>
      <c r="M206" s="1196"/>
      <c r="N206" s="1196"/>
      <c r="O206" s="1196"/>
      <c r="P206" s="1196"/>
      <c r="Q206" s="1196"/>
      <c r="R206" s="1196"/>
      <c r="S206" s="1196"/>
      <c r="T206" s="1196"/>
      <c r="U206" s="1196"/>
      <c r="V206" s="1196"/>
      <c r="W206" s="1196"/>
      <c r="X206" s="1196"/>
      <c r="Y206" s="1196"/>
      <c r="Z206" s="1196"/>
    </row>
    <row r="207" spans="1:26" ht="12.75" customHeight="1">
      <c r="A207" s="1196"/>
      <c r="B207" s="1196"/>
      <c r="C207" s="1196"/>
      <c r="D207" s="1196"/>
      <c r="E207" s="1196"/>
      <c r="F207" s="1196"/>
      <c r="G207" s="1196"/>
      <c r="H207" s="1196"/>
      <c r="I207" s="1196"/>
      <c r="J207" s="1196"/>
      <c r="K207" s="1196"/>
      <c r="L207" s="1196"/>
      <c r="M207" s="1196"/>
      <c r="N207" s="1196"/>
      <c r="O207" s="1196"/>
      <c r="P207" s="1196"/>
      <c r="Q207" s="1196"/>
      <c r="R207" s="1196"/>
      <c r="S207" s="1196"/>
      <c r="T207" s="1196"/>
      <c r="U207" s="1196"/>
      <c r="V207" s="1196"/>
      <c r="W207" s="1196"/>
      <c r="X207" s="1196"/>
      <c r="Y207" s="1196"/>
      <c r="Z207" s="1196"/>
    </row>
    <row r="208" spans="1:26" ht="12.75" customHeight="1">
      <c r="A208" s="1196"/>
      <c r="B208" s="1196"/>
      <c r="C208" s="1196"/>
      <c r="D208" s="1196"/>
      <c r="E208" s="1196"/>
      <c r="F208" s="1196"/>
      <c r="G208" s="1196"/>
      <c r="H208" s="1196"/>
      <c r="I208" s="1196"/>
      <c r="J208" s="1196"/>
      <c r="K208" s="1196"/>
      <c r="L208" s="1196"/>
      <c r="M208" s="1196"/>
      <c r="N208" s="1196"/>
      <c r="O208" s="1196"/>
      <c r="P208" s="1196"/>
      <c r="Q208" s="1196"/>
      <c r="R208" s="1196"/>
      <c r="S208" s="1196"/>
      <c r="T208" s="1196"/>
      <c r="U208" s="1196"/>
      <c r="V208" s="1196"/>
      <c r="W208" s="1196"/>
      <c r="X208" s="1196"/>
      <c r="Y208" s="1196"/>
      <c r="Z208" s="1196"/>
    </row>
    <row r="209" spans="1:26" ht="12.75" customHeight="1">
      <c r="A209" s="1196"/>
      <c r="B209" s="1196"/>
      <c r="C209" s="1196"/>
      <c r="D209" s="1196"/>
      <c r="E209" s="1196"/>
      <c r="F209" s="1196"/>
      <c r="G209" s="1196"/>
      <c r="H209" s="1196"/>
      <c r="I209" s="1196"/>
      <c r="J209" s="1196"/>
      <c r="K209" s="1196"/>
      <c r="L209" s="1196"/>
      <c r="M209" s="1196"/>
      <c r="N209" s="1196"/>
      <c r="O209" s="1196"/>
      <c r="P209" s="1196"/>
      <c r="Q209" s="1196"/>
      <c r="R209" s="1196"/>
      <c r="S209" s="1196"/>
      <c r="T209" s="1196"/>
      <c r="U209" s="1196"/>
      <c r="V209" s="1196"/>
      <c r="W209" s="1196"/>
      <c r="X209" s="1196"/>
      <c r="Y209" s="1196"/>
      <c r="Z209" s="1196"/>
    </row>
    <row r="210" spans="1:26" ht="12.75" customHeight="1">
      <c r="A210" s="1196"/>
      <c r="B210" s="1196"/>
      <c r="C210" s="1196"/>
      <c r="D210" s="1196"/>
      <c r="E210" s="1196"/>
      <c r="F210" s="1196"/>
      <c r="G210" s="1196"/>
      <c r="H210" s="1196"/>
      <c r="I210" s="1196"/>
      <c r="J210" s="1196"/>
      <c r="K210" s="1196"/>
      <c r="L210" s="1196"/>
      <c r="M210" s="1196"/>
      <c r="N210" s="1196"/>
      <c r="O210" s="1196"/>
      <c r="P210" s="1196"/>
      <c r="Q210" s="1196"/>
      <c r="R210" s="1196"/>
      <c r="S210" s="1196"/>
      <c r="T210" s="1196"/>
      <c r="U210" s="1196"/>
      <c r="V210" s="1196"/>
      <c r="W210" s="1196"/>
      <c r="X210" s="1196"/>
      <c r="Y210" s="1196"/>
      <c r="Z210" s="1196"/>
    </row>
    <row r="211" spans="1:26" ht="12.75" customHeight="1">
      <c r="A211" s="1196"/>
      <c r="B211" s="1196"/>
      <c r="C211" s="1196"/>
      <c r="D211" s="1196"/>
      <c r="E211" s="1196"/>
      <c r="F211" s="1196"/>
      <c r="G211" s="1196"/>
      <c r="H211" s="1196"/>
      <c r="I211" s="1196"/>
      <c r="J211" s="1196"/>
      <c r="K211" s="1196"/>
      <c r="L211" s="1196"/>
      <c r="M211" s="1196"/>
      <c r="N211" s="1196"/>
      <c r="O211" s="1196"/>
      <c r="P211" s="1196"/>
      <c r="Q211" s="1196"/>
      <c r="R211" s="1196"/>
      <c r="S211" s="1196"/>
      <c r="T211" s="1196"/>
      <c r="U211" s="1196"/>
      <c r="V211" s="1196"/>
      <c r="W211" s="1196"/>
      <c r="X211" s="1196"/>
      <c r="Y211" s="1196"/>
      <c r="Z211" s="1196"/>
    </row>
    <row r="212" spans="1:26" ht="12.75" customHeight="1">
      <c r="A212" s="1196"/>
      <c r="B212" s="1196"/>
      <c r="C212" s="1196"/>
      <c r="D212" s="1196"/>
      <c r="E212" s="1196"/>
      <c r="F212" s="1196"/>
      <c r="G212" s="1196"/>
      <c r="H212" s="1196"/>
      <c r="I212" s="1196"/>
      <c r="J212" s="1196"/>
      <c r="K212" s="1196"/>
      <c r="L212" s="1196"/>
      <c r="M212" s="1196"/>
      <c r="N212" s="1196"/>
      <c r="O212" s="1196"/>
      <c r="P212" s="1196"/>
      <c r="Q212" s="1196"/>
      <c r="R212" s="1196"/>
      <c r="S212" s="1196"/>
      <c r="T212" s="1196"/>
      <c r="U212" s="1196"/>
      <c r="V212" s="1196"/>
      <c r="W212" s="1196"/>
      <c r="X212" s="1196"/>
      <c r="Y212" s="1196"/>
      <c r="Z212" s="1196"/>
    </row>
    <row r="213" spans="1:26" ht="12.75" customHeight="1">
      <c r="A213" s="1196"/>
      <c r="B213" s="1196"/>
      <c r="C213" s="1196"/>
      <c r="D213" s="1196"/>
      <c r="E213" s="1196"/>
      <c r="F213" s="1196"/>
      <c r="G213" s="1196"/>
      <c r="H213" s="1196"/>
      <c r="I213" s="1196"/>
      <c r="J213" s="1196"/>
      <c r="K213" s="1196"/>
      <c r="L213" s="1196"/>
      <c r="M213" s="1196"/>
      <c r="N213" s="1196"/>
      <c r="O213" s="1196"/>
      <c r="P213" s="1196"/>
      <c r="Q213" s="1196"/>
      <c r="R213" s="1196"/>
      <c r="S213" s="1196"/>
      <c r="T213" s="1196"/>
      <c r="U213" s="1196"/>
      <c r="V213" s="1196"/>
      <c r="W213" s="1196"/>
      <c r="X213" s="1196"/>
      <c r="Y213" s="1196"/>
      <c r="Z213" s="1196"/>
    </row>
    <row r="214" spans="1:26" ht="12.75" customHeight="1">
      <c r="A214" s="1196"/>
      <c r="B214" s="1196"/>
      <c r="C214" s="1196"/>
      <c r="D214" s="1196"/>
      <c r="E214" s="1196"/>
      <c r="F214" s="1196"/>
      <c r="G214" s="1196"/>
      <c r="H214" s="1196"/>
      <c r="I214" s="1196"/>
      <c r="J214" s="1196"/>
      <c r="K214" s="1196"/>
      <c r="L214" s="1196"/>
      <c r="M214" s="1196"/>
      <c r="N214" s="1196"/>
      <c r="O214" s="1196"/>
      <c r="P214" s="1196"/>
      <c r="Q214" s="1196"/>
      <c r="R214" s="1196"/>
      <c r="S214" s="1196"/>
      <c r="T214" s="1196"/>
      <c r="U214" s="1196"/>
      <c r="V214" s="1196"/>
      <c r="W214" s="1196"/>
      <c r="X214" s="1196"/>
      <c r="Y214" s="1196"/>
      <c r="Z214" s="1196"/>
    </row>
    <row r="215" spans="1:26" ht="12.75" customHeight="1">
      <c r="A215" s="1196"/>
      <c r="B215" s="1196"/>
      <c r="C215" s="1196"/>
      <c r="D215" s="1196"/>
      <c r="E215" s="1196"/>
      <c r="F215" s="1196"/>
      <c r="G215" s="1196"/>
      <c r="H215" s="1196"/>
      <c r="I215" s="1196"/>
      <c r="J215" s="1196"/>
      <c r="K215" s="1196"/>
      <c r="L215" s="1196"/>
      <c r="M215" s="1196"/>
      <c r="N215" s="1196"/>
      <c r="O215" s="1196"/>
      <c r="P215" s="1196"/>
      <c r="Q215" s="1196"/>
      <c r="R215" s="1196"/>
      <c r="S215" s="1196"/>
      <c r="T215" s="1196"/>
      <c r="U215" s="1196"/>
      <c r="V215" s="1196"/>
      <c r="W215" s="1196"/>
      <c r="X215" s="1196"/>
      <c r="Y215" s="1196"/>
      <c r="Z215" s="1196"/>
    </row>
    <row r="216" spans="1:26" ht="12.75" customHeight="1">
      <c r="A216" s="1196"/>
      <c r="B216" s="1196"/>
      <c r="C216" s="1196"/>
      <c r="D216" s="1196"/>
      <c r="E216" s="1196"/>
      <c r="F216" s="1196"/>
      <c r="G216" s="1196"/>
      <c r="H216" s="1196"/>
      <c r="I216" s="1196"/>
      <c r="J216" s="1196"/>
      <c r="K216" s="1196"/>
      <c r="L216" s="1196"/>
      <c r="M216" s="1196"/>
      <c r="N216" s="1196"/>
      <c r="O216" s="1196"/>
      <c r="P216" s="1196"/>
      <c r="Q216" s="1196"/>
      <c r="R216" s="1196"/>
      <c r="S216" s="1196"/>
      <c r="T216" s="1196"/>
      <c r="U216" s="1196"/>
      <c r="V216" s="1196"/>
      <c r="W216" s="1196"/>
      <c r="X216" s="1196"/>
      <c r="Y216" s="1196"/>
      <c r="Z216" s="1196"/>
    </row>
    <row r="217" spans="1:26" ht="12.75" customHeight="1">
      <c r="A217" s="1196"/>
      <c r="B217" s="1196"/>
      <c r="C217" s="1196"/>
      <c r="D217" s="1196"/>
      <c r="E217" s="1196"/>
      <c r="F217" s="1196"/>
      <c r="G217" s="1196"/>
      <c r="H217" s="1196"/>
      <c r="I217" s="1196"/>
      <c r="J217" s="1196"/>
      <c r="K217" s="1196"/>
      <c r="L217" s="1196"/>
      <c r="M217" s="1196"/>
      <c r="N217" s="1196"/>
      <c r="O217" s="1196"/>
      <c r="P217" s="1196"/>
      <c r="Q217" s="1196"/>
      <c r="R217" s="1196"/>
      <c r="S217" s="1196"/>
      <c r="T217" s="1196"/>
      <c r="U217" s="1196"/>
      <c r="V217" s="1196"/>
      <c r="W217" s="1196"/>
      <c r="X217" s="1196"/>
      <c r="Y217" s="1196"/>
      <c r="Z217" s="1196"/>
    </row>
    <row r="218" spans="1:26" ht="12.75" customHeight="1">
      <c r="A218" s="1196"/>
      <c r="B218" s="1196"/>
      <c r="C218" s="1196"/>
      <c r="D218" s="1196"/>
      <c r="E218" s="1196"/>
      <c r="F218" s="1196"/>
      <c r="G218" s="1196"/>
      <c r="H218" s="1196"/>
      <c r="I218" s="1196"/>
      <c r="J218" s="1196"/>
      <c r="K218" s="1196"/>
      <c r="L218" s="1196"/>
      <c r="M218" s="1196"/>
      <c r="N218" s="1196"/>
      <c r="O218" s="1196"/>
      <c r="P218" s="1196"/>
      <c r="Q218" s="1196"/>
      <c r="R218" s="1196"/>
      <c r="S218" s="1196"/>
      <c r="T218" s="1196"/>
      <c r="U218" s="1196"/>
      <c r="V218" s="1196"/>
      <c r="W218" s="1196"/>
      <c r="X218" s="1196"/>
      <c r="Y218" s="1196"/>
      <c r="Z218" s="1196"/>
    </row>
    <row r="219" spans="1:26" ht="12.75" customHeight="1">
      <c r="A219" s="1196"/>
      <c r="B219" s="1196"/>
      <c r="C219" s="1196"/>
      <c r="D219" s="1196"/>
      <c r="E219" s="1196"/>
      <c r="F219" s="1196"/>
      <c r="G219" s="1196"/>
      <c r="H219" s="1196"/>
      <c r="I219" s="1196"/>
      <c r="J219" s="1196"/>
      <c r="K219" s="1196"/>
      <c r="L219" s="1196"/>
      <c r="M219" s="1196"/>
      <c r="N219" s="1196"/>
      <c r="O219" s="1196"/>
      <c r="P219" s="1196"/>
      <c r="Q219" s="1196"/>
      <c r="R219" s="1196"/>
      <c r="S219" s="1196"/>
      <c r="T219" s="1196"/>
      <c r="U219" s="1196"/>
      <c r="V219" s="1196"/>
      <c r="W219" s="1196"/>
      <c r="X219" s="1196"/>
      <c r="Y219" s="1196"/>
      <c r="Z219" s="1196"/>
    </row>
    <row r="220" spans="1:26" ht="12.75" customHeight="1">
      <c r="A220" s="1196"/>
      <c r="B220" s="1196"/>
      <c r="C220" s="1196"/>
      <c r="D220" s="1196"/>
      <c r="E220" s="1196"/>
      <c r="F220" s="1196"/>
      <c r="G220" s="1196"/>
      <c r="H220" s="1196"/>
      <c r="I220" s="1196"/>
      <c r="J220" s="1196"/>
      <c r="K220" s="1196"/>
      <c r="L220" s="1196"/>
      <c r="M220" s="1196"/>
      <c r="N220" s="1196"/>
      <c r="O220" s="1196"/>
      <c r="P220" s="1196"/>
      <c r="Q220" s="1196"/>
      <c r="R220" s="1196"/>
      <c r="S220" s="1196"/>
      <c r="T220" s="1196"/>
      <c r="U220" s="1196"/>
      <c r="V220" s="1196"/>
      <c r="W220" s="1196"/>
      <c r="X220" s="1196"/>
      <c r="Y220" s="1196"/>
      <c r="Z220" s="1196"/>
    </row>
    <row r="221" spans="1:26" ht="12.75" customHeight="1">
      <c r="A221" s="1196"/>
      <c r="B221" s="1196"/>
      <c r="C221" s="1196"/>
      <c r="D221" s="1196"/>
      <c r="E221" s="1196"/>
      <c r="F221" s="1196"/>
      <c r="G221" s="1196"/>
      <c r="H221" s="1196"/>
      <c r="I221" s="1196"/>
      <c r="J221" s="1196"/>
      <c r="K221" s="1196"/>
      <c r="L221" s="1196"/>
      <c r="M221" s="1196"/>
      <c r="N221" s="1196"/>
      <c r="O221" s="1196"/>
      <c r="P221" s="1196"/>
      <c r="Q221" s="1196"/>
      <c r="R221" s="1196"/>
      <c r="S221" s="1196"/>
      <c r="T221" s="1196"/>
      <c r="U221" s="1196"/>
      <c r="V221" s="1196"/>
      <c r="W221" s="1196"/>
      <c r="X221" s="1196"/>
      <c r="Y221" s="1196"/>
      <c r="Z221" s="1196"/>
    </row>
    <row r="222" spans="1:26" ht="12.75" customHeight="1">
      <c r="A222" s="1196"/>
      <c r="B222" s="1196"/>
      <c r="C222" s="1196"/>
      <c r="D222" s="1196"/>
      <c r="E222" s="1196"/>
      <c r="F222" s="1196"/>
      <c r="G222" s="1196"/>
      <c r="H222" s="1196"/>
      <c r="I222" s="1196"/>
      <c r="J222" s="1196"/>
      <c r="K222" s="1196"/>
      <c r="L222" s="1196"/>
      <c r="M222" s="1196"/>
      <c r="N222" s="1196"/>
      <c r="O222" s="1196"/>
      <c r="P222" s="1196"/>
      <c r="Q222" s="1196"/>
      <c r="R222" s="1196"/>
      <c r="S222" s="1196"/>
      <c r="T222" s="1196"/>
      <c r="U222" s="1196"/>
      <c r="V222" s="1196"/>
      <c r="W222" s="1196"/>
      <c r="X222" s="1196"/>
      <c r="Y222" s="1196"/>
      <c r="Z222" s="1196"/>
    </row>
    <row r="223" spans="1:26" ht="12.75" customHeight="1">
      <c r="A223" s="1196"/>
      <c r="B223" s="1196"/>
      <c r="C223" s="1196"/>
      <c r="D223" s="1196"/>
      <c r="E223" s="1196"/>
      <c r="F223" s="1196"/>
      <c r="G223" s="1196"/>
      <c r="H223" s="1196"/>
      <c r="I223" s="1196"/>
      <c r="J223" s="1196"/>
      <c r="K223" s="1196"/>
      <c r="L223" s="1196"/>
      <c r="M223" s="1196"/>
      <c r="N223" s="1196"/>
      <c r="O223" s="1196"/>
      <c r="P223" s="1196"/>
      <c r="Q223" s="1196"/>
      <c r="R223" s="1196"/>
      <c r="S223" s="1196"/>
      <c r="T223" s="1196"/>
      <c r="U223" s="1196"/>
      <c r="V223" s="1196"/>
      <c r="W223" s="1196"/>
      <c r="X223" s="1196"/>
      <c r="Y223" s="1196"/>
      <c r="Z223" s="1196"/>
    </row>
    <row r="224" spans="1:26" ht="12.75" customHeight="1">
      <c r="A224" s="1196"/>
      <c r="B224" s="1196"/>
      <c r="C224" s="1196"/>
      <c r="D224" s="1196"/>
      <c r="E224" s="1196"/>
      <c r="F224" s="1196"/>
      <c r="G224" s="1196"/>
      <c r="H224" s="1196"/>
      <c r="I224" s="1196"/>
      <c r="J224" s="1196"/>
      <c r="K224" s="1196"/>
      <c r="L224" s="1196"/>
      <c r="M224" s="1196"/>
      <c r="N224" s="1196"/>
      <c r="O224" s="1196"/>
      <c r="P224" s="1196"/>
      <c r="Q224" s="1196"/>
      <c r="R224" s="1196"/>
      <c r="S224" s="1196"/>
      <c r="T224" s="1196"/>
      <c r="U224" s="1196"/>
      <c r="V224" s="1196"/>
      <c r="W224" s="1196"/>
      <c r="X224" s="1196"/>
      <c r="Y224" s="1196"/>
      <c r="Z224" s="1196"/>
    </row>
    <row r="225" spans="1:26" ht="12.75" customHeight="1">
      <c r="A225" s="1196"/>
      <c r="B225" s="1196"/>
      <c r="C225" s="1196"/>
      <c r="D225" s="1196"/>
      <c r="E225" s="1196"/>
      <c r="F225" s="1196"/>
      <c r="G225" s="1196"/>
      <c r="H225" s="1196"/>
      <c r="I225" s="1196"/>
      <c r="J225" s="1196"/>
      <c r="K225" s="1196"/>
      <c r="L225" s="1196"/>
      <c r="M225" s="1196"/>
      <c r="N225" s="1196"/>
      <c r="O225" s="1196"/>
      <c r="P225" s="1196"/>
      <c r="Q225" s="1196"/>
      <c r="R225" s="1196"/>
      <c r="S225" s="1196"/>
      <c r="T225" s="1196"/>
      <c r="U225" s="1196"/>
      <c r="V225" s="1196"/>
      <c r="W225" s="1196"/>
      <c r="X225" s="1196"/>
      <c r="Y225" s="1196"/>
      <c r="Z225" s="1196"/>
    </row>
    <row r="226" spans="1:26" ht="12.75" customHeight="1">
      <c r="A226" s="1196"/>
      <c r="B226" s="1196"/>
      <c r="C226" s="1196"/>
      <c r="D226" s="1196"/>
      <c r="E226" s="1196"/>
      <c r="F226" s="1196"/>
      <c r="G226" s="1196"/>
      <c r="H226" s="1196"/>
      <c r="I226" s="1196"/>
      <c r="J226" s="1196"/>
      <c r="K226" s="1196"/>
      <c r="L226" s="1196"/>
      <c r="M226" s="1196"/>
      <c r="N226" s="1196"/>
      <c r="O226" s="1196"/>
      <c r="P226" s="1196"/>
      <c r="Q226" s="1196"/>
      <c r="R226" s="1196"/>
      <c r="S226" s="1196"/>
      <c r="T226" s="1196"/>
      <c r="U226" s="1196"/>
      <c r="V226" s="1196"/>
      <c r="W226" s="1196"/>
      <c r="X226" s="1196"/>
      <c r="Y226" s="1196"/>
      <c r="Z226" s="1196"/>
    </row>
    <row r="227" spans="1:26" ht="12.75" customHeight="1">
      <c r="A227" s="1196"/>
      <c r="B227" s="1196"/>
      <c r="C227" s="1196"/>
      <c r="D227" s="1196"/>
      <c r="E227" s="1196"/>
      <c r="F227" s="1196"/>
      <c r="G227" s="1196"/>
      <c r="H227" s="1196"/>
      <c r="I227" s="1196"/>
      <c r="J227" s="1196"/>
      <c r="K227" s="1196"/>
      <c r="L227" s="1196"/>
      <c r="M227" s="1196"/>
      <c r="N227" s="1196"/>
      <c r="O227" s="1196"/>
      <c r="P227" s="1196"/>
      <c r="Q227" s="1196"/>
      <c r="R227" s="1196"/>
      <c r="S227" s="1196"/>
      <c r="T227" s="1196"/>
      <c r="U227" s="1196"/>
      <c r="V227" s="1196"/>
      <c r="W227" s="1196"/>
      <c r="X227" s="1196"/>
      <c r="Y227" s="1196"/>
      <c r="Z227" s="1196"/>
    </row>
    <row r="228" spans="1:26" ht="12.75" customHeight="1">
      <c r="A228" s="1196"/>
      <c r="B228" s="1196"/>
      <c r="C228" s="1196"/>
      <c r="D228" s="1196"/>
      <c r="E228" s="1196"/>
      <c r="F228" s="1196"/>
      <c r="G228" s="1196"/>
      <c r="H228" s="1196"/>
      <c r="I228" s="1196"/>
      <c r="J228" s="1196"/>
      <c r="K228" s="1196"/>
      <c r="L228" s="1196"/>
      <c r="M228" s="1196"/>
      <c r="N228" s="1196"/>
      <c r="O228" s="1196"/>
      <c r="P228" s="1196"/>
      <c r="Q228" s="1196"/>
      <c r="R228" s="1196"/>
      <c r="S228" s="1196"/>
      <c r="T228" s="1196"/>
      <c r="U228" s="1196"/>
      <c r="V228" s="1196"/>
      <c r="W228" s="1196"/>
      <c r="X228" s="1196"/>
      <c r="Y228" s="1196"/>
      <c r="Z228" s="1196"/>
    </row>
    <row r="229" spans="1:26" ht="12.75" customHeight="1">
      <c r="A229" s="1196"/>
      <c r="B229" s="1196"/>
      <c r="C229" s="1196"/>
      <c r="D229" s="1196"/>
      <c r="E229" s="1196"/>
      <c r="F229" s="1196"/>
      <c r="G229" s="1196"/>
      <c r="H229" s="1196"/>
      <c r="I229" s="1196"/>
      <c r="J229" s="1196"/>
      <c r="K229" s="1196"/>
      <c r="L229" s="1196"/>
      <c r="M229" s="1196"/>
      <c r="N229" s="1196"/>
      <c r="O229" s="1196"/>
      <c r="P229" s="1196"/>
      <c r="Q229" s="1196"/>
      <c r="R229" s="1196"/>
      <c r="S229" s="1196"/>
      <c r="T229" s="1196"/>
      <c r="U229" s="1196"/>
      <c r="V229" s="1196"/>
      <c r="W229" s="1196"/>
      <c r="X229" s="1196"/>
      <c r="Y229" s="1196"/>
      <c r="Z229" s="1196"/>
    </row>
    <row r="230" spans="1:26" ht="12.75" customHeight="1">
      <c r="A230" s="1196"/>
      <c r="B230" s="1196"/>
      <c r="C230" s="1196"/>
      <c r="D230" s="1196"/>
      <c r="E230" s="1196"/>
      <c r="F230" s="1196"/>
      <c r="G230" s="1196"/>
      <c r="H230" s="1196"/>
      <c r="I230" s="1196"/>
      <c r="J230" s="1196"/>
      <c r="K230" s="1196"/>
      <c r="L230" s="1196"/>
      <c r="M230" s="1196"/>
      <c r="N230" s="1196"/>
      <c r="O230" s="1196"/>
      <c r="P230" s="1196"/>
      <c r="Q230" s="1196"/>
      <c r="R230" s="1196"/>
      <c r="S230" s="1196"/>
      <c r="T230" s="1196"/>
      <c r="U230" s="1196"/>
      <c r="V230" s="1196"/>
      <c r="W230" s="1196"/>
      <c r="X230" s="1196"/>
      <c r="Y230" s="1196"/>
      <c r="Z230" s="1196"/>
    </row>
    <row r="231" spans="1:26" ht="12.75" customHeight="1">
      <c r="A231" s="1196"/>
      <c r="B231" s="1196"/>
      <c r="C231" s="1196"/>
      <c r="D231" s="1196"/>
      <c r="E231" s="1196"/>
      <c r="F231" s="1196"/>
      <c r="G231" s="1196"/>
      <c r="H231" s="1196"/>
      <c r="I231" s="1196"/>
      <c r="J231" s="1196"/>
      <c r="K231" s="1196"/>
      <c r="L231" s="1196"/>
      <c r="M231" s="1196"/>
      <c r="N231" s="1196"/>
      <c r="O231" s="1196"/>
      <c r="P231" s="1196"/>
      <c r="Q231" s="1196"/>
      <c r="R231" s="1196"/>
      <c r="S231" s="1196"/>
      <c r="T231" s="1196"/>
      <c r="U231" s="1196"/>
      <c r="V231" s="1196"/>
      <c r="W231" s="1196"/>
      <c r="X231" s="1196"/>
      <c r="Y231" s="1196"/>
      <c r="Z231" s="1196"/>
    </row>
    <row r="232" spans="1:26" ht="12.75" customHeight="1">
      <c r="A232" s="1196"/>
      <c r="B232" s="1196"/>
      <c r="C232" s="1196"/>
      <c r="D232" s="1196"/>
      <c r="E232" s="1196"/>
      <c r="F232" s="1196"/>
      <c r="G232" s="1196"/>
      <c r="H232" s="1196"/>
      <c r="I232" s="1196"/>
      <c r="J232" s="1196"/>
      <c r="K232" s="1196"/>
      <c r="L232" s="1196"/>
      <c r="M232" s="1196"/>
      <c r="N232" s="1196"/>
      <c r="O232" s="1196"/>
      <c r="P232" s="1196"/>
      <c r="Q232" s="1196"/>
      <c r="R232" s="1196"/>
      <c r="S232" s="1196"/>
      <c r="T232" s="1196"/>
      <c r="U232" s="1196"/>
      <c r="V232" s="1196"/>
      <c r="W232" s="1196"/>
      <c r="X232" s="1196"/>
      <c r="Y232" s="1196"/>
      <c r="Z232" s="1196"/>
    </row>
    <row r="233" spans="1:26" ht="12.75" customHeight="1">
      <c r="A233" s="1196"/>
      <c r="B233" s="1196"/>
      <c r="C233" s="1196"/>
      <c r="D233" s="1196"/>
      <c r="E233" s="1196"/>
      <c r="F233" s="1196"/>
      <c r="G233" s="1196"/>
      <c r="H233" s="1196"/>
      <c r="I233" s="1196"/>
      <c r="J233" s="1196"/>
      <c r="K233" s="1196"/>
      <c r="L233" s="1196"/>
      <c r="M233" s="1196"/>
      <c r="N233" s="1196"/>
      <c r="O233" s="1196"/>
      <c r="P233" s="1196"/>
      <c r="Q233" s="1196"/>
      <c r="R233" s="1196"/>
      <c r="S233" s="1196"/>
      <c r="T233" s="1196"/>
      <c r="U233" s="1196"/>
      <c r="V233" s="1196"/>
      <c r="W233" s="1196"/>
      <c r="X233" s="1196"/>
      <c r="Y233" s="1196"/>
      <c r="Z233" s="1196"/>
    </row>
    <row r="234" spans="1:26" ht="12.75" customHeight="1">
      <c r="A234" s="1196"/>
      <c r="B234" s="1196"/>
      <c r="C234" s="1196"/>
      <c r="D234" s="1196"/>
      <c r="E234" s="1196"/>
      <c r="F234" s="1196"/>
      <c r="G234" s="1196"/>
      <c r="H234" s="1196"/>
      <c r="I234" s="1196"/>
      <c r="J234" s="1196"/>
      <c r="K234" s="1196"/>
      <c r="L234" s="1196"/>
      <c r="M234" s="1196"/>
      <c r="N234" s="1196"/>
      <c r="O234" s="1196"/>
      <c r="P234" s="1196"/>
      <c r="Q234" s="1196"/>
      <c r="R234" s="1196"/>
      <c r="S234" s="1196"/>
      <c r="T234" s="1196"/>
      <c r="U234" s="1196"/>
      <c r="V234" s="1196"/>
      <c r="W234" s="1196"/>
      <c r="X234" s="1196"/>
      <c r="Y234" s="1196"/>
      <c r="Z234" s="1196"/>
    </row>
    <row r="235" spans="1:26" ht="12.75" customHeight="1">
      <c r="A235" s="1196"/>
      <c r="B235" s="1196"/>
      <c r="C235" s="1196"/>
      <c r="D235" s="1196"/>
      <c r="E235" s="1196"/>
      <c r="F235" s="1196"/>
      <c r="G235" s="1196"/>
      <c r="H235" s="1196"/>
      <c r="I235" s="1196"/>
      <c r="J235" s="1196"/>
      <c r="K235" s="1196"/>
      <c r="L235" s="1196"/>
      <c r="M235" s="1196"/>
      <c r="N235" s="1196"/>
      <c r="O235" s="1196"/>
      <c r="P235" s="1196"/>
      <c r="Q235" s="1196"/>
      <c r="R235" s="1196"/>
      <c r="S235" s="1196"/>
      <c r="T235" s="1196"/>
      <c r="U235" s="1196"/>
      <c r="V235" s="1196"/>
      <c r="W235" s="1196"/>
      <c r="X235" s="1196"/>
      <c r="Y235" s="1196"/>
      <c r="Z235" s="1196"/>
    </row>
    <row r="236" spans="1:26" ht="12.75" customHeight="1">
      <c r="A236" s="1196"/>
      <c r="B236" s="1196"/>
      <c r="C236" s="1196"/>
      <c r="D236" s="1196"/>
      <c r="E236" s="1196"/>
      <c r="F236" s="1196"/>
      <c r="G236" s="1196"/>
      <c r="H236" s="1196"/>
      <c r="I236" s="1196"/>
      <c r="J236" s="1196"/>
      <c r="K236" s="1196"/>
      <c r="L236" s="1196"/>
      <c r="M236" s="1196"/>
      <c r="N236" s="1196"/>
      <c r="O236" s="1196"/>
      <c r="P236" s="1196"/>
      <c r="Q236" s="1196"/>
      <c r="R236" s="1196"/>
      <c r="S236" s="1196"/>
      <c r="T236" s="1196"/>
      <c r="U236" s="1196"/>
      <c r="V236" s="1196"/>
      <c r="W236" s="1196"/>
      <c r="X236" s="1196"/>
      <c r="Y236" s="1196"/>
      <c r="Z236" s="1196"/>
    </row>
    <row r="237" spans="1:26" ht="12.75" customHeight="1">
      <c r="A237" s="1196"/>
      <c r="B237" s="1196"/>
      <c r="C237" s="1196"/>
      <c r="D237" s="1196"/>
      <c r="E237" s="1196"/>
      <c r="F237" s="1196"/>
      <c r="G237" s="1196"/>
      <c r="H237" s="1196"/>
      <c r="I237" s="1196"/>
      <c r="J237" s="1196"/>
      <c r="K237" s="1196"/>
      <c r="L237" s="1196"/>
      <c r="M237" s="1196"/>
      <c r="N237" s="1196"/>
      <c r="O237" s="1196"/>
      <c r="P237" s="1196"/>
      <c r="Q237" s="1196"/>
      <c r="R237" s="1196"/>
      <c r="S237" s="1196"/>
      <c r="T237" s="1196"/>
      <c r="U237" s="1196"/>
      <c r="V237" s="1196"/>
      <c r="W237" s="1196"/>
      <c r="X237" s="1196"/>
      <c r="Y237" s="1196"/>
      <c r="Z237" s="1196"/>
    </row>
    <row r="238" spans="1:26" ht="12.75" customHeight="1">
      <c r="A238" s="1196"/>
      <c r="B238" s="1196"/>
      <c r="C238" s="1196"/>
      <c r="D238" s="1196"/>
      <c r="E238" s="1196"/>
      <c r="F238" s="1196"/>
      <c r="G238" s="1196"/>
      <c r="H238" s="1196"/>
      <c r="I238" s="1196"/>
      <c r="J238" s="1196"/>
      <c r="K238" s="1196"/>
      <c r="L238" s="1196"/>
      <c r="M238" s="1196"/>
      <c r="N238" s="1196"/>
      <c r="O238" s="1196"/>
      <c r="P238" s="1196"/>
      <c r="Q238" s="1196"/>
      <c r="R238" s="1196"/>
      <c r="S238" s="1196"/>
      <c r="T238" s="1196"/>
      <c r="U238" s="1196"/>
      <c r="V238" s="1196"/>
      <c r="W238" s="1196"/>
      <c r="X238" s="1196"/>
      <c r="Y238" s="1196"/>
      <c r="Z238" s="1196"/>
    </row>
    <row r="239" spans="1:26" ht="12.75" customHeight="1">
      <c r="A239" s="1196"/>
      <c r="B239" s="1196"/>
      <c r="C239" s="1196"/>
      <c r="D239" s="1196"/>
      <c r="E239" s="1196"/>
      <c r="F239" s="1196"/>
      <c r="G239" s="1196"/>
      <c r="H239" s="1196"/>
      <c r="I239" s="1196"/>
      <c r="J239" s="1196"/>
      <c r="K239" s="1196"/>
      <c r="L239" s="1196"/>
      <c r="M239" s="1196"/>
      <c r="N239" s="1196"/>
      <c r="O239" s="1196"/>
      <c r="P239" s="1196"/>
      <c r="Q239" s="1196"/>
      <c r="R239" s="1196"/>
      <c r="S239" s="1196"/>
      <c r="T239" s="1196"/>
      <c r="U239" s="1196"/>
      <c r="V239" s="1196"/>
      <c r="W239" s="1196"/>
      <c r="X239" s="1196"/>
      <c r="Y239" s="1196"/>
      <c r="Z239" s="1196"/>
    </row>
    <row r="240" spans="1:26" ht="12.75" customHeight="1">
      <c r="A240" s="1196"/>
      <c r="B240" s="1196"/>
      <c r="C240" s="1196"/>
      <c r="D240" s="1196"/>
      <c r="E240" s="1196"/>
      <c r="F240" s="1196"/>
      <c r="G240" s="1196"/>
      <c r="H240" s="1196"/>
      <c r="I240" s="1196"/>
      <c r="J240" s="1196"/>
      <c r="K240" s="1196"/>
      <c r="L240" s="1196"/>
      <c r="M240" s="1196"/>
      <c r="N240" s="1196"/>
      <c r="O240" s="1196"/>
      <c r="P240" s="1196"/>
      <c r="Q240" s="1196"/>
      <c r="R240" s="1196"/>
      <c r="S240" s="1196"/>
      <c r="T240" s="1196"/>
      <c r="U240" s="1196"/>
      <c r="V240" s="1196"/>
      <c r="W240" s="1196"/>
      <c r="X240" s="1196"/>
      <c r="Y240" s="1196"/>
      <c r="Z240" s="1196"/>
    </row>
    <row r="241" spans="1:26" ht="12.75" customHeight="1">
      <c r="A241" s="1196"/>
      <c r="B241" s="1196"/>
      <c r="C241" s="1196"/>
      <c r="D241" s="1196"/>
      <c r="E241" s="1196"/>
      <c r="F241" s="1196"/>
      <c r="G241" s="1196"/>
      <c r="H241" s="1196"/>
      <c r="I241" s="1196"/>
      <c r="J241" s="1196"/>
      <c r="K241" s="1196"/>
      <c r="L241" s="1196"/>
      <c r="M241" s="1196"/>
      <c r="N241" s="1196"/>
      <c r="O241" s="1196"/>
      <c r="P241" s="1196"/>
      <c r="Q241" s="1196"/>
      <c r="R241" s="1196"/>
      <c r="S241" s="1196"/>
      <c r="T241" s="1196"/>
      <c r="U241" s="1196"/>
      <c r="V241" s="1196"/>
      <c r="W241" s="1196"/>
      <c r="X241" s="1196"/>
      <c r="Y241" s="1196"/>
      <c r="Z241" s="1196"/>
    </row>
    <row r="242" spans="1:26" ht="12.75" customHeight="1">
      <c r="A242" s="1196"/>
      <c r="B242" s="1196"/>
      <c r="C242" s="1196"/>
      <c r="D242" s="1196"/>
      <c r="E242" s="1196"/>
      <c r="F242" s="1196"/>
      <c r="G242" s="1196"/>
      <c r="H242" s="1196"/>
      <c r="I242" s="1196"/>
      <c r="J242" s="1196"/>
      <c r="K242" s="1196"/>
      <c r="L242" s="1196"/>
      <c r="M242" s="1196"/>
      <c r="N242" s="1196"/>
      <c r="O242" s="1196"/>
      <c r="P242" s="1196"/>
      <c r="Q242" s="1196"/>
      <c r="R242" s="1196"/>
      <c r="S242" s="1196"/>
      <c r="T242" s="1196"/>
      <c r="U242" s="1196"/>
      <c r="V242" s="1196"/>
      <c r="W242" s="1196"/>
      <c r="X242" s="1196"/>
      <c r="Y242" s="1196"/>
      <c r="Z242" s="1196"/>
    </row>
    <row r="243" spans="1:26" ht="12.75" customHeight="1">
      <c r="A243" s="1196"/>
      <c r="B243" s="1196"/>
      <c r="C243" s="1196"/>
      <c r="D243" s="1196"/>
      <c r="E243" s="1196"/>
      <c r="F243" s="1196"/>
      <c r="G243" s="1196"/>
      <c r="H243" s="1196"/>
      <c r="I243" s="1196"/>
      <c r="J243" s="1196"/>
      <c r="K243" s="1196"/>
      <c r="L243" s="1196"/>
      <c r="M243" s="1196"/>
      <c r="N243" s="1196"/>
      <c r="O243" s="1196"/>
      <c r="P243" s="1196"/>
      <c r="Q243" s="1196"/>
      <c r="R243" s="1196"/>
      <c r="S243" s="1196"/>
      <c r="T243" s="1196"/>
      <c r="U243" s="1196"/>
      <c r="V243" s="1196"/>
      <c r="W243" s="1196"/>
      <c r="X243" s="1196"/>
      <c r="Y243" s="1196"/>
      <c r="Z243" s="1196"/>
    </row>
    <row r="244" spans="1:26" ht="12.75" customHeight="1">
      <c r="A244" s="1196"/>
      <c r="B244" s="1196"/>
      <c r="C244" s="1196"/>
      <c r="D244" s="1196"/>
      <c r="E244" s="1196"/>
      <c r="F244" s="1196"/>
      <c r="G244" s="1196"/>
      <c r="H244" s="1196"/>
      <c r="I244" s="1196"/>
      <c r="J244" s="1196"/>
      <c r="K244" s="1196"/>
      <c r="L244" s="1196"/>
      <c r="M244" s="1196"/>
      <c r="N244" s="1196"/>
      <c r="O244" s="1196"/>
      <c r="P244" s="1196"/>
      <c r="Q244" s="1196"/>
      <c r="R244" s="1196"/>
      <c r="S244" s="1196"/>
      <c r="T244" s="1196"/>
      <c r="U244" s="1196"/>
      <c r="V244" s="1196"/>
      <c r="W244" s="1196"/>
      <c r="X244" s="1196"/>
      <c r="Y244" s="1196"/>
      <c r="Z244" s="1196"/>
    </row>
    <row r="245" spans="1:26" ht="12.75" customHeight="1">
      <c r="A245" s="1196"/>
      <c r="B245" s="1196"/>
      <c r="C245" s="1196"/>
      <c r="D245" s="1196"/>
      <c r="E245" s="1196"/>
      <c r="F245" s="1196"/>
      <c r="G245" s="1196"/>
      <c r="H245" s="1196"/>
      <c r="I245" s="1196"/>
      <c r="J245" s="1196"/>
      <c r="K245" s="1196"/>
      <c r="L245" s="1196"/>
      <c r="M245" s="1196"/>
      <c r="N245" s="1196"/>
      <c r="O245" s="1196"/>
      <c r="P245" s="1196"/>
      <c r="Q245" s="1196"/>
      <c r="R245" s="1196"/>
      <c r="S245" s="1196"/>
      <c r="T245" s="1196"/>
      <c r="U245" s="1196"/>
      <c r="V245" s="1196"/>
      <c r="W245" s="1196"/>
      <c r="X245" s="1196"/>
      <c r="Y245" s="1196"/>
      <c r="Z245" s="1196"/>
    </row>
    <row r="246" spans="1:26" ht="12.75" customHeight="1">
      <c r="A246" s="1196"/>
      <c r="B246" s="1196"/>
      <c r="C246" s="1196"/>
      <c r="D246" s="1196"/>
      <c r="E246" s="1196"/>
      <c r="F246" s="1196"/>
      <c r="G246" s="1196"/>
      <c r="H246" s="1196"/>
      <c r="I246" s="1196"/>
      <c r="J246" s="1196"/>
      <c r="K246" s="1196"/>
      <c r="L246" s="1196"/>
      <c r="M246" s="1196"/>
      <c r="N246" s="1196"/>
      <c r="O246" s="1196"/>
      <c r="P246" s="1196"/>
      <c r="Q246" s="1196"/>
      <c r="R246" s="1196"/>
      <c r="S246" s="1196"/>
      <c r="T246" s="1196"/>
      <c r="U246" s="1196"/>
      <c r="V246" s="1196"/>
      <c r="W246" s="1196"/>
      <c r="X246" s="1196"/>
      <c r="Y246" s="1196"/>
      <c r="Z246" s="1196"/>
    </row>
    <row r="247" spans="1:26" ht="12.75" customHeight="1">
      <c r="A247" s="1196"/>
      <c r="B247" s="1196"/>
      <c r="C247" s="1196"/>
      <c r="D247" s="1196"/>
      <c r="E247" s="1196"/>
      <c r="F247" s="1196"/>
      <c r="G247" s="1196"/>
      <c r="H247" s="1196"/>
      <c r="I247" s="1196"/>
      <c r="J247" s="1196"/>
      <c r="K247" s="1196"/>
      <c r="L247" s="1196"/>
      <c r="M247" s="1196"/>
      <c r="N247" s="1196"/>
      <c r="O247" s="1196"/>
      <c r="P247" s="1196"/>
      <c r="Q247" s="1196"/>
      <c r="R247" s="1196"/>
      <c r="S247" s="1196"/>
      <c r="T247" s="1196"/>
      <c r="U247" s="1196"/>
      <c r="V247" s="1196"/>
      <c r="W247" s="1196"/>
      <c r="X247" s="1196"/>
      <c r="Y247" s="1196"/>
      <c r="Z247" s="1196"/>
    </row>
    <row r="248" spans="1:26" ht="12.75" customHeight="1">
      <c r="A248" s="1196"/>
      <c r="B248" s="1196"/>
      <c r="C248" s="1196"/>
      <c r="D248" s="1196"/>
      <c r="E248" s="1196"/>
      <c r="F248" s="1196"/>
      <c r="G248" s="1196"/>
      <c r="H248" s="1196"/>
      <c r="I248" s="1196"/>
      <c r="J248" s="1196"/>
      <c r="K248" s="1196"/>
      <c r="L248" s="1196"/>
      <c r="M248" s="1196"/>
      <c r="N248" s="1196"/>
      <c r="O248" s="1196"/>
      <c r="P248" s="1196"/>
      <c r="Q248" s="1196"/>
      <c r="R248" s="1196"/>
      <c r="S248" s="1196"/>
      <c r="T248" s="1196"/>
      <c r="U248" s="1196"/>
      <c r="V248" s="1196"/>
      <c r="W248" s="1196"/>
      <c r="X248" s="1196"/>
      <c r="Y248" s="1196"/>
      <c r="Z248" s="1196"/>
    </row>
    <row r="249" spans="1:26" ht="12.75" customHeight="1">
      <c r="A249" s="1196"/>
      <c r="B249" s="1196"/>
      <c r="C249" s="1196"/>
      <c r="D249" s="1196"/>
      <c r="E249" s="1196"/>
      <c r="F249" s="1196"/>
      <c r="G249" s="1196"/>
      <c r="H249" s="1196"/>
      <c r="I249" s="1196"/>
      <c r="J249" s="1196"/>
      <c r="K249" s="1196"/>
      <c r="L249" s="1196"/>
      <c r="M249" s="1196"/>
      <c r="N249" s="1196"/>
      <c r="O249" s="1196"/>
      <c r="P249" s="1196"/>
      <c r="Q249" s="1196"/>
      <c r="R249" s="1196"/>
      <c r="S249" s="1196"/>
      <c r="T249" s="1196"/>
      <c r="U249" s="1196"/>
      <c r="V249" s="1196"/>
      <c r="W249" s="1196"/>
      <c r="X249" s="1196"/>
      <c r="Y249" s="1196"/>
      <c r="Z249" s="1196"/>
    </row>
    <row r="250" spans="1:26" ht="12.75" customHeight="1">
      <c r="A250" s="1196"/>
      <c r="B250" s="1196"/>
      <c r="C250" s="1196"/>
      <c r="D250" s="1196"/>
      <c r="E250" s="1196"/>
      <c r="F250" s="1196"/>
      <c r="G250" s="1196"/>
      <c r="H250" s="1196"/>
      <c r="I250" s="1196"/>
      <c r="J250" s="1196"/>
      <c r="K250" s="1196"/>
      <c r="L250" s="1196"/>
      <c r="M250" s="1196"/>
      <c r="N250" s="1196"/>
      <c r="O250" s="1196"/>
      <c r="P250" s="1196"/>
      <c r="Q250" s="1196"/>
      <c r="R250" s="1196"/>
      <c r="S250" s="1196"/>
      <c r="T250" s="1196"/>
      <c r="U250" s="1196"/>
      <c r="V250" s="1196"/>
      <c r="W250" s="1196"/>
      <c r="X250" s="1196"/>
      <c r="Y250" s="1196"/>
      <c r="Z250" s="1196"/>
    </row>
    <row r="251" spans="1:26" ht="12.75" customHeight="1">
      <c r="A251" s="1196"/>
      <c r="B251" s="1196"/>
      <c r="C251" s="1196"/>
      <c r="D251" s="1196"/>
      <c r="E251" s="1196"/>
      <c r="F251" s="1196"/>
      <c r="G251" s="1196"/>
      <c r="H251" s="1196"/>
      <c r="I251" s="1196"/>
      <c r="J251" s="1196"/>
      <c r="K251" s="1196"/>
      <c r="L251" s="1196"/>
      <c r="M251" s="1196"/>
      <c r="N251" s="1196"/>
      <c r="O251" s="1196"/>
      <c r="P251" s="1196"/>
      <c r="Q251" s="1196"/>
      <c r="R251" s="1196"/>
      <c r="S251" s="1196"/>
      <c r="T251" s="1196"/>
      <c r="U251" s="1196"/>
      <c r="V251" s="1196"/>
      <c r="W251" s="1196"/>
      <c r="X251" s="1196"/>
      <c r="Y251" s="1196"/>
      <c r="Z251" s="1196"/>
    </row>
    <row r="252" spans="1:26" ht="12.75" customHeight="1">
      <c r="A252" s="1196"/>
      <c r="B252" s="1196"/>
      <c r="C252" s="1196"/>
      <c r="D252" s="1196"/>
      <c r="E252" s="1196"/>
      <c r="F252" s="1196"/>
      <c r="G252" s="1196"/>
      <c r="H252" s="1196"/>
      <c r="I252" s="1196"/>
      <c r="J252" s="1196"/>
      <c r="K252" s="1196"/>
      <c r="L252" s="1196"/>
      <c r="M252" s="1196"/>
      <c r="N252" s="1196"/>
      <c r="O252" s="1196"/>
      <c r="P252" s="1196"/>
      <c r="Q252" s="1196"/>
      <c r="R252" s="1196"/>
      <c r="S252" s="1196"/>
      <c r="T252" s="1196"/>
      <c r="U252" s="1196"/>
      <c r="V252" s="1196"/>
      <c r="W252" s="1196"/>
      <c r="X252" s="1196"/>
      <c r="Y252" s="1196"/>
      <c r="Z252" s="1196"/>
    </row>
    <row r="253" spans="1:26" ht="12.75" customHeight="1">
      <c r="A253" s="1196"/>
      <c r="B253" s="1196"/>
      <c r="C253" s="1196"/>
      <c r="D253" s="1196"/>
      <c r="E253" s="1196"/>
      <c r="F253" s="1196"/>
      <c r="G253" s="1196"/>
      <c r="H253" s="1196"/>
      <c r="I253" s="1196"/>
      <c r="J253" s="1196"/>
      <c r="K253" s="1196"/>
      <c r="L253" s="1196"/>
      <c r="M253" s="1196"/>
      <c r="N253" s="1196"/>
      <c r="O253" s="1196"/>
      <c r="P253" s="1196"/>
      <c r="Q253" s="1196"/>
      <c r="R253" s="1196"/>
      <c r="S253" s="1196"/>
      <c r="T253" s="1196"/>
      <c r="U253" s="1196"/>
      <c r="V253" s="1196"/>
      <c r="W253" s="1196"/>
      <c r="X253" s="1196"/>
      <c r="Y253" s="1196"/>
      <c r="Z253" s="1196"/>
    </row>
    <row r="254" spans="1:26" ht="12.75" customHeight="1">
      <c r="A254" s="1196"/>
      <c r="B254" s="1196"/>
      <c r="C254" s="1196"/>
      <c r="D254" s="1196"/>
      <c r="E254" s="1196"/>
      <c r="F254" s="1196"/>
      <c r="G254" s="1196"/>
      <c r="H254" s="1196"/>
      <c r="I254" s="1196"/>
      <c r="J254" s="1196"/>
      <c r="K254" s="1196"/>
      <c r="L254" s="1196"/>
      <c r="M254" s="1196"/>
      <c r="N254" s="1196"/>
      <c r="O254" s="1196"/>
      <c r="P254" s="1196"/>
      <c r="Q254" s="1196"/>
      <c r="R254" s="1196"/>
      <c r="S254" s="1196"/>
      <c r="T254" s="1196"/>
      <c r="U254" s="1196"/>
      <c r="V254" s="1196"/>
      <c r="W254" s="1196"/>
      <c r="X254" s="1196"/>
      <c r="Y254" s="1196"/>
      <c r="Z254" s="1196"/>
    </row>
    <row r="255" spans="1:26" ht="12.75" customHeight="1">
      <c r="A255" s="1196"/>
      <c r="B255" s="1196"/>
      <c r="C255" s="1196"/>
      <c r="D255" s="1196"/>
      <c r="E255" s="1196"/>
      <c r="F255" s="1196"/>
      <c r="G255" s="1196"/>
      <c r="H255" s="1196"/>
      <c r="I255" s="1196"/>
      <c r="J255" s="1196"/>
      <c r="K255" s="1196"/>
      <c r="L255" s="1196"/>
      <c r="M255" s="1196"/>
      <c r="N255" s="1196"/>
      <c r="O255" s="1196"/>
      <c r="P255" s="1196"/>
      <c r="Q255" s="1196"/>
      <c r="R255" s="1196"/>
      <c r="S255" s="1196"/>
      <c r="T255" s="1196"/>
      <c r="U255" s="1196"/>
      <c r="V255" s="1196"/>
      <c r="W255" s="1196"/>
      <c r="X255" s="1196"/>
      <c r="Y255" s="1196"/>
      <c r="Z255" s="1196"/>
    </row>
    <row r="256" spans="1:26" ht="12.75" customHeight="1">
      <c r="A256" s="1196"/>
      <c r="B256" s="1196"/>
      <c r="C256" s="1196"/>
      <c r="D256" s="1196"/>
      <c r="E256" s="1196"/>
      <c r="F256" s="1196"/>
      <c r="G256" s="1196"/>
      <c r="H256" s="1196"/>
      <c r="I256" s="1196"/>
      <c r="J256" s="1196"/>
      <c r="K256" s="1196"/>
      <c r="L256" s="1196"/>
      <c r="M256" s="1196"/>
      <c r="N256" s="1196"/>
      <c r="O256" s="1196"/>
      <c r="P256" s="1196"/>
      <c r="Q256" s="1196"/>
      <c r="R256" s="1196"/>
      <c r="S256" s="1196"/>
      <c r="T256" s="1196"/>
      <c r="U256" s="1196"/>
      <c r="V256" s="1196"/>
      <c r="W256" s="1196"/>
      <c r="X256" s="1196"/>
      <c r="Y256" s="1196"/>
      <c r="Z256" s="1196"/>
    </row>
    <row r="257" spans="1:26" ht="12.75" customHeight="1">
      <c r="A257" s="1196"/>
      <c r="B257" s="1196"/>
      <c r="C257" s="1196"/>
      <c r="D257" s="1196"/>
      <c r="E257" s="1196"/>
      <c r="F257" s="1196"/>
      <c r="G257" s="1196"/>
      <c r="H257" s="1196"/>
      <c r="I257" s="1196"/>
      <c r="J257" s="1196"/>
      <c r="K257" s="1196"/>
      <c r="L257" s="1196"/>
      <c r="M257" s="1196"/>
      <c r="N257" s="1196"/>
      <c r="O257" s="1196"/>
      <c r="P257" s="1196"/>
      <c r="Q257" s="1196"/>
      <c r="R257" s="1196"/>
      <c r="S257" s="1196"/>
      <c r="T257" s="1196"/>
      <c r="U257" s="1196"/>
      <c r="V257" s="1196"/>
      <c r="W257" s="1196"/>
      <c r="X257" s="1196"/>
      <c r="Y257" s="1196"/>
      <c r="Z257" s="1196"/>
    </row>
    <row r="258" spans="1:26" ht="12.75" customHeight="1">
      <c r="A258" s="1196"/>
      <c r="B258" s="1196"/>
      <c r="C258" s="1196"/>
      <c r="D258" s="1196"/>
      <c r="E258" s="1196"/>
      <c r="F258" s="1196"/>
      <c r="G258" s="1196"/>
      <c r="H258" s="1196"/>
      <c r="I258" s="1196"/>
      <c r="J258" s="1196"/>
      <c r="K258" s="1196"/>
      <c r="L258" s="1196"/>
      <c r="M258" s="1196"/>
      <c r="N258" s="1196"/>
      <c r="O258" s="1196"/>
      <c r="P258" s="1196"/>
      <c r="Q258" s="1196"/>
      <c r="R258" s="1196"/>
      <c r="S258" s="1196"/>
      <c r="T258" s="1196"/>
      <c r="U258" s="1196"/>
      <c r="V258" s="1196"/>
      <c r="W258" s="1196"/>
      <c r="X258" s="1196"/>
      <c r="Y258" s="1196"/>
      <c r="Z258" s="1196"/>
    </row>
    <row r="259" spans="1:26" ht="12.75" customHeight="1">
      <c r="A259" s="1196"/>
      <c r="B259" s="1196"/>
      <c r="C259" s="1196"/>
      <c r="D259" s="1196"/>
      <c r="E259" s="1196"/>
      <c r="F259" s="1196"/>
      <c r="G259" s="1196"/>
      <c r="H259" s="1196"/>
      <c r="I259" s="1196"/>
      <c r="J259" s="1196"/>
      <c r="K259" s="1196"/>
      <c r="L259" s="1196"/>
      <c r="M259" s="1196"/>
      <c r="N259" s="1196"/>
      <c r="O259" s="1196"/>
      <c r="P259" s="1196"/>
      <c r="Q259" s="1196"/>
      <c r="R259" s="1196"/>
      <c r="S259" s="1196"/>
      <c r="T259" s="1196"/>
      <c r="U259" s="1196"/>
      <c r="V259" s="1196"/>
      <c r="W259" s="1196"/>
      <c r="X259" s="1196"/>
      <c r="Y259" s="1196"/>
      <c r="Z259" s="1196"/>
    </row>
    <row r="260" spans="1:26" ht="12.75" customHeight="1">
      <c r="A260" s="1196"/>
      <c r="B260" s="1196"/>
      <c r="C260" s="1196"/>
      <c r="D260" s="1196"/>
      <c r="E260" s="1196"/>
      <c r="F260" s="1196"/>
      <c r="G260" s="1196"/>
      <c r="H260" s="1196"/>
      <c r="I260" s="1196"/>
      <c r="J260" s="1196"/>
      <c r="K260" s="1196"/>
      <c r="L260" s="1196"/>
      <c r="M260" s="1196"/>
      <c r="N260" s="1196"/>
      <c r="O260" s="1196"/>
      <c r="P260" s="1196"/>
      <c r="Q260" s="1196"/>
      <c r="R260" s="1196"/>
      <c r="S260" s="1196"/>
      <c r="T260" s="1196"/>
      <c r="U260" s="1196"/>
      <c r="V260" s="1196"/>
      <c r="W260" s="1196"/>
      <c r="X260" s="1196"/>
      <c r="Y260" s="1196"/>
      <c r="Z260" s="1196"/>
    </row>
    <row r="261" spans="1:26" ht="12.75" customHeight="1">
      <c r="A261" s="1196"/>
      <c r="B261" s="1196"/>
      <c r="C261" s="1196"/>
      <c r="D261" s="1196"/>
      <c r="E261" s="1196"/>
      <c r="F261" s="1196"/>
      <c r="G261" s="1196"/>
      <c r="H261" s="1196"/>
      <c r="I261" s="1196"/>
      <c r="J261" s="1196"/>
      <c r="K261" s="1196"/>
      <c r="L261" s="1196"/>
      <c r="M261" s="1196"/>
      <c r="N261" s="1196"/>
      <c r="O261" s="1196"/>
      <c r="P261" s="1196"/>
      <c r="Q261" s="1196"/>
      <c r="R261" s="1196"/>
      <c r="S261" s="1196"/>
      <c r="T261" s="1196"/>
      <c r="U261" s="1196"/>
      <c r="V261" s="1196"/>
      <c r="W261" s="1196"/>
      <c r="X261" s="1196"/>
      <c r="Y261" s="1196"/>
      <c r="Z261" s="1196"/>
    </row>
    <row r="262" spans="1:26" ht="12.75" customHeight="1">
      <c r="A262" s="1196"/>
      <c r="B262" s="1196"/>
      <c r="C262" s="1196"/>
      <c r="D262" s="1196"/>
      <c r="E262" s="1196"/>
      <c r="F262" s="1196"/>
      <c r="G262" s="1196"/>
      <c r="H262" s="1196"/>
      <c r="I262" s="1196"/>
      <c r="J262" s="1196"/>
      <c r="K262" s="1196"/>
      <c r="L262" s="1196"/>
      <c r="M262" s="1196"/>
      <c r="N262" s="1196"/>
      <c r="O262" s="1196"/>
      <c r="P262" s="1196"/>
      <c r="Q262" s="1196"/>
      <c r="R262" s="1196"/>
      <c r="S262" s="1196"/>
      <c r="T262" s="1196"/>
      <c r="U262" s="1196"/>
      <c r="V262" s="1196"/>
      <c r="W262" s="1196"/>
      <c r="X262" s="1196"/>
      <c r="Y262" s="1196"/>
      <c r="Z262" s="1196"/>
    </row>
    <row r="263" spans="1:26" ht="12.75" customHeight="1">
      <c r="A263" s="1196"/>
      <c r="B263" s="1196"/>
      <c r="C263" s="1196"/>
      <c r="D263" s="1196"/>
      <c r="E263" s="1196"/>
      <c r="F263" s="1196"/>
      <c r="G263" s="1196"/>
      <c r="H263" s="1196"/>
      <c r="I263" s="1196"/>
      <c r="J263" s="1196"/>
      <c r="K263" s="1196"/>
      <c r="L263" s="1196"/>
      <c r="M263" s="1196"/>
      <c r="N263" s="1196"/>
      <c r="O263" s="1196"/>
      <c r="P263" s="1196"/>
      <c r="Q263" s="1196"/>
      <c r="R263" s="1196"/>
      <c r="S263" s="1196"/>
      <c r="T263" s="1196"/>
      <c r="U263" s="1196"/>
      <c r="V263" s="1196"/>
      <c r="W263" s="1196"/>
      <c r="X263" s="1196"/>
      <c r="Y263" s="1196"/>
      <c r="Z263" s="1196"/>
    </row>
    <row r="264" spans="1:26" ht="12.75" customHeight="1">
      <c r="A264" s="1196"/>
      <c r="B264" s="1196"/>
      <c r="C264" s="1196"/>
      <c r="D264" s="1196"/>
      <c r="E264" s="1196"/>
      <c r="F264" s="1196"/>
      <c r="G264" s="1196"/>
      <c r="H264" s="1196"/>
      <c r="I264" s="1196"/>
      <c r="J264" s="1196"/>
      <c r="K264" s="1196"/>
      <c r="L264" s="1196"/>
      <c r="M264" s="1196"/>
      <c r="N264" s="1196"/>
      <c r="O264" s="1196"/>
      <c r="P264" s="1196"/>
      <c r="Q264" s="1196"/>
      <c r="R264" s="1196"/>
      <c r="S264" s="1196"/>
      <c r="T264" s="1196"/>
      <c r="U264" s="1196"/>
      <c r="V264" s="1196"/>
      <c r="W264" s="1196"/>
      <c r="X264" s="1196"/>
      <c r="Y264" s="1196"/>
      <c r="Z264" s="1196"/>
    </row>
    <row r="265" spans="1:26" ht="12.75" customHeight="1">
      <c r="A265" s="1196"/>
      <c r="B265" s="1196"/>
      <c r="C265" s="1196"/>
      <c r="D265" s="1196"/>
      <c r="E265" s="1196"/>
      <c r="F265" s="1196"/>
      <c r="G265" s="1196"/>
      <c r="H265" s="1196"/>
      <c r="I265" s="1196"/>
      <c r="J265" s="1196"/>
      <c r="K265" s="1196"/>
      <c r="L265" s="1196"/>
      <c r="M265" s="1196"/>
      <c r="N265" s="1196"/>
      <c r="O265" s="1196"/>
      <c r="P265" s="1196"/>
      <c r="Q265" s="1196"/>
      <c r="R265" s="1196"/>
      <c r="S265" s="1196"/>
      <c r="T265" s="1196"/>
      <c r="U265" s="1196"/>
      <c r="V265" s="1196"/>
      <c r="W265" s="1196"/>
      <c r="X265" s="1196"/>
      <c r="Y265" s="1196"/>
      <c r="Z265" s="1196"/>
    </row>
    <row r="266" spans="1:26" ht="12.75" customHeight="1">
      <c r="A266" s="1196"/>
      <c r="B266" s="1196"/>
      <c r="C266" s="1196"/>
      <c r="D266" s="1196"/>
      <c r="E266" s="1196"/>
      <c r="F266" s="1196"/>
      <c r="G266" s="1196"/>
      <c r="H266" s="1196"/>
      <c r="I266" s="1196"/>
      <c r="J266" s="1196"/>
      <c r="K266" s="1196"/>
      <c r="L266" s="1196"/>
      <c r="M266" s="1196"/>
      <c r="N266" s="1196"/>
      <c r="O266" s="1196"/>
      <c r="P266" s="1196"/>
      <c r="Q266" s="1196"/>
      <c r="R266" s="1196"/>
      <c r="S266" s="1196"/>
      <c r="T266" s="1196"/>
      <c r="U266" s="1196"/>
      <c r="V266" s="1196"/>
      <c r="W266" s="1196"/>
      <c r="X266" s="1196"/>
      <c r="Y266" s="1196"/>
      <c r="Z266" s="1196"/>
    </row>
    <row r="267" spans="1:26" ht="12.75" customHeight="1">
      <c r="A267" s="1196"/>
      <c r="B267" s="1196"/>
      <c r="C267" s="1196"/>
      <c r="D267" s="1196"/>
      <c r="E267" s="1196"/>
      <c r="F267" s="1196"/>
      <c r="G267" s="1196"/>
      <c r="H267" s="1196"/>
      <c r="I267" s="1196"/>
      <c r="J267" s="1196"/>
      <c r="K267" s="1196"/>
      <c r="L267" s="1196"/>
      <c r="M267" s="1196"/>
      <c r="N267" s="1196"/>
      <c r="O267" s="1196"/>
      <c r="P267" s="1196"/>
      <c r="Q267" s="1196"/>
      <c r="R267" s="1196"/>
      <c r="S267" s="1196"/>
      <c r="T267" s="1196"/>
      <c r="U267" s="1196"/>
      <c r="V267" s="1196"/>
      <c r="W267" s="1196"/>
      <c r="X267" s="1196"/>
      <c r="Y267" s="1196"/>
      <c r="Z267" s="1196"/>
    </row>
    <row r="268" spans="1:26" ht="12.75" customHeight="1">
      <c r="A268" s="1196"/>
      <c r="B268" s="1196"/>
      <c r="C268" s="1196"/>
      <c r="D268" s="1196"/>
      <c r="E268" s="1196"/>
      <c r="F268" s="1196"/>
      <c r="G268" s="1196"/>
      <c r="H268" s="1196"/>
      <c r="I268" s="1196"/>
      <c r="J268" s="1196"/>
      <c r="K268" s="1196"/>
      <c r="L268" s="1196"/>
      <c r="M268" s="1196"/>
      <c r="N268" s="1196"/>
      <c r="O268" s="1196"/>
      <c r="P268" s="1196"/>
      <c r="Q268" s="1196"/>
      <c r="R268" s="1196"/>
      <c r="S268" s="1196"/>
      <c r="T268" s="1196"/>
      <c r="U268" s="1196"/>
      <c r="V268" s="1196"/>
      <c r="W268" s="1196"/>
      <c r="X268" s="1196"/>
      <c r="Y268" s="1196"/>
      <c r="Z268" s="1196"/>
    </row>
    <row r="269" spans="1:26" ht="12.75" customHeight="1">
      <c r="A269" s="1196"/>
      <c r="B269" s="1196"/>
      <c r="C269" s="1196"/>
      <c r="D269" s="1196"/>
      <c r="E269" s="1196"/>
      <c r="F269" s="1196"/>
      <c r="G269" s="1196"/>
      <c r="H269" s="1196"/>
      <c r="I269" s="1196"/>
      <c r="J269" s="1196"/>
      <c r="K269" s="1196"/>
      <c r="L269" s="1196"/>
      <c r="M269" s="1196"/>
      <c r="N269" s="1196"/>
      <c r="O269" s="1196"/>
      <c r="P269" s="1196"/>
      <c r="Q269" s="1196"/>
      <c r="R269" s="1196"/>
      <c r="S269" s="1196"/>
      <c r="T269" s="1196"/>
      <c r="U269" s="1196"/>
      <c r="V269" s="1196"/>
      <c r="W269" s="1196"/>
      <c r="X269" s="1196"/>
      <c r="Y269" s="1196"/>
      <c r="Z269" s="1196"/>
    </row>
    <row r="270" spans="1:26" ht="12.75" customHeight="1">
      <c r="A270" s="1196"/>
      <c r="B270" s="1196"/>
      <c r="C270" s="1196"/>
      <c r="D270" s="1196"/>
      <c r="E270" s="1196"/>
      <c r="F270" s="1196"/>
      <c r="G270" s="1196"/>
      <c r="H270" s="1196"/>
      <c r="I270" s="1196"/>
      <c r="J270" s="1196"/>
      <c r="K270" s="1196"/>
      <c r="L270" s="1196"/>
      <c r="M270" s="1196"/>
      <c r="N270" s="1196"/>
      <c r="O270" s="1196"/>
      <c r="P270" s="1196"/>
      <c r="Q270" s="1196"/>
      <c r="R270" s="1196"/>
      <c r="S270" s="1196"/>
      <c r="T270" s="1196"/>
      <c r="U270" s="1196"/>
      <c r="V270" s="1196"/>
      <c r="W270" s="1196"/>
      <c r="X270" s="1196"/>
      <c r="Y270" s="1196"/>
      <c r="Z270" s="1196"/>
    </row>
    <row r="271" spans="1:26" ht="12.75" customHeight="1">
      <c r="A271" s="1196"/>
      <c r="B271" s="1196"/>
      <c r="C271" s="1196"/>
      <c r="D271" s="1196"/>
      <c r="E271" s="1196"/>
      <c r="F271" s="1196"/>
      <c r="G271" s="1196"/>
      <c r="H271" s="1196"/>
      <c r="I271" s="1196"/>
      <c r="J271" s="1196"/>
      <c r="K271" s="1196"/>
      <c r="L271" s="1196"/>
      <c r="M271" s="1196"/>
      <c r="N271" s="1196"/>
      <c r="O271" s="1196"/>
      <c r="P271" s="1196"/>
      <c r="Q271" s="1196"/>
      <c r="R271" s="1196"/>
      <c r="S271" s="1196"/>
      <c r="T271" s="1196"/>
      <c r="U271" s="1196"/>
      <c r="V271" s="1196"/>
      <c r="W271" s="1196"/>
      <c r="X271" s="1196"/>
      <c r="Y271" s="1196"/>
      <c r="Z271" s="1196"/>
    </row>
    <row r="272" spans="1:26" ht="12.75" customHeight="1">
      <c r="A272" s="1196"/>
      <c r="B272" s="1196"/>
      <c r="C272" s="1196"/>
      <c r="D272" s="1196"/>
      <c r="E272" s="1196"/>
      <c r="F272" s="1196"/>
      <c r="G272" s="1196"/>
      <c r="H272" s="1196"/>
      <c r="I272" s="1196"/>
      <c r="J272" s="1196"/>
      <c r="K272" s="1196"/>
      <c r="L272" s="1196"/>
      <c r="M272" s="1196"/>
      <c r="N272" s="1196"/>
      <c r="O272" s="1196"/>
      <c r="P272" s="1196"/>
      <c r="Q272" s="1196"/>
      <c r="R272" s="1196"/>
      <c r="S272" s="1196"/>
      <c r="T272" s="1196"/>
      <c r="U272" s="1196"/>
      <c r="V272" s="1196"/>
      <c r="W272" s="1196"/>
      <c r="X272" s="1196"/>
      <c r="Y272" s="1196"/>
      <c r="Z272" s="1196"/>
    </row>
    <row r="273" spans="1:26" ht="12.75" customHeight="1">
      <c r="A273" s="1196"/>
      <c r="B273" s="1196"/>
      <c r="C273" s="1196"/>
      <c r="D273" s="1196"/>
      <c r="E273" s="1196"/>
      <c r="F273" s="1196"/>
      <c r="G273" s="1196"/>
      <c r="H273" s="1196"/>
      <c r="I273" s="1196"/>
      <c r="J273" s="1196"/>
      <c r="K273" s="1196"/>
      <c r="L273" s="1196"/>
      <c r="M273" s="1196"/>
      <c r="N273" s="1196"/>
      <c r="O273" s="1196"/>
      <c r="P273" s="1196"/>
      <c r="Q273" s="1196"/>
      <c r="R273" s="1196"/>
      <c r="S273" s="1196"/>
      <c r="T273" s="1196"/>
      <c r="U273" s="1196"/>
      <c r="V273" s="1196"/>
      <c r="W273" s="1196"/>
      <c r="X273" s="1196"/>
      <c r="Y273" s="1196"/>
      <c r="Z273" s="1196"/>
    </row>
    <row r="274" spans="1:26" ht="12.75" customHeight="1">
      <c r="A274" s="1196"/>
      <c r="B274" s="1196"/>
      <c r="C274" s="1196"/>
      <c r="D274" s="1196"/>
      <c r="E274" s="1196"/>
      <c r="F274" s="1196"/>
      <c r="G274" s="1196"/>
      <c r="H274" s="1196"/>
      <c r="I274" s="1196"/>
      <c r="J274" s="1196"/>
      <c r="K274" s="1196"/>
      <c r="L274" s="1196"/>
      <c r="M274" s="1196"/>
      <c r="N274" s="1196"/>
      <c r="O274" s="1196"/>
      <c r="P274" s="1196"/>
      <c r="Q274" s="1196"/>
      <c r="R274" s="1196"/>
      <c r="S274" s="1196"/>
      <c r="T274" s="1196"/>
      <c r="U274" s="1196"/>
      <c r="V274" s="1196"/>
      <c r="W274" s="1196"/>
      <c r="X274" s="1196"/>
      <c r="Y274" s="1196"/>
      <c r="Z274" s="1196"/>
    </row>
    <row r="275" spans="1:26" ht="12.75" customHeight="1">
      <c r="A275" s="1196"/>
      <c r="B275" s="1196"/>
      <c r="C275" s="1196"/>
      <c r="D275" s="1196"/>
      <c r="E275" s="1196"/>
      <c r="F275" s="1196"/>
      <c r="G275" s="1196"/>
      <c r="H275" s="1196"/>
      <c r="I275" s="1196"/>
      <c r="J275" s="1196"/>
      <c r="K275" s="1196"/>
      <c r="L275" s="1196"/>
      <c r="M275" s="1196"/>
      <c r="N275" s="1196"/>
      <c r="O275" s="1196"/>
      <c r="P275" s="1196"/>
      <c r="Q275" s="1196"/>
      <c r="R275" s="1196"/>
      <c r="S275" s="1196"/>
      <c r="T275" s="1196"/>
      <c r="U275" s="1196"/>
      <c r="V275" s="1196"/>
      <c r="W275" s="1196"/>
      <c r="X275" s="1196"/>
      <c r="Y275" s="1196"/>
      <c r="Z275" s="1196"/>
    </row>
    <row r="276" spans="1:26" ht="12.75" customHeight="1">
      <c r="A276" s="1196"/>
      <c r="B276" s="1196"/>
      <c r="C276" s="1196"/>
      <c r="D276" s="1196"/>
      <c r="E276" s="1196"/>
      <c r="F276" s="1196"/>
      <c r="G276" s="1196"/>
      <c r="H276" s="1196"/>
      <c r="I276" s="1196"/>
      <c r="J276" s="1196"/>
      <c r="K276" s="1196"/>
      <c r="L276" s="1196"/>
      <c r="M276" s="1196"/>
      <c r="N276" s="1196"/>
      <c r="O276" s="1196"/>
      <c r="P276" s="1196"/>
      <c r="Q276" s="1196"/>
      <c r="R276" s="1196"/>
      <c r="S276" s="1196"/>
      <c r="T276" s="1196"/>
      <c r="U276" s="1196"/>
      <c r="V276" s="1196"/>
      <c r="W276" s="1196"/>
      <c r="X276" s="1196"/>
      <c r="Y276" s="1196"/>
      <c r="Z276" s="1196"/>
    </row>
    <row r="277" spans="1:26" ht="12.75" customHeight="1">
      <c r="A277" s="1196"/>
      <c r="B277" s="1196"/>
      <c r="C277" s="1196"/>
      <c r="D277" s="1196"/>
      <c r="E277" s="1196"/>
      <c r="F277" s="1196"/>
      <c r="G277" s="1196"/>
      <c r="H277" s="1196"/>
      <c r="I277" s="1196"/>
      <c r="J277" s="1196"/>
      <c r="K277" s="1196"/>
      <c r="L277" s="1196"/>
      <c r="M277" s="1196"/>
      <c r="N277" s="1196"/>
      <c r="O277" s="1196"/>
      <c r="P277" s="1196"/>
      <c r="Q277" s="1196"/>
      <c r="R277" s="1196"/>
      <c r="S277" s="1196"/>
      <c r="T277" s="1196"/>
      <c r="U277" s="1196"/>
      <c r="V277" s="1196"/>
      <c r="W277" s="1196"/>
      <c r="X277" s="1196"/>
      <c r="Y277" s="1196"/>
      <c r="Z277" s="1196"/>
    </row>
    <row r="278" spans="1:26" ht="12.75" customHeight="1">
      <c r="A278" s="1196"/>
      <c r="B278" s="1196"/>
      <c r="C278" s="1196"/>
      <c r="D278" s="1196"/>
      <c r="E278" s="1196"/>
      <c r="F278" s="1196"/>
      <c r="G278" s="1196"/>
      <c r="H278" s="1196"/>
      <c r="I278" s="1196"/>
      <c r="J278" s="1196"/>
      <c r="K278" s="1196"/>
      <c r="L278" s="1196"/>
      <c r="M278" s="1196"/>
      <c r="N278" s="1196"/>
      <c r="O278" s="1196"/>
      <c r="P278" s="1196"/>
      <c r="Q278" s="1196"/>
      <c r="R278" s="1196"/>
      <c r="S278" s="1196"/>
      <c r="T278" s="1196"/>
      <c r="U278" s="1196"/>
      <c r="V278" s="1196"/>
      <c r="W278" s="1196"/>
      <c r="X278" s="1196"/>
      <c r="Y278" s="1196"/>
      <c r="Z278" s="1196"/>
    </row>
    <row r="279" spans="1:26" ht="12.75" customHeight="1">
      <c r="A279" s="1196"/>
      <c r="B279" s="1196"/>
      <c r="C279" s="1196"/>
      <c r="D279" s="1196"/>
      <c r="E279" s="1196"/>
      <c r="F279" s="1196"/>
      <c r="G279" s="1196"/>
      <c r="H279" s="1196"/>
      <c r="I279" s="1196"/>
      <c r="J279" s="1196"/>
      <c r="K279" s="1196"/>
      <c r="L279" s="1196"/>
      <c r="M279" s="1196"/>
      <c r="N279" s="1196"/>
      <c r="O279" s="1196"/>
      <c r="P279" s="1196"/>
      <c r="Q279" s="1196"/>
      <c r="R279" s="1196"/>
      <c r="S279" s="1196"/>
      <c r="T279" s="1196"/>
      <c r="U279" s="1196"/>
      <c r="V279" s="1196"/>
      <c r="W279" s="1196"/>
      <c r="X279" s="1196"/>
      <c r="Y279" s="1196"/>
      <c r="Z279" s="1196"/>
    </row>
    <row r="280" spans="1:26" ht="12.75" customHeight="1">
      <c r="A280" s="1196"/>
      <c r="B280" s="1196"/>
      <c r="C280" s="1196"/>
      <c r="D280" s="1196"/>
      <c r="E280" s="1196"/>
      <c r="F280" s="1196"/>
      <c r="G280" s="1196"/>
      <c r="H280" s="1196"/>
      <c r="I280" s="1196"/>
      <c r="J280" s="1196"/>
      <c r="K280" s="1196"/>
      <c r="L280" s="1196"/>
      <c r="M280" s="1196"/>
      <c r="N280" s="1196"/>
      <c r="O280" s="1196"/>
      <c r="P280" s="1196"/>
      <c r="Q280" s="1196"/>
      <c r="R280" s="1196"/>
      <c r="S280" s="1196"/>
      <c r="T280" s="1196"/>
      <c r="U280" s="1196"/>
      <c r="V280" s="1196"/>
      <c r="W280" s="1196"/>
      <c r="X280" s="1196"/>
      <c r="Y280" s="1196"/>
      <c r="Z280" s="1196"/>
    </row>
    <row r="281" spans="1:26" ht="12.75" customHeight="1">
      <c r="A281" s="1196"/>
      <c r="B281" s="1196"/>
      <c r="C281" s="1196"/>
      <c r="D281" s="1196"/>
      <c r="E281" s="1196"/>
      <c r="F281" s="1196"/>
      <c r="G281" s="1196"/>
      <c r="H281" s="1196"/>
      <c r="I281" s="1196"/>
      <c r="J281" s="1196"/>
      <c r="K281" s="1196"/>
      <c r="L281" s="1196"/>
      <c r="M281" s="1196"/>
      <c r="N281" s="1196"/>
      <c r="O281" s="1196"/>
      <c r="P281" s="1196"/>
      <c r="Q281" s="1196"/>
      <c r="R281" s="1196"/>
      <c r="S281" s="1196"/>
      <c r="T281" s="1196"/>
      <c r="U281" s="1196"/>
      <c r="V281" s="1196"/>
      <c r="W281" s="1196"/>
      <c r="X281" s="1196"/>
      <c r="Y281" s="1196"/>
      <c r="Z281" s="1196"/>
    </row>
    <row r="282" spans="1:26" ht="12.75" customHeight="1">
      <c r="A282" s="1196"/>
      <c r="B282" s="1196"/>
      <c r="C282" s="1196"/>
      <c r="D282" s="1196"/>
      <c r="E282" s="1196"/>
      <c r="F282" s="1196"/>
      <c r="G282" s="1196"/>
      <c r="H282" s="1196"/>
      <c r="I282" s="1196"/>
      <c r="J282" s="1196"/>
      <c r="K282" s="1196"/>
      <c r="L282" s="1196"/>
      <c r="M282" s="1196"/>
      <c r="N282" s="1196"/>
      <c r="O282" s="1196"/>
      <c r="P282" s="1196"/>
      <c r="Q282" s="1196"/>
      <c r="R282" s="1196"/>
      <c r="S282" s="1196"/>
      <c r="T282" s="1196"/>
      <c r="U282" s="1196"/>
      <c r="V282" s="1196"/>
      <c r="W282" s="1196"/>
      <c r="X282" s="1196"/>
      <c r="Y282" s="1196"/>
      <c r="Z282" s="1196"/>
    </row>
    <row r="283" spans="1:26" ht="12.75" customHeight="1">
      <c r="A283" s="1196"/>
      <c r="B283" s="1196"/>
      <c r="C283" s="1196"/>
      <c r="D283" s="1196"/>
      <c r="E283" s="1196"/>
      <c r="F283" s="1196"/>
      <c r="G283" s="1196"/>
      <c r="H283" s="1196"/>
      <c r="I283" s="1196"/>
      <c r="J283" s="1196"/>
      <c r="K283" s="1196"/>
      <c r="L283" s="1196"/>
      <c r="M283" s="1196"/>
      <c r="N283" s="1196"/>
      <c r="O283" s="1196"/>
      <c r="P283" s="1196"/>
      <c r="Q283" s="1196"/>
      <c r="R283" s="1196"/>
      <c r="S283" s="1196"/>
      <c r="T283" s="1196"/>
      <c r="U283" s="1196"/>
      <c r="V283" s="1196"/>
      <c r="W283" s="1196"/>
      <c r="X283" s="1196"/>
      <c r="Y283" s="1196"/>
      <c r="Z283" s="1196"/>
    </row>
    <row r="284" spans="1:26" ht="12.75" customHeight="1">
      <c r="A284" s="1196"/>
      <c r="B284" s="1196"/>
      <c r="C284" s="1196"/>
      <c r="D284" s="1196"/>
      <c r="E284" s="1196"/>
      <c r="F284" s="1196"/>
      <c r="G284" s="1196"/>
      <c r="H284" s="1196"/>
      <c r="I284" s="1196"/>
      <c r="J284" s="1196"/>
      <c r="K284" s="1196"/>
      <c r="L284" s="1196"/>
      <c r="M284" s="1196"/>
      <c r="N284" s="1196"/>
      <c r="O284" s="1196"/>
      <c r="P284" s="1196"/>
      <c r="Q284" s="1196"/>
      <c r="R284" s="1196"/>
      <c r="S284" s="1196"/>
      <c r="T284" s="1196"/>
      <c r="U284" s="1196"/>
      <c r="V284" s="1196"/>
      <c r="W284" s="1196"/>
      <c r="X284" s="1196"/>
      <c r="Y284" s="1196"/>
      <c r="Z284" s="1196"/>
    </row>
    <row r="285" spans="1:26" ht="12.75" customHeight="1">
      <c r="A285" s="1196"/>
      <c r="B285" s="1196"/>
      <c r="C285" s="1196"/>
      <c r="D285" s="1196"/>
      <c r="E285" s="1196"/>
      <c r="F285" s="1196"/>
      <c r="G285" s="1196"/>
      <c r="H285" s="1196"/>
      <c r="I285" s="1196"/>
      <c r="J285" s="1196"/>
      <c r="K285" s="1196"/>
      <c r="L285" s="1196"/>
      <c r="M285" s="1196"/>
      <c r="N285" s="1196"/>
      <c r="O285" s="1196"/>
      <c r="P285" s="1196"/>
      <c r="Q285" s="1196"/>
      <c r="R285" s="1196"/>
      <c r="S285" s="1196"/>
      <c r="T285" s="1196"/>
      <c r="U285" s="1196"/>
      <c r="V285" s="1196"/>
      <c r="W285" s="1196"/>
      <c r="X285" s="1196"/>
      <c r="Y285" s="1196"/>
      <c r="Z285" s="1196"/>
    </row>
    <row r="286" spans="1:26" ht="12.75" customHeight="1">
      <c r="A286" s="1196"/>
      <c r="B286" s="1196"/>
      <c r="C286" s="1196"/>
      <c r="D286" s="1196"/>
      <c r="E286" s="1196"/>
      <c r="F286" s="1196"/>
      <c r="G286" s="1196"/>
      <c r="H286" s="1196"/>
      <c r="I286" s="1196"/>
      <c r="J286" s="1196"/>
      <c r="K286" s="1196"/>
      <c r="L286" s="1196"/>
      <c r="M286" s="1196"/>
      <c r="N286" s="1196"/>
      <c r="O286" s="1196"/>
      <c r="P286" s="1196"/>
      <c r="Q286" s="1196"/>
      <c r="R286" s="1196"/>
      <c r="S286" s="1196"/>
      <c r="T286" s="1196"/>
      <c r="U286" s="1196"/>
      <c r="V286" s="1196"/>
      <c r="W286" s="1196"/>
      <c r="X286" s="1196"/>
      <c r="Y286" s="1196"/>
      <c r="Z286" s="1196"/>
    </row>
    <row r="287" spans="1:26" ht="12.75" customHeight="1">
      <c r="A287" s="1196"/>
      <c r="B287" s="1196"/>
      <c r="C287" s="1196"/>
      <c r="D287" s="1196"/>
      <c r="E287" s="1196"/>
      <c r="F287" s="1196"/>
      <c r="G287" s="1196"/>
      <c r="H287" s="1196"/>
      <c r="I287" s="1196"/>
      <c r="J287" s="1196"/>
      <c r="K287" s="1196"/>
      <c r="L287" s="1196"/>
      <c r="M287" s="1196"/>
      <c r="N287" s="1196"/>
      <c r="O287" s="1196"/>
      <c r="P287" s="1196"/>
      <c r="Q287" s="1196"/>
      <c r="R287" s="1196"/>
      <c r="S287" s="1196"/>
      <c r="T287" s="1196"/>
      <c r="U287" s="1196"/>
      <c r="V287" s="1196"/>
      <c r="W287" s="1196"/>
      <c r="X287" s="1196"/>
      <c r="Y287" s="1196"/>
      <c r="Z287" s="1196"/>
    </row>
    <row r="288" spans="1:26" ht="12.75" customHeight="1">
      <c r="A288" s="1196"/>
      <c r="B288" s="1196"/>
      <c r="C288" s="1196"/>
      <c r="D288" s="1196"/>
      <c r="E288" s="1196"/>
      <c r="F288" s="1196"/>
      <c r="G288" s="1196"/>
      <c r="H288" s="1196"/>
      <c r="I288" s="1196"/>
      <c r="J288" s="1196"/>
      <c r="K288" s="1196"/>
      <c r="L288" s="1196"/>
      <c r="M288" s="1196"/>
      <c r="N288" s="1196"/>
      <c r="O288" s="1196"/>
      <c r="P288" s="1196"/>
      <c r="Q288" s="1196"/>
      <c r="R288" s="1196"/>
      <c r="S288" s="1196"/>
      <c r="T288" s="1196"/>
      <c r="U288" s="1196"/>
      <c r="V288" s="1196"/>
      <c r="W288" s="1196"/>
      <c r="X288" s="1196"/>
      <c r="Y288" s="1196"/>
      <c r="Z288" s="1196"/>
    </row>
    <row r="289" spans="1:26" ht="12.75" customHeight="1">
      <c r="A289" s="1196"/>
      <c r="B289" s="1196"/>
      <c r="C289" s="1196"/>
      <c r="D289" s="1196"/>
      <c r="E289" s="1196"/>
      <c r="F289" s="1196"/>
      <c r="G289" s="1196"/>
      <c r="H289" s="1196"/>
      <c r="I289" s="1196"/>
      <c r="J289" s="1196"/>
      <c r="K289" s="1196"/>
      <c r="L289" s="1196"/>
      <c r="M289" s="1196"/>
      <c r="N289" s="1196"/>
      <c r="O289" s="1196"/>
      <c r="P289" s="1196"/>
      <c r="Q289" s="1196"/>
      <c r="R289" s="1196"/>
      <c r="S289" s="1196"/>
      <c r="T289" s="1196"/>
      <c r="U289" s="1196"/>
      <c r="V289" s="1196"/>
      <c r="W289" s="1196"/>
      <c r="X289" s="1196"/>
      <c r="Y289" s="1196"/>
      <c r="Z289" s="1196"/>
    </row>
    <row r="290" spans="1:26" ht="12.75" customHeight="1">
      <c r="A290" s="1196"/>
      <c r="B290" s="1196"/>
      <c r="C290" s="1196"/>
      <c r="D290" s="1196"/>
      <c r="E290" s="1196"/>
      <c r="F290" s="1196"/>
      <c r="G290" s="1196"/>
      <c r="H290" s="1196"/>
      <c r="I290" s="1196"/>
      <c r="J290" s="1196"/>
      <c r="K290" s="1196"/>
      <c r="L290" s="1196"/>
      <c r="M290" s="1196"/>
      <c r="N290" s="1196"/>
      <c r="O290" s="1196"/>
      <c r="P290" s="1196"/>
      <c r="Q290" s="1196"/>
      <c r="R290" s="1196"/>
      <c r="S290" s="1196"/>
      <c r="T290" s="1196"/>
      <c r="U290" s="1196"/>
      <c r="V290" s="1196"/>
      <c r="W290" s="1196"/>
      <c r="X290" s="1196"/>
      <c r="Y290" s="1196"/>
      <c r="Z290" s="1196"/>
    </row>
    <row r="291" spans="1:26" ht="12.75" customHeight="1">
      <c r="A291" s="1196"/>
      <c r="B291" s="1196"/>
      <c r="C291" s="1196"/>
      <c r="D291" s="1196"/>
      <c r="E291" s="1196"/>
      <c r="F291" s="1196"/>
      <c r="G291" s="1196"/>
      <c r="H291" s="1196"/>
      <c r="I291" s="1196"/>
      <c r="J291" s="1196"/>
      <c r="K291" s="1196"/>
      <c r="L291" s="1196"/>
      <c r="M291" s="1196"/>
      <c r="N291" s="1196"/>
      <c r="O291" s="1196"/>
      <c r="P291" s="1196"/>
      <c r="Q291" s="1196"/>
      <c r="R291" s="1196"/>
      <c r="S291" s="1196"/>
      <c r="T291" s="1196"/>
      <c r="U291" s="1196"/>
      <c r="V291" s="1196"/>
      <c r="W291" s="1196"/>
      <c r="X291" s="1196"/>
      <c r="Y291" s="1196"/>
      <c r="Z291" s="1196"/>
    </row>
    <row r="292" spans="1:26" ht="12.75" customHeight="1">
      <c r="A292" s="1196"/>
      <c r="B292" s="1196"/>
      <c r="C292" s="1196"/>
      <c r="D292" s="1196"/>
      <c r="E292" s="1196"/>
      <c r="F292" s="1196"/>
      <c r="G292" s="1196"/>
      <c r="H292" s="1196"/>
      <c r="I292" s="1196"/>
      <c r="J292" s="1196"/>
      <c r="K292" s="1196"/>
      <c r="L292" s="1196"/>
      <c r="M292" s="1196"/>
      <c r="N292" s="1196"/>
      <c r="O292" s="1196"/>
      <c r="P292" s="1196"/>
      <c r="Q292" s="1196"/>
      <c r="R292" s="1196"/>
      <c r="S292" s="1196"/>
      <c r="T292" s="1196"/>
      <c r="U292" s="1196"/>
      <c r="V292" s="1196"/>
      <c r="W292" s="1196"/>
      <c r="X292" s="1196"/>
      <c r="Y292" s="1196"/>
      <c r="Z292" s="1196"/>
    </row>
    <row r="293" spans="1:26" ht="12.75" customHeight="1">
      <c r="A293" s="1196"/>
      <c r="B293" s="1196"/>
      <c r="C293" s="1196"/>
      <c r="D293" s="1196"/>
      <c r="E293" s="1196"/>
      <c r="F293" s="1196"/>
      <c r="G293" s="1196"/>
      <c r="H293" s="1196"/>
      <c r="I293" s="1196"/>
      <c r="J293" s="1196"/>
      <c r="K293" s="1196"/>
      <c r="L293" s="1196"/>
      <c r="M293" s="1196"/>
      <c r="N293" s="1196"/>
      <c r="O293" s="1196"/>
      <c r="P293" s="1196"/>
      <c r="Q293" s="1196"/>
      <c r="R293" s="1196"/>
      <c r="S293" s="1196"/>
      <c r="T293" s="1196"/>
      <c r="U293" s="1196"/>
      <c r="V293" s="1196"/>
      <c r="W293" s="1196"/>
      <c r="X293" s="1196"/>
      <c r="Y293" s="1196"/>
      <c r="Z293" s="1196"/>
    </row>
    <row r="294" spans="1:26" ht="12.75" customHeight="1">
      <c r="A294" s="1196"/>
      <c r="B294" s="1196"/>
      <c r="C294" s="1196"/>
      <c r="D294" s="1196"/>
      <c r="E294" s="1196"/>
      <c r="F294" s="1196"/>
      <c r="G294" s="1196"/>
      <c r="H294" s="1196"/>
      <c r="I294" s="1196"/>
      <c r="J294" s="1196"/>
      <c r="K294" s="1196"/>
      <c r="L294" s="1196"/>
      <c r="M294" s="1196"/>
      <c r="N294" s="1196"/>
      <c r="O294" s="1196"/>
      <c r="P294" s="1196"/>
      <c r="Q294" s="1196"/>
      <c r="R294" s="1196"/>
      <c r="S294" s="1196"/>
      <c r="T294" s="1196"/>
      <c r="U294" s="1196"/>
      <c r="V294" s="1196"/>
      <c r="W294" s="1196"/>
      <c r="X294" s="1196"/>
      <c r="Y294" s="1196"/>
      <c r="Z294" s="1196"/>
    </row>
    <row r="295" spans="1:26" ht="12.75" customHeight="1">
      <c r="A295" s="1196"/>
      <c r="B295" s="1196"/>
      <c r="C295" s="1196"/>
      <c r="D295" s="1196"/>
      <c r="E295" s="1196"/>
      <c r="F295" s="1196"/>
      <c r="G295" s="1196"/>
      <c r="H295" s="1196"/>
      <c r="I295" s="1196"/>
      <c r="J295" s="1196"/>
      <c r="K295" s="1196"/>
      <c r="L295" s="1196"/>
      <c r="M295" s="1196"/>
      <c r="N295" s="1196"/>
      <c r="O295" s="1196"/>
      <c r="P295" s="1196"/>
      <c r="Q295" s="1196"/>
      <c r="R295" s="1196"/>
      <c r="S295" s="1196"/>
      <c r="T295" s="1196"/>
      <c r="U295" s="1196"/>
      <c r="V295" s="1196"/>
      <c r="W295" s="1196"/>
      <c r="X295" s="1196"/>
      <c r="Y295" s="1196"/>
      <c r="Z295" s="1196"/>
    </row>
    <row r="296" spans="1:26" ht="12.75" customHeight="1">
      <c r="A296" s="1196"/>
      <c r="B296" s="1196"/>
      <c r="C296" s="1196"/>
      <c r="D296" s="1196"/>
      <c r="E296" s="1196"/>
      <c r="F296" s="1196"/>
      <c r="G296" s="1196"/>
      <c r="H296" s="1196"/>
      <c r="I296" s="1196"/>
      <c r="J296" s="1196"/>
      <c r="K296" s="1196"/>
      <c r="L296" s="1196"/>
      <c r="M296" s="1196"/>
      <c r="N296" s="1196"/>
      <c r="O296" s="1196"/>
      <c r="P296" s="1196"/>
      <c r="Q296" s="1196"/>
      <c r="R296" s="1196"/>
      <c r="S296" s="1196"/>
      <c r="T296" s="1196"/>
      <c r="U296" s="1196"/>
      <c r="V296" s="1196"/>
      <c r="W296" s="1196"/>
      <c r="X296" s="1196"/>
      <c r="Y296" s="1196"/>
      <c r="Z296" s="1196"/>
    </row>
    <row r="297" spans="1:26" ht="12.75" customHeight="1">
      <c r="A297" s="1196"/>
      <c r="B297" s="1196"/>
      <c r="C297" s="1196"/>
      <c r="D297" s="1196"/>
      <c r="E297" s="1196"/>
      <c r="F297" s="1196"/>
      <c r="G297" s="1196"/>
      <c r="H297" s="1196"/>
      <c r="I297" s="1196"/>
      <c r="J297" s="1196"/>
      <c r="K297" s="1196"/>
      <c r="L297" s="1196"/>
      <c r="M297" s="1196"/>
      <c r="N297" s="1196"/>
      <c r="O297" s="1196"/>
      <c r="P297" s="1196"/>
      <c r="Q297" s="1196"/>
      <c r="R297" s="1196"/>
      <c r="S297" s="1196"/>
      <c r="T297" s="1196"/>
      <c r="U297" s="1196"/>
      <c r="V297" s="1196"/>
      <c r="W297" s="1196"/>
      <c r="X297" s="1196"/>
      <c r="Y297" s="1196"/>
      <c r="Z297" s="1196"/>
    </row>
    <row r="298" spans="1:26" ht="12.75" customHeight="1">
      <c r="A298" s="1196"/>
      <c r="B298" s="1196"/>
      <c r="C298" s="1196"/>
      <c r="D298" s="1196"/>
      <c r="E298" s="1196"/>
      <c r="F298" s="1196"/>
      <c r="G298" s="1196"/>
      <c r="H298" s="1196"/>
      <c r="I298" s="1196"/>
      <c r="J298" s="1196"/>
      <c r="K298" s="1196"/>
      <c r="L298" s="1196"/>
      <c r="M298" s="1196"/>
      <c r="N298" s="1196"/>
      <c r="O298" s="1196"/>
      <c r="P298" s="1196"/>
      <c r="Q298" s="1196"/>
      <c r="R298" s="1196"/>
      <c r="S298" s="1196"/>
      <c r="T298" s="1196"/>
      <c r="U298" s="1196"/>
      <c r="V298" s="1196"/>
      <c r="W298" s="1196"/>
      <c r="X298" s="1196"/>
      <c r="Y298" s="1196"/>
      <c r="Z298" s="1196"/>
    </row>
    <row r="299" spans="1:26" ht="12.75" customHeight="1">
      <c r="A299" s="1196"/>
      <c r="B299" s="1196"/>
      <c r="C299" s="1196"/>
      <c r="D299" s="1196"/>
      <c r="E299" s="1196"/>
      <c r="F299" s="1196"/>
      <c r="G299" s="1196"/>
      <c r="H299" s="1196"/>
      <c r="I299" s="1196"/>
      <c r="J299" s="1196"/>
      <c r="K299" s="1196"/>
      <c r="L299" s="1196"/>
      <c r="M299" s="1196"/>
      <c r="N299" s="1196"/>
      <c r="O299" s="1196"/>
      <c r="P299" s="1196"/>
      <c r="Q299" s="1196"/>
      <c r="R299" s="1196"/>
      <c r="S299" s="1196"/>
      <c r="T299" s="1196"/>
      <c r="U299" s="1196"/>
      <c r="V299" s="1196"/>
      <c r="W299" s="1196"/>
      <c r="X299" s="1196"/>
      <c r="Y299" s="1196"/>
      <c r="Z299" s="1196"/>
    </row>
    <row r="300" spans="1:26" ht="12.75" customHeight="1">
      <c r="A300" s="1196"/>
      <c r="B300" s="1196"/>
      <c r="C300" s="1196"/>
      <c r="D300" s="1196"/>
      <c r="E300" s="1196"/>
      <c r="F300" s="1196"/>
      <c r="G300" s="1196"/>
      <c r="H300" s="1196"/>
      <c r="I300" s="1196"/>
      <c r="J300" s="1196"/>
      <c r="K300" s="1196"/>
      <c r="L300" s="1196"/>
      <c r="M300" s="1196"/>
      <c r="N300" s="1196"/>
      <c r="O300" s="1196"/>
      <c r="P300" s="1196"/>
      <c r="Q300" s="1196"/>
      <c r="R300" s="1196"/>
      <c r="S300" s="1196"/>
      <c r="T300" s="1196"/>
      <c r="U300" s="1196"/>
      <c r="V300" s="1196"/>
      <c r="W300" s="1196"/>
      <c r="X300" s="1196"/>
      <c r="Y300" s="1196"/>
      <c r="Z300" s="1196"/>
    </row>
    <row r="301" spans="1:26" ht="12.75" customHeight="1">
      <c r="A301" s="1196"/>
      <c r="B301" s="1196"/>
      <c r="C301" s="1196"/>
      <c r="D301" s="1196"/>
      <c r="E301" s="1196"/>
      <c r="F301" s="1196"/>
      <c r="G301" s="1196"/>
      <c r="H301" s="1196"/>
      <c r="I301" s="1196"/>
      <c r="J301" s="1196"/>
      <c r="K301" s="1196"/>
      <c r="L301" s="1196"/>
      <c r="M301" s="1196"/>
      <c r="N301" s="1196"/>
      <c r="O301" s="1196"/>
      <c r="P301" s="1196"/>
      <c r="Q301" s="1196"/>
      <c r="R301" s="1196"/>
      <c r="S301" s="1196"/>
      <c r="T301" s="1196"/>
      <c r="U301" s="1196"/>
      <c r="V301" s="1196"/>
      <c r="W301" s="1196"/>
      <c r="X301" s="1196"/>
      <c r="Y301" s="1196"/>
      <c r="Z301" s="1196"/>
    </row>
    <row r="302" spans="1:26" ht="12.75" customHeight="1">
      <c r="A302" s="1196"/>
      <c r="B302" s="1196"/>
      <c r="C302" s="1196"/>
      <c r="D302" s="1196"/>
      <c r="E302" s="1196"/>
      <c r="F302" s="1196"/>
      <c r="G302" s="1196"/>
      <c r="H302" s="1196"/>
      <c r="I302" s="1196"/>
      <c r="J302" s="1196"/>
      <c r="K302" s="1196"/>
      <c r="L302" s="1196"/>
      <c r="M302" s="1196"/>
      <c r="N302" s="1196"/>
      <c r="O302" s="1196"/>
      <c r="P302" s="1196"/>
      <c r="Q302" s="1196"/>
      <c r="R302" s="1196"/>
      <c r="S302" s="1196"/>
      <c r="T302" s="1196"/>
      <c r="U302" s="1196"/>
      <c r="V302" s="1196"/>
      <c r="W302" s="1196"/>
      <c r="X302" s="1196"/>
      <c r="Y302" s="1196"/>
      <c r="Z302" s="1196"/>
    </row>
    <row r="303" spans="1:26" ht="12.75" customHeight="1">
      <c r="A303" s="1196"/>
      <c r="B303" s="1196"/>
      <c r="C303" s="1196"/>
      <c r="D303" s="1196"/>
      <c r="E303" s="1196"/>
      <c r="F303" s="1196"/>
      <c r="G303" s="1196"/>
      <c r="H303" s="1196"/>
      <c r="I303" s="1196"/>
      <c r="J303" s="1196"/>
      <c r="K303" s="1196"/>
      <c r="L303" s="1196"/>
      <c r="M303" s="1196"/>
      <c r="N303" s="1196"/>
      <c r="O303" s="1196"/>
      <c r="P303" s="1196"/>
      <c r="Q303" s="1196"/>
      <c r="R303" s="1196"/>
      <c r="S303" s="1196"/>
      <c r="T303" s="1196"/>
      <c r="U303" s="1196"/>
      <c r="V303" s="1196"/>
      <c r="W303" s="1196"/>
      <c r="X303" s="1196"/>
      <c r="Y303" s="1196"/>
      <c r="Z303" s="1196"/>
    </row>
    <row r="304" spans="1:26" ht="12.75" customHeight="1">
      <c r="A304" s="1196"/>
      <c r="B304" s="1196"/>
      <c r="C304" s="1196"/>
      <c r="D304" s="1196"/>
      <c r="E304" s="1196"/>
      <c r="F304" s="1196"/>
      <c r="G304" s="1196"/>
      <c r="H304" s="1196"/>
      <c r="I304" s="1196"/>
      <c r="J304" s="1196"/>
      <c r="K304" s="1196"/>
      <c r="L304" s="1196"/>
      <c r="M304" s="1196"/>
      <c r="N304" s="1196"/>
      <c r="O304" s="1196"/>
      <c r="P304" s="1196"/>
      <c r="Q304" s="1196"/>
      <c r="R304" s="1196"/>
      <c r="S304" s="1196"/>
      <c r="T304" s="1196"/>
      <c r="U304" s="1196"/>
      <c r="V304" s="1196"/>
      <c r="W304" s="1196"/>
      <c r="X304" s="1196"/>
      <c r="Y304" s="1196"/>
      <c r="Z304" s="1196"/>
    </row>
    <row r="305" spans="1:26" ht="12.75" customHeight="1">
      <c r="A305" s="1196"/>
      <c r="B305" s="1196"/>
      <c r="C305" s="1196"/>
      <c r="D305" s="1196"/>
      <c r="E305" s="1196"/>
      <c r="F305" s="1196"/>
      <c r="G305" s="1196"/>
      <c r="H305" s="1196"/>
      <c r="I305" s="1196"/>
      <c r="J305" s="1196"/>
      <c r="K305" s="1196"/>
      <c r="L305" s="1196"/>
      <c r="M305" s="1196"/>
      <c r="N305" s="1196"/>
      <c r="O305" s="1196"/>
      <c r="P305" s="1196"/>
      <c r="Q305" s="1196"/>
      <c r="R305" s="1196"/>
      <c r="S305" s="1196"/>
      <c r="T305" s="1196"/>
      <c r="U305" s="1196"/>
      <c r="V305" s="1196"/>
      <c r="W305" s="1196"/>
      <c r="X305" s="1196"/>
      <c r="Y305" s="1196"/>
      <c r="Z305" s="1196"/>
    </row>
    <row r="306" spans="1:26" ht="12.75" customHeight="1">
      <c r="A306" s="1196"/>
      <c r="B306" s="1196"/>
      <c r="C306" s="1196"/>
      <c r="D306" s="1196"/>
      <c r="E306" s="1196"/>
      <c r="F306" s="1196"/>
      <c r="G306" s="1196"/>
      <c r="H306" s="1196"/>
      <c r="I306" s="1196"/>
      <c r="J306" s="1196"/>
      <c r="K306" s="1196"/>
      <c r="L306" s="1196"/>
      <c r="M306" s="1196"/>
      <c r="N306" s="1196"/>
      <c r="O306" s="1196"/>
      <c r="P306" s="1196"/>
      <c r="Q306" s="1196"/>
      <c r="R306" s="1196"/>
      <c r="S306" s="1196"/>
      <c r="T306" s="1196"/>
      <c r="U306" s="1196"/>
      <c r="V306" s="1196"/>
      <c r="W306" s="1196"/>
      <c r="X306" s="1196"/>
      <c r="Y306" s="1196"/>
      <c r="Z306" s="1196"/>
    </row>
    <row r="307" spans="1:26" ht="12.75" customHeight="1">
      <c r="A307" s="1196"/>
      <c r="B307" s="1196"/>
      <c r="C307" s="1196"/>
      <c r="D307" s="1196"/>
      <c r="E307" s="1196"/>
      <c r="F307" s="1196"/>
      <c r="G307" s="1196"/>
      <c r="H307" s="1196"/>
      <c r="I307" s="1196"/>
      <c r="J307" s="1196"/>
      <c r="K307" s="1196"/>
      <c r="L307" s="1196"/>
      <c r="M307" s="1196"/>
      <c r="N307" s="1196"/>
      <c r="O307" s="1196"/>
      <c r="P307" s="1196"/>
      <c r="Q307" s="1196"/>
      <c r="R307" s="1196"/>
      <c r="S307" s="1196"/>
      <c r="T307" s="1196"/>
      <c r="U307" s="1196"/>
      <c r="V307" s="1196"/>
      <c r="W307" s="1196"/>
      <c r="X307" s="1196"/>
      <c r="Y307" s="1196"/>
      <c r="Z307" s="1196"/>
    </row>
    <row r="308" spans="1:26" ht="12.75" customHeight="1">
      <c r="A308" s="1196"/>
      <c r="B308" s="1196"/>
      <c r="C308" s="1196"/>
      <c r="D308" s="1196"/>
      <c r="E308" s="1196"/>
      <c r="F308" s="1196"/>
      <c r="G308" s="1196"/>
      <c r="H308" s="1196"/>
      <c r="I308" s="1196"/>
      <c r="J308" s="1196"/>
      <c r="K308" s="1196"/>
      <c r="L308" s="1196"/>
      <c r="M308" s="1196"/>
      <c r="N308" s="1196"/>
      <c r="O308" s="1196"/>
      <c r="P308" s="1196"/>
      <c r="Q308" s="1196"/>
      <c r="R308" s="1196"/>
      <c r="S308" s="1196"/>
      <c r="T308" s="1196"/>
      <c r="U308" s="1196"/>
      <c r="V308" s="1196"/>
      <c r="W308" s="1196"/>
      <c r="X308" s="1196"/>
      <c r="Y308" s="1196"/>
      <c r="Z308" s="1196"/>
    </row>
    <row r="309" spans="1:26" ht="12.75" customHeight="1">
      <c r="A309" s="1196"/>
      <c r="B309" s="1196"/>
      <c r="C309" s="1196"/>
      <c r="D309" s="1196"/>
      <c r="E309" s="1196"/>
      <c r="F309" s="1196"/>
      <c r="G309" s="1196"/>
      <c r="H309" s="1196"/>
      <c r="I309" s="1196"/>
      <c r="J309" s="1196"/>
      <c r="K309" s="1196"/>
      <c r="L309" s="1196"/>
      <c r="M309" s="1196"/>
      <c r="N309" s="1196"/>
      <c r="O309" s="1196"/>
      <c r="P309" s="1196"/>
      <c r="Q309" s="1196"/>
      <c r="R309" s="1196"/>
      <c r="S309" s="1196"/>
      <c r="T309" s="1196"/>
      <c r="U309" s="1196"/>
      <c r="V309" s="1196"/>
      <c r="W309" s="1196"/>
      <c r="X309" s="1196"/>
      <c r="Y309" s="1196"/>
      <c r="Z309" s="1196"/>
    </row>
    <row r="310" spans="1:26" ht="12.75" customHeight="1">
      <c r="A310" s="1196"/>
      <c r="B310" s="1196"/>
      <c r="C310" s="1196"/>
      <c r="D310" s="1196"/>
      <c r="E310" s="1196"/>
      <c r="F310" s="1196"/>
      <c r="G310" s="1196"/>
      <c r="H310" s="1196"/>
      <c r="I310" s="1196"/>
      <c r="J310" s="1196"/>
      <c r="K310" s="1196"/>
      <c r="L310" s="1196"/>
      <c r="M310" s="1196"/>
      <c r="N310" s="1196"/>
      <c r="O310" s="1196"/>
      <c r="P310" s="1196"/>
      <c r="Q310" s="1196"/>
      <c r="R310" s="1196"/>
      <c r="S310" s="1196"/>
      <c r="T310" s="1196"/>
      <c r="U310" s="1196"/>
      <c r="V310" s="1196"/>
      <c r="W310" s="1196"/>
      <c r="X310" s="1196"/>
      <c r="Y310" s="1196"/>
      <c r="Z310" s="1196"/>
    </row>
    <row r="311" spans="1:26" ht="12.75" customHeight="1">
      <c r="A311" s="1196"/>
      <c r="B311" s="1196"/>
      <c r="C311" s="1196"/>
      <c r="D311" s="1196"/>
      <c r="E311" s="1196"/>
      <c r="F311" s="1196"/>
      <c r="G311" s="1196"/>
      <c r="H311" s="1196"/>
      <c r="I311" s="1196"/>
      <c r="J311" s="1196"/>
      <c r="K311" s="1196"/>
      <c r="L311" s="1196"/>
      <c r="M311" s="1196"/>
      <c r="N311" s="1196"/>
      <c r="O311" s="1196"/>
      <c r="P311" s="1196"/>
      <c r="Q311" s="1196"/>
      <c r="R311" s="1196"/>
      <c r="S311" s="1196"/>
      <c r="T311" s="1196"/>
      <c r="U311" s="1196"/>
      <c r="V311" s="1196"/>
      <c r="W311" s="1196"/>
      <c r="X311" s="1196"/>
      <c r="Y311" s="1196"/>
      <c r="Z311" s="1196"/>
    </row>
    <row r="312" spans="1:26" ht="12.75" customHeight="1">
      <c r="A312" s="1196"/>
      <c r="B312" s="1196"/>
      <c r="C312" s="1196"/>
      <c r="D312" s="1196"/>
      <c r="E312" s="1196"/>
      <c r="F312" s="1196"/>
      <c r="G312" s="1196"/>
      <c r="H312" s="1196"/>
      <c r="I312" s="1196"/>
      <c r="J312" s="1196"/>
      <c r="K312" s="1196"/>
      <c r="L312" s="1196"/>
      <c r="M312" s="1196"/>
      <c r="N312" s="1196"/>
      <c r="O312" s="1196"/>
      <c r="P312" s="1196"/>
      <c r="Q312" s="1196"/>
      <c r="R312" s="1196"/>
      <c r="S312" s="1196"/>
      <c r="T312" s="1196"/>
      <c r="U312" s="1196"/>
      <c r="V312" s="1196"/>
      <c r="W312" s="1196"/>
      <c r="X312" s="1196"/>
      <c r="Y312" s="1196"/>
      <c r="Z312" s="1196"/>
    </row>
    <row r="313" spans="1:26" ht="12.75" customHeight="1">
      <c r="A313" s="1196"/>
      <c r="B313" s="1196"/>
      <c r="C313" s="1196"/>
      <c r="D313" s="1196"/>
      <c r="E313" s="1196"/>
      <c r="F313" s="1196"/>
      <c r="G313" s="1196"/>
      <c r="H313" s="1196"/>
      <c r="I313" s="1196"/>
      <c r="J313" s="1196"/>
      <c r="K313" s="1196"/>
      <c r="L313" s="1196"/>
      <c r="M313" s="1196"/>
      <c r="N313" s="1196"/>
      <c r="O313" s="1196"/>
      <c r="P313" s="1196"/>
      <c r="Q313" s="1196"/>
      <c r="R313" s="1196"/>
      <c r="S313" s="1196"/>
      <c r="T313" s="1196"/>
      <c r="U313" s="1196"/>
      <c r="V313" s="1196"/>
      <c r="W313" s="1196"/>
      <c r="X313" s="1196"/>
      <c r="Y313" s="1196"/>
      <c r="Z313" s="1196"/>
    </row>
    <row r="314" spans="1:26" ht="12.75" customHeight="1">
      <c r="A314" s="1196"/>
      <c r="B314" s="1196"/>
      <c r="C314" s="1196"/>
      <c r="D314" s="1196"/>
      <c r="E314" s="1196"/>
      <c r="F314" s="1196"/>
      <c r="G314" s="1196"/>
      <c r="H314" s="1196"/>
      <c r="I314" s="1196"/>
      <c r="J314" s="1196"/>
      <c r="K314" s="1196"/>
      <c r="L314" s="1196"/>
      <c r="M314" s="1196"/>
      <c r="N314" s="1196"/>
      <c r="O314" s="1196"/>
      <c r="P314" s="1196"/>
      <c r="Q314" s="1196"/>
      <c r="R314" s="1196"/>
      <c r="S314" s="1196"/>
      <c r="T314" s="1196"/>
      <c r="U314" s="1196"/>
      <c r="V314" s="1196"/>
      <c r="W314" s="1196"/>
      <c r="X314" s="1196"/>
      <c r="Y314" s="1196"/>
      <c r="Z314" s="1196"/>
    </row>
    <row r="315" spans="1:26" ht="12.75" customHeight="1">
      <c r="A315" s="1196"/>
      <c r="B315" s="1196"/>
      <c r="C315" s="1196"/>
      <c r="D315" s="1196"/>
      <c r="E315" s="1196"/>
      <c r="F315" s="1196"/>
      <c r="G315" s="1196"/>
      <c r="H315" s="1196"/>
      <c r="I315" s="1196"/>
      <c r="J315" s="1196"/>
      <c r="K315" s="1196"/>
      <c r="L315" s="1196"/>
      <c r="M315" s="1196"/>
      <c r="N315" s="1196"/>
      <c r="O315" s="1196"/>
      <c r="P315" s="1196"/>
      <c r="Q315" s="1196"/>
      <c r="R315" s="1196"/>
      <c r="S315" s="1196"/>
      <c r="T315" s="1196"/>
      <c r="U315" s="1196"/>
      <c r="V315" s="1196"/>
      <c r="W315" s="1196"/>
      <c r="X315" s="1196"/>
      <c r="Y315" s="1196"/>
      <c r="Z315" s="1196"/>
    </row>
    <row r="316" spans="1:26" ht="12.75" customHeight="1">
      <c r="A316" s="1196"/>
      <c r="B316" s="1196"/>
      <c r="C316" s="1196"/>
      <c r="D316" s="1196"/>
      <c r="E316" s="1196"/>
      <c r="F316" s="1196"/>
      <c r="G316" s="1196"/>
      <c r="H316" s="1196"/>
      <c r="I316" s="1196"/>
      <c r="J316" s="1196"/>
      <c r="K316" s="1196"/>
      <c r="L316" s="1196"/>
      <c r="M316" s="1196"/>
      <c r="N316" s="1196"/>
      <c r="O316" s="1196"/>
      <c r="P316" s="1196"/>
      <c r="Q316" s="1196"/>
      <c r="R316" s="1196"/>
      <c r="S316" s="1196"/>
      <c r="T316" s="1196"/>
      <c r="U316" s="1196"/>
      <c r="V316" s="1196"/>
      <c r="W316" s="1196"/>
      <c r="X316" s="1196"/>
      <c r="Y316" s="1196"/>
      <c r="Z316" s="1196"/>
    </row>
    <row r="317" spans="1:26" ht="12.75" customHeight="1">
      <c r="A317" s="1196"/>
      <c r="B317" s="1196"/>
      <c r="C317" s="1196"/>
      <c r="D317" s="1196"/>
      <c r="E317" s="1196"/>
      <c r="F317" s="1196"/>
      <c r="G317" s="1196"/>
      <c r="H317" s="1196"/>
      <c r="I317" s="1196"/>
      <c r="J317" s="1196"/>
      <c r="K317" s="1196"/>
      <c r="L317" s="1196"/>
      <c r="M317" s="1196"/>
      <c r="N317" s="1196"/>
      <c r="O317" s="1196"/>
      <c r="P317" s="1196"/>
      <c r="Q317" s="1196"/>
      <c r="R317" s="1196"/>
      <c r="S317" s="1196"/>
      <c r="T317" s="1196"/>
      <c r="U317" s="1196"/>
      <c r="V317" s="1196"/>
      <c r="W317" s="1196"/>
      <c r="X317" s="1196"/>
      <c r="Y317" s="1196"/>
      <c r="Z317" s="1196"/>
    </row>
    <row r="318" spans="1:26" ht="12.75" customHeight="1">
      <c r="A318" s="1196"/>
      <c r="B318" s="1196"/>
      <c r="C318" s="1196"/>
      <c r="D318" s="1196"/>
      <c r="E318" s="1196"/>
      <c r="F318" s="1196"/>
      <c r="G318" s="1196"/>
      <c r="H318" s="1196"/>
      <c r="I318" s="1196"/>
      <c r="J318" s="1196"/>
      <c r="K318" s="1196"/>
      <c r="L318" s="1196"/>
      <c r="M318" s="1196"/>
      <c r="N318" s="1196"/>
      <c r="O318" s="1196"/>
      <c r="P318" s="1196"/>
      <c r="Q318" s="1196"/>
      <c r="R318" s="1196"/>
      <c r="S318" s="1196"/>
      <c r="T318" s="1196"/>
      <c r="U318" s="1196"/>
      <c r="V318" s="1196"/>
      <c r="W318" s="1196"/>
      <c r="X318" s="1196"/>
      <c r="Y318" s="1196"/>
      <c r="Z318" s="1196"/>
    </row>
    <row r="319" spans="1:26" ht="12.75" customHeight="1">
      <c r="A319" s="1196"/>
      <c r="B319" s="1196"/>
      <c r="C319" s="1196"/>
      <c r="D319" s="1196"/>
      <c r="E319" s="1196"/>
      <c r="F319" s="1196"/>
      <c r="G319" s="1196"/>
      <c r="H319" s="1196"/>
      <c r="I319" s="1196"/>
      <c r="J319" s="1196"/>
      <c r="K319" s="1196"/>
      <c r="L319" s="1196"/>
      <c r="M319" s="1196"/>
      <c r="N319" s="1196"/>
      <c r="O319" s="1196"/>
      <c r="P319" s="1196"/>
      <c r="Q319" s="1196"/>
      <c r="R319" s="1196"/>
      <c r="S319" s="1196"/>
      <c r="T319" s="1196"/>
      <c r="U319" s="1196"/>
      <c r="V319" s="1196"/>
      <c r="W319" s="1196"/>
      <c r="X319" s="1196"/>
      <c r="Y319" s="1196"/>
      <c r="Z319" s="1196"/>
    </row>
    <row r="320" spans="1:26" ht="12.75" customHeight="1">
      <c r="A320" s="1196"/>
      <c r="B320" s="1196"/>
      <c r="C320" s="1196"/>
      <c r="D320" s="1196"/>
      <c r="E320" s="1196"/>
      <c r="F320" s="1196"/>
      <c r="G320" s="1196"/>
      <c r="H320" s="1196"/>
      <c r="I320" s="1196"/>
      <c r="J320" s="1196"/>
      <c r="K320" s="1196"/>
      <c r="L320" s="1196"/>
      <c r="M320" s="1196"/>
      <c r="N320" s="1196"/>
      <c r="O320" s="1196"/>
      <c r="P320" s="1196"/>
      <c r="Q320" s="1196"/>
      <c r="R320" s="1196"/>
      <c r="S320" s="1196"/>
      <c r="T320" s="1196"/>
      <c r="U320" s="1196"/>
      <c r="V320" s="1196"/>
      <c r="W320" s="1196"/>
      <c r="X320" s="1196"/>
      <c r="Y320" s="1196"/>
      <c r="Z320" s="1196"/>
    </row>
    <row r="321" spans="1:26" ht="12.75" customHeight="1">
      <c r="A321" s="1196"/>
      <c r="B321" s="1196"/>
      <c r="C321" s="1196"/>
      <c r="D321" s="1196"/>
      <c r="E321" s="1196"/>
      <c r="F321" s="1196"/>
      <c r="G321" s="1196"/>
      <c r="H321" s="1196"/>
      <c r="I321" s="1196"/>
      <c r="J321" s="1196"/>
      <c r="K321" s="1196"/>
      <c r="L321" s="1196"/>
      <c r="M321" s="1196"/>
      <c r="N321" s="1196"/>
      <c r="O321" s="1196"/>
      <c r="P321" s="1196"/>
      <c r="Q321" s="1196"/>
      <c r="R321" s="1196"/>
      <c r="S321" s="1196"/>
      <c r="T321" s="1196"/>
      <c r="U321" s="1196"/>
      <c r="V321" s="1196"/>
      <c r="W321" s="1196"/>
      <c r="X321" s="1196"/>
      <c r="Y321" s="1196"/>
      <c r="Z321" s="1196"/>
    </row>
    <row r="322" spans="1:26" ht="12.75" customHeight="1">
      <c r="A322" s="1196"/>
      <c r="B322" s="1196"/>
      <c r="C322" s="1196"/>
      <c r="D322" s="1196"/>
      <c r="E322" s="1196"/>
      <c r="F322" s="1196"/>
      <c r="G322" s="1196"/>
      <c r="H322" s="1196"/>
      <c r="I322" s="1196"/>
      <c r="J322" s="1196"/>
      <c r="K322" s="1196"/>
      <c r="L322" s="1196"/>
      <c r="M322" s="1196"/>
      <c r="N322" s="1196"/>
      <c r="O322" s="1196"/>
      <c r="P322" s="1196"/>
      <c r="Q322" s="1196"/>
      <c r="R322" s="1196"/>
      <c r="S322" s="1196"/>
      <c r="T322" s="1196"/>
      <c r="U322" s="1196"/>
      <c r="V322" s="1196"/>
      <c r="W322" s="1196"/>
      <c r="X322" s="1196"/>
      <c r="Y322" s="1196"/>
      <c r="Z322" s="1196"/>
    </row>
    <row r="323" spans="1:26" ht="12.75" customHeight="1">
      <c r="A323" s="1196"/>
      <c r="B323" s="1196"/>
      <c r="C323" s="1196"/>
      <c r="D323" s="1196"/>
      <c r="E323" s="1196"/>
      <c r="F323" s="1196"/>
      <c r="G323" s="1196"/>
      <c r="H323" s="1196"/>
      <c r="I323" s="1196"/>
      <c r="J323" s="1196"/>
      <c r="K323" s="1196"/>
      <c r="L323" s="1196"/>
      <c r="M323" s="1196"/>
      <c r="N323" s="1196"/>
      <c r="O323" s="1196"/>
      <c r="P323" s="1196"/>
      <c r="Q323" s="1196"/>
      <c r="R323" s="1196"/>
      <c r="S323" s="1196"/>
      <c r="T323" s="1196"/>
      <c r="U323" s="1196"/>
      <c r="V323" s="1196"/>
      <c r="W323" s="1196"/>
      <c r="X323" s="1196"/>
      <c r="Y323" s="1196"/>
      <c r="Z323" s="1196"/>
    </row>
    <row r="324" spans="1:26" ht="12.75" customHeight="1">
      <c r="A324" s="1196"/>
      <c r="B324" s="1196"/>
      <c r="C324" s="1196"/>
      <c r="D324" s="1196"/>
      <c r="E324" s="1196"/>
      <c r="F324" s="1196"/>
      <c r="G324" s="1196"/>
      <c r="H324" s="1196"/>
      <c r="I324" s="1196"/>
      <c r="J324" s="1196"/>
      <c r="K324" s="1196"/>
      <c r="L324" s="1196"/>
      <c r="M324" s="1196"/>
      <c r="N324" s="1196"/>
      <c r="O324" s="1196"/>
      <c r="P324" s="1196"/>
      <c r="Q324" s="1196"/>
      <c r="R324" s="1196"/>
      <c r="S324" s="1196"/>
      <c r="T324" s="1196"/>
      <c r="U324" s="1196"/>
      <c r="V324" s="1196"/>
      <c r="W324" s="1196"/>
      <c r="X324" s="1196"/>
      <c r="Y324" s="1196"/>
      <c r="Z324" s="1196"/>
    </row>
    <row r="325" spans="1:26" ht="12.75" customHeight="1">
      <c r="A325" s="1196"/>
      <c r="B325" s="1196"/>
      <c r="C325" s="1196"/>
      <c r="D325" s="1196"/>
      <c r="E325" s="1196"/>
      <c r="F325" s="1196"/>
      <c r="G325" s="1196"/>
      <c r="H325" s="1196"/>
      <c r="I325" s="1196"/>
      <c r="J325" s="1196"/>
      <c r="K325" s="1196"/>
      <c r="L325" s="1196"/>
      <c r="M325" s="1196"/>
      <c r="N325" s="1196"/>
      <c r="O325" s="1196"/>
      <c r="P325" s="1196"/>
      <c r="Q325" s="1196"/>
      <c r="R325" s="1196"/>
      <c r="S325" s="1196"/>
      <c r="T325" s="1196"/>
      <c r="U325" s="1196"/>
      <c r="V325" s="1196"/>
      <c r="W325" s="1196"/>
      <c r="X325" s="1196"/>
      <c r="Y325" s="1196"/>
      <c r="Z325" s="1196"/>
    </row>
    <row r="326" spans="1:26" ht="12.75" customHeight="1">
      <c r="A326" s="1196"/>
      <c r="B326" s="1196"/>
      <c r="C326" s="1196"/>
      <c r="D326" s="1196"/>
      <c r="E326" s="1196"/>
      <c r="F326" s="1196"/>
      <c r="G326" s="1196"/>
      <c r="H326" s="1196"/>
      <c r="I326" s="1196"/>
      <c r="J326" s="1196"/>
      <c r="K326" s="1196"/>
      <c r="L326" s="1196"/>
      <c r="M326" s="1196"/>
      <c r="N326" s="1196"/>
      <c r="O326" s="1196"/>
      <c r="P326" s="1196"/>
      <c r="Q326" s="1196"/>
      <c r="R326" s="1196"/>
      <c r="S326" s="1196"/>
      <c r="T326" s="1196"/>
      <c r="U326" s="1196"/>
      <c r="V326" s="1196"/>
      <c r="W326" s="1196"/>
      <c r="X326" s="1196"/>
      <c r="Y326" s="1196"/>
      <c r="Z326" s="1196"/>
    </row>
    <row r="327" spans="1:26" ht="12.75" customHeight="1">
      <c r="A327" s="1196"/>
      <c r="B327" s="1196"/>
      <c r="C327" s="1196"/>
      <c r="D327" s="1196"/>
      <c r="E327" s="1196"/>
      <c r="F327" s="1196"/>
      <c r="G327" s="1196"/>
      <c r="H327" s="1196"/>
      <c r="I327" s="1196"/>
      <c r="J327" s="1196"/>
      <c r="K327" s="1196"/>
      <c r="L327" s="1196"/>
      <c r="M327" s="1196"/>
      <c r="N327" s="1196"/>
      <c r="O327" s="1196"/>
      <c r="P327" s="1196"/>
      <c r="Q327" s="1196"/>
      <c r="R327" s="1196"/>
      <c r="S327" s="1196"/>
      <c r="T327" s="1196"/>
      <c r="U327" s="1196"/>
      <c r="V327" s="1196"/>
      <c r="W327" s="1196"/>
      <c r="X327" s="1196"/>
      <c r="Y327" s="1196"/>
      <c r="Z327" s="1196"/>
    </row>
    <row r="328" spans="1:26" ht="12.75" customHeight="1">
      <c r="A328" s="1196"/>
      <c r="B328" s="1196"/>
      <c r="C328" s="1196"/>
      <c r="D328" s="1196"/>
      <c r="E328" s="1196"/>
      <c r="F328" s="1196"/>
      <c r="G328" s="1196"/>
      <c r="H328" s="1196"/>
      <c r="I328" s="1196"/>
      <c r="J328" s="1196"/>
      <c r="K328" s="1196"/>
      <c r="L328" s="1196"/>
      <c r="M328" s="1196"/>
      <c r="N328" s="1196"/>
      <c r="O328" s="1196"/>
      <c r="P328" s="1196"/>
      <c r="Q328" s="1196"/>
      <c r="R328" s="1196"/>
      <c r="S328" s="1196"/>
      <c r="T328" s="1196"/>
      <c r="U328" s="1196"/>
      <c r="V328" s="1196"/>
      <c r="W328" s="1196"/>
      <c r="X328" s="1196"/>
      <c r="Y328" s="1196"/>
      <c r="Z328" s="1196"/>
    </row>
    <row r="329" spans="1:26" ht="12.75" customHeight="1">
      <c r="A329" s="1196"/>
      <c r="B329" s="1196"/>
      <c r="C329" s="1196"/>
      <c r="D329" s="1196"/>
      <c r="E329" s="1196"/>
      <c r="F329" s="1196"/>
      <c r="G329" s="1196"/>
      <c r="H329" s="1196"/>
      <c r="I329" s="1196"/>
      <c r="J329" s="1196"/>
      <c r="K329" s="1196"/>
      <c r="L329" s="1196"/>
      <c r="M329" s="1196"/>
      <c r="N329" s="1196"/>
      <c r="O329" s="1196"/>
      <c r="P329" s="1196"/>
      <c r="Q329" s="1196"/>
      <c r="R329" s="1196"/>
      <c r="S329" s="1196"/>
      <c r="T329" s="1196"/>
      <c r="U329" s="1196"/>
      <c r="V329" s="1196"/>
      <c r="W329" s="1196"/>
      <c r="X329" s="1196"/>
      <c r="Y329" s="1196"/>
      <c r="Z329" s="1196"/>
    </row>
    <row r="330" spans="1:26" ht="12.75" customHeight="1">
      <c r="A330" s="1196"/>
      <c r="B330" s="1196"/>
      <c r="C330" s="1196"/>
      <c r="D330" s="1196"/>
      <c r="E330" s="1196"/>
      <c r="F330" s="1196"/>
      <c r="G330" s="1196"/>
      <c r="H330" s="1196"/>
      <c r="I330" s="1196"/>
      <c r="J330" s="1196"/>
      <c r="K330" s="1196"/>
      <c r="L330" s="1196"/>
      <c r="M330" s="1196"/>
      <c r="N330" s="1196"/>
      <c r="O330" s="1196"/>
      <c r="P330" s="1196"/>
      <c r="Q330" s="1196"/>
      <c r="R330" s="1196"/>
      <c r="S330" s="1196"/>
      <c r="T330" s="1196"/>
      <c r="U330" s="1196"/>
      <c r="V330" s="1196"/>
      <c r="W330" s="1196"/>
      <c r="X330" s="1196"/>
      <c r="Y330" s="1196"/>
      <c r="Z330" s="1196"/>
    </row>
    <row r="331" spans="1:26" ht="12.75" customHeight="1">
      <c r="A331" s="1196"/>
      <c r="B331" s="1196"/>
      <c r="C331" s="1196"/>
      <c r="D331" s="1196"/>
      <c r="E331" s="1196"/>
      <c r="F331" s="1196"/>
      <c r="G331" s="1196"/>
      <c r="H331" s="1196"/>
      <c r="I331" s="1196"/>
      <c r="J331" s="1196"/>
      <c r="K331" s="1196"/>
      <c r="L331" s="1196"/>
      <c r="M331" s="1196"/>
      <c r="N331" s="1196"/>
      <c r="O331" s="1196"/>
      <c r="P331" s="1196"/>
      <c r="Q331" s="1196"/>
      <c r="R331" s="1196"/>
      <c r="S331" s="1196"/>
      <c r="T331" s="1196"/>
      <c r="U331" s="1196"/>
      <c r="V331" s="1196"/>
      <c r="W331" s="1196"/>
      <c r="X331" s="1196"/>
      <c r="Y331" s="1196"/>
      <c r="Z331" s="1196"/>
    </row>
    <row r="332" spans="1:26" ht="12.75" customHeight="1">
      <c r="A332" s="1196"/>
      <c r="B332" s="1196"/>
      <c r="C332" s="1196"/>
      <c r="D332" s="1196"/>
      <c r="E332" s="1196"/>
      <c r="F332" s="1196"/>
      <c r="G332" s="1196"/>
      <c r="H332" s="1196"/>
      <c r="I332" s="1196"/>
      <c r="J332" s="1196"/>
      <c r="K332" s="1196"/>
      <c r="L332" s="1196"/>
      <c r="M332" s="1196"/>
      <c r="N332" s="1196"/>
      <c r="O332" s="1196"/>
      <c r="P332" s="1196"/>
      <c r="Q332" s="1196"/>
      <c r="R332" s="1196"/>
      <c r="S332" s="1196"/>
      <c r="T332" s="1196"/>
      <c r="U332" s="1196"/>
      <c r="V332" s="1196"/>
      <c r="W332" s="1196"/>
      <c r="X332" s="1196"/>
      <c r="Y332" s="1196"/>
      <c r="Z332" s="1196"/>
    </row>
    <row r="333" spans="1:26" ht="12.75" customHeight="1">
      <c r="A333" s="1196"/>
      <c r="B333" s="1196"/>
      <c r="C333" s="1196"/>
      <c r="D333" s="1196"/>
      <c r="E333" s="1196"/>
      <c r="F333" s="1196"/>
      <c r="G333" s="1196"/>
      <c r="H333" s="1196"/>
      <c r="I333" s="1196"/>
      <c r="J333" s="1196"/>
      <c r="K333" s="1196"/>
      <c r="L333" s="1196"/>
      <c r="M333" s="1196"/>
      <c r="N333" s="1196"/>
      <c r="O333" s="1196"/>
      <c r="P333" s="1196"/>
      <c r="Q333" s="1196"/>
      <c r="R333" s="1196"/>
      <c r="S333" s="1196"/>
      <c r="T333" s="1196"/>
      <c r="U333" s="1196"/>
      <c r="V333" s="1196"/>
      <c r="W333" s="1196"/>
      <c r="X333" s="1196"/>
      <c r="Y333" s="1196"/>
      <c r="Z333" s="1196"/>
    </row>
    <row r="334" spans="1:26" ht="12.75" customHeight="1">
      <c r="A334" s="1196"/>
      <c r="B334" s="1196"/>
      <c r="C334" s="1196"/>
      <c r="D334" s="1196"/>
      <c r="E334" s="1196"/>
      <c r="F334" s="1196"/>
      <c r="G334" s="1196"/>
      <c r="H334" s="1196"/>
      <c r="I334" s="1196"/>
      <c r="J334" s="1196"/>
      <c r="K334" s="1196"/>
      <c r="L334" s="1196"/>
      <c r="M334" s="1196"/>
      <c r="N334" s="1196"/>
      <c r="O334" s="1196"/>
      <c r="P334" s="1196"/>
      <c r="Q334" s="1196"/>
      <c r="R334" s="1196"/>
      <c r="S334" s="1196"/>
      <c r="T334" s="1196"/>
      <c r="U334" s="1196"/>
      <c r="V334" s="1196"/>
      <c r="W334" s="1196"/>
      <c r="X334" s="1196"/>
      <c r="Y334" s="1196"/>
      <c r="Z334" s="1196"/>
    </row>
    <row r="335" spans="1:26" ht="12.75" customHeight="1">
      <c r="A335" s="1196"/>
      <c r="B335" s="1196"/>
      <c r="C335" s="1196"/>
      <c r="D335" s="1196"/>
      <c r="E335" s="1196"/>
      <c r="F335" s="1196"/>
      <c r="G335" s="1196"/>
      <c r="H335" s="1196"/>
      <c r="I335" s="1196"/>
      <c r="J335" s="1196"/>
      <c r="K335" s="1196"/>
      <c r="L335" s="1196"/>
      <c r="M335" s="1196"/>
      <c r="N335" s="1196"/>
      <c r="O335" s="1196"/>
      <c r="P335" s="1196"/>
      <c r="Q335" s="1196"/>
      <c r="R335" s="1196"/>
      <c r="S335" s="1196"/>
      <c r="T335" s="1196"/>
      <c r="U335" s="1196"/>
      <c r="V335" s="1196"/>
      <c r="W335" s="1196"/>
      <c r="X335" s="1196"/>
      <c r="Y335" s="1196"/>
      <c r="Z335" s="1196"/>
    </row>
    <row r="336" spans="1:26" ht="12.75" customHeight="1">
      <c r="A336" s="1196"/>
      <c r="B336" s="1196"/>
      <c r="C336" s="1196"/>
      <c r="D336" s="1196"/>
      <c r="E336" s="1196"/>
      <c r="F336" s="1196"/>
      <c r="G336" s="1196"/>
      <c r="H336" s="1196"/>
      <c r="I336" s="1196"/>
      <c r="J336" s="1196"/>
      <c r="K336" s="1196"/>
      <c r="L336" s="1196"/>
      <c r="M336" s="1196"/>
      <c r="N336" s="1196"/>
      <c r="O336" s="1196"/>
      <c r="P336" s="1196"/>
      <c r="Q336" s="1196"/>
      <c r="R336" s="1196"/>
      <c r="S336" s="1196"/>
      <c r="T336" s="1196"/>
      <c r="U336" s="1196"/>
      <c r="V336" s="1196"/>
      <c r="W336" s="1196"/>
      <c r="X336" s="1196"/>
      <c r="Y336" s="1196"/>
      <c r="Z336" s="1196"/>
    </row>
    <row r="337" spans="1:26" ht="12.75" customHeight="1">
      <c r="A337" s="1196"/>
      <c r="B337" s="1196"/>
      <c r="C337" s="1196"/>
      <c r="D337" s="1196"/>
      <c r="E337" s="1196"/>
      <c r="F337" s="1196"/>
      <c r="G337" s="1196"/>
      <c r="H337" s="1196"/>
      <c r="I337" s="1196"/>
      <c r="J337" s="1196"/>
      <c r="K337" s="1196"/>
      <c r="L337" s="1196"/>
      <c r="M337" s="1196"/>
      <c r="N337" s="1196"/>
      <c r="O337" s="1196"/>
      <c r="P337" s="1196"/>
      <c r="Q337" s="1196"/>
      <c r="R337" s="1196"/>
      <c r="S337" s="1196"/>
      <c r="T337" s="1196"/>
      <c r="U337" s="1196"/>
      <c r="V337" s="1196"/>
      <c r="W337" s="1196"/>
      <c r="X337" s="1196"/>
      <c r="Y337" s="1196"/>
      <c r="Z337" s="1196"/>
    </row>
    <row r="338" spans="1:26" ht="12.75" customHeight="1">
      <c r="A338" s="1196"/>
      <c r="B338" s="1196"/>
      <c r="C338" s="1196"/>
      <c r="D338" s="1196"/>
      <c r="E338" s="1196"/>
      <c r="F338" s="1196"/>
      <c r="G338" s="1196"/>
      <c r="H338" s="1196"/>
      <c r="I338" s="1196"/>
      <c r="J338" s="1196"/>
      <c r="K338" s="1196"/>
      <c r="L338" s="1196"/>
      <c r="M338" s="1196"/>
      <c r="N338" s="1196"/>
      <c r="O338" s="1196"/>
      <c r="P338" s="1196"/>
      <c r="Q338" s="1196"/>
      <c r="R338" s="1196"/>
      <c r="S338" s="1196"/>
      <c r="T338" s="1196"/>
      <c r="U338" s="1196"/>
      <c r="V338" s="1196"/>
      <c r="W338" s="1196"/>
      <c r="X338" s="1196"/>
      <c r="Y338" s="1196"/>
      <c r="Z338" s="1196"/>
    </row>
    <row r="339" spans="1:26" ht="12.75" customHeight="1">
      <c r="A339" s="1196"/>
      <c r="B339" s="1196"/>
      <c r="C339" s="1196"/>
      <c r="D339" s="1196"/>
      <c r="E339" s="1196"/>
      <c r="F339" s="1196"/>
      <c r="G339" s="1196"/>
      <c r="H339" s="1196"/>
      <c r="I339" s="1196"/>
      <c r="J339" s="1196"/>
      <c r="K339" s="1196"/>
      <c r="L339" s="1196"/>
      <c r="M339" s="1196"/>
      <c r="N339" s="1196"/>
      <c r="O339" s="1196"/>
      <c r="P339" s="1196"/>
      <c r="Q339" s="1196"/>
      <c r="R339" s="1196"/>
      <c r="S339" s="1196"/>
      <c r="T339" s="1196"/>
      <c r="U339" s="1196"/>
      <c r="V339" s="1196"/>
      <c r="W339" s="1196"/>
      <c r="X339" s="1196"/>
      <c r="Y339" s="1196"/>
      <c r="Z339" s="1196"/>
    </row>
    <row r="340" spans="1:26" ht="12.75" customHeight="1">
      <c r="A340" s="1196"/>
      <c r="B340" s="1196"/>
      <c r="C340" s="1196"/>
      <c r="D340" s="1196"/>
      <c r="E340" s="1196"/>
      <c r="F340" s="1196"/>
      <c r="G340" s="1196"/>
      <c r="H340" s="1196"/>
      <c r="I340" s="1196"/>
      <c r="J340" s="1196"/>
      <c r="K340" s="1196"/>
      <c r="L340" s="1196"/>
      <c r="M340" s="1196"/>
      <c r="N340" s="1196"/>
      <c r="O340" s="1196"/>
      <c r="P340" s="1196"/>
      <c r="Q340" s="1196"/>
      <c r="R340" s="1196"/>
      <c r="S340" s="1196"/>
      <c r="T340" s="1196"/>
      <c r="U340" s="1196"/>
      <c r="V340" s="1196"/>
      <c r="W340" s="1196"/>
      <c r="X340" s="1196"/>
      <c r="Y340" s="1196"/>
      <c r="Z340" s="1196"/>
    </row>
    <row r="341" spans="1:26" ht="12.75" customHeight="1">
      <c r="A341" s="1196"/>
      <c r="B341" s="1196"/>
      <c r="C341" s="1196"/>
      <c r="D341" s="1196"/>
      <c r="E341" s="1196"/>
      <c r="F341" s="1196"/>
      <c r="G341" s="1196"/>
      <c r="H341" s="1196"/>
      <c r="I341" s="1196"/>
      <c r="J341" s="1196"/>
      <c r="K341" s="1196"/>
      <c r="L341" s="1196"/>
      <c r="M341" s="1196"/>
      <c r="N341" s="1196"/>
      <c r="O341" s="1196"/>
      <c r="P341" s="1196"/>
      <c r="Q341" s="1196"/>
      <c r="R341" s="1196"/>
      <c r="S341" s="1196"/>
      <c r="T341" s="1196"/>
      <c r="U341" s="1196"/>
      <c r="V341" s="1196"/>
      <c r="W341" s="1196"/>
      <c r="X341" s="1196"/>
      <c r="Y341" s="1196"/>
      <c r="Z341" s="1196"/>
    </row>
    <row r="342" spans="1:26" ht="12.75" customHeight="1">
      <c r="A342" s="1196"/>
      <c r="B342" s="1196"/>
      <c r="C342" s="1196"/>
      <c r="D342" s="1196"/>
      <c r="E342" s="1196"/>
      <c r="F342" s="1196"/>
      <c r="G342" s="1196"/>
      <c r="H342" s="1196"/>
      <c r="I342" s="1196"/>
      <c r="J342" s="1196"/>
      <c r="K342" s="1196"/>
      <c r="L342" s="1196"/>
      <c r="M342" s="1196"/>
      <c r="N342" s="1196"/>
      <c r="O342" s="1196"/>
      <c r="P342" s="1196"/>
      <c r="Q342" s="1196"/>
      <c r="R342" s="1196"/>
      <c r="S342" s="1196"/>
      <c r="T342" s="1196"/>
      <c r="U342" s="1196"/>
      <c r="V342" s="1196"/>
      <c r="W342" s="1196"/>
      <c r="X342" s="1196"/>
      <c r="Y342" s="1196"/>
      <c r="Z342" s="1196"/>
    </row>
    <row r="343" spans="1:26" ht="12.75" customHeight="1">
      <c r="A343" s="1196"/>
      <c r="B343" s="1196"/>
      <c r="C343" s="1196"/>
      <c r="D343" s="1196"/>
      <c r="E343" s="1196"/>
      <c r="F343" s="1196"/>
      <c r="G343" s="1196"/>
      <c r="H343" s="1196"/>
      <c r="I343" s="1196"/>
      <c r="J343" s="1196"/>
      <c r="K343" s="1196"/>
      <c r="L343" s="1196"/>
      <c r="M343" s="1196"/>
      <c r="N343" s="1196"/>
      <c r="O343" s="1196"/>
      <c r="P343" s="1196"/>
      <c r="Q343" s="1196"/>
      <c r="R343" s="1196"/>
      <c r="S343" s="1196"/>
      <c r="T343" s="1196"/>
      <c r="U343" s="1196"/>
      <c r="V343" s="1196"/>
      <c r="W343" s="1196"/>
      <c r="X343" s="1196"/>
      <c r="Y343" s="1196"/>
      <c r="Z343" s="1196"/>
    </row>
    <row r="344" spans="1:26" ht="12.75" customHeight="1">
      <c r="A344" s="1196"/>
      <c r="B344" s="1196"/>
      <c r="C344" s="1196"/>
      <c r="D344" s="1196"/>
      <c r="E344" s="1196"/>
      <c r="F344" s="1196"/>
      <c r="G344" s="1196"/>
      <c r="H344" s="1196"/>
      <c r="I344" s="1196"/>
      <c r="J344" s="1196"/>
      <c r="K344" s="1196"/>
      <c r="L344" s="1196"/>
      <c r="M344" s="1196"/>
      <c r="N344" s="1196"/>
      <c r="O344" s="1196"/>
      <c r="P344" s="1196"/>
      <c r="Q344" s="1196"/>
      <c r="R344" s="1196"/>
      <c r="S344" s="1196"/>
      <c r="T344" s="1196"/>
      <c r="U344" s="1196"/>
      <c r="V344" s="1196"/>
      <c r="W344" s="1196"/>
      <c r="X344" s="1196"/>
      <c r="Y344" s="1196"/>
      <c r="Z344" s="1196"/>
    </row>
    <row r="345" spans="1:26" ht="12.75" customHeight="1">
      <c r="A345" s="1196"/>
      <c r="B345" s="1196"/>
      <c r="C345" s="1196"/>
      <c r="D345" s="1196"/>
      <c r="E345" s="1196"/>
      <c r="F345" s="1196"/>
      <c r="G345" s="1196"/>
      <c r="H345" s="1196"/>
      <c r="I345" s="1196"/>
      <c r="J345" s="1196"/>
      <c r="K345" s="1196"/>
      <c r="L345" s="1196"/>
      <c r="M345" s="1196"/>
      <c r="N345" s="1196"/>
      <c r="O345" s="1196"/>
      <c r="P345" s="1196"/>
      <c r="Q345" s="1196"/>
      <c r="R345" s="1196"/>
      <c r="S345" s="1196"/>
      <c r="T345" s="1196"/>
      <c r="U345" s="1196"/>
      <c r="V345" s="1196"/>
      <c r="W345" s="1196"/>
      <c r="X345" s="1196"/>
      <c r="Y345" s="1196"/>
      <c r="Z345" s="1196"/>
    </row>
    <row r="346" spans="1:26" ht="12.75" customHeight="1">
      <c r="A346" s="1196"/>
      <c r="B346" s="1196"/>
      <c r="C346" s="1196"/>
      <c r="D346" s="1196"/>
      <c r="E346" s="1196"/>
      <c r="F346" s="1196"/>
      <c r="G346" s="1196"/>
      <c r="H346" s="1196"/>
      <c r="I346" s="1196"/>
      <c r="J346" s="1196"/>
      <c r="K346" s="1196"/>
      <c r="L346" s="1196"/>
      <c r="M346" s="1196"/>
      <c r="N346" s="1196"/>
      <c r="O346" s="1196"/>
      <c r="P346" s="1196"/>
      <c r="Q346" s="1196"/>
      <c r="R346" s="1196"/>
      <c r="S346" s="1196"/>
      <c r="T346" s="1196"/>
      <c r="U346" s="1196"/>
      <c r="V346" s="1196"/>
      <c r="W346" s="1196"/>
      <c r="X346" s="1196"/>
      <c r="Y346" s="1196"/>
      <c r="Z346" s="1196"/>
    </row>
    <row r="347" spans="1:26" ht="12.75" customHeight="1">
      <c r="A347" s="1196"/>
      <c r="B347" s="1196"/>
      <c r="C347" s="1196"/>
      <c r="D347" s="1196"/>
      <c r="E347" s="1196"/>
      <c r="F347" s="1196"/>
      <c r="G347" s="1196"/>
      <c r="H347" s="1196"/>
      <c r="I347" s="1196"/>
      <c r="J347" s="1196"/>
      <c r="K347" s="1196"/>
      <c r="L347" s="1196"/>
      <c r="M347" s="1196"/>
      <c r="N347" s="1196"/>
      <c r="O347" s="1196"/>
      <c r="P347" s="1196"/>
      <c r="Q347" s="1196"/>
      <c r="R347" s="1196"/>
      <c r="S347" s="1196"/>
      <c r="T347" s="1196"/>
      <c r="U347" s="1196"/>
      <c r="V347" s="1196"/>
      <c r="W347" s="1196"/>
      <c r="X347" s="1196"/>
      <c r="Y347" s="1196"/>
      <c r="Z347" s="1196"/>
    </row>
    <row r="348" spans="1:26" ht="12.75" customHeight="1">
      <c r="A348" s="1196"/>
      <c r="B348" s="1196"/>
      <c r="C348" s="1196"/>
      <c r="D348" s="1196"/>
      <c r="E348" s="1196"/>
      <c r="F348" s="1196"/>
      <c r="G348" s="1196"/>
      <c r="H348" s="1196"/>
      <c r="I348" s="1196"/>
      <c r="J348" s="1196"/>
      <c r="K348" s="1196"/>
      <c r="L348" s="1196"/>
      <c r="M348" s="1196"/>
      <c r="N348" s="1196"/>
      <c r="O348" s="1196"/>
      <c r="P348" s="1196"/>
      <c r="Q348" s="1196"/>
      <c r="R348" s="1196"/>
      <c r="S348" s="1196"/>
      <c r="T348" s="1196"/>
      <c r="U348" s="1196"/>
      <c r="V348" s="1196"/>
      <c r="W348" s="1196"/>
      <c r="X348" s="1196"/>
      <c r="Y348" s="1196"/>
      <c r="Z348" s="1196"/>
    </row>
    <row r="349" spans="1:26" ht="12.75" customHeight="1">
      <c r="A349" s="1196"/>
      <c r="B349" s="1196"/>
      <c r="C349" s="1196"/>
      <c r="D349" s="1196"/>
      <c r="E349" s="1196"/>
      <c r="F349" s="1196"/>
      <c r="G349" s="1196"/>
      <c r="H349" s="1196"/>
      <c r="I349" s="1196"/>
      <c r="J349" s="1196"/>
      <c r="K349" s="1196"/>
      <c r="L349" s="1196"/>
      <c r="M349" s="1196"/>
      <c r="N349" s="1196"/>
      <c r="O349" s="1196"/>
      <c r="P349" s="1196"/>
      <c r="Q349" s="1196"/>
      <c r="R349" s="1196"/>
      <c r="S349" s="1196"/>
      <c r="T349" s="1196"/>
      <c r="U349" s="1196"/>
      <c r="V349" s="1196"/>
      <c r="W349" s="1196"/>
      <c r="X349" s="1196"/>
      <c r="Y349" s="1196"/>
      <c r="Z349" s="1196"/>
    </row>
    <row r="350" spans="1:26" ht="12.75" customHeight="1">
      <c r="A350" s="1196"/>
      <c r="B350" s="1196"/>
      <c r="C350" s="1196"/>
      <c r="D350" s="1196"/>
      <c r="E350" s="1196"/>
      <c r="F350" s="1196"/>
      <c r="G350" s="1196"/>
      <c r="H350" s="1196"/>
      <c r="I350" s="1196"/>
      <c r="J350" s="1196"/>
      <c r="K350" s="1196"/>
      <c r="L350" s="1196"/>
      <c r="M350" s="1196"/>
      <c r="N350" s="1196"/>
      <c r="O350" s="1196"/>
      <c r="P350" s="1196"/>
      <c r="Q350" s="1196"/>
      <c r="R350" s="1196"/>
      <c r="S350" s="1196"/>
      <c r="T350" s="1196"/>
      <c r="U350" s="1196"/>
      <c r="V350" s="1196"/>
      <c r="W350" s="1196"/>
      <c r="X350" s="1196"/>
      <c r="Y350" s="1196"/>
      <c r="Z350" s="1196"/>
    </row>
    <row r="351" spans="1:26" ht="12.75" customHeight="1">
      <c r="A351" s="1196"/>
      <c r="B351" s="1196"/>
      <c r="C351" s="1196"/>
      <c r="D351" s="1196"/>
      <c r="E351" s="1196"/>
      <c r="F351" s="1196"/>
      <c r="G351" s="1196"/>
      <c r="H351" s="1196"/>
      <c r="I351" s="1196"/>
      <c r="J351" s="1196"/>
      <c r="K351" s="1196"/>
      <c r="L351" s="1196"/>
      <c r="M351" s="1196"/>
      <c r="N351" s="1196"/>
      <c r="O351" s="1196"/>
      <c r="P351" s="1196"/>
      <c r="Q351" s="1196"/>
      <c r="R351" s="1196"/>
      <c r="S351" s="1196"/>
      <c r="T351" s="1196"/>
      <c r="U351" s="1196"/>
      <c r="V351" s="1196"/>
      <c r="W351" s="1196"/>
      <c r="X351" s="1196"/>
      <c r="Y351" s="1196"/>
      <c r="Z351" s="1196"/>
    </row>
    <row r="352" spans="1:26" ht="12.75" customHeight="1">
      <c r="A352" s="1196"/>
      <c r="B352" s="1196"/>
      <c r="C352" s="1196"/>
      <c r="D352" s="1196"/>
      <c r="E352" s="1196"/>
      <c r="F352" s="1196"/>
      <c r="G352" s="1196"/>
      <c r="H352" s="1196"/>
      <c r="I352" s="1196"/>
      <c r="J352" s="1196"/>
      <c r="K352" s="1196"/>
      <c r="L352" s="1196"/>
      <c r="M352" s="1196"/>
      <c r="N352" s="1196"/>
      <c r="O352" s="1196"/>
      <c r="P352" s="1196"/>
      <c r="Q352" s="1196"/>
      <c r="R352" s="1196"/>
      <c r="S352" s="1196"/>
      <c r="T352" s="1196"/>
      <c r="U352" s="1196"/>
      <c r="V352" s="1196"/>
      <c r="W352" s="1196"/>
      <c r="X352" s="1196"/>
      <c r="Y352" s="1196"/>
      <c r="Z352" s="1196"/>
    </row>
    <row r="353" spans="1:26" ht="12.75" customHeight="1">
      <c r="A353" s="1196"/>
      <c r="B353" s="1196"/>
      <c r="C353" s="1196"/>
      <c r="D353" s="1196"/>
      <c r="E353" s="1196"/>
      <c r="F353" s="1196"/>
      <c r="G353" s="1196"/>
      <c r="H353" s="1196"/>
      <c r="I353" s="1196"/>
      <c r="J353" s="1196"/>
      <c r="K353" s="1196"/>
      <c r="L353" s="1196"/>
      <c r="M353" s="1196"/>
      <c r="N353" s="1196"/>
      <c r="O353" s="1196"/>
      <c r="P353" s="1196"/>
      <c r="Q353" s="1196"/>
      <c r="R353" s="1196"/>
      <c r="S353" s="1196"/>
      <c r="T353" s="1196"/>
      <c r="U353" s="1196"/>
      <c r="V353" s="1196"/>
      <c r="W353" s="1196"/>
      <c r="X353" s="1196"/>
      <c r="Y353" s="1196"/>
      <c r="Z353" s="1196"/>
    </row>
    <row r="354" spans="1:26" ht="12.75" customHeight="1">
      <c r="A354" s="1196"/>
      <c r="B354" s="1196"/>
      <c r="C354" s="1196"/>
      <c r="D354" s="1196"/>
      <c r="E354" s="1196"/>
      <c r="F354" s="1196"/>
      <c r="G354" s="1196"/>
      <c r="H354" s="1196"/>
      <c r="I354" s="1196"/>
      <c r="J354" s="1196"/>
      <c r="K354" s="1196"/>
      <c r="L354" s="1196"/>
      <c r="M354" s="1196"/>
      <c r="N354" s="1196"/>
      <c r="O354" s="1196"/>
      <c r="P354" s="1196"/>
      <c r="Q354" s="1196"/>
      <c r="R354" s="1196"/>
      <c r="S354" s="1196"/>
      <c r="T354" s="1196"/>
      <c r="U354" s="1196"/>
      <c r="V354" s="1196"/>
      <c r="W354" s="1196"/>
      <c r="X354" s="1196"/>
      <c r="Y354" s="1196"/>
      <c r="Z354" s="1196"/>
    </row>
    <row r="355" spans="1:26" ht="12.75" customHeight="1">
      <c r="A355" s="1196"/>
      <c r="B355" s="1196"/>
      <c r="C355" s="1196"/>
      <c r="D355" s="1196"/>
      <c r="E355" s="1196"/>
      <c r="F355" s="1196"/>
      <c r="G355" s="1196"/>
      <c r="H355" s="1196"/>
      <c r="I355" s="1196"/>
      <c r="J355" s="1196"/>
      <c r="K355" s="1196"/>
      <c r="L355" s="1196"/>
      <c r="M355" s="1196"/>
      <c r="N355" s="1196"/>
      <c r="O355" s="1196"/>
      <c r="P355" s="1196"/>
      <c r="Q355" s="1196"/>
      <c r="R355" s="1196"/>
      <c r="S355" s="1196"/>
      <c r="T355" s="1196"/>
      <c r="U355" s="1196"/>
      <c r="V355" s="1196"/>
      <c r="W355" s="1196"/>
      <c r="X355" s="1196"/>
      <c r="Y355" s="1196"/>
      <c r="Z355" s="1196"/>
    </row>
    <row r="356" spans="1:26" ht="12.75" customHeight="1">
      <c r="A356" s="1196"/>
      <c r="B356" s="1196"/>
      <c r="C356" s="1196"/>
      <c r="D356" s="1196"/>
      <c r="E356" s="1196"/>
      <c r="F356" s="1196"/>
      <c r="G356" s="1196"/>
      <c r="H356" s="1196"/>
      <c r="I356" s="1196"/>
      <c r="J356" s="1196"/>
      <c r="K356" s="1196"/>
      <c r="L356" s="1196"/>
      <c r="M356" s="1196"/>
      <c r="N356" s="1196"/>
      <c r="O356" s="1196"/>
      <c r="P356" s="1196"/>
      <c r="Q356" s="1196"/>
      <c r="R356" s="1196"/>
      <c r="S356" s="1196"/>
      <c r="T356" s="1196"/>
      <c r="U356" s="1196"/>
      <c r="V356" s="1196"/>
      <c r="W356" s="1196"/>
      <c r="X356" s="1196"/>
      <c r="Y356" s="1196"/>
      <c r="Z356" s="1196"/>
    </row>
    <row r="357" spans="1:26" ht="12.75" customHeight="1">
      <c r="A357" s="1196"/>
      <c r="B357" s="1196"/>
      <c r="C357" s="1196"/>
      <c r="D357" s="1196"/>
      <c r="E357" s="1196"/>
      <c r="F357" s="1196"/>
      <c r="G357" s="1196"/>
      <c r="H357" s="1196"/>
      <c r="I357" s="1196"/>
      <c r="J357" s="1196"/>
      <c r="K357" s="1196"/>
      <c r="L357" s="1196"/>
      <c r="M357" s="1196"/>
      <c r="N357" s="1196"/>
      <c r="O357" s="1196"/>
      <c r="P357" s="1196"/>
      <c r="Q357" s="1196"/>
      <c r="R357" s="1196"/>
      <c r="S357" s="1196"/>
      <c r="T357" s="1196"/>
      <c r="U357" s="1196"/>
      <c r="V357" s="1196"/>
      <c r="W357" s="1196"/>
      <c r="X357" s="1196"/>
      <c r="Y357" s="1196"/>
      <c r="Z357" s="1196"/>
    </row>
    <row r="358" spans="1:26" ht="12.75" customHeight="1">
      <c r="A358" s="1196"/>
      <c r="B358" s="1196"/>
      <c r="C358" s="1196"/>
      <c r="D358" s="1196"/>
      <c r="E358" s="1196"/>
      <c r="F358" s="1196"/>
      <c r="G358" s="1196"/>
      <c r="H358" s="1196"/>
      <c r="I358" s="1196"/>
      <c r="J358" s="1196"/>
      <c r="K358" s="1196"/>
      <c r="L358" s="1196"/>
      <c r="M358" s="1196"/>
      <c r="N358" s="1196"/>
      <c r="O358" s="1196"/>
      <c r="P358" s="1196"/>
      <c r="Q358" s="1196"/>
      <c r="R358" s="1196"/>
      <c r="S358" s="1196"/>
      <c r="T358" s="1196"/>
      <c r="U358" s="1196"/>
      <c r="V358" s="1196"/>
      <c r="W358" s="1196"/>
      <c r="X358" s="1196"/>
      <c r="Y358" s="1196"/>
      <c r="Z358" s="1196"/>
    </row>
    <row r="359" spans="1:26" ht="12.75" customHeight="1">
      <c r="A359" s="1196"/>
      <c r="B359" s="1196"/>
      <c r="C359" s="1196"/>
      <c r="D359" s="1196"/>
      <c r="E359" s="1196"/>
      <c r="F359" s="1196"/>
      <c r="G359" s="1196"/>
      <c r="H359" s="1196"/>
      <c r="I359" s="1196"/>
      <c r="J359" s="1196"/>
      <c r="K359" s="1196"/>
      <c r="L359" s="1196"/>
      <c r="M359" s="1196"/>
      <c r="N359" s="1196"/>
      <c r="O359" s="1196"/>
      <c r="P359" s="1196"/>
      <c r="Q359" s="1196"/>
      <c r="R359" s="1196"/>
      <c r="S359" s="1196"/>
      <c r="T359" s="1196"/>
      <c r="U359" s="1196"/>
      <c r="V359" s="1196"/>
      <c r="W359" s="1196"/>
      <c r="X359" s="1196"/>
      <c r="Y359" s="1196"/>
      <c r="Z359" s="1196"/>
    </row>
    <row r="360" spans="1:26" ht="12.75" customHeight="1">
      <c r="A360" s="1196"/>
      <c r="B360" s="1196"/>
      <c r="C360" s="1196"/>
      <c r="D360" s="1196"/>
      <c r="E360" s="1196"/>
      <c r="F360" s="1196"/>
      <c r="G360" s="1196"/>
      <c r="H360" s="1196"/>
      <c r="I360" s="1196"/>
      <c r="J360" s="1196"/>
      <c r="K360" s="1196"/>
      <c r="L360" s="1196"/>
      <c r="M360" s="1196"/>
      <c r="N360" s="1196"/>
      <c r="O360" s="1196"/>
      <c r="P360" s="1196"/>
      <c r="Q360" s="1196"/>
      <c r="R360" s="1196"/>
      <c r="S360" s="1196"/>
      <c r="T360" s="1196"/>
      <c r="U360" s="1196"/>
      <c r="V360" s="1196"/>
      <c r="W360" s="1196"/>
      <c r="X360" s="1196"/>
      <c r="Y360" s="1196"/>
      <c r="Z360" s="1196"/>
    </row>
    <row r="361" spans="1:26" ht="12.75" customHeight="1">
      <c r="A361" s="1196"/>
      <c r="B361" s="1196"/>
      <c r="C361" s="1196"/>
      <c r="D361" s="1196"/>
      <c r="E361" s="1196"/>
      <c r="F361" s="1196"/>
      <c r="G361" s="1196"/>
      <c r="H361" s="1196"/>
      <c r="I361" s="1196"/>
      <c r="J361" s="1196"/>
      <c r="K361" s="1196"/>
      <c r="L361" s="1196"/>
      <c r="M361" s="1196"/>
      <c r="N361" s="1196"/>
      <c r="O361" s="1196"/>
      <c r="P361" s="1196"/>
      <c r="Q361" s="1196"/>
      <c r="R361" s="1196"/>
      <c r="S361" s="1196"/>
      <c r="T361" s="1196"/>
      <c r="U361" s="1196"/>
      <c r="V361" s="1196"/>
      <c r="W361" s="1196"/>
      <c r="X361" s="1196"/>
      <c r="Y361" s="1196"/>
      <c r="Z361" s="1196"/>
    </row>
    <row r="362" spans="1:26" ht="12.75" customHeight="1">
      <c r="A362" s="1196"/>
      <c r="B362" s="1196"/>
      <c r="C362" s="1196"/>
      <c r="D362" s="1196"/>
      <c r="E362" s="1196"/>
      <c r="F362" s="1196"/>
      <c r="G362" s="1196"/>
      <c r="H362" s="1196"/>
      <c r="I362" s="1196"/>
      <c r="J362" s="1196"/>
      <c r="K362" s="1196"/>
      <c r="L362" s="1196"/>
      <c r="M362" s="1196"/>
      <c r="N362" s="1196"/>
      <c r="O362" s="1196"/>
      <c r="P362" s="1196"/>
      <c r="Q362" s="1196"/>
      <c r="R362" s="1196"/>
      <c r="S362" s="1196"/>
      <c r="T362" s="1196"/>
      <c r="U362" s="1196"/>
      <c r="V362" s="1196"/>
      <c r="W362" s="1196"/>
      <c r="X362" s="1196"/>
      <c r="Y362" s="1196"/>
      <c r="Z362" s="1196"/>
    </row>
    <row r="363" spans="1:26" ht="12.75" customHeight="1">
      <c r="A363" s="1196"/>
      <c r="B363" s="1196"/>
      <c r="C363" s="1196"/>
      <c r="D363" s="1196"/>
      <c r="E363" s="1196"/>
      <c r="F363" s="1196"/>
      <c r="G363" s="1196"/>
      <c r="H363" s="1196"/>
      <c r="I363" s="1196"/>
      <c r="J363" s="1196"/>
      <c r="K363" s="1196"/>
      <c r="L363" s="1196"/>
      <c r="M363" s="1196"/>
      <c r="N363" s="1196"/>
      <c r="O363" s="1196"/>
      <c r="P363" s="1196"/>
      <c r="Q363" s="1196"/>
      <c r="R363" s="1196"/>
      <c r="S363" s="1196"/>
      <c r="T363" s="1196"/>
      <c r="U363" s="1196"/>
      <c r="V363" s="1196"/>
      <c r="W363" s="1196"/>
      <c r="X363" s="1196"/>
      <c r="Y363" s="1196"/>
      <c r="Z363" s="1196"/>
    </row>
    <row r="364" spans="1:26" ht="12.75" customHeight="1">
      <c r="A364" s="1196"/>
      <c r="B364" s="1196"/>
      <c r="C364" s="1196"/>
      <c r="D364" s="1196"/>
      <c r="E364" s="1196"/>
      <c r="F364" s="1196"/>
      <c r="G364" s="1196"/>
      <c r="H364" s="1196"/>
      <c r="I364" s="1196"/>
      <c r="J364" s="1196"/>
      <c r="K364" s="1196"/>
      <c r="L364" s="1196"/>
      <c r="M364" s="1196"/>
      <c r="N364" s="1196"/>
      <c r="O364" s="1196"/>
      <c r="P364" s="1196"/>
      <c r="Q364" s="1196"/>
      <c r="R364" s="1196"/>
      <c r="S364" s="1196"/>
      <c r="T364" s="1196"/>
      <c r="U364" s="1196"/>
      <c r="V364" s="1196"/>
      <c r="W364" s="1196"/>
      <c r="X364" s="1196"/>
      <c r="Y364" s="1196"/>
      <c r="Z364" s="1196"/>
    </row>
    <row r="365" spans="1:26" ht="12.75" customHeight="1">
      <c r="A365" s="1196"/>
      <c r="B365" s="1196"/>
      <c r="C365" s="1196"/>
      <c r="D365" s="1196"/>
      <c r="E365" s="1196"/>
      <c r="F365" s="1196"/>
      <c r="G365" s="1196"/>
      <c r="H365" s="1196"/>
      <c r="I365" s="1196"/>
      <c r="J365" s="1196"/>
      <c r="K365" s="1196"/>
      <c r="L365" s="1196"/>
      <c r="M365" s="1196"/>
      <c r="N365" s="1196"/>
      <c r="O365" s="1196"/>
      <c r="P365" s="1196"/>
      <c r="Q365" s="1196"/>
      <c r="R365" s="1196"/>
      <c r="S365" s="1196"/>
      <c r="T365" s="1196"/>
      <c r="U365" s="1196"/>
      <c r="V365" s="1196"/>
      <c r="W365" s="1196"/>
      <c r="X365" s="1196"/>
      <c r="Y365" s="1196"/>
      <c r="Z365" s="1196"/>
    </row>
    <row r="366" spans="1:26" ht="12.75" customHeight="1">
      <c r="A366" s="1196"/>
      <c r="B366" s="1196"/>
      <c r="C366" s="1196"/>
      <c r="D366" s="1196"/>
      <c r="E366" s="1196"/>
      <c r="F366" s="1196"/>
      <c r="G366" s="1196"/>
      <c r="H366" s="1196"/>
      <c r="I366" s="1196"/>
      <c r="J366" s="1196"/>
      <c r="K366" s="1196"/>
      <c r="L366" s="1196"/>
      <c r="M366" s="1196"/>
      <c r="N366" s="1196"/>
      <c r="O366" s="1196"/>
      <c r="P366" s="1196"/>
      <c r="Q366" s="1196"/>
      <c r="R366" s="1196"/>
      <c r="S366" s="1196"/>
      <c r="T366" s="1196"/>
      <c r="U366" s="1196"/>
      <c r="V366" s="1196"/>
      <c r="W366" s="1196"/>
      <c r="X366" s="1196"/>
      <c r="Y366" s="1196"/>
      <c r="Z366" s="1196"/>
    </row>
    <row r="367" spans="1:26" ht="12.75" customHeight="1">
      <c r="A367" s="1196"/>
      <c r="B367" s="1196"/>
      <c r="C367" s="1196"/>
      <c r="D367" s="1196"/>
      <c r="E367" s="1196"/>
      <c r="F367" s="1196"/>
      <c r="G367" s="1196"/>
      <c r="H367" s="1196"/>
      <c r="I367" s="1196"/>
      <c r="J367" s="1196"/>
      <c r="K367" s="1196"/>
      <c r="L367" s="1196"/>
      <c r="M367" s="1196"/>
      <c r="N367" s="1196"/>
      <c r="O367" s="1196"/>
      <c r="P367" s="1196"/>
      <c r="Q367" s="1196"/>
      <c r="R367" s="1196"/>
      <c r="S367" s="1196"/>
      <c r="T367" s="1196"/>
      <c r="U367" s="1196"/>
      <c r="V367" s="1196"/>
      <c r="W367" s="1196"/>
      <c r="X367" s="1196"/>
      <c r="Y367" s="1196"/>
      <c r="Z367" s="1196"/>
    </row>
    <row r="368" spans="1:26" ht="12.75" customHeight="1">
      <c r="A368" s="1196"/>
      <c r="B368" s="1196"/>
      <c r="C368" s="1196"/>
      <c r="D368" s="1196"/>
      <c r="E368" s="1196"/>
      <c r="F368" s="1196"/>
      <c r="G368" s="1196"/>
      <c r="H368" s="1196"/>
      <c r="I368" s="1196"/>
      <c r="J368" s="1196"/>
      <c r="K368" s="1196"/>
      <c r="L368" s="1196"/>
      <c r="M368" s="1196"/>
      <c r="N368" s="1196"/>
      <c r="O368" s="1196"/>
      <c r="P368" s="1196"/>
      <c r="Q368" s="1196"/>
      <c r="R368" s="1196"/>
      <c r="S368" s="1196"/>
      <c r="T368" s="1196"/>
      <c r="U368" s="1196"/>
      <c r="V368" s="1196"/>
      <c r="W368" s="1196"/>
      <c r="X368" s="1196"/>
      <c r="Y368" s="1196"/>
      <c r="Z368" s="1196"/>
    </row>
    <row r="369" spans="1:26" ht="12.75" customHeight="1">
      <c r="A369" s="1196"/>
      <c r="B369" s="1196"/>
      <c r="C369" s="1196"/>
      <c r="D369" s="1196"/>
      <c r="E369" s="1196"/>
      <c r="F369" s="1196"/>
      <c r="G369" s="1196"/>
      <c r="H369" s="1196"/>
      <c r="I369" s="1196"/>
      <c r="J369" s="1196"/>
      <c r="K369" s="1196"/>
      <c r="L369" s="1196"/>
      <c r="M369" s="1196"/>
      <c r="N369" s="1196"/>
      <c r="O369" s="1196"/>
      <c r="P369" s="1196"/>
      <c r="Q369" s="1196"/>
      <c r="R369" s="1196"/>
      <c r="S369" s="1196"/>
      <c r="T369" s="1196"/>
      <c r="U369" s="1196"/>
      <c r="V369" s="1196"/>
      <c r="W369" s="1196"/>
      <c r="X369" s="1196"/>
      <c r="Y369" s="1196"/>
      <c r="Z369" s="1196"/>
    </row>
    <row r="370" spans="1:26" ht="12.75" customHeight="1">
      <c r="A370" s="1196"/>
      <c r="B370" s="1196"/>
      <c r="C370" s="1196"/>
      <c r="D370" s="1196"/>
      <c r="E370" s="1196"/>
      <c r="F370" s="1196"/>
      <c r="G370" s="1196"/>
      <c r="H370" s="1196"/>
      <c r="I370" s="1196"/>
      <c r="J370" s="1196"/>
      <c r="K370" s="1196"/>
      <c r="L370" s="1196"/>
      <c r="M370" s="1196"/>
      <c r="N370" s="1196"/>
      <c r="O370" s="1196"/>
      <c r="P370" s="1196"/>
      <c r="Q370" s="1196"/>
      <c r="R370" s="1196"/>
      <c r="S370" s="1196"/>
      <c r="T370" s="1196"/>
      <c r="U370" s="1196"/>
      <c r="V370" s="1196"/>
      <c r="W370" s="1196"/>
      <c r="X370" s="1196"/>
      <c r="Y370" s="1196"/>
      <c r="Z370" s="1196"/>
    </row>
    <row r="371" spans="1:26" ht="12.75" customHeight="1">
      <c r="A371" s="1196"/>
      <c r="B371" s="1196"/>
      <c r="C371" s="1196"/>
      <c r="D371" s="1196"/>
      <c r="E371" s="1196"/>
      <c r="F371" s="1196"/>
      <c r="G371" s="1196"/>
      <c r="H371" s="1196"/>
      <c r="I371" s="1196"/>
      <c r="J371" s="1196"/>
      <c r="K371" s="1196"/>
      <c r="L371" s="1196"/>
      <c r="M371" s="1196"/>
      <c r="N371" s="1196"/>
      <c r="O371" s="1196"/>
      <c r="P371" s="1196"/>
      <c r="Q371" s="1196"/>
      <c r="R371" s="1196"/>
      <c r="S371" s="1196"/>
      <c r="T371" s="1196"/>
      <c r="U371" s="1196"/>
      <c r="V371" s="1196"/>
      <c r="W371" s="1196"/>
      <c r="X371" s="1196"/>
      <c r="Y371" s="1196"/>
      <c r="Z371" s="1196"/>
    </row>
    <row r="372" spans="1:26" ht="12.75" customHeight="1">
      <c r="A372" s="1196"/>
      <c r="B372" s="1196"/>
      <c r="C372" s="1196"/>
      <c r="D372" s="1196"/>
      <c r="E372" s="1196"/>
      <c r="F372" s="1196"/>
      <c r="G372" s="1196"/>
      <c r="H372" s="1196"/>
      <c r="I372" s="1196"/>
      <c r="J372" s="1196"/>
      <c r="K372" s="1196"/>
      <c r="L372" s="1196"/>
      <c r="M372" s="1196"/>
      <c r="N372" s="1196"/>
      <c r="O372" s="1196"/>
      <c r="P372" s="1196"/>
      <c r="Q372" s="1196"/>
      <c r="R372" s="1196"/>
      <c r="S372" s="1196"/>
      <c r="T372" s="1196"/>
      <c r="U372" s="1196"/>
      <c r="V372" s="1196"/>
      <c r="W372" s="1196"/>
      <c r="X372" s="1196"/>
      <c r="Y372" s="1196"/>
      <c r="Z372" s="1196"/>
    </row>
    <row r="373" spans="1:26" ht="12.75" customHeight="1">
      <c r="A373" s="1196"/>
      <c r="B373" s="1196"/>
      <c r="C373" s="1196"/>
      <c r="D373" s="1196"/>
      <c r="E373" s="1196"/>
      <c r="F373" s="1196"/>
      <c r="G373" s="1196"/>
      <c r="H373" s="1196"/>
      <c r="I373" s="1196"/>
      <c r="J373" s="1196"/>
      <c r="K373" s="1196"/>
      <c r="L373" s="1196"/>
      <c r="M373" s="1196"/>
      <c r="N373" s="1196"/>
      <c r="O373" s="1196"/>
      <c r="P373" s="1196"/>
      <c r="Q373" s="1196"/>
      <c r="R373" s="1196"/>
      <c r="S373" s="1196"/>
      <c r="T373" s="1196"/>
      <c r="U373" s="1196"/>
      <c r="V373" s="1196"/>
      <c r="W373" s="1196"/>
      <c r="X373" s="1196"/>
      <c r="Y373" s="1196"/>
      <c r="Z373" s="1196"/>
    </row>
    <row r="374" spans="1:26" ht="12.75" customHeight="1">
      <c r="A374" s="1196"/>
      <c r="B374" s="1196"/>
      <c r="C374" s="1196"/>
      <c r="D374" s="1196"/>
      <c r="E374" s="1196"/>
      <c r="F374" s="1196"/>
      <c r="G374" s="1196"/>
      <c r="H374" s="1196"/>
      <c r="I374" s="1196"/>
      <c r="J374" s="1196"/>
      <c r="K374" s="1196"/>
      <c r="L374" s="1196"/>
      <c r="M374" s="1196"/>
      <c r="N374" s="1196"/>
      <c r="O374" s="1196"/>
      <c r="P374" s="1196"/>
      <c r="Q374" s="1196"/>
      <c r="R374" s="1196"/>
      <c r="S374" s="1196"/>
      <c r="T374" s="1196"/>
      <c r="U374" s="1196"/>
      <c r="V374" s="1196"/>
      <c r="W374" s="1196"/>
      <c r="X374" s="1196"/>
      <c r="Y374" s="1196"/>
      <c r="Z374" s="1196"/>
    </row>
    <row r="375" spans="1:26" ht="12.75" customHeight="1">
      <c r="A375" s="1196"/>
      <c r="B375" s="1196"/>
      <c r="C375" s="1196"/>
      <c r="D375" s="1196"/>
      <c r="E375" s="1196"/>
      <c r="F375" s="1196"/>
      <c r="G375" s="1196"/>
      <c r="H375" s="1196"/>
      <c r="I375" s="1196"/>
      <c r="J375" s="1196"/>
      <c r="K375" s="1196"/>
      <c r="L375" s="1196"/>
      <c r="M375" s="1196"/>
      <c r="N375" s="1196"/>
      <c r="O375" s="1196"/>
      <c r="P375" s="1196"/>
      <c r="Q375" s="1196"/>
      <c r="R375" s="1196"/>
      <c r="S375" s="1196"/>
      <c r="T375" s="1196"/>
      <c r="U375" s="1196"/>
      <c r="V375" s="1196"/>
      <c r="W375" s="1196"/>
      <c r="X375" s="1196"/>
      <c r="Y375" s="1196"/>
      <c r="Z375" s="1196"/>
    </row>
    <row r="376" spans="1:26" ht="12.75" customHeight="1">
      <c r="A376" s="1196"/>
      <c r="B376" s="1196"/>
      <c r="C376" s="1196"/>
      <c r="D376" s="1196"/>
      <c r="E376" s="1196"/>
      <c r="F376" s="1196"/>
      <c r="G376" s="1196"/>
      <c r="H376" s="1196"/>
      <c r="I376" s="1196"/>
      <c r="J376" s="1196"/>
      <c r="K376" s="1196"/>
      <c r="L376" s="1196"/>
      <c r="M376" s="1196"/>
      <c r="N376" s="1196"/>
      <c r="O376" s="1196"/>
      <c r="P376" s="1196"/>
      <c r="Q376" s="1196"/>
      <c r="R376" s="1196"/>
      <c r="S376" s="1196"/>
      <c r="T376" s="1196"/>
      <c r="U376" s="1196"/>
      <c r="V376" s="1196"/>
      <c r="W376" s="1196"/>
      <c r="X376" s="1196"/>
      <c r="Y376" s="1196"/>
      <c r="Z376" s="1196"/>
    </row>
    <row r="377" spans="1:26" ht="12.75" customHeight="1">
      <c r="A377" s="1196"/>
      <c r="B377" s="1196"/>
      <c r="C377" s="1196"/>
      <c r="D377" s="1196"/>
      <c r="E377" s="1196"/>
      <c r="F377" s="1196"/>
      <c r="G377" s="1196"/>
      <c r="H377" s="1196"/>
      <c r="I377" s="1196"/>
      <c r="J377" s="1196"/>
      <c r="K377" s="1196"/>
      <c r="L377" s="1196"/>
      <c r="M377" s="1196"/>
      <c r="N377" s="1196"/>
      <c r="O377" s="1196"/>
      <c r="P377" s="1196"/>
      <c r="Q377" s="1196"/>
      <c r="R377" s="1196"/>
      <c r="S377" s="1196"/>
      <c r="T377" s="1196"/>
      <c r="U377" s="1196"/>
      <c r="V377" s="1196"/>
      <c r="W377" s="1196"/>
      <c r="X377" s="1196"/>
      <c r="Y377" s="1196"/>
      <c r="Z377" s="1196"/>
    </row>
    <row r="378" spans="1:26" ht="12.75" customHeight="1">
      <c r="A378" s="1196"/>
      <c r="B378" s="1196"/>
      <c r="C378" s="1196"/>
      <c r="D378" s="1196"/>
      <c r="E378" s="1196"/>
      <c r="F378" s="1196"/>
      <c r="G378" s="1196"/>
      <c r="H378" s="1196"/>
      <c r="I378" s="1196"/>
      <c r="J378" s="1196"/>
      <c r="K378" s="1196"/>
      <c r="L378" s="1196"/>
      <c r="M378" s="1196"/>
      <c r="N378" s="1196"/>
      <c r="O378" s="1196"/>
      <c r="P378" s="1196"/>
      <c r="Q378" s="1196"/>
      <c r="R378" s="1196"/>
      <c r="S378" s="1196"/>
      <c r="T378" s="1196"/>
      <c r="U378" s="1196"/>
      <c r="V378" s="1196"/>
      <c r="W378" s="1196"/>
      <c r="X378" s="1196"/>
      <c r="Y378" s="1196"/>
      <c r="Z378" s="1196"/>
    </row>
    <row r="379" spans="1:26" ht="12.75" customHeight="1">
      <c r="A379" s="1196"/>
      <c r="B379" s="1196"/>
      <c r="C379" s="1196"/>
      <c r="D379" s="1196"/>
      <c r="E379" s="1196"/>
      <c r="F379" s="1196"/>
      <c r="G379" s="1196"/>
      <c r="H379" s="1196"/>
      <c r="I379" s="1196"/>
      <c r="J379" s="1196"/>
      <c r="K379" s="1196"/>
      <c r="L379" s="1196"/>
      <c r="M379" s="1196"/>
      <c r="N379" s="1196"/>
      <c r="O379" s="1196"/>
      <c r="P379" s="1196"/>
      <c r="Q379" s="1196"/>
      <c r="R379" s="1196"/>
      <c r="S379" s="1196"/>
      <c r="T379" s="1196"/>
      <c r="U379" s="1196"/>
      <c r="V379" s="1196"/>
      <c r="W379" s="1196"/>
      <c r="X379" s="1196"/>
      <c r="Y379" s="1196"/>
      <c r="Z379" s="1196"/>
    </row>
    <row r="380" spans="1:26" ht="12.75" customHeight="1">
      <c r="A380" s="1196"/>
      <c r="B380" s="1196"/>
      <c r="C380" s="1196"/>
      <c r="D380" s="1196"/>
      <c r="E380" s="1196"/>
      <c r="F380" s="1196"/>
      <c r="G380" s="1196"/>
      <c r="H380" s="1196"/>
      <c r="I380" s="1196"/>
      <c r="J380" s="1196"/>
      <c r="K380" s="1196"/>
      <c r="L380" s="1196"/>
      <c r="M380" s="1196"/>
      <c r="N380" s="1196"/>
      <c r="O380" s="1196"/>
      <c r="P380" s="1196"/>
      <c r="Q380" s="1196"/>
      <c r="R380" s="1196"/>
      <c r="S380" s="1196"/>
      <c r="T380" s="1196"/>
      <c r="U380" s="1196"/>
      <c r="V380" s="1196"/>
      <c r="W380" s="1196"/>
      <c r="X380" s="1196"/>
      <c r="Y380" s="1196"/>
      <c r="Z380" s="1196"/>
    </row>
    <row r="381" spans="1:26" ht="12.75" customHeight="1">
      <c r="A381" s="1196"/>
      <c r="B381" s="1196"/>
      <c r="C381" s="1196"/>
      <c r="D381" s="1196"/>
      <c r="E381" s="1196"/>
      <c r="F381" s="1196"/>
      <c r="G381" s="1196"/>
      <c r="H381" s="1196"/>
      <c r="I381" s="1196"/>
      <c r="J381" s="1196"/>
      <c r="K381" s="1196"/>
      <c r="L381" s="1196"/>
      <c r="M381" s="1196"/>
      <c r="N381" s="1196"/>
      <c r="O381" s="1196"/>
      <c r="P381" s="1196"/>
      <c r="Q381" s="1196"/>
      <c r="R381" s="1196"/>
      <c r="S381" s="1196"/>
      <c r="T381" s="1196"/>
      <c r="U381" s="1196"/>
      <c r="V381" s="1196"/>
      <c r="W381" s="1196"/>
      <c r="X381" s="1196"/>
      <c r="Y381" s="1196"/>
      <c r="Z381" s="1196"/>
    </row>
    <row r="382" spans="1:26" ht="12.75" customHeight="1">
      <c r="A382" s="1196"/>
      <c r="B382" s="1196"/>
      <c r="C382" s="1196"/>
      <c r="D382" s="1196"/>
      <c r="E382" s="1196"/>
      <c r="F382" s="1196"/>
      <c r="G382" s="1196"/>
      <c r="H382" s="1196"/>
      <c r="I382" s="1196"/>
      <c r="J382" s="1196"/>
      <c r="K382" s="1196"/>
      <c r="L382" s="1196"/>
      <c r="M382" s="1196"/>
      <c r="N382" s="1196"/>
      <c r="O382" s="1196"/>
      <c r="P382" s="1196"/>
      <c r="Q382" s="1196"/>
      <c r="R382" s="1196"/>
      <c r="S382" s="1196"/>
      <c r="T382" s="1196"/>
      <c r="U382" s="1196"/>
      <c r="V382" s="1196"/>
      <c r="W382" s="1196"/>
      <c r="X382" s="1196"/>
      <c r="Y382" s="1196"/>
      <c r="Z382" s="1196"/>
    </row>
    <row r="383" spans="1:26" ht="12.75" customHeight="1">
      <c r="A383" s="1196"/>
      <c r="B383" s="1196"/>
      <c r="C383" s="1196"/>
      <c r="D383" s="1196"/>
      <c r="E383" s="1196"/>
      <c r="F383" s="1196"/>
      <c r="G383" s="1196"/>
      <c r="H383" s="1196"/>
      <c r="I383" s="1196"/>
      <c r="J383" s="1196"/>
      <c r="K383" s="1196"/>
      <c r="L383" s="1196"/>
      <c r="M383" s="1196"/>
      <c r="N383" s="1196"/>
      <c r="O383" s="1196"/>
      <c r="P383" s="1196"/>
      <c r="Q383" s="1196"/>
      <c r="R383" s="1196"/>
      <c r="S383" s="1196"/>
      <c r="T383" s="1196"/>
      <c r="U383" s="1196"/>
      <c r="V383" s="1196"/>
      <c r="W383" s="1196"/>
      <c r="X383" s="1196"/>
      <c r="Y383" s="1196"/>
      <c r="Z383" s="1196"/>
    </row>
    <row r="384" spans="1:26" ht="12.75" customHeight="1">
      <c r="A384" s="1196"/>
      <c r="B384" s="1196"/>
      <c r="C384" s="1196"/>
      <c r="D384" s="1196"/>
      <c r="E384" s="1196"/>
      <c r="F384" s="1196"/>
      <c r="G384" s="1196"/>
      <c r="H384" s="1196"/>
      <c r="I384" s="1196"/>
      <c r="J384" s="1196"/>
      <c r="K384" s="1196"/>
      <c r="L384" s="1196"/>
      <c r="M384" s="1196"/>
      <c r="N384" s="1196"/>
      <c r="O384" s="1196"/>
      <c r="P384" s="1196"/>
      <c r="Q384" s="1196"/>
      <c r="R384" s="1196"/>
      <c r="S384" s="1196"/>
      <c r="T384" s="1196"/>
      <c r="U384" s="1196"/>
      <c r="V384" s="1196"/>
      <c r="W384" s="1196"/>
      <c r="X384" s="1196"/>
      <c r="Y384" s="1196"/>
      <c r="Z384" s="1196"/>
    </row>
    <row r="385" spans="1:26" ht="12.75" customHeight="1">
      <c r="A385" s="1196"/>
      <c r="B385" s="1196"/>
      <c r="C385" s="1196"/>
      <c r="D385" s="1196"/>
      <c r="E385" s="1196"/>
      <c r="F385" s="1196"/>
      <c r="G385" s="1196"/>
      <c r="H385" s="1196"/>
      <c r="I385" s="1196"/>
      <c r="J385" s="1196"/>
      <c r="K385" s="1196"/>
      <c r="L385" s="1196"/>
      <c r="M385" s="1196"/>
      <c r="N385" s="1196"/>
      <c r="O385" s="1196"/>
      <c r="P385" s="1196"/>
      <c r="Q385" s="1196"/>
      <c r="R385" s="1196"/>
      <c r="S385" s="1196"/>
      <c r="T385" s="1196"/>
      <c r="U385" s="1196"/>
      <c r="V385" s="1196"/>
      <c r="W385" s="1196"/>
      <c r="X385" s="1196"/>
      <c r="Y385" s="1196"/>
      <c r="Z385" s="1196"/>
    </row>
    <row r="386" spans="1:26" ht="12.75" customHeight="1">
      <c r="A386" s="1196"/>
      <c r="B386" s="1196"/>
      <c r="C386" s="1196"/>
      <c r="D386" s="1196"/>
      <c r="E386" s="1196"/>
      <c r="F386" s="1196"/>
      <c r="G386" s="1196"/>
      <c r="H386" s="1196"/>
      <c r="I386" s="1196"/>
      <c r="J386" s="1196"/>
      <c r="K386" s="1196"/>
      <c r="L386" s="1196"/>
      <c r="M386" s="1196"/>
      <c r="N386" s="1196"/>
      <c r="O386" s="1196"/>
      <c r="P386" s="1196"/>
      <c r="Q386" s="1196"/>
      <c r="R386" s="1196"/>
      <c r="S386" s="1196"/>
      <c r="T386" s="1196"/>
      <c r="U386" s="1196"/>
      <c r="V386" s="1196"/>
      <c r="W386" s="1196"/>
      <c r="X386" s="1196"/>
      <c r="Y386" s="1196"/>
      <c r="Z386" s="1196"/>
    </row>
    <row r="387" spans="1:26" ht="12.75" customHeight="1">
      <c r="A387" s="1196"/>
      <c r="B387" s="1196"/>
      <c r="C387" s="1196"/>
      <c r="D387" s="1196"/>
      <c r="E387" s="1196"/>
      <c r="F387" s="1196"/>
      <c r="G387" s="1196"/>
      <c r="H387" s="1196"/>
      <c r="I387" s="1196"/>
      <c r="J387" s="1196"/>
      <c r="K387" s="1196"/>
      <c r="L387" s="1196"/>
      <c r="M387" s="1196"/>
      <c r="N387" s="1196"/>
      <c r="O387" s="1196"/>
      <c r="P387" s="1196"/>
      <c r="Q387" s="1196"/>
      <c r="R387" s="1196"/>
      <c r="S387" s="1196"/>
      <c r="T387" s="1196"/>
      <c r="U387" s="1196"/>
      <c r="V387" s="1196"/>
      <c r="W387" s="1196"/>
      <c r="X387" s="1196"/>
      <c r="Y387" s="1196"/>
      <c r="Z387" s="1196"/>
    </row>
    <row r="388" spans="1:26" ht="12.75" customHeight="1">
      <c r="A388" s="1196"/>
      <c r="B388" s="1196"/>
      <c r="C388" s="1196"/>
      <c r="D388" s="1196"/>
      <c r="E388" s="1196"/>
      <c r="F388" s="1196"/>
      <c r="G388" s="1196"/>
      <c r="H388" s="1196"/>
      <c r="I388" s="1196"/>
      <c r="J388" s="1196"/>
      <c r="K388" s="1196"/>
      <c r="L388" s="1196"/>
      <c r="M388" s="1196"/>
      <c r="N388" s="1196"/>
      <c r="O388" s="1196"/>
      <c r="P388" s="1196"/>
      <c r="Q388" s="1196"/>
      <c r="R388" s="1196"/>
      <c r="S388" s="1196"/>
      <c r="T388" s="1196"/>
      <c r="U388" s="1196"/>
      <c r="V388" s="1196"/>
      <c r="W388" s="1196"/>
      <c r="X388" s="1196"/>
      <c r="Y388" s="1196"/>
      <c r="Z388" s="1196"/>
    </row>
    <row r="389" spans="1:26" ht="12.75" customHeight="1">
      <c r="A389" s="1196"/>
      <c r="B389" s="1196"/>
      <c r="C389" s="1196"/>
      <c r="D389" s="1196"/>
      <c r="E389" s="1196"/>
      <c r="F389" s="1196"/>
      <c r="G389" s="1196"/>
      <c r="H389" s="1196"/>
      <c r="I389" s="1196"/>
      <c r="J389" s="1196"/>
      <c r="K389" s="1196"/>
      <c r="L389" s="1196"/>
      <c r="M389" s="1196"/>
      <c r="N389" s="1196"/>
      <c r="O389" s="1196"/>
      <c r="P389" s="1196"/>
      <c r="Q389" s="1196"/>
      <c r="R389" s="1196"/>
      <c r="S389" s="1196"/>
      <c r="T389" s="1196"/>
      <c r="U389" s="1196"/>
      <c r="V389" s="1196"/>
      <c r="W389" s="1196"/>
      <c r="X389" s="1196"/>
      <c r="Y389" s="1196"/>
      <c r="Z389" s="1196"/>
    </row>
    <row r="390" spans="1:26" ht="12.75" customHeight="1">
      <c r="A390" s="1196"/>
      <c r="B390" s="1196"/>
      <c r="C390" s="1196"/>
      <c r="D390" s="1196"/>
      <c r="E390" s="1196"/>
      <c r="F390" s="1196"/>
      <c r="G390" s="1196"/>
      <c r="H390" s="1196"/>
      <c r="I390" s="1196"/>
      <c r="J390" s="1196"/>
      <c r="K390" s="1196"/>
      <c r="L390" s="1196"/>
      <c r="M390" s="1196"/>
      <c r="N390" s="1196"/>
      <c r="O390" s="1196"/>
      <c r="P390" s="1196"/>
      <c r="Q390" s="1196"/>
      <c r="R390" s="1196"/>
      <c r="S390" s="1196"/>
      <c r="T390" s="1196"/>
      <c r="U390" s="1196"/>
      <c r="V390" s="1196"/>
      <c r="W390" s="1196"/>
      <c r="X390" s="1196"/>
      <c r="Y390" s="1196"/>
      <c r="Z390" s="1196"/>
    </row>
    <row r="391" spans="1:26" ht="12.75" customHeight="1">
      <c r="A391" s="1196"/>
      <c r="B391" s="1196"/>
      <c r="C391" s="1196"/>
      <c r="D391" s="1196"/>
      <c r="E391" s="1196"/>
      <c r="F391" s="1196"/>
      <c r="G391" s="1196"/>
      <c r="H391" s="1196"/>
      <c r="I391" s="1196"/>
      <c r="J391" s="1196"/>
      <c r="K391" s="1196"/>
      <c r="L391" s="1196"/>
      <c r="M391" s="1196"/>
      <c r="N391" s="1196"/>
      <c r="O391" s="1196"/>
      <c r="P391" s="1196"/>
      <c r="Q391" s="1196"/>
      <c r="R391" s="1196"/>
      <c r="S391" s="1196"/>
      <c r="T391" s="1196"/>
      <c r="U391" s="1196"/>
      <c r="V391" s="1196"/>
      <c r="W391" s="1196"/>
      <c r="X391" s="1196"/>
      <c r="Y391" s="1196"/>
      <c r="Z391" s="1196"/>
    </row>
    <row r="392" spans="1:26" ht="12.75" customHeight="1">
      <c r="A392" s="1196"/>
      <c r="B392" s="1196"/>
      <c r="C392" s="1196"/>
      <c r="D392" s="1196"/>
      <c r="E392" s="1196"/>
      <c r="F392" s="1196"/>
      <c r="G392" s="1196"/>
      <c r="H392" s="1196"/>
      <c r="I392" s="1196"/>
      <c r="J392" s="1196"/>
      <c r="K392" s="1196"/>
      <c r="L392" s="1196"/>
      <c r="M392" s="1196"/>
      <c r="N392" s="1196"/>
      <c r="O392" s="1196"/>
      <c r="P392" s="1196"/>
      <c r="Q392" s="1196"/>
      <c r="R392" s="1196"/>
      <c r="S392" s="1196"/>
      <c r="T392" s="1196"/>
      <c r="U392" s="1196"/>
      <c r="V392" s="1196"/>
      <c r="W392" s="1196"/>
      <c r="X392" s="1196"/>
      <c r="Y392" s="1196"/>
      <c r="Z392" s="1196"/>
    </row>
    <row r="393" spans="1:26" ht="12.75" customHeight="1">
      <c r="A393" s="1196"/>
      <c r="B393" s="1196"/>
      <c r="C393" s="1196"/>
      <c r="D393" s="1196"/>
      <c r="E393" s="1196"/>
      <c r="F393" s="1196"/>
      <c r="G393" s="1196"/>
      <c r="H393" s="1196"/>
      <c r="I393" s="1196"/>
      <c r="J393" s="1196"/>
      <c r="K393" s="1196"/>
      <c r="L393" s="1196"/>
      <c r="M393" s="1196"/>
      <c r="N393" s="1196"/>
      <c r="O393" s="1196"/>
      <c r="P393" s="1196"/>
      <c r="Q393" s="1196"/>
      <c r="R393" s="1196"/>
      <c r="S393" s="1196"/>
      <c r="T393" s="1196"/>
      <c r="U393" s="1196"/>
      <c r="V393" s="1196"/>
      <c r="W393" s="1196"/>
      <c r="X393" s="1196"/>
      <c r="Y393" s="1196"/>
      <c r="Z393" s="1196"/>
    </row>
    <row r="394" spans="1:26" ht="12.75" customHeight="1">
      <c r="A394" s="1196"/>
      <c r="B394" s="1196"/>
      <c r="C394" s="1196"/>
      <c r="D394" s="1196"/>
      <c r="E394" s="1196"/>
      <c r="F394" s="1196"/>
      <c r="G394" s="1196"/>
      <c r="H394" s="1196"/>
      <c r="I394" s="1196"/>
      <c r="J394" s="1196"/>
      <c r="K394" s="1196"/>
      <c r="L394" s="1196"/>
      <c r="M394" s="1196"/>
      <c r="N394" s="1196"/>
      <c r="O394" s="1196"/>
      <c r="P394" s="1196"/>
      <c r="Q394" s="1196"/>
      <c r="R394" s="1196"/>
      <c r="S394" s="1196"/>
      <c r="T394" s="1196"/>
      <c r="U394" s="1196"/>
      <c r="V394" s="1196"/>
      <c r="W394" s="1196"/>
      <c r="X394" s="1196"/>
      <c r="Y394" s="1196"/>
      <c r="Z394" s="1196"/>
    </row>
    <row r="395" spans="1:26" ht="12.75" customHeight="1">
      <c r="A395" s="1196"/>
      <c r="B395" s="1196"/>
      <c r="C395" s="1196"/>
      <c r="D395" s="1196"/>
      <c r="E395" s="1196"/>
      <c r="F395" s="1196"/>
      <c r="G395" s="1196"/>
      <c r="H395" s="1196"/>
      <c r="I395" s="1196"/>
      <c r="J395" s="1196"/>
      <c r="K395" s="1196"/>
      <c r="L395" s="1196"/>
      <c r="M395" s="1196"/>
      <c r="N395" s="1196"/>
      <c r="O395" s="1196"/>
      <c r="P395" s="1196"/>
      <c r="Q395" s="1196"/>
      <c r="R395" s="1196"/>
      <c r="S395" s="1196"/>
      <c r="T395" s="1196"/>
      <c r="U395" s="1196"/>
      <c r="V395" s="1196"/>
      <c r="W395" s="1196"/>
      <c r="X395" s="1196"/>
      <c r="Y395" s="1196"/>
      <c r="Z395" s="1196"/>
    </row>
    <row r="396" spans="1:26" ht="12.75" customHeight="1">
      <c r="A396" s="1196"/>
      <c r="B396" s="1196"/>
      <c r="C396" s="1196"/>
      <c r="D396" s="1196"/>
      <c r="E396" s="1196"/>
      <c r="F396" s="1196"/>
      <c r="G396" s="1196"/>
      <c r="H396" s="1196"/>
      <c r="I396" s="1196"/>
      <c r="J396" s="1196"/>
      <c r="K396" s="1196"/>
      <c r="L396" s="1196"/>
      <c r="M396" s="1196"/>
      <c r="N396" s="1196"/>
      <c r="O396" s="1196"/>
      <c r="P396" s="1196"/>
      <c r="Q396" s="1196"/>
      <c r="R396" s="1196"/>
      <c r="S396" s="1196"/>
      <c r="T396" s="1196"/>
      <c r="U396" s="1196"/>
      <c r="V396" s="1196"/>
      <c r="W396" s="1196"/>
      <c r="X396" s="1196"/>
      <c r="Y396" s="1196"/>
      <c r="Z396" s="1196"/>
    </row>
    <row r="397" spans="1:26" ht="12.75" customHeight="1">
      <c r="A397" s="1196"/>
      <c r="B397" s="1196"/>
      <c r="C397" s="1196"/>
      <c r="D397" s="1196"/>
      <c r="E397" s="1196"/>
      <c r="F397" s="1196"/>
      <c r="G397" s="1196"/>
      <c r="H397" s="1196"/>
      <c r="I397" s="1196"/>
      <c r="J397" s="1196"/>
      <c r="K397" s="1196"/>
      <c r="L397" s="1196"/>
      <c r="M397" s="1196"/>
      <c r="N397" s="1196"/>
      <c r="O397" s="1196"/>
      <c r="P397" s="1196"/>
      <c r="Q397" s="1196"/>
      <c r="R397" s="1196"/>
      <c r="S397" s="1196"/>
      <c r="T397" s="1196"/>
      <c r="U397" s="1196"/>
      <c r="V397" s="1196"/>
      <c r="W397" s="1196"/>
      <c r="X397" s="1196"/>
      <c r="Y397" s="1196"/>
      <c r="Z397" s="1196"/>
    </row>
    <row r="398" spans="1:26" ht="12.75" customHeight="1">
      <c r="A398" s="1196"/>
      <c r="B398" s="1196"/>
      <c r="C398" s="1196"/>
      <c r="D398" s="1196"/>
      <c r="E398" s="1196"/>
      <c r="F398" s="1196"/>
      <c r="G398" s="1196"/>
      <c r="H398" s="1196"/>
      <c r="I398" s="1196"/>
      <c r="J398" s="1196"/>
      <c r="K398" s="1196"/>
      <c r="L398" s="1196"/>
      <c r="M398" s="1196"/>
      <c r="N398" s="1196"/>
      <c r="O398" s="1196"/>
      <c r="P398" s="1196"/>
      <c r="Q398" s="1196"/>
      <c r="R398" s="1196"/>
      <c r="S398" s="1196"/>
      <c r="T398" s="1196"/>
      <c r="U398" s="1196"/>
      <c r="V398" s="1196"/>
      <c r="W398" s="1196"/>
      <c r="X398" s="1196"/>
      <c r="Y398" s="1196"/>
      <c r="Z398" s="1196"/>
    </row>
    <row r="399" spans="1:26" ht="12.75" customHeight="1">
      <c r="A399" s="1196"/>
      <c r="B399" s="1196"/>
      <c r="C399" s="1196"/>
      <c r="D399" s="1196"/>
      <c r="E399" s="1196"/>
      <c r="F399" s="1196"/>
      <c r="G399" s="1196"/>
      <c r="H399" s="1196"/>
      <c r="I399" s="1196"/>
      <c r="J399" s="1196"/>
      <c r="K399" s="1196"/>
      <c r="L399" s="1196"/>
      <c r="M399" s="1196"/>
      <c r="N399" s="1196"/>
      <c r="O399" s="1196"/>
      <c r="P399" s="1196"/>
      <c r="Q399" s="1196"/>
      <c r="R399" s="1196"/>
      <c r="S399" s="1196"/>
      <c r="T399" s="1196"/>
      <c r="U399" s="1196"/>
      <c r="V399" s="1196"/>
      <c r="W399" s="1196"/>
      <c r="X399" s="1196"/>
      <c r="Y399" s="1196"/>
      <c r="Z399" s="1196"/>
    </row>
    <row r="400" spans="1:26" ht="12.75" customHeight="1">
      <c r="A400" s="1196"/>
      <c r="B400" s="1196"/>
      <c r="C400" s="1196"/>
      <c r="D400" s="1196"/>
      <c r="E400" s="1196"/>
      <c r="F400" s="1196"/>
      <c r="G400" s="1196"/>
      <c r="H400" s="1196"/>
      <c r="I400" s="1196"/>
      <c r="J400" s="1196"/>
      <c r="K400" s="1196"/>
      <c r="L400" s="1196"/>
      <c r="M400" s="1196"/>
      <c r="N400" s="1196"/>
      <c r="O400" s="1196"/>
      <c r="P400" s="1196"/>
      <c r="Q400" s="1196"/>
      <c r="R400" s="1196"/>
      <c r="S400" s="1196"/>
      <c r="T400" s="1196"/>
      <c r="U400" s="1196"/>
      <c r="V400" s="1196"/>
      <c r="W400" s="1196"/>
      <c r="X400" s="1196"/>
      <c r="Y400" s="1196"/>
      <c r="Z400" s="1196"/>
    </row>
    <row r="401" spans="1:26" ht="12.75" customHeight="1">
      <c r="A401" s="1196"/>
      <c r="B401" s="1196"/>
      <c r="C401" s="1196"/>
      <c r="D401" s="1196"/>
      <c r="E401" s="1196"/>
      <c r="F401" s="1196"/>
      <c r="G401" s="1196"/>
      <c r="H401" s="1196"/>
      <c r="I401" s="1196"/>
      <c r="J401" s="1196"/>
      <c r="K401" s="1196"/>
      <c r="L401" s="1196"/>
      <c r="M401" s="1196"/>
      <c r="N401" s="1196"/>
      <c r="O401" s="1196"/>
      <c r="P401" s="1196"/>
      <c r="Q401" s="1196"/>
      <c r="R401" s="1196"/>
      <c r="S401" s="1196"/>
      <c r="T401" s="1196"/>
      <c r="U401" s="1196"/>
      <c r="V401" s="1196"/>
      <c r="W401" s="1196"/>
      <c r="X401" s="1196"/>
      <c r="Y401" s="1196"/>
      <c r="Z401" s="1196"/>
    </row>
    <row r="402" spans="1:26" ht="12.75" customHeight="1">
      <c r="A402" s="1196"/>
      <c r="B402" s="1196"/>
      <c r="C402" s="1196"/>
      <c r="D402" s="1196"/>
      <c r="E402" s="1196"/>
      <c r="F402" s="1196"/>
      <c r="G402" s="1196"/>
      <c r="H402" s="1196"/>
      <c r="I402" s="1196"/>
      <c r="J402" s="1196"/>
      <c r="K402" s="1196"/>
      <c r="L402" s="1196"/>
      <c r="M402" s="1196"/>
      <c r="N402" s="1196"/>
      <c r="O402" s="1196"/>
      <c r="P402" s="1196"/>
      <c r="Q402" s="1196"/>
      <c r="R402" s="1196"/>
      <c r="S402" s="1196"/>
      <c r="T402" s="1196"/>
      <c r="U402" s="1196"/>
      <c r="V402" s="1196"/>
      <c r="W402" s="1196"/>
      <c r="X402" s="1196"/>
      <c r="Y402" s="1196"/>
      <c r="Z402" s="1196"/>
    </row>
    <row r="403" spans="1:26" ht="12.75" customHeight="1">
      <c r="A403" s="1196"/>
      <c r="B403" s="1196"/>
      <c r="C403" s="1196"/>
      <c r="D403" s="1196"/>
      <c r="E403" s="1196"/>
      <c r="F403" s="1196"/>
      <c r="G403" s="1196"/>
      <c r="H403" s="1196"/>
      <c r="I403" s="1196"/>
      <c r="J403" s="1196"/>
      <c r="K403" s="1196"/>
      <c r="L403" s="1196"/>
      <c r="M403" s="1196"/>
      <c r="N403" s="1196"/>
      <c r="O403" s="1196"/>
      <c r="P403" s="1196"/>
      <c r="Q403" s="1196"/>
      <c r="R403" s="1196"/>
      <c r="S403" s="1196"/>
      <c r="T403" s="1196"/>
      <c r="U403" s="1196"/>
      <c r="V403" s="1196"/>
      <c r="W403" s="1196"/>
      <c r="X403" s="1196"/>
      <c r="Y403" s="1196"/>
      <c r="Z403" s="1196"/>
    </row>
    <row r="404" spans="1:26" ht="12.75" customHeight="1">
      <c r="A404" s="1196"/>
      <c r="B404" s="1196"/>
      <c r="C404" s="1196"/>
      <c r="D404" s="1196"/>
      <c r="E404" s="1196"/>
      <c r="F404" s="1196"/>
      <c r="G404" s="1196"/>
      <c r="H404" s="1196"/>
      <c r="I404" s="1196"/>
      <c r="J404" s="1196"/>
      <c r="K404" s="1196"/>
      <c r="L404" s="1196"/>
      <c r="M404" s="1196"/>
      <c r="N404" s="1196"/>
      <c r="O404" s="1196"/>
      <c r="P404" s="1196"/>
      <c r="Q404" s="1196"/>
      <c r="R404" s="1196"/>
      <c r="S404" s="1196"/>
      <c r="T404" s="1196"/>
      <c r="U404" s="1196"/>
      <c r="V404" s="1196"/>
      <c r="W404" s="1196"/>
      <c r="X404" s="1196"/>
      <c r="Y404" s="1196"/>
      <c r="Z404" s="1196"/>
    </row>
    <row r="405" spans="1:26" ht="12.75" customHeight="1">
      <c r="A405" s="1196"/>
      <c r="B405" s="1196"/>
      <c r="C405" s="1196"/>
      <c r="D405" s="1196"/>
      <c r="E405" s="1196"/>
      <c r="F405" s="1196"/>
      <c r="G405" s="1196"/>
      <c r="H405" s="1196"/>
      <c r="I405" s="1196"/>
      <c r="J405" s="1196"/>
      <c r="K405" s="1196"/>
      <c r="L405" s="1196"/>
      <c r="M405" s="1196"/>
      <c r="N405" s="1196"/>
      <c r="O405" s="1196"/>
      <c r="P405" s="1196"/>
      <c r="Q405" s="1196"/>
      <c r="R405" s="1196"/>
      <c r="S405" s="1196"/>
      <c r="T405" s="1196"/>
      <c r="U405" s="1196"/>
      <c r="V405" s="1196"/>
      <c r="W405" s="1196"/>
      <c r="X405" s="1196"/>
      <c r="Y405" s="1196"/>
      <c r="Z405" s="1196"/>
    </row>
    <row r="406" spans="1:26" ht="12.75" customHeight="1">
      <c r="A406" s="1196"/>
      <c r="B406" s="1196"/>
      <c r="C406" s="1196"/>
      <c r="D406" s="1196"/>
      <c r="E406" s="1196"/>
      <c r="F406" s="1196"/>
      <c r="G406" s="1196"/>
      <c r="H406" s="1196"/>
      <c r="I406" s="1196"/>
      <c r="J406" s="1196"/>
      <c r="K406" s="1196"/>
      <c r="L406" s="1196"/>
      <c r="M406" s="1196"/>
      <c r="N406" s="1196"/>
      <c r="O406" s="1196"/>
      <c r="P406" s="1196"/>
      <c r="Q406" s="1196"/>
      <c r="R406" s="1196"/>
      <c r="S406" s="1196"/>
      <c r="T406" s="1196"/>
      <c r="U406" s="1196"/>
      <c r="V406" s="1196"/>
      <c r="W406" s="1196"/>
      <c r="X406" s="1196"/>
      <c r="Y406" s="1196"/>
      <c r="Z406" s="1196"/>
    </row>
    <row r="407" spans="1:26" ht="12.75" customHeight="1">
      <c r="A407" s="1196"/>
      <c r="B407" s="1196"/>
      <c r="C407" s="1196"/>
      <c r="D407" s="1196"/>
      <c r="E407" s="1196"/>
      <c r="F407" s="1196"/>
      <c r="G407" s="1196"/>
      <c r="H407" s="1196"/>
      <c r="I407" s="1196"/>
      <c r="J407" s="1196"/>
      <c r="K407" s="1196"/>
      <c r="L407" s="1196"/>
      <c r="M407" s="1196"/>
      <c r="N407" s="1196"/>
      <c r="O407" s="1196"/>
      <c r="P407" s="1196"/>
      <c r="Q407" s="1196"/>
      <c r="R407" s="1196"/>
      <c r="S407" s="1196"/>
      <c r="T407" s="1196"/>
      <c r="U407" s="1196"/>
      <c r="V407" s="1196"/>
      <c r="W407" s="1196"/>
      <c r="X407" s="1196"/>
      <c r="Y407" s="1196"/>
      <c r="Z407" s="1196"/>
    </row>
    <row r="408" spans="1:26" ht="12.75" customHeight="1">
      <c r="A408" s="1196"/>
      <c r="B408" s="1196"/>
      <c r="C408" s="1196"/>
      <c r="D408" s="1196"/>
      <c r="E408" s="1196"/>
      <c r="F408" s="1196"/>
      <c r="G408" s="1196"/>
      <c r="H408" s="1196"/>
      <c r="I408" s="1196"/>
      <c r="J408" s="1196"/>
      <c r="K408" s="1196"/>
      <c r="L408" s="1196"/>
      <c r="M408" s="1196"/>
      <c r="N408" s="1196"/>
      <c r="O408" s="1196"/>
      <c r="P408" s="1196"/>
      <c r="Q408" s="1196"/>
      <c r="R408" s="1196"/>
      <c r="S408" s="1196"/>
      <c r="T408" s="1196"/>
      <c r="U408" s="1196"/>
      <c r="V408" s="1196"/>
      <c r="W408" s="1196"/>
      <c r="X408" s="1196"/>
      <c r="Y408" s="1196"/>
      <c r="Z408" s="1196"/>
    </row>
    <row r="409" spans="1:26" ht="12.75" customHeight="1">
      <c r="A409" s="1196"/>
      <c r="B409" s="1196"/>
      <c r="C409" s="1196"/>
      <c r="D409" s="1196"/>
      <c r="E409" s="1196"/>
      <c r="F409" s="1196"/>
      <c r="G409" s="1196"/>
      <c r="H409" s="1196"/>
      <c r="I409" s="1196"/>
      <c r="J409" s="1196"/>
      <c r="K409" s="1196"/>
      <c r="L409" s="1196"/>
      <c r="M409" s="1196"/>
      <c r="N409" s="1196"/>
      <c r="O409" s="1196"/>
      <c r="P409" s="1196"/>
      <c r="Q409" s="1196"/>
      <c r="R409" s="1196"/>
      <c r="S409" s="1196"/>
      <c r="T409" s="1196"/>
      <c r="U409" s="1196"/>
      <c r="V409" s="1196"/>
      <c r="W409" s="1196"/>
      <c r="X409" s="1196"/>
      <c r="Y409" s="1196"/>
      <c r="Z409" s="1196"/>
    </row>
    <row r="410" spans="1:26" ht="12.75" customHeight="1">
      <c r="A410" s="1196"/>
      <c r="B410" s="1196"/>
      <c r="C410" s="1196"/>
      <c r="D410" s="1196"/>
      <c r="E410" s="1196"/>
      <c r="F410" s="1196"/>
      <c r="G410" s="1196"/>
      <c r="H410" s="1196"/>
      <c r="I410" s="1196"/>
      <c r="J410" s="1196"/>
      <c r="K410" s="1196"/>
      <c r="L410" s="1196"/>
      <c r="M410" s="1196"/>
      <c r="N410" s="1196"/>
      <c r="O410" s="1196"/>
      <c r="P410" s="1196"/>
      <c r="Q410" s="1196"/>
      <c r="R410" s="1196"/>
      <c r="S410" s="1196"/>
      <c r="T410" s="1196"/>
      <c r="U410" s="1196"/>
      <c r="V410" s="1196"/>
      <c r="W410" s="1196"/>
      <c r="X410" s="1196"/>
      <c r="Y410" s="1196"/>
      <c r="Z410" s="1196"/>
    </row>
    <row r="411" spans="1:26" ht="12.75" customHeight="1">
      <c r="A411" s="1196"/>
      <c r="B411" s="1196"/>
      <c r="C411" s="1196"/>
      <c r="D411" s="1196"/>
      <c r="E411" s="1196"/>
      <c r="F411" s="1196"/>
      <c r="G411" s="1196"/>
      <c r="H411" s="1196"/>
      <c r="I411" s="1196"/>
      <c r="J411" s="1196"/>
      <c r="K411" s="1196"/>
      <c r="L411" s="1196"/>
      <c r="M411" s="1196"/>
      <c r="N411" s="1196"/>
      <c r="O411" s="1196"/>
      <c r="P411" s="1196"/>
      <c r="Q411" s="1196"/>
      <c r="R411" s="1196"/>
      <c r="S411" s="1196"/>
      <c r="T411" s="1196"/>
      <c r="U411" s="1196"/>
      <c r="V411" s="1196"/>
      <c r="W411" s="1196"/>
      <c r="X411" s="1196"/>
      <c r="Y411" s="1196"/>
      <c r="Z411" s="1196"/>
    </row>
    <row r="412" spans="1:26" ht="12.75" customHeight="1">
      <c r="A412" s="1196"/>
      <c r="B412" s="1196"/>
      <c r="C412" s="1196"/>
      <c r="D412" s="1196"/>
      <c r="E412" s="1196"/>
      <c r="F412" s="1196"/>
      <c r="G412" s="1196"/>
      <c r="H412" s="1196"/>
      <c r="I412" s="1196"/>
      <c r="J412" s="1196"/>
      <c r="K412" s="1196"/>
      <c r="L412" s="1196"/>
      <c r="M412" s="1196"/>
      <c r="N412" s="1196"/>
      <c r="O412" s="1196"/>
      <c r="P412" s="1196"/>
      <c r="Q412" s="1196"/>
      <c r="R412" s="1196"/>
      <c r="S412" s="1196"/>
      <c r="T412" s="1196"/>
      <c r="U412" s="1196"/>
      <c r="V412" s="1196"/>
      <c r="W412" s="1196"/>
      <c r="X412" s="1196"/>
      <c r="Y412" s="1196"/>
      <c r="Z412" s="1196"/>
    </row>
    <row r="413" spans="1:26" ht="12.75" customHeight="1">
      <c r="A413" s="1196"/>
      <c r="B413" s="1196"/>
      <c r="C413" s="1196"/>
      <c r="D413" s="1196"/>
      <c r="E413" s="1196"/>
      <c r="F413" s="1196"/>
      <c r="G413" s="1196"/>
      <c r="H413" s="1196"/>
      <c r="I413" s="1196"/>
      <c r="J413" s="1196"/>
      <c r="K413" s="1196"/>
      <c r="L413" s="1196"/>
      <c r="M413" s="1196"/>
      <c r="N413" s="1196"/>
      <c r="O413" s="1196"/>
      <c r="P413" s="1196"/>
      <c r="Q413" s="1196"/>
      <c r="R413" s="1196"/>
      <c r="S413" s="1196"/>
      <c r="T413" s="1196"/>
      <c r="U413" s="1196"/>
      <c r="V413" s="1196"/>
      <c r="W413" s="1196"/>
      <c r="X413" s="1196"/>
      <c r="Y413" s="1196"/>
      <c r="Z413" s="1196"/>
    </row>
    <row r="414" spans="1:26" ht="12.75" customHeight="1">
      <c r="A414" s="1196"/>
      <c r="B414" s="1196"/>
      <c r="C414" s="1196"/>
      <c r="D414" s="1196"/>
      <c r="E414" s="1196"/>
      <c r="F414" s="1196"/>
      <c r="G414" s="1196"/>
      <c r="H414" s="1196"/>
      <c r="I414" s="1196"/>
      <c r="J414" s="1196"/>
      <c r="K414" s="1196"/>
      <c r="L414" s="1196"/>
      <c r="M414" s="1196"/>
      <c r="N414" s="1196"/>
      <c r="O414" s="1196"/>
      <c r="P414" s="1196"/>
      <c r="Q414" s="1196"/>
      <c r="R414" s="1196"/>
      <c r="S414" s="1196"/>
      <c r="T414" s="1196"/>
      <c r="U414" s="1196"/>
      <c r="V414" s="1196"/>
      <c r="W414" s="1196"/>
      <c r="X414" s="1196"/>
      <c r="Y414" s="1196"/>
      <c r="Z414" s="1196"/>
    </row>
    <row r="415" spans="1:26" ht="12.75" customHeight="1">
      <c r="A415" s="1196"/>
      <c r="B415" s="1196"/>
      <c r="C415" s="1196"/>
      <c r="D415" s="1196"/>
      <c r="E415" s="1196"/>
      <c r="F415" s="1196"/>
      <c r="G415" s="1196"/>
      <c r="H415" s="1196"/>
      <c r="I415" s="1196"/>
      <c r="J415" s="1196"/>
      <c r="K415" s="1196"/>
      <c r="L415" s="1196"/>
      <c r="M415" s="1196"/>
      <c r="N415" s="1196"/>
      <c r="O415" s="1196"/>
      <c r="P415" s="1196"/>
      <c r="Q415" s="1196"/>
      <c r="R415" s="1196"/>
      <c r="S415" s="1196"/>
      <c r="T415" s="1196"/>
      <c r="U415" s="1196"/>
      <c r="V415" s="1196"/>
      <c r="W415" s="1196"/>
      <c r="X415" s="1196"/>
      <c r="Y415" s="1196"/>
      <c r="Z415" s="1196"/>
    </row>
    <row r="416" spans="1:26" ht="12.75" customHeight="1">
      <c r="A416" s="1196"/>
      <c r="B416" s="1196"/>
      <c r="C416" s="1196"/>
      <c r="D416" s="1196"/>
      <c r="E416" s="1196"/>
      <c r="F416" s="1196"/>
      <c r="G416" s="1196"/>
      <c r="H416" s="1196"/>
      <c r="I416" s="1196"/>
      <c r="J416" s="1196"/>
      <c r="K416" s="1196"/>
      <c r="L416" s="1196"/>
      <c r="M416" s="1196"/>
      <c r="N416" s="1196"/>
      <c r="O416" s="1196"/>
      <c r="P416" s="1196"/>
      <c r="Q416" s="1196"/>
      <c r="R416" s="1196"/>
      <c r="S416" s="1196"/>
      <c r="T416" s="1196"/>
      <c r="U416" s="1196"/>
      <c r="V416" s="1196"/>
      <c r="W416" s="1196"/>
      <c r="X416" s="1196"/>
      <c r="Y416" s="1196"/>
      <c r="Z416" s="1196"/>
    </row>
    <row r="417" spans="1:26" ht="12.75" customHeight="1">
      <c r="A417" s="1196"/>
      <c r="B417" s="1196"/>
      <c r="C417" s="1196"/>
      <c r="D417" s="1196"/>
      <c r="E417" s="1196"/>
      <c r="F417" s="1196"/>
      <c r="G417" s="1196"/>
      <c r="H417" s="1196"/>
      <c r="I417" s="1196"/>
      <c r="J417" s="1196"/>
      <c r="K417" s="1196"/>
      <c r="L417" s="1196"/>
      <c r="M417" s="1196"/>
      <c r="N417" s="1196"/>
      <c r="O417" s="1196"/>
      <c r="P417" s="1196"/>
      <c r="Q417" s="1196"/>
      <c r="R417" s="1196"/>
      <c r="S417" s="1196"/>
      <c r="T417" s="1196"/>
      <c r="U417" s="1196"/>
      <c r="V417" s="1196"/>
      <c r="W417" s="1196"/>
      <c r="X417" s="1196"/>
      <c r="Y417" s="1196"/>
      <c r="Z417" s="1196"/>
    </row>
    <row r="418" spans="1:26" ht="12.75" customHeight="1">
      <c r="A418" s="1196"/>
      <c r="B418" s="1196"/>
      <c r="C418" s="1196"/>
      <c r="D418" s="1196"/>
      <c r="E418" s="1196"/>
      <c r="F418" s="1196"/>
      <c r="G418" s="1196"/>
      <c r="H418" s="1196"/>
      <c r="I418" s="1196"/>
      <c r="J418" s="1196"/>
      <c r="K418" s="1196"/>
      <c r="L418" s="1196"/>
      <c r="M418" s="1196"/>
      <c r="N418" s="1196"/>
      <c r="O418" s="1196"/>
      <c r="P418" s="1196"/>
      <c r="Q418" s="1196"/>
      <c r="R418" s="1196"/>
      <c r="S418" s="1196"/>
      <c r="T418" s="1196"/>
      <c r="U418" s="1196"/>
      <c r="V418" s="1196"/>
      <c r="W418" s="1196"/>
      <c r="X418" s="1196"/>
      <c r="Y418" s="1196"/>
      <c r="Z418" s="1196"/>
    </row>
    <row r="419" spans="1:26" ht="12.75" customHeight="1">
      <c r="A419" s="1196"/>
      <c r="B419" s="1196"/>
      <c r="C419" s="1196"/>
      <c r="D419" s="1196"/>
      <c r="E419" s="1196"/>
      <c r="F419" s="1196"/>
      <c r="G419" s="1196"/>
      <c r="H419" s="1196"/>
      <c r="I419" s="1196"/>
      <c r="J419" s="1196"/>
      <c r="K419" s="1196"/>
      <c r="L419" s="1196"/>
      <c r="M419" s="1196"/>
      <c r="N419" s="1196"/>
      <c r="O419" s="1196"/>
      <c r="P419" s="1196"/>
      <c r="Q419" s="1196"/>
      <c r="R419" s="1196"/>
      <c r="S419" s="1196"/>
      <c r="T419" s="1196"/>
      <c r="U419" s="1196"/>
      <c r="V419" s="1196"/>
      <c r="W419" s="1196"/>
      <c r="X419" s="1196"/>
      <c r="Y419" s="1196"/>
      <c r="Z419" s="1196"/>
    </row>
    <row r="420" spans="1:26" ht="12.75" customHeight="1">
      <c r="A420" s="1196"/>
      <c r="B420" s="1196"/>
      <c r="C420" s="1196"/>
      <c r="D420" s="1196"/>
      <c r="E420" s="1196"/>
      <c r="F420" s="1196"/>
      <c r="G420" s="1196"/>
      <c r="H420" s="1196"/>
      <c r="I420" s="1196"/>
      <c r="J420" s="1196"/>
      <c r="K420" s="1196"/>
      <c r="L420" s="1196"/>
      <c r="M420" s="1196"/>
      <c r="N420" s="1196"/>
      <c r="O420" s="1196"/>
      <c r="P420" s="1196"/>
      <c r="Q420" s="1196"/>
      <c r="R420" s="1196"/>
      <c r="S420" s="1196"/>
      <c r="T420" s="1196"/>
      <c r="U420" s="1196"/>
      <c r="V420" s="1196"/>
      <c r="W420" s="1196"/>
      <c r="X420" s="1196"/>
      <c r="Y420" s="1196"/>
      <c r="Z420" s="1196"/>
    </row>
    <row r="421" spans="1:26" ht="12.75" customHeight="1">
      <c r="A421" s="1196"/>
      <c r="B421" s="1196"/>
      <c r="C421" s="1196"/>
      <c r="D421" s="1196"/>
      <c r="E421" s="1196"/>
      <c r="F421" s="1196"/>
      <c r="G421" s="1196"/>
      <c r="H421" s="1196"/>
      <c r="I421" s="1196"/>
      <c r="J421" s="1196"/>
      <c r="K421" s="1196"/>
      <c r="L421" s="1196"/>
      <c r="M421" s="1196"/>
      <c r="N421" s="1196"/>
      <c r="O421" s="1196"/>
      <c r="P421" s="1196"/>
      <c r="Q421" s="1196"/>
      <c r="R421" s="1196"/>
      <c r="S421" s="1196"/>
      <c r="T421" s="1196"/>
      <c r="U421" s="1196"/>
      <c r="V421" s="1196"/>
      <c r="W421" s="1196"/>
      <c r="X421" s="1196"/>
      <c r="Y421" s="1196"/>
      <c r="Z421" s="1196"/>
    </row>
    <row r="422" spans="1:26" ht="12.75" customHeight="1">
      <c r="A422" s="1196"/>
      <c r="B422" s="1196"/>
      <c r="C422" s="1196"/>
      <c r="D422" s="1196"/>
      <c r="E422" s="1196"/>
      <c r="F422" s="1196"/>
      <c r="G422" s="1196"/>
      <c r="H422" s="1196"/>
      <c r="I422" s="1196"/>
      <c r="J422" s="1196"/>
      <c r="K422" s="1196"/>
      <c r="L422" s="1196"/>
      <c r="M422" s="1196"/>
      <c r="N422" s="1196"/>
      <c r="O422" s="1196"/>
      <c r="P422" s="1196"/>
      <c r="Q422" s="1196"/>
      <c r="R422" s="1196"/>
      <c r="S422" s="1196"/>
      <c r="T422" s="1196"/>
      <c r="U422" s="1196"/>
      <c r="V422" s="1196"/>
      <c r="W422" s="1196"/>
      <c r="X422" s="1196"/>
      <c r="Y422" s="1196"/>
      <c r="Z422" s="1196"/>
    </row>
    <row r="423" spans="1:26" ht="12.75" customHeight="1">
      <c r="A423" s="1196"/>
      <c r="B423" s="1196"/>
      <c r="C423" s="1196"/>
      <c r="D423" s="1196"/>
      <c r="E423" s="1196"/>
      <c r="F423" s="1196"/>
      <c r="G423" s="1196"/>
      <c r="H423" s="1196"/>
      <c r="I423" s="1196"/>
      <c r="J423" s="1196"/>
      <c r="K423" s="1196"/>
      <c r="L423" s="1196"/>
      <c r="M423" s="1196"/>
      <c r="N423" s="1196"/>
      <c r="O423" s="1196"/>
      <c r="P423" s="1196"/>
      <c r="Q423" s="1196"/>
      <c r="R423" s="1196"/>
      <c r="S423" s="1196"/>
      <c r="T423" s="1196"/>
      <c r="U423" s="1196"/>
      <c r="V423" s="1196"/>
      <c r="W423" s="1196"/>
      <c r="X423" s="1196"/>
      <c r="Y423" s="1196"/>
      <c r="Z423" s="1196"/>
    </row>
    <row r="424" spans="1:26" ht="12.75" customHeight="1">
      <c r="A424" s="1196"/>
      <c r="B424" s="1196"/>
      <c r="C424" s="1196"/>
      <c r="D424" s="1196"/>
      <c r="E424" s="1196"/>
      <c r="F424" s="1196"/>
      <c r="G424" s="1196"/>
      <c r="H424" s="1196"/>
      <c r="I424" s="1196"/>
      <c r="J424" s="1196"/>
      <c r="K424" s="1196"/>
      <c r="L424" s="1196"/>
      <c r="M424" s="1196"/>
      <c r="N424" s="1196"/>
      <c r="O424" s="1196"/>
      <c r="P424" s="1196"/>
      <c r="Q424" s="1196"/>
      <c r="R424" s="1196"/>
      <c r="S424" s="1196"/>
      <c r="T424" s="1196"/>
      <c r="U424" s="1196"/>
      <c r="V424" s="1196"/>
      <c r="W424" s="1196"/>
      <c r="X424" s="1196"/>
      <c r="Y424" s="1196"/>
      <c r="Z424" s="1196"/>
    </row>
    <row r="425" spans="1:26" ht="12.75" customHeight="1">
      <c r="A425" s="1196"/>
      <c r="B425" s="1196"/>
      <c r="C425" s="1196"/>
      <c r="D425" s="1196"/>
      <c r="E425" s="1196"/>
      <c r="F425" s="1196"/>
      <c r="G425" s="1196"/>
      <c r="H425" s="1196"/>
      <c r="I425" s="1196"/>
      <c r="J425" s="1196"/>
      <c r="K425" s="1196"/>
      <c r="L425" s="1196"/>
      <c r="M425" s="1196"/>
      <c r="N425" s="1196"/>
      <c r="O425" s="1196"/>
      <c r="P425" s="1196"/>
      <c r="Q425" s="1196"/>
      <c r="R425" s="1196"/>
      <c r="S425" s="1196"/>
      <c r="T425" s="1196"/>
      <c r="U425" s="1196"/>
      <c r="V425" s="1196"/>
      <c r="W425" s="1196"/>
      <c r="X425" s="1196"/>
      <c r="Y425" s="1196"/>
      <c r="Z425" s="1196"/>
    </row>
    <row r="426" spans="1:26" ht="12.75" customHeight="1">
      <c r="A426" s="1196"/>
      <c r="B426" s="1196"/>
      <c r="C426" s="1196"/>
      <c r="D426" s="1196"/>
      <c r="E426" s="1196"/>
      <c r="F426" s="1196"/>
      <c r="G426" s="1196"/>
      <c r="H426" s="1196"/>
      <c r="I426" s="1196"/>
      <c r="J426" s="1196"/>
      <c r="K426" s="1196"/>
      <c r="L426" s="1196"/>
      <c r="M426" s="1196"/>
      <c r="N426" s="1196"/>
      <c r="O426" s="1196"/>
      <c r="P426" s="1196"/>
      <c r="Q426" s="1196"/>
      <c r="R426" s="1196"/>
      <c r="S426" s="1196"/>
      <c r="T426" s="1196"/>
      <c r="U426" s="1196"/>
      <c r="V426" s="1196"/>
      <c r="W426" s="1196"/>
      <c r="X426" s="1196"/>
      <c r="Y426" s="1196"/>
      <c r="Z426" s="1196"/>
    </row>
    <row r="427" spans="1:26" ht="12.75" customHeight="1">
      <c r="A427" s="1196"/>
      <c r="B427" s="1196"/>
      <c r="C427" s="1196"/>
      <c r="D427" s="1196"/>
      <c r="E427" s="1196"/>
      <c r="F427" s="1196"/>
      <c r="G427" s="1196"/>
      <c r="H427" s="1196"/>
      <c r="I427" s="1196"/>
      <c r="J427" s="1196"/>
      <c r="K427" s="1196"/>
      <c r="L427" s="1196"/>
      <c r="M427" s="1196"/>
      <c r="N427" s="1196"/>
      <c r="O427" s="1196"/>
      <c r="P427" s="1196"/>
      <c r="Q427" s="1196"/>
      <c r="R427" s="1196"/>
      <c r="S427" s="1196"/>
      <c r="T427" s="1196"/>
      <c r="U427" s="1196"/>
      <c r="V427" s="1196"/>
      <c r="W427" s="1196"/>
      <c r="X427" s="1196"/>
      <c r="Y427" s="1196"/>
      <c r="Z427" s="1196"/>
    </row>
    <row r="428" spans="1:26" ht="12.75" customHeight="1">
      <c r="A428" s="1196"/>
      <c r="B428" s="1196"/>
      <c r="C428" s="1196"/>
      <c r="D428" s="1196"/>
      <c r="E428" s="1196"/>
      <c r="F428" s="1196"/>
      <c r="G428" s="1196"/>
      <c r="H428" s="1196"/>
      <c r="I428" s="1196"/>
      <c r="J428" s="1196"/>
      <c r="K428" s="1196"/>
      <c r="L428" s="1196"/>
      <c r="M428" s="1196"/>
      <c r="N428" s="1196"/>
      <c r="O428" s="1196"/>
      <c r="P428" s="1196"/>
      <c r="Q428" s="1196"/>
      <c r="R428" s="1196"/>
      <c r="S428" s="1196"/>
      <c r="T428" s="1196"/>
      <c r="U428" s="1196"/>
      <c r="V428" s="1196"/>
      <c r="W428" s="1196"/>
      <c r="X428" s="1196"/>
      <c r="Y428" s="1196"/>
      <c r="Z428" s="1196"/>
    </row>
    <row r="429" spans="1:26" ht="12.75" customHeight="1">
      <c r="A429" s="1196"/>
      <c r="B429" s="1196"/>
      <c r="C429" s="1196"/>
      <c r="D429" s="1196"/>
      <c r="E429" s="1196"/>
      <c r="F429" s="1196"/>
      <c r="G429" s="1196"/>
      <c r="H429" s="1196"/>
      <c r="I429" s="1196"/>
      <c r="J429" s="1196"/>
      <c r="K429" s="1196"/>
      <c r="L429" s="1196"/>
      <c r="M429" s="1196"/>
      <c r="N429" s="1196"/>
      <c r="O429" s="1196"/>
      <c r="P429" s="1196"/>
      <c r="Q429" s="1196"/>
      <c r="R429" s="1196"/>
      <c r="S429" s="1196"/>
      <c r="T429" s="1196"/>
      <c r="U429" s="1196"/>
      <c r="V429" s="1196"/>
      <c r="W429" s="1196"/>
      <c r="X429" s="1196"/>
      <c r="Y429" s="1196"/>
      <c r="Z429" s="1196"/>
    </row>
    <row r="430" spans="1:26" ht="12.75" customHeight="1">
      <c r="A430" s="1196"/>
      <c r="B430" s="1196"/>
      <c r="C430" s="1196"/>
      <c r="D430" s="1196"/>
      <c r="E430" s="1196"/>
      <c r="F430" s="1196"/>
      <c r="G430" s="1196"/>
      <c r="H430" s="1196"/>
      <c r="I430" s="1196"/>
      <c r="J430" s="1196"/>
      <c r="K430" s="1196"/>
      <c r="L430" s="1196"/>
      <c r="M430" s="1196"/>
      <c r="N430" s="1196"/>
      <c r="O430" s="1196"/>
      <c r="P430" s="1196"/>
      <c r="Q430" s="1196"/>
      <c r="R430" s="1196"/>
      <c r="S430" s="1196"/>
      <c r="T430" s="1196"/>
      <c r="U430" s="1196"/>
      <c r="V430" s="1196"/>
      <c r="W430" s="1196"/>
      <c r="X430" s="1196"/>
      <c r="Y430" s="1196"/>
      <c r="Z430" s="1196"/>
    </row>
    <row r="431" spans="1:26" ht="12.75" customHeight="1">
      <c r="A431" s="1196"/>
      <c r="B431" s="1196"/>
      <c r="C431" s="1196"/>
      <c r="D431" s="1196"/>
      <c r="E431" s="1196"/>
      <c r="F431" s="1196"/>
      <c r="G431" s="1196"/>
      <c r="H431" s="1196"/>
      <c r="I431" s="1196"/>
      <c r="J431" s="1196"/>
      <c r="K431" s="1196"/>
      <c r="L431" s="1196"/>
      <c r="M431" s="1196"/>
      <c r="N431" s="1196"/>
      <c r="O431" s="1196"/>
      <c r="P431" s="1196"/>
      <c r="Q431" s="1196"/>
      <c r="R431" s="1196"/>
      <c r="S431" s="1196"/>
      <c r="T431" s="1196"/>
      <c r="U431" s="1196"/>
      <c r="V431" s="1196"/>
      <c r="W431" s="1196"/>
      <c r="X431" s="1196"/>
      <c r="Y431" s="1196"/>
      <c r="Z431" s="1196"/>
    </row>
    <row r="432" spans="1:26" ht="12.75" customHeight="1">
      <c r="A432" s="1196"/>
      <c r="B432" s="1196"/>
      <c r="C432" s="1196"/>
      <c r="D432" s="1196"/>
      <c r="E432" s="1196"/>
      <c r="F432" s="1196"/>
      <c r="G432" s="1196"/>
      <c r="H432" s="1196"/>
      <c r="I432" s="1196"/>
      <c r="J432" s="1196"/>
      <c r="K432" s="1196"/>
      <c r="L432" s="1196"/>
      <c r="M432" s="1196"/>
      <c r="N432" s="1196"/>
      <c r="O432" s="1196"/>
      <c r="P432" s="1196"/>
      <c r="Q432" s="1196"/>
      <c r="R432" s="1196"/>
      <c r="S432" s="1196"/>
      <c r="T432" s="1196"/>
      <c r="U432" s="1196"/>
      <c r="V432" s="1196"/>
      <c r="W432" s="1196"/>
      <c r="X432" s="1196"/>
      <c r="Y432" s="1196"/>
      <c r="Z432" s="1196"/>
    </row>
    <row r="433" spans="1:26" ht="12.75" customHeight="1">
      <c r="A433" s="1196"/>
      <c r="B433" s="1196"/>
      <c r="C433" s="1196"/>
      <c r="D433" s="1196"/>
      <c r="E433" s="1196"/>
      <c r="F433" s="1196"/>
      <c r="G433" s="1196"/>
      <c r="H433" s="1196"/>
      <c r="I433" s="1196"/>
      <c r="J433" s="1196"/>
      <c r="K433" s="1196"/>
      <c r="L433" s="1196"/>
      <c r="M433" s="1196"/>
      <c r="N433" s="1196"/>
      <c r="O433" s="1196"/>
      <c r="P433" s="1196"/>
      <c r="Q433" s="1196"/>
      <c r="R433" s="1196"/>
      <c r="S433" s="1196"/>
      <c r="T433" s="1196"/>
      <c r="U433" s="1196"/>
      <c r="V433" s="1196"/>
      <c r="W433" s="1196"/>
      <c r="X433" s="1196"/>
      <c r="Y433" s="1196"/>
      <c r="Z433" s="1196"/>
    </row>
    <row r="434" spans="1:26" ht="12.75" customHeight="1">
      <c r="A434" s="1196"/>
      <c r="B434" s="1196"/>
      <c r="C434" s="1196"/>
      <c r="D434" s="1196"/>
      <c r="E434" s="1196"/>
      <c r="F434" s="1196"/>
      <c r="G434" s="1196"/>
      <c r="H434" s="1196"/>
      <c r="I434" s="1196"/>
      <c r="J434" s="1196"/>
      <c r="K434" s="1196"/>
      <c r="L434" s="1196"/>
      <c r="M434" s="1196"/>
      <c r="N434" s="1196"/>
      <c r="O434" s="1196"/>
      <c r="P434" s="1196"/>
      <c r="Q434" s="1196"/>
      <c r="R434" s="1196"/>
      <c r="S434" s="1196"/>
      <c r="T434" s="1196"/>
      <c r="U434" s="1196"/>
      <c r="V434" s="1196"/>
      <c r="W434" s="1196"/>
      <c r="X434" s="1196"/>
      <c r="Y434" s="1196"/>
      <c r="Z434" s="1196"/>
    </row>
    <row r="435" spans="1:26" ht="12.75" customHeight="1">
      <c r="A435" s="1196"/>
      <c r="B435" s="1196"/>
      <c r="C435" s="1196"/>
      <c r="D435" s="1196"/>
      <c r="E435" s="1196"/>
      <c r="F435" s="1196"/>
      <c r="G435" s="1196"/>
      <c r="H435" s="1196"/>
      <c r="I435" s="1196"/>
      <c r="J435" s="1196"/>
      <c r="K435" s="1196"/>
      <c r="L435" s="1196"/>
      <c r="M435" s="1196"/>
      <c r="N435" s="1196"/>
      <c r="O435" s="1196"/>
      <c r="P435" s="1196"/>
      <c r="Q435" s="1196"/>
      <c r="R435" s="1196"/>
      <c r="S435" s="1196"/>
      <c r="T435" s="1196"/>
      <c r="U435" s="1196"/>
      <c r="V435" s="1196"/>
      <c r="W435" s="1196"/>
      <c r="X435" s="1196"/>
      <c r="Y435" s="1196"/>
      <c r="Z435" s="1196"/>
    </row>
    <row r="436" spans="1:26" ht="12.75" customHeight="1">
      <c r="A436" s="1196"/>
      <c r="B436" s="1196"/>
      <c r="C436" s="1196"/>
      <c r="D436" s="1196"/>
      <c r="E436" s="1196"/>
      <c r="F436" s="1196"/>
      <c r="G436" s="1196"/>
      <c r="H436" s="1196"/>
      <c r="I436" s="1196"/>
      <c r="J436" s="1196"/>
      <c r="K436" s="1196"/>
      <c r="L436" s="1196"/>
      <c r="M436" s="1196"/>
      <c r="N436" s="1196"/>
      <c r="O436" s="1196"/>
      <c r="P436" s="1196"/>
      <c r="Q436" s="1196"/>
      <c r="R436" s="1196"/>
      <c r="S436" s="1196"/>
      <c r="T436" s="1196"/>
      <c r="U436" s="1196"/>
      <c r="V436" s="1196"/>
      <c r="W436" s="1196"/>
      <c r="X436" s="1196"/>
      <c r="Y436" s="1196"/>
      <c r="Z436" s="1196"/>
    </row>
    <row r="437" spans="1:26" ht="12.75" customHeight="1">
      <c r="A437" s="1196"/>
      <c r="B437" s="1196"/>
      <c r="C437" s="1196"/>
      <c r="D437" s="1196"/>
      <c r="E437" s="1196"/>
      <c r="F437" s="1196"/>
      <c r="G437" s="1196"/>
      <c r="H437" s="1196"/>
      <c r="I437" s="1196"/>
      <c r="J437" s="1196"/>
      <c r="K437" s="1196"/>
      <c r="L437" s="1196"/>
      <c r="M437" s="1196"/>
      <c r="N437" s="1196"/>
      <c r="O437" s="1196"/>
      <c r="P437" s="1196"/>
      <c r="Q437" s="1196"/>
      <c r="R437" s="1196"/>
      <c r="S437" s="1196"/>
      <c r="T437" s="1196"/>
      <c r="U437" s="1196"/>
      <c r="V437" s="1196"/>
      <c r="W437" s="1196"/>
      <c r="X437" s="1196"/>
      <c r="Y437" s="1196"/>
      <c r="Z437" s="1196"/>
    </row>
    <row r="438" spans="1:26" ht="12.75" customHeight="1">
      <c r="A438" s="1196"/>
      <c r="B438" s="1196"/>
      <c r="C438" s="1196"/>
      <c r="D438" s="1196"/>
      <c r="E438" s="1196"/>
      <c r="F438" s="1196"/>
      <c r="G438" s="1196"/>
      <c r="H438" s="1196"/>
      <c r="I438" s="1196"/>
      <c r="J438" s="1196"/>
      <c r="K438" s="1196"/>
      <c r="L438" s="1196"/>
      <c r="M438" s="1196"/>
      <c r="N438" s="1196"/>
      <c r="O438" s="1196"/>
      <c r="P438" s="1196"/>
      <c r="Q438" s="1196"/>
      <c r="R438" s="1196"/>
      <c r="S438" s="1196"/>
      <c r="T438" s="1196"/>
      <c r="U438" s="1196"/>
      <c r="V438" s="1196"/>
      <c r="W438" s="1196"/>
      <c r="X438" s="1196"/>
      <c r="Y438" s="1196"/>
      <c r="Z438" s="1196"/>
    </row>
    <row r="439" spans="1:26" ht="12.75" customHeight="1">
      <c r="A439" s="1196"/>
      <c r="B439" s="1196"/>
      <c r="C439" s="1196"/>
      <c r="D439" s="1196"/>
      <c r="E439" s="1196"/>
      <c r="F439" s="1196"/>
      <c r="G439" s="1196"/>
      <c r="H439" s="1196"/>
      <c r="I439" s="1196"/>
      <c r="J439" s="1196"/>
      <c r="K439" s="1196"/>
      <c r="L439" s="1196"/>
      <c r="M439" s="1196"/>
      <c r="N439" s="1196"/>
      <c r="O439" s="1196"/>
      <c r="P439" s="1196"/>
      <c r="Q439" s="1196"/>
      <c r="R439" s="1196"/>
      <c r="S439" s="1196"/>
      <c r="T439" s="1196"/>
      <c r="U439" s="1196"/>
      <c r="V439" s="1196"/>
      <c r="W439" s="1196"/>
      <c r="X439" s="1196"/>
      <c r="Y439" s="1196"/>
      <c r="Z439" s="1196"/>
    </row>
    <row r="440" spans="1:26" ht="12.75" customHeight="1">
      <c r="A440" s="1196"/>
      <c r="B440" s="1196"/>
      <c r="C440" s="1196"/>
      <c r="D440" s="1196"/>
      <c r="E440" s="1196"/>
      <c r="F440" s="1196"/>
      <c r="G440" s="1196"/>
      <c r="H440" s="1196"/>
      <c r="I440" s="1196"/>
      <c r="J440" s="1196"/>
      <c r="K440" s="1196"/>
      <c r="L440" s="1196"/>
      <c r="M440" s="1196"/>
      <c r="N440" s="1196"/>
      <c r="O440" s="1196"/>
      <c r="P440" s="1196"/>
      <c r="Q440" s="1196"/>
      <c r="R440" s="1196"/>
      <c r="S440" s="1196"/>
      <c r="T440" s="1196"/>
      <c r="U440" s="1196"/>
      <c r="V440" s="1196"/>
      <c r="W440" s="1196"/>
      <c r="X440" s="1196"/>
      <c r="Y440" s="1196"/>
      <c r="Z440" s="1196"/>
    </row>
    <row r="441" spans="1:26" ht="12.75" customHeight="1">
      <c r="A441" s="1196"/>
      <c r="B441" s="1196"/>
      <c r="C441" s="1196"/>
      <c r="D441" s="1196"/>
      <c r="E441" s="1196"/>
      <c r="F441" s="1196"/>
      <c r="G441" s="1196"/>
      <c r="H441" s="1196"/>
      <c r="I441" s="1196"/>
      <c r="J441" s="1196"/>
      <c r="K441" s="1196"/>
      <c r="L441" s="1196"/>
      <c r="M441" s="1196"/>
      <c r="N441" s="1196"/>
      <c r="O441" s="1196"/>
      <c r="P441" s="1196"/>
      <c r="Q441" s="1196"/>
      <c r="R441" s="1196"/>
      <c r="S441" s="1196"/>
      <c r="T441" s="1196"/>
      <c r="U441" s="1196"/>
      <c r="V441" s="1196"/>
      <c r="W441" s="1196"/>
      <c r="X441" s="1196"/>
      <c r="Y441" s="1196"/>
      <c r="Z441" s="1196"/>
    </row>
    <row r="442" spans="1:26" ht="12.75" customHeight="1">
      <c r="A442" s="1196"/>
      <c r="B442" s="1196"/>
      <c r="C442" s="1196"/>
      <c r="D442" s="1196"/>
      <c r="E442" s="1196"/>
      <c r="F442" s="1196"/>
      <c r="G442" s="1196"/>
      <c r="H442" s="1196"/>
      <c r="I442" s="1196"/>
      <c r="J442" s="1196"/>
      <c r="K442" s="1196"/>
      <c r="L442" s="1196"/>
      <c r="M442" s="1196"/>
      <c r="N442" s="1196"/>
      <c r="O442" s="1196"/>
      <c r="P442" s="1196"/>
      <c r="Q442" s="1196"/>
      <c r="R442" s="1196"/>
      <c r="S442" s="1196"/>
      <c r="T442" s="1196"/>
      <c r="U442" s="1196"/>
      <c r="V442" s="1196"/>
      <c r="W442" s="1196"/>
      <c r="X442" s="1196"/>
      <c r="Y442" s="1196"/>
      <c r="Z442" s="1196"/>
    </row>
    <row r="443" spans="1:26" ht="12.75" customHeight="1">
      <c r="A443" s="1196"/>
      <c r="B443" s="1196"/>
      <c r="C443" s="1196"/>
      <c r="D443" s="1196"/>
      <c r="E443" s="1196"/>
      <c r="F443" s="1196"/>
      <c r="G443" s="1196"/>
      <c r="H443" s="1196"/>
      <c r="I443" s="1196"/>
      <c r="J443" s="1196"/>
      <c r="K443" s="1196"/>
      <c r="L443" s="1196"/>
      <c r="M443" s="1196"/>
      <c r="N443" s="1196"/>
      <c r="O443" s="1196"/>
      <c r="P443" s="1196"/>
      <c r="Q443" s="1196"/>
      <c r="R443" s="1196"/>
      <c r="S443" s="1196"/>
      <c r="T443" s="1196"/>
      <c r="U443" s="1196"/>
      <c r="V443" s="1196"/>
      <c r="W443" s="1196"/>
      <c r="X443" s="1196"/>
      <c r="Y443" s="1196"/>
      <c r="Z443" s="1196"/>
    </row>
    <row r="444" spans="1:26" ht="12.75" customHeight="1">
      <c r="A444" s="1196"/>
      <c r="B444" s="1196"/>
      <c r="C444" s="1196"/>
      <c r="D444" s="1196"/>
      <c r="E444" s="1196"/>
      <c r="F444" s="1196"/>
      <c r="G444" s="1196"/>
      <c r="H444" s="1196"/>
      <c r="I444" s="1196"/>
      <c r="J444" s="1196"/>
      <c r="K444" s="1196"/>
      <c r="L444" s="1196"/>
      <c r="M444" s="1196"/>
      <c r="N444" s="1196"/>
      <c r="O444" s="1196"/>
      <c r="P444" s="1196"/>
      <c r="Q444" s="1196"/>
      <c r="R444" s="1196"/>
      <c r="S444" s="1196"/>
      <c r="T444" s="1196"/>
      <c r="U444" s="1196"/>
      <c r="V444" s="1196"/>
      <c r="W444" s="1196"/>
      <c r="X444" s="1196"/>
      <c r="Y444" s="1196"/>
      <c r="Z444" s="1196"/>
    </row>
    <row r="445" spans="1:26" ht="12.75" customHeight="1">
      <c r="A445" s="1196"/>
      <c r="B445" s="1196"/>
      <c r="C445" s="1196"/>
      <c r="D445" s="1196"/>
      <c r="E445" s="1196"/>
      <c r="F445" s="1196"/>
      <c r="G445" s="1196"/>
      <c r="H445" s="1196"/>
      <c r="I445" s="1196"/>
      <c r="J445" s="1196"/>
      <c r="K445" s="1196"/>
      <c r="L445" s="1196"/>
      <c r="M445" s="1196"/>
      <c r="N445" s="1196"/>
      <c r="O445" s="1196"/>
      <c r="P445" s="1196"/>
      <c r="Q445" s="1196"/>
      <c r="R445" s="1196"/>
      <c r="S445" s="1196"/>
      <c r="T445" s="1196"/>
      <c r="U445" s="1196"/>
      <c r="V445" s="1196"/>
      <c r="W445" s="1196"/>
      <c r="X445" s="1196"/>
      <c r="Y445" s="1196"/>
      <c r="Z445" s="1196"/>
    </row>
    <row r="446" spans="1:26" ht="12.75" customHeight="1">
      <c r="A446" s="1196"/>
      <c r="B446" s="1196"/>
      <c r="C446" s="1196"/>
      <c r="D446" s="1196"/>
      <c r="E446" s="1196"/>
      <c r="F446" s="1196"/>
      <c r="G446" s="1196"/>
      <c r="H446" s="1196"/>
      <c r="I446" s="1196"/>
      <c r="J446" s="1196"/>
      <c r="K446" s="1196"/>
      <c r="L446" s="1196"/>
      <c r="M446" s="1196"/>
      <c r="N446" s="1196"/>
      <c r="O446" s="1196"/>
      <c r="P446" s="1196"/>
      <c r="Q446" s="1196"/>
      <c r="R446" s="1196"/>
      <c r="S446" s="1196"/>
      <c r="T446" s="1196"/>
      <c r="U446" s="1196"/>
      <c r="V446" s="1196"/>
      <c r="W446" s="1196"/>
      <c r="X446" s="1196"/>
      <c r="Y446" s="1196"/>
      <c r="Z446" s="1196"/>
    </row>
    <row r="447" spans="1:26" ht="12.75" customHeight="1">
      <c r="A447" s="1196"/>
      <c r="B447" s="1196"/>
      <c r="C447" s="1196"/>
      <c r="D447" s="1196"/>
      <c r="E447" s="1196"/>
      <c r="F447" s="1196"/>
      <c r="G447" s="1196"/>
      <c r="H447" s="1196"/>
      <c r="I447" s="1196"/>
      <c r="J447" s="1196"/>
      <c r="K447" s="1196"/>
      <c r="L447" s="1196"/>
      <c r="M447" s="1196"/>
      <c r="N447" s="1196"/>
      <c r="O447" s="1196"/>
      <c r="P447" s="1196"/>
      <c r="Q447" s="1196"/>
      <c r="R447" s="1196"/>
      <c r="S447" s="1196"/>
      <c r="T447" s="1196"/>
      <c r="U447" s="1196"/>
      <c r="V447" s="1196"/>
      <c r="W447" s="1196"/>
      <c r="X447" s="1196"/>
      <c r="Y447" s="1196"/>
      <c r="Z447" s="1196"/>
    </row>
    <row r="448" spans="1:26" ht="12.75" customHeight="1">
      <c r="A448" s="1196"/>
      <c r="B448" s="1196"/>
      <c r="C448" s="1196"/>
      <c r="D448" s="1196"/>
      <c r="E448" s="1196"/>
      <c r="F448" s="1196"/>
      <c r="G448" s="1196"/>
      <c r="H448" s="1196"/>
      <c r="I448" s="1196"/>
      <c r="J448" s="1196"/>
      <c r="K448" s="1196"/>
      <c r="L448" s="1196"/>
      <c r="M448" s="1196"/>
      <c r="N448" s="1196"/>
      <c r="O448" s="1196"/>
      <c r="P448" s="1196"/>
      <c r="Q448" s="1196"/>
      <c r="R448" s="1196"/>
      <c r="S448" s="1196"/>
      <c r="T448" s="1196"/>
      <c r="U448" s="1196"/>
      <c r="V448" s="1196"/>
      <c r="W448" s="1196"/>
      <c r="X448" s="1196"/>
      <c r="Y448" s="1196"/>
      <c r="Z448" s="1196"/>
    </row>
    <row r="449" spans="1:26" ht="12.75" customHeight="1">
      <c r="A449" s="1196"/>
      <c r="B449" s="1196"/>
      <c r="C449" s="1196"/>
      <c r="D449" s="1196"/>
      <c r="E449" s="1196"/>
      <c r="F449" s="1196"/>
      <c r="G449" s="1196"/>
      <c r="H449" s="1196"/>
      <c r="I449" s="1196"/>
      <c r="J449" s="1196"/>
      <c r="K449" s="1196"/>
      <c r="L449" s="1196"/>
      <c r="M449" s="1196"/>
      <c r="N449" s="1196"/>
      <c r="O449" s="1196"/>
      <c r="P449" s="1196"/>
      <c r="Q449" s="1196"/>
      <c r="R449" s="1196"/>
      <c r="S449" s="1196"/>
      <c r="T449" s="1196"/>
      <c r="U449" s="1196"/>
      <c r="V449" s="1196"/>
      <c r="W449" s="1196"/>
      <c r="X449" s="1196"/>
      <c r="Y449" s="1196"/>
      <c r="Z449" s="1196"/>
    </row>
    <row r="450" spans="1:26" ht="12.75" customHeight="1">
      <c r="A450" s="1196"/>
      <c r="B450" s="1196"/>
      <c r="C450" s="1196"/>
      <c r="D450" s="1196"/>
      <c r="E450" s="1196"/>
      <c r="F450" s="1196"/>
      <c r="G450" s="1196"/>
      <c r="H450" s="1196"/>
      <c r="I450" s="1196"/>
      <c r="J450" s="1196"/>
      <c r="K450" s="1196"/>
      <c r="L450" s="1196"/>
      <c r="M450" s="1196"/>
      <c r="N450" s="1196"/>
      <c r="O450" s="1196"/>
      <c r="P450" s="1196"/>
      <c r="Q450" s="1196"/>
      <c r="R450" s="1196"/>
      <c r="S450" s="1196"/>
      <c r="T450" s="1196"/>
      <c r="U450" s="1196"/>
      <c r="V450" s="1196"/>
      <c r="W450" s="1196"/>
      <c r="X450" s="1196"/>
      <c r="Y450" s="1196"/>
      <c r="Z450" s="1196"/>
    </row>
    <row r="451" spans="1:26" ht="12.75" customHeight="1">
      <c r="A451" s="1196"/>
      <c r="B451" s="1196"/>
      <c r="C451" s="1196"/>
      <c r="D451" s="1196"/>
      <c r="E451" s="1196"/>
      <c r="F451" s="1196"/>
      <c r="G451" s="1196"/>
      <c r="H451" s="1196"/>
      <c r="I451" s="1196"/>
      <c r="J451" s="1196"/>
      <c r="K451" s="1196"/>
      <c r="L451" s="1196"/>
      <c r="M451" s="1196"/>
      <c r="N451" s="1196"/>
      <c r="O451" s="1196"/>
      <c r="P451" s="1196"/>
      <c r="Q451" s="1196"/>
      <c r="R451" s="1196"/>
      <c r="S451" s="1196"/>
      <c r="T451" s="1196"/>
      <c r="U451" s="1196"/>
      <c r="V451" s="1196"/>
      <c r="W451" s="1196"/>
      <c r="X451" s="1196"/>
      <c r="Y451" s="1196"/>
      <c r="Z451" s="1196"/>
    </row>
    <row r="452" spans="1:26" ht="12.75" customHeight="1">
      <c r="A452" s="1196"/>
      <c r="B452" s="1196"/>
      <c r="C452" s="1196"/>
      <c r="D452" s="1196"/>
      <c r="E452" s="1196"/>
      <c r="F452" s="1196"/>
      <c r="G452" s="1196"/>
      <c r="H452" s="1196"/>
      <c r="I452" s="1196"/>
      <c r="J452" s="1196"/>
      <c r="K452" s="1196"/>
      <c r="L452" s="1196"/>
      <c r="M452" s="1196"/>
      <c r="N452" s="1196"/>
      <c r="O452" s="1196"/>
      <c r="P452" s="1196"/>
      <c r="Q452" s="1196"/>
      <c r="R452" s="1196"/>
      <c r="S452" s="1196"/>
      <c r="T452" s="1196"/>
      <c r="U452" s="1196"/>
      <c r="V452" s="1196"/>
      <c r="W452" s="1196"/>
      <c r="X452" s="1196"/>
      <c r="Y452" s="1196"/>
      <c r="Z452" s="1196"/>
    </row>
    <row r="453" spans="1:26" ht="12.75" customHeight="1">
      <c r="A453" s="1196"/>
      <c r="B453" s="1196"/>
      <c r="C453" s="1196"/>
      <c r="D453" s="1196"/>
      <c r="E453" s="1196"/>
      <c r="F453" s="1196"/>
      <c r="G453" s="1196"/>
      <c r="H453" s="1196"/>
      <c r="I453" s="1196"/>
      <c r="J453" s="1196"/>
      <c r="K453" s="1196"/>
      <c r="L453" s="1196"/>
      <c r="M453" s="1196"/>
      <c r="N453" s="1196"/>
      <c r="O453" s="1196"/>
      <c r="P453" s="1196"/>
      <c r="Q453" s="1196"/>
      <c r="R453" s="1196"/>
      <c r="S453" s="1196"/>
      <c r="T453" s="1196"/>
      <c r="U453" s="1196"/>
      <c r="V453" s="1196"/>
      <c r="W453" s="1196"/>
      <c r="X453" s="1196"/>
      <c r="Y453" s="1196"/>
      <c r="Z453" s="1196"/>
    </row>
    <row r="454" spans="1:26" ht="12.75" customHeight="1">
      <c r="A454" s="1196"/>
      <c r="B454" s="1196"/>
      <c r="C454" s="1196"/>
      <c r="D454" s="1196"/>
      <c r="E454" s="1196"/>
      <c r="F454" s="1196"/>
      <c r="G454" s="1196"/>
      <c r="H454" s="1196"/>
      <c r="I454" s="1196"/>
      <c r="J454" s="1196"/>
      <c r="K454" s="1196"/>
      <c r="L454" s="1196"/>
      <c r="M454" s="1196"/>
      <c r="N454" s="1196"/>
      <c r="O454" s="1196"/>
      <c r="P454" s="1196"/>
      <c r="Q454" s="1196"/>
      <c r="R454" s="1196"/>
      <c r="S454" s="1196"/>
      <c r="T454" s="1196"/>
      <c r="U454" s="1196"/>
      <c r="V454" s="1196"/>
      <c r="W454" s="1196"/>
      <c r="X454" s="1196"/>
      <c r="Y454" s="1196"/>
      <c r="Z454" s="1196"/>
    </row>
    <row r="455" spans="1:26" ht="12.75" customHeight="1">
      <c r="A455" s="1196"/>
      <c r="B455" s="1196"/>
      <c r="C455" s="1196"/>
      <c r="D455" s="1196"/>
      <c r="E455" s="1196"/>
      <c r="F455" s="1196"/>
      <c r="G455" s="1196"/>
      <c r="H455" s="1196"/>
      <c r="I455" s="1196"/>
      <c r="J455" s="1196"/>
      <c r="K455" s="1196"/>
      <c r="L455" s="1196"/>
      <c r="M455" s="1196"/>
      <c r="N455" s="1196"/>
      <c r="O455" s="1196"/>
      <c r="P455" s="1196"/>
      <c r="Q455" s="1196"/>
      <c r="R455" s="1196"/>
      <c r="S455" s="1196"/>
      <c r="T455" s="1196"/>
      <c r="U455" s="1196"/>
      <c r="V455" s="1196"/>
      <c r="W455" s="1196"/>
      <c r="X455" s="1196"/>
      <c r="Y455" s="1196"/>
      <c r="Z455" s="1196"/>
    </row>
    <row r="456" spans="1:26" ht="12.75" customHeight="1">
      <c r="A456" s="1196"/>
      <c r="B456" s="1196"/>
      <c r="C456" s="1196"/>
      <c r="D456" s="1196"/>
      <c r="E456" s="1196"/>
      <c r="F456" s="1196"/>
      <c r="G456" s="1196"/>
      <c r="H456" s="1196"/>
      <c r="I456" s="1196"/>
      <c r="J456" s="1196"/>
      <c r="K456" s="1196"/>
      <c r="L456" s="1196"/>
      <c r="M456" s="1196"/>
      <c r="N456" s="1196"/>
      <c r="O456" s="1196"/>
      <c r="P456" s="1196"/>
      <c r="Q456" s="1196"/>
      <c r="R456" s="1196"/>
      <c r="S456" s="1196"/>
      <c r="T456" s="1196"/>
      <c r="U456" s="1196"/>
      <c r="V456" s="1196"/>
      <c r="W456" s="1196"/>
      <c r="X456" s="1196"/>
      <c r="Y456" s="1196"/>
      <c r="Z456" s="1196"/>
    </row>
    <row r="457" spans="1:26" ht="12.75" customHeight="1">
      <c r="A457" s="1196"/>
      <c r="B457" s="1196"/>
      <c r="C457" s="1196"/>
      <c r="D457" s="1196"/>
      <c r="E457" s="1196"/>
      <c r="F457" s="1196"/>
      <c r="G457" s="1196"/>
      <c r="H457" s="1196"/>
      <c r="I457" s="1196"/>
      <c r="J457" s="1196"/>
      <c r="K457" s="1196"/>
      <c r="L457" s="1196"/>
      <c r="M457" s="1196"/>
      <c r="N457" s="1196"/>
      <c r="O457" s="1196"/>
      <c r="P457" s="1196"/>
      <c r="Q457" s="1196"/>
      <c r="R457" s="1196"/>
      <c r="S457" s="1196"/>
      <c r="T457" s="1196"/>
      <c r="U457" s="1196"/>
      <c r="V457" s="1196"/>
      <c r="W457" s="1196"/>
      <c r="X457" s="1196"/>
      <c r="Y457" s="1196"/>
      <c r="Z457" s="1196"/>
    </row>
    <row r="458" spans="1:26" ht="12.75" customHeight="1">
      <c r="A458" s="1196"/>
      <c r="B458" s="1196"/>
      <c r="C458" s="1196"/>
      <c r="D458" s="1196"/>
      <c r="E458" s="1196"/>
      <c r="F458" s="1196"/>
      <c r="G458" s="1196"/>
      <c r="H458" s="1196"/>
      <c r="I458" s="1196"/>
      <c r="J458" s="1196"/>
      <c r="K458" s="1196"/>
      <c r="L458" s="1196"/>
      <c r="M458" s="1196"/>
      <c r="N458" s="1196"/>
      <c r="O458" s="1196"/>
      <c r="P458" s="1196"/>
      <c r="Q458" s="1196"/>
      <c r="R458" s="1196"/>
      <c r="S458" s="1196"/>
      <c r="T458" s="1196"/>
      <c r="U458" s="1196"/>
      <c r="V458" s="1196"/>
      <c r="W458" s="1196"/>
      <c r="X458" s="1196"/>
      <c r="Y458" s="1196"/>
      <c r="Z458" s="1196"/>
    </row>
    <row r="459" spans="1:26" ht="12.75" customHeight="1">
      <c r="A459" s="1196"/>
      <c r="B459" s="1196"/>
      <c r="C459" s="1196"/>
      <c r="D459" s="1196"/>
      <c r="E459" s="1196"/>
      <c r="F459" s="1196"/>
      <c r="G459" s="1196"/>
      <c r="H459" s="1196"/>
      <c r="I459" s="1196"/>
      <c r="J459" s="1196"/>
      <c r="K459" s="1196"/>
      <c r="L459" s="1196"/>
      <c r="M459" s="1196"/>
      <c r="N459" s="1196"/>
      <c r="O459" s="1196"/>
      <c r="P459" s="1196"/>
      <c r="Q459" s="1196"/>
      <c r="R459" s="1196"/>
      <c r="S459" s="1196"/>
      <c r="T459" s="1196"/>
      <c r="U459" s="1196"/>
      <c r="V459" s="1196"/>
      <c r="W459" s="1196"/>
      <c r="X459" s="1196"/>
      <c r="Y459" s="1196"/>
      <c r="Z459" s="1196"/>
    </row>
    <row r="460" spans="1:26" ht="12.75" customHeight="1">
      <c r="A460" s="1196"/>
      <c r="B460" s="1196"/>
      <c r="C460" s="1196"/>
      <c r="D460" s="1196"/>
      <c r="E460" s="1196"/>
      <c r="F460" s="1196"/>
      <c r="G460" s="1196"/>
      <c r="H460" s="1196"/>
      <c r="I460" s="1196"/>
      <c r="J460" s="1196"/>
      <c r="K460" s="1196"/>
      <c r="L460" s="1196"/>
      <c r="M460" s="1196"/>
      <c r="N460" s="1196"/>
      <c r="O460" s="1196"/>
      <c r="P460" s="1196"/>
      <c r="Q460" s="1196"/>
      <c r="R460" s="1196"/>
      <c r="S460" s="1196"/>
      <c r="T460" s="1196"/>
      <c r="U460" s="1196"/>
      <c r="V460" s="1196"/>
      <c r="W460" s="1196"/>
      <c r="X460" s="1196"/>
      <c r="Y460" s="1196"/>
      <c r="Z460" s="1196"/>
    </row>
    <row r="461" spans="1:26" ht="12.75" customHeight="1">
      <c r="A461" s="1196"/>
      <c r="B461" s="1196"/>
      <c r="C461" s="1196"/>
      <c r="D461" s="1196"/>
      <c r="E461" s="1196"/>
      <c r="F461" s="1196"/>
      <c r="G461" s="1196"/>
      <c r="H461" s="1196"/>
      <c r="I461" s="1196"/>
      <c r="J461" s="1196"/>
      <c r="K461" s="1196"/>
      <c r="L461" s="1196"/>
      <c r="M461" s="1196"/>
      <c r="N461" s="1196"/>
      <c r="O461" s="1196"/>
      <c r="P461" s="1196"/>
      <c r="Q461" s="1196"/>
      <c r="R461" s="1196"/>
      <c r="S461" s="1196"/>
      <c r="T461" s="1196"/>
      <c r="U461" s="1196"/>
      <c r="V461" s="1196"/>
      <c r="W461" s="1196"/>
      <c r="X461" s="1196"/>
      <c r="Y461" s="1196"/>
      <c r="Z461" s="1196"/>
    </row>
    <row r="462" spans="1:26" ht="12.75" customHeight="1">
      <c r="A462" s="1196"/>
      <c r="B462" s="1196"/>
      <c r="C462" s="1196"/>
      <c r="D462" s="1196"/>
      <c r="E462" s="1196"/>
      <c r="F462" s="1196"/>
      <c r="G462" s="1196"/>
      <c r="H462" s="1196"/>
      <c r="I462" s="1196"/>
      <c r="J462" s="1196"/>
      <c r="K462" s="1196"/>
      <c r="L462" s="1196"/>
      <c r="M462" s="1196"/>
      <c r="N462" s="1196"/>
      <c r="O462" s="1196"/>
      <c r="P462" s="1196"/>
      <c r="Q462" s="1196"/>
      <c r="R462" s="1196"/>
      <c r="S462" s="1196"/>
      <c r="T462" s="1196"/>
      <c r="U462" s="1196"/>
      <c r="V462" s="1196"/>
      <c r="W462" s="1196"/>
      <c r="X462" s="1196"/>
      <c r="Y462" s="1196"/>
      <c r="Z462" s="1196"/>
    </row>
    <row r="463" spans="1:26" ht="12.75" customHeight="1">
      <c r="A463" s="1196"/>
      <c r="B463" s="1196"/>
      <c r="C463" s="1196"/>
      <c r="D463" s="1196"/>
      <c r="E463" s="1196"/>
      <c r="F463" s="1196"/>
      <c r="G463" s="1196"/>
      <c r="H463" s="1196"/>
      <c r="I463" s="1196"/>
      <c r="J463" s="1196"/>
      <c r="K463" s="1196"/>
      <c r="L463" s="1196"/>
      <c r="M463" s="1196"/>
      <c r="N463" s="1196"/>
      <c r="O463" s="1196"/>
      <c r="P463" s="1196"/>
      <c r="Q463" s="1196"/>
      <c r="R463" s="1196"/>
      <c r="S463" s="1196"/>
      <c r="T463" s="1196"/>
      <c r="U463" s="1196"/>
      <c r="V463" s="1196"/>
      <c r="W463" s="1196"/>
      <c r="X463" s="1196"/>
      <c r="Y463" s="1196"/>
      <c r="Z463" s="1196"/>
    </row>
    <row r="464" spans="1:26" ht="12.75" customHeight="1">
      <c r="A464" s="1196"/>
      <c r="B464" s="1196"/>
      <c r="C464" s="1196"/>
      <c r="D464" s="1196"/>
      <c r="E464" s="1196"/>
      <c r="F464" s="1196"/>
      <c r="G464" s="1196"/>
      <c r="H464" s="1196"/>
      <c r="I464" s="1196"/>
      <c r="J464" s="1196"/>
      <c r="K464" s="1196"/>
      <c r="L464" s="1196"/>
      <c r="M464" s="1196"/>
      <c r="N464" s="1196"/>
      <c r="O464" s="1196"/>
      <c r="P464" s="1196"/>
      <c r="Q464" s="1196"/>
      <c r="R464" s="1196"/>
      <c r="S464" s="1196"/>
      <c r="T464" s="1196"/>
      <c r="U464" s="1196"/>
      <c r="V464" s="1196"/>
      <c r="W464" s="1196"/>
      <c r="X464" s="1196"/>
      <c r="Y464" s="1196"/>
      <c r="Z464" s="1196"/>
    </row>
    <row r="465" spans="1:26" ht="12.75" customHeight="1">
      <c r="A465" s="1196"/>
      <c r="B465" s="1196"/>
      <c r="C465" s="1196"/>
      <c r="D465" s="1196"/>
      <c r="E465" s="1196"/>
      <c r="F465" s="1196"/>
      <c r="G465" s="1196"/>
      <c r="H465" s="1196"/>
      <c r="I465" s="1196"/>
      <c r="J465" s="1196"/>
      <c r="K465" s="1196"/>
      <c r="L465" s="1196"/>
      <c r="M465" s="1196"/>
      <c r="N465" s="1196"/>
      <c r="O465" s="1196"/>
      <c r="P465" s="1196"/>
      <c r="Q465" s="1196"/>
      <c r="R465" s="1196"/>
      <c r="S465" s="1196"/>
      <c r="T465" s="1196"/>
      <c r="U465" s="1196"/>
      <c r="V465" s="1196"/>
      <c r="W465" s="1196"/>
      <c r="X465" s="1196"/>
      <c r="Y465" s="1196"/>
      <c r="Z465" s="1196"/>
    </row>
    <row r="466" spans="1:26" ht="12.75" customHeight="1">
      <c r="A466" s="1196"/>
      <c r="B466" s="1196"/>
      <c r="C466" s="1196"/>
      <c r="D466" s="1196"/>
      <c r="E466" s="1196"/>
      <c r="F466" s="1196"/>
      <c r="G466" s="1196"/>
      <c r="H466" s="1196"/>
      <c r="I466" s="1196"/>
      <c r="J466" s="1196"/>
      <c r="K466" s="1196"/>
      <c r="L466" s="1196"/>
      <c r="M466" s="1196"/>
      <c r="N466" s="1196"/>
      <c r="O466" s="1196"/>
      <c r="P466" s="1196"/>
      <c r="Q466" s="1196"/>
      <c r="R466" s="1196"/>
      <c r="S466" s="1196"/>
      <c r="T466" s="1196"/>
      <c r="U466" s="1196"/>
      <c r="V466" s="1196"/>
      <c r="W466" s="1196"/>
      <c r="X466" s="1196"/>
      <c r="Y466" s="1196"/>
      <c r="Z466" s="1196"/>
    </row>
    <row r="467" spans="1:26" ht="12.75" customHeight="1">
      <c r="A467" s="1196"/>
      <c r="B467" s="1196"/>
      <c r="C467" s="1196"/>
      <c r="D467" s="1196"/>
      <c r="E467" s="1196"/>
      <c r="F467" s="1196"/>
      <c r="G467" s="1196"/>
      <c r="H467" s="1196"/>
      <c r="I467" s="1196"/>
      <c r="J467" s="1196"/>
      <c r="K467" s="1196"/>
      <c r="L467" s="1196"/>
      <c r="M467" s="1196"/>
      <c r="N467" s="1196"/>
      <c r="O467" s="1196"/>
      <c r="P467" s="1196"/>
      <c r="Q467" s="1196"/>
      <c r="R467" s="1196"/>
      <c r="S467" s="1196"/>
      <c r="T467" s="1196"/>
      <c r="U467" s="1196"/>
      <c r="V467" s="1196"/>
      <c r="W467" s="1196"/>
      <c r="X467" s="1196"/>
      <c r="Y467" s="1196"/>
      <c r="Z467" s="1196"/>
    </row>
    <row r="468" spans="1:26" ht="12.75" customHeight="1">
      <c r="A468" s="1196"/>
      <c r="B468" s="1196"/>
      <c r="C468" s="1196"/>
      <c r="D468" s="1196"/>
      <c r="E468" s="1196"/>
      <c r="F468" s="1196"/>
      <c r="G468" s="1196"/>
      <c r="H468" s="1196"/>
      <c r="I468" s="1196"/>
      <c r="J468" s="1196"/>
      <c r="K468" s="1196"/>
      <c r="L468" s="1196"/>
      <c r="M468" s="1196"/>
      <c r="N468" s="1196"/>
      <c r="O468" s="1196"/>
      <c r="P468" s="1196"/>
      <c r="Q468" s="1196"/>
      <c r="R468" s="1196"/>
      <c r="S468" s="1196"/>
      <c r="T468" s="1196"/>
      <c r="U468" s="1196"/>
      <c r="V468" s="1196"/>
      <c r="W468" s="1196"/>
      <c r="X468" s="1196"/>
      <c r="Y468" s="1196"/>
      <c r="Z468" s="1196"/>
    </row>
    <row r="469" spans="1:26" ht="12.75" customHeight="1">
      <c r="A469" s="1196"/>
      <c r="B469" s="1196"/>
      <c r="C469" s="1196"/>
      <c r="D469" s="1196"/>
      <c r="E469" s="1196"/>
      <c r="F469" s="1196"/>
      <c r="G469" s="1196"/>
      <c r="H469" s="1196"/>
      <c r="I469" s="1196"/>
      <c r="J469" s="1196"/>
      <c r="K469" s="1196"/>
      <c r="L469" s="1196"/>
      <c r="M469" s="1196"/>
      <c r="N469" s="1196"/>
      <c r="O469" s="1196"/>
      <c r="P469" s="1196"/>
      <c r="Q469" s="1196"/>
      <c r="R469" s="1196"/>
      <c r="S469" s="1196"/>
      <c r="T469" s="1196"/>
      <c r="U469" s="1196"/>
      <c r="V469" s="1196"/>
      <c r="W469" s="1196"/>
      <c r="X469" s="1196"/>
      <c r="Y469" s="1196"/>
      <c r="Z469" s="1196"/>
    </row>
    <row r="470" spans="1:26" ht="12.75" customHeight="1">
      <c r="A470" s="1196"/>
      <c r="B470" s="1196"/>
      <c r="C470" s="1196"/>
      <c r="D470" s="1196"/>
      <c r="E470" s="1196"/>
      <c r="F470" s="1196"/>
      <c r="G470" s="1196"/>
      <c r="H470" s="1196"/>
      <c r="I470" s="1196"/>
      <c r="J470" s="1196"/>
      <c r="K470" s="1196"/>
      <c r="L470" s="1196"/>
      <c r="M470" s="1196"/>
      <c r="N470" s="1196"/>
      <c r="O470" s="1196"/>
      <c r="P470" s="1196"/>
      <c r="Q470" s="1196"/>
      <c r="R470" s="1196"/>
      <c r="S470" s="1196"/>
      <c r="T470" s="1196"/>
      <c r="U470" s="1196"/>
      <c r="V470" s="1196"/>
      <c r="W470" s="1196"/>
      <c r="X470" s="1196"/>
      <c r="Y470" s="1196"/>
      <c r="Z470" s="1196"/>
    </row>
    <row r="471" spans="1:26" ht="12.75" customHeight="1">
      <c r="A471" s="1196"/>
      <c r="B471" s="1196"/>
      <c r="C471" s="1196"/>
      <c r="D471" s="1196"/>
      <c r="E471" s="1196"/>
      <c r="F471" s="1196"/>
      <c r="G471" s="1196"/>
      <c r="H471" s="1196"/>
      <c r="I471" s="1196"/>
      <c r="J471" s="1196"/>
      <c r="K471" s="1196"/>
      <c r="L471" s="1196"/>
      <c r="M471" s="1196"/>
      <c r="N471" s="1196"/>
      <c r="O471" s="1196"/>
      <c r="P471" s="1196"/>
      <c r="Q471" s="1196"/>
      <c r="R471" s="1196"/>
      <c r="S471" s="1196"/>
      <c r="T471" s="1196"/>
      <c r="U471" s="1196"/>
      <c r="V471" s="1196"/>
      <c r="W471" s="1196"/>
      <c r="X471" s="1196"/>
      <c r="Y471" s="1196"/>
      <c r="Z471" s="1196"/>
    </row>
    <row r="472" spans="1:26" ht="12.75" customHeight="1">
      <c r="A472" s="1196"/>
      <c r="B472" s="1196"/>
      <c r="C472" s="1196"/>
      <c r="D472" s="1196"/>
      <c r="E472" s="1196"/>
      <c r="F472" s="1196"/>
      <c r="G472" s="1196"/>
      <c r="H472" s="1196"/>
      <c r="I472" s="1196"/>
      <c r="J472" s="1196"/>
      <c r="K472" s="1196"/>
      <c r="L472" s="1196"/>
      <c r="M472" s="1196"/>
      <c r="N472" s="1196"/>
      <c r="O472" s="1196"/>
      <c r="P472" s="1196"/>
      <c r="Q472" s="1196"/>
      <c r="R472" s="1196"/>
      <c r="S472" s="1196"/>
      <c r="T472" s="1196"/>
      <c r="U472" s="1196"/>
      <c r="V472" s="1196"/>
      <c r="W472" s="1196"/>
      <c r="X472" s="1196"/>
      <c r="Y472" s="1196"/>
      <c r="Z472" s="1196"/>
    </row>
    <row r="473" spans="1:26" ht="12.75" customHeight="1">
      <c r="A473" s="1196"/>
      <c r="B473" s="1196"/>
      <c r="C473" s="1196"/>
      <c r="D473" s="1196"/>
      <c r="E473" s="1196"/>
      <c r="F473" s="1196"/>
      <c r="G473" s="1196"/>
      <c r="H473" s="1196"/>
      <c r="I473" s="1196"/>
      <c r="J473" s="1196"/>
      <c r="K473" s="1196"/>
      <c r="L473" s="1196"/>
      <c r="M473" s="1196"/>
      <c r="N473" s="1196"/>
      <c r="O473" s="1196"/>
      <c r="P473" s="1196"/>
      <c r="Q473" s="1196"/>
      <c r="R473" s="1196"/>
      <c r="S473" s="1196"/>
      <c r="T473" s="1196"/>
      <c r="U473" s="1196"/>
      <c r="V473" s="1196"/>
      <c r="W473" s="1196"/>
      <c r="X473" s="1196"/>
      <c r="Y473" s="1196"/>
      <c r="Z473" s="1196"/>
    </row>
    <row r="474" spans="1:26" ht="12.75" customHeight="1">
      <c r="A474" s="1196"/>
      <c r="B474" s="1196"/>
      <c r="C474" s="1196"/>
      <c r="D474" s="1196"/>
      <c r="E474" s="1196"/>
      <c r="F474" s="1196"/>
      <c r="G474" s="1196"/>
      <c r="H474" s="1196"/>
      <c r="I474" s="1196"/>
      <c r="J474" s="1196"/>
      <c r="K474" s="1196"/>
      <c r="L474" s="1196"/>
      <c r="M474" s="1196"/>
      <c r="N474" s="1196"/>
      <c r="O474" s="1196"/>
      <c r="P474" s="1196"/>
      <c r="Q474" s="1196"/>
      <c r="R474" s="1196"/>
      <c r="S474" s="1196"/>
      <c r="T474" s="1196"/>
      <c r="U474" s="1196"/>
      <c r="V474" s="1196"/>
      <c r="W474" s="1196"/>
      <c r="X474" s="1196"/>
      <c r="Y474" s="1196"/>
      <c r="Z474" s="1196"/>
    </row>
    <row r="475" spans="1:26" ht="12.75" customHeight="1">
      <c r="A475" s="1196"/>
      <c r="B475" s="1196"/>
      <c r="C475" s="1196"/>
      <c r="D475" s="1196"/>
      <c r="E475" s="1196"/>
      <c r="F475" s="1196"/>
      <c r="G475" s="1196"/>
      <c r="H475" s="1196"/>
      <c r="I475" s="1196"/>
      <c r="J475" s="1196"/>
      <c r="K475" s="1196"/>
      <c r="L475" s="1196"/>
      <c r="M475" s="1196"/>
      <c r="N475" s="1196"/>
      <c r="O475" s="1196"/>
      <c r="P475" s="1196"/>
      <c r="Q475" s="1196"/>
      <c r="R475" s="1196"/>
      <c r="S475" s="1196"/>
      <c r="T475" s="1196"/>
      <c r="U475" s="1196"/>
      <c r="V475" s="1196"/>
      <c r="W475" s="1196"/>
      <c r="X475" s="1196"/>
      <c r="Y475" s="1196"/>
      <c r="Z475" s="1196"/>
    </row>
    <row r="476" spans="1:26" ht="12.75" customHeight="1">
      <c r="A476" s="1196"/>
      <c r="B476" s="1196"/>
      <c r="C476" s="1196"/>
      <c r="D476" s="1196"/>
      <c r="E476" s="1196"/>
      <c r="F476" s="1196"/>
      <c r="G476" s="1196"/>
      <c r="H476" s="1196"/>
      <c r="I476" s="1196"/>
      <c r="J476" s="1196"/>
      <c r="K476" s="1196"/>
      <c r="L476" s="1196"/>
      <c r="M476" s="1196"/>
      <c r="N476" s="1196"/>
      <c r="O476" s="1196"/>
      <c r="P476" s="1196"/>
      <c r="Q476" s="1196"/>
      <c r="R476" s="1196"/>
      <c r="S476" s="1196"/>
      <c r="T476" s="1196"/>
      <c r="U476" s="1196"/>
      <c r="V476" s="1196"/>
      <c r="W476" s="1196"/>
      <c r="X476" s="1196"/>
      <c r="Y476" s="1196"/>
      <c r="Z476" s="1196"/>
    </row>
    <row r="477" spans="1:26" ht="12.75" customHeight="1">
      <c r="A477" s="1196"/>
      <c r="B477" s="1196"/>
      <c r="C477" s="1196"/>
      <c r="D477" s="1196"/>
      <c r="E477" s="1196"/>
      <c r="F477" s="1196"/>
      <c r="G477" s="1196"/>
      <c r="H477" s="1196"/>
      <c r="I477" s="1196"/>
      <c r="J477" s="1196"/>
      <c r="K477" s="1196"/>
      <c r="L477" s="1196"/>
      <c r="M477" s="1196"/>
      <c r="N477" s="1196"/>
      <c r="O477" s="1196"/>
      <c r="P477" s="1196"/>
      <c r="Q477" s="1196"/>
      <c r="R477" s="1196"/>
      <c r="S477" s="1196"/>
      <c r="T477" s="1196"/>
      <c r="U477" s="1196"/>
      <c r="V477" s="1196"/>
      <c r="W477" s="1196"/>
      <c r="X477" s="1196"/>
      <c r="Y477" s="1196"/>
      <c r="Z477" s="1196"/>
    </row>
    <row r="478" spans="1:26" ht="12.75" customHeight="1">
      <c r="A478" s="1196"/>
      <c r="B478" s="1196"/>
      <c r="C478" s="1196"/>
      <c r="D478" s="1196"/>
      <c r="E478" s="1196"/>
      <c r="F478" s="1196"/>
      <c r="G478" s="1196"/>
      <c r="H478" s="1196"/>
      <c r="I478" s="1196"/>
      <c r="J478" s="1196"/>
      <c r="K478" s="1196"/>
      <c r="L478" s="1196"/>
      <c r="M478" s="1196"/>
      <c r="N478" s="1196"/>
      <c r="O478" s="1196"/>
      <c r="P478" s="1196"/>
      <c r="Q478" s="1196"/>
      <c r="R478" s="1196"/>
      <c r="S478" s="1196"/>
      <c r="T478" s="1196"/>
      <c r="U478" s="1196"/>
      <c r="V478" s="1196"/>
      <c r="W478" s="1196"/>
      <c r="X478" s="1196"/>
      <c r="Y478" s="1196"/>
      <c r="Z478" s="1196"/>
    </row>
    <row r="479" spans="1:26" ht="12.75" customHeight="1">
      <c r="A479" s="1196"/>
      <c r="B479" s="1196"/>
      <c r="C479" s="1196"/>
      <c r="D479" s="1196"/>
      <c r="E479" s="1196"/>
      <c r="F479" s="1196"/>
      <c r="G479" s="1196"/>
      <c r="H479" s="1196"/>
      <c r="I479" s="1196"/>
      <c r="J479" s="1196"/>
      <c r="K479" s="1196"/>
      <c r="L479" s="1196"/>
      <c r="M479" s="1196"/>
      <c r="N479" s="1196"/>
      <c r="O479" s="1196"/>
      <c r="P479" s="1196"/>
      <c r="Q479" s="1196"/>
      <c r="R479" s="1196"/>
      <c r="S479" s="1196"/>
      <c r="T479" s="1196"/>
      <c r="U479" s="1196"/>
      <c r="V479" s="1196"/>
      <c r="W479" s="1196"/>
      <c r="X479" s="1196"/>
      <c r="Y479" s="1196"/>
      <c r="Z479" s="1196"/>
    </row>
    <row r="480" spans="1:26" ht="12.75" customHeight="1">
      <c r="A480" s="1196"/>
      <c r="B480" s="1196"/>
      <c r="C480" s="1196"/>
      <c r="D480" s="1196"/>
      <c r="E480" s="1196"/>
      <c r="F480" s="1196"/>
      <c r="G480" s="1196"/>
      <c r="H480" s="1196"/>
      <c r="I480" s="1196"/>
      <c r="J480" s="1196"/>
      <c r="K480" s="1196"/>
      <c r="L480" s="1196"/>
      <c r="M480" s="1196"/>
      <c r="N480" s="1196"/>
      <c r="O480" s="1196"/>
      <c r="P480" s="1196"/>
      <c r="Q480" s="1196"/>
      <c r="R480" s="1196"/>
      <c r="S480" s="1196"/>
      <c r="T480" s="1196"/>
      <c r="U480" s="1196"/>
      <c r="V480" s="1196"/>
      <c r="W480" s="1196"/>
      <c r="X480" s="1196"/>
      <c r="Y480" s="1196"/>
      <c r="Z480" s="1196"/>
    </row>
    <row r="481" spans="1:26" ht="12.75" customHeight="1">
      <c r="A481" s="1196"/>
      <c r="B481" s="1196"/>
      <c r="C481" s="1196"/>
      <c r="D481" s="1196"/>
      <c r="E481" s="1196"/>
      <c r="F481" s="1196"/>
      <c r="G481" s="1196"/>
      <c r="H481" s="1196"/>
      <c r="I481" s="1196"/>
      <c r="J481" s="1196"/>
      <c r="K481" s="1196"/>
      <c r="L481" s="1196"/>
      <c r="M481" s="1196"/>
      <c r="N481" s="1196"/>
      <c r="O481" s="1196"/>
      <c r="P481" s="1196"/>
      <c r="Q481" s="1196"/>
      <c r="R481" s="1196"/>
      <c r="S481" s="1196"/>
      <c r="T481" s="1196"/>
      <c r="U481" s="1196"/>
      <c r="V481" s="1196"/>
      <c r="W481" s="1196"/>
      <c r="X481" s="1196"/>
      <c r="Y481" s="1196"/>
      <c r="Z481" s="1196"/>
    </row>
    <row r="482" spans="1:26" ht="12.75" customHeight="1">
      <c r="A482" s="1196"/>
      <c r="B482" s="1196"/>
      <c r="C482" s="1196"/>
      <c r="D482" s="1196"/>
      <c r="E482" s="1196"/>
      <c r="F482" s="1196"/>
      <c r="G482" s="1196"/>
      <c r="H482" s="1196"/>
      <c r="I482" s="1196"/>
      <c r="J482" s="1196"/>
      <c r="K482" s="1196"/>
      <c r="L482" s="1196"/>
      <c r="M482" s="1196"/>
      <c r="N482" s="1196"/>
      <c r="O482" s="1196"/>
      <c r="P482" s="1196"/>
      <c r="Q482" s="1196"/>
      <c r="R482" s="1196"/>
      <c r="S482" s="1196"/>
      <c r="T482" s="1196"/>
      <c r="U482" s="1196"/>
      <c r="V482" s="1196"/>
      <c r="W482" s="1196"/>
      <c r="X482" s="1196"/>
      <c r="Y482" s="1196"/>
      <c r="Z482" s="1196"/>
    </row>
    <row r="483" spans="1:26" ht="12.75" customHeight="1">
      <c r="A483" s="1196"/>
      <c r="B483" s="1196"/>
      <c r="C483" s="1196"/>
      <c r="D483" s="1196"/>
      <c r="E483" s="1196"/>
      <c r="F483" s="1196"/>
      <c r="G483" s="1196"/>
      <c r="H483" s="1196"/>
      <c r="I483" s="1196"/>
      <c r="J483" s="1196"/>
      <c r="K483" s="1196"/>
      <c r="L483" s="1196"/>
      <c r="M483" s="1196"/>
      <c r="N483" s="1196"/>
      <c r="O483" s="1196"/>
      <c r="P483" s="1196"/>
      <c r="Q483" s="1196"/>
      <c r="R483" s="1196"/>
      <c r="S483" s="1196"/>
      <c r="T483" s="1196"/>
      <c r="U483" s="1196"/>
      <c r="V483" s="1196"/>
      <c r="W483" s="1196"/>
      <c r="X483" s="1196"/>
      <c r="Y483" s="1196"/>
      <c r="Z483" s="1196"/>
    </row>
    <row r="484" spans="1:26" ht="12.75" customHeight="1">
      <c r="A484" s="1196"/>
      <c r="B484" s="1196"/>
      <c r="C484" s="1196"/>
      <c r="D484" s="1196"/>
      <c r="E484" s="1196"/>
      <c r="F484" s="1196"/>
      <c r="G484" s="1196"/>
      <c r="H484" s="1196"/>
      <c r="I484" s="1196"/>
      <c r="J484" s="1196"/>
      <c r="K484" s="1196"/>
      <c r="L484" s="1196"/>
      <c r="M484" s="1196"/>
      <c r="N484" s="1196"/>
      <c r="O484" s="1196"/>
      <c r="P484" s="1196"/>
      <c r="Q484" s="1196"/>
      <c r="R484" s="1196"/>
      <c r="S484" s="1196"/>
      <c r="T484" s="1196"/>
      <c r="U484" s="1196"/>
      <c r="V484" s="1196"/>
      <c r="W484" s="1196"/>
      <c r="X484" s="1196"/>
      <c r="Y484" s="1196"/>
      <c r="Z484" s="1196"/>
    </row>
    <row r="485" spans="1:26" ht="12.75" customHeight="1">
      <c r="A485" s="1196"/>
      <c r="B485" s="1196"/>
      <c r="C485" s="1196"/>
      <c r="D485" s="1196"/>
      <c r="E485" s="1196"/>
      <c r="F485" s="1196"/>
      <c r="G485" s="1196"/>
      <c r="H485" s="1196"/>
      <c r="I485" s="1196"/>
      <c r="J485" s="1196"/>
      <c r="K485" s="1196"/>
      <c r="L485" s="1196"/>
      <c r="M485" s="1196"/>
      <c r="N485" s="1196"/>
      <c r="O485" s="1196"/>
      <c r="P485" s="1196"/>
      <c r="Q485" s="1196"/>
      <c r="R485" s="1196"/>
      <c r="S485" s="1196"/>
      <c r="T485" s="1196"/>
      <c r="U485" s="1196"/>
      <c r="V485" s="1196"/>
      <c r="W485" s="1196"/>
      <c r="X485" s="1196"/>
      <c r="Y485" s="1196"/>
      <c r="Z485" s="1196"/>
    </row>
    <row r="486" spans="1:26" ht="12.75" customHeight="1">
      <c r="A486" s="1196"/>
      <c r="B486" s="1196"/>
      <c r="C486" s="1196"/>
      <c r="D486" s="1196"/>
      <c r="E486" s="1196"/>
      <c r="F486" s="1196"/>
      <c r="G486" s="1196"/>
      <c r="H486" s="1196"/>
      <c r="I486" s="1196"/>
      <c r="J486" s="1196"/>
      <c r="K486" s="1196"/>
      <c r="L486" s="1196"/>
      <c r="M486" s="1196"/>
      <c r="N486" s="1196"/>
      <c r="O486" s="1196"/>
      <c r="P486" s="1196"/>
      <c r="Q486" s="1196"/>
      <c r="R486" s="1196"/>
      <c r="S486" s="1196"/>
      <c r="T486" s="1196"/>
      <c r="U486" s="1196"/>
      <c r="V486" s="1196"/>
      <c r="W486" s="1196"/>
      <c r="X486" s="1196"/>
      <c r="Y486" s="1196"/>
      <c r="Z486" s="1196"/>
    </row>
    <row r="487" spans="1:26" ht="12.75" customHeight="1">
      <c r="A487" s="1196"/>
      <c r="B487" s="1196"/>
      <c r="C487" s="1196"/>
      <c r="D487" s="1196"/>
      <c r="E487" s="1196"/>
      <c r="F487" s="1196"/>
      <c r="G487" s="1196"/>
      <c r="H487" s="1196"/>
      <c r="I487" s="1196"/>
      <c r="J487" s="1196"/>
      <c r="K487" s="1196"/>
      <c r="L487" s="1196"/>
      <c r="M487" s="1196"/>
      <c r="N487" s="1196"/>
      <c r="O487" s="1196"/>
      <c r="P487" s="1196"/>
      <c r="Q487" s="1196"/>
      <c r="R487" s="1196"/>
      <c r="S487" s="1196"/>
      <c r="T487" s="1196"/>
      <c r="U487" s="1196"/>
      <c r="V487" s="1196"/>
      <c r="W487" s="1196"/>
      <c r="X487" s="1196"/>
      <c r="Y487" s="1196"/>
      <c r="Z487" s="1196"/>
    </row>
    <row r="488" spans="1:26" ht="12.75" customHeight="1">
      <c r="A488" s="1196"/>
      <c r="B488" s="1196"/>
      <c r="C488" s="1196"/>
      <c r="D488" s="1196"/>
      <c r="E488" s="1196"/>
      <c r="F488" s="1196"/>
      <c r="G488" s="1196"/>
      <c r="H488" s="1196"/>
      <c r="I488" s="1196"/>
      <c r="J488" s="1196"/>
      <c r="K488" s="1196"/>
      <c r="L488" s="1196"/>
      <c r="M488" s="1196"/>
      <c r="N488" s="1196"/>
      <c r="O488" s="1196"/>
      <c r="P488" s="1196"/>
      <c r="Q488" s="1196"/>
      <c r="R488" s="1196"/>
      <c r="S488" s="1196"/>
      <c r="T488" s="1196"/>
      <c r="U488" s="1196"/>
      <c r="V488" s="1196"/>
      <c r="W488" s="1196"/>
      <c r="X488" s="1196"/>
      <c r="Y488" s="1196"/>
      <c r="Z488" s="1196"/>
    </row>
    <row r="489" spans="1:26" ht="12.75" customHeight="1">
      <c r="A489" s="1196"/>
      <c r="B489" s="1196"/>
      <c r="C489" s="1196"/>
      <c r="D489" s="1196"/>
      <c r="E489" s="1196"/>
      <c r="F489" s="1196"/>
      <c r="G489" s="1196"/>
      <c r="H489" s="1196"/>
      <c r="I489" s="1196"/>
      <c r="J489" s="1196"/>
      <c r="K489" s="1196"/>
      <c r="L489" s="1196"/>
      <c r="M489" s="1196"/>
      <c r="N489" s="1196"/>
      <c r="O489" s="1196"/>
      <c r="P489" s="1196"/>
      <c r="Q489" s="1196"/>
      <c r="R489" s="1196"/>
      <c r="S489" s="1196"/>
      <c r="T489" s="1196"/>
      <c r="U489" s="1196"/>
      <c r="V489" s="1196"/>
      <c r="W489" s="1196"/>
      <c r="X489" s="1196"/>
      <c r="Y489" s="1196"/>
      <c r="Z489" s="1196"/>
    </row>
    <row r="490" spans="1:26" ht="12.75" customHeight="1">
      <c r="A490" s="1196"/>
      <c r="B490" s="1196"/>
      <c r="C490" s="1196"/>
      <c r="D490" s="1196"/>
      <c r="E490" s="1196"/>
      <c r="F490" s="1196"/>
      <c r="G490" s="1196"/>
      <c r="H490" s="1196"/>
      <c r="I490" s="1196"/>
      <c r="J490" s="1196"/>
      <c r="K490" s="1196"/>
      <c r="L490" s="1196"/>
      <c r="M490" s="1196"/>
      <c r="N490" s="1196"/>
      <c r="O490" s="1196"/>
      <c r="P490" s="1196"/>
      <c r="Q490" s="1196"/>
      <c r="R490" s="1196"/>
      <c r="S490" s="1196"/>
      <c r="T490" s="1196"/>
      <c r="U490" s="1196"/>
      <c r="V490" s="1196"/>
      <c r="W490" s="1196"/>
      <c r="X490" s="1196"/>
      <c r="Y490" s="1196"/>
      <c r="Z490" s="1196"/>
    </row>
    <row r="491" spans="1:26" ht="12.75" customHeight="1">
      <c r="A491" s="1196"/>
      <c r="B491" s="1196"/>
      <c r="C491" s="1196"/>
      <c r="D491" s="1196"/>
      <c r="E491" s="1196"/>
      <c r="F491" s="1196"/>
      <c r="G491" s="1196"/>
      <c r="H491" s="1196"/>
      <c r="I491" s="1196"/>
      <c r="J491" s="1196"/>
      <c r="K491" s="1196"/>
      <c r="L491" s="1196"/>
      <c r="M491" s="1196"/>
      <c r="N491" s="1196"/>
      <c r="O491" s="1196"/>
      <c r="P491" s="1196"/>
      <c r="Q491" s="1196"/>
      <c r="R491" s="1196"/>
      <c r="S491" s="1196"/>
      <c r="T491" s="1196"/>
      <c r="U491" s="1196"/>
      <c r="V491" s="1196"/>
      <c r="W491" s="1196"/>
      <c r="X491" s="1196"/>
      <c r="Y491" s="1196"/>
      <c r="Z491" s="1196"/>
    </row>
    <row r="492" spans="1:26" ht="12.75" customHeight="1">
      <c r="A492" s="1196"/>
      <c r="B492" s="1196"/>
      <c r="C492" s="1196"/>
      <c r="D492" s="1196"/>
      <c r="E492" s="1196"/>
      <c r="F492" s="1196"/>
      <c r="G492" s="1196"/>
      <c r="H492" s="1196"/>
      <c r="I492" s="1196"/>
      <c r="J492" s="1196"/>
      <c r="K492" s="1196"/>
      <c r="L492" s="1196"/>
      <c r="M492" s="1196"/>
      <c r="N492" s="1196"/>
      <c r="O492" s="1196"/>
      <c r="P492" s="1196"/>
      <c r="Q492" s="1196"/>
      <c r="R492" s="1196"/>
      <c r="S492" s="1196"/>
      <c r="T492" s="1196"/>
      <c r="U492" s="1196"/>
      <c r="V492" s="1196"/>
      <c r="W492" s="1196"/>
      <c r="X492" s="1196"/>
      <c r="Y492" s="1196"/>
      <c r="Z492" s="1196"/>
    </row>
    <row r="493" spans="1:26" ht="12.75" customHeight="1">
      <c r="A493" s="1196"/>
      <c r="B493" s="1196"/>
      <c r="C493" s="1196"/>
      <c r="D493" s="1196"/>
      <c r="E493" s="1196"/>
      <c r="F493" s="1196"/>
      <c r="G493" s="1196"/>
      <c r="H493" s="1196"/>
      <c r="I493" s="1196"/>
      <c r="J493" s="1196"/>
      <c r="K493" s="1196"/>
      <c r="L493" s="1196"/>
      <c r="M493" s="1196"/>
      <c r="N493" s="1196"/>
      <c r="O493" s="1196"/>
      <c r="P493" s="1196"/>
      <c r="Q493" s="1196"/>
      <c r="R493" s="1196"/>
      <c r="S493" s="1196"/>
      <c r="T493" s="1196"/>
      <c r="U493" s="1196"/>
      <c r="V493" s="1196"/>
      <c r="W493" s="1196"/>
      <c r="X493" s="1196"/>
      <c r="Y493" s="1196"/>
      <c r="Z493" s="1196"/>
    </row>
    <row r="494" spans="1:26" ht="12.75" customHeight="1">
      <c r="A494" s="1196"/>
      <c r="B494" s="1196"/>
      <c r="C494" s="1196"/>
      <c r="D494" s="1196"/>
      <c r="E494" s="1196"/>
      <c r="F494" s="1196"/>
      <c r="G494" s="1196"/>
      <c r="H494" s="1196"/>
      <c r="I494" s="1196"/>
      <c r="J494" s="1196"/>
      <c r="K494" s="1196"/>
      <c r="L494" s="1196"/>
      <c r="M494" s="1196"/>
      <c r="N494" s="1196"/>
      <c r="O494" s="1196"/>
      <c r="P494" s="1196"/>
      <c r="Q494" s="1196"/>
      <c r="R494" s="1196"/>
      <c r="S494" s="1196"/>
      <c r="T494" s="1196"/>
      <c r="U494" s="1196"/>
      <c r="V494" s="1196"/>
      <c r="W494" s="1196"/>
      <c r="X494" s="1196"/>
      <c r="Y494" s="1196"/>
      <c r="Z494" s="1196"/>
    </row>
    <row r="495" spans="1:26" ht="12.75" customHeight="1">
      <c r="A495" s="1196"/>
      <c r="B495" s="1196"/>
      <c r="C495" s="1196"/>
      <c r="D495" s="1196"/>
      <c r="E495" s="1196"/>
      <c r="F495" s="1196"/>
      <c r="G495" s="1196"/>
      <c r="H495" s="1196"/>
      <c r="I495" s="1196"/>
      <c r="J495" s="1196"/>
      <c r="K495" s="1196"/>
      <c r="L495" s="1196"/>
      <c r="M495" s="1196"/>
      <c r="N495" s="1196"/>
      <c r="O495" s="1196"/>
      <c r="P495" s="1196"/>
      <c r="Q495" s="1196"/>
      <c r="R495" s="1196"/>
      <c r="S495" s="1196"/>
      <c r="T495" s="1196"/>
      <c r="U495" s="1196"/>
      <c r="V495" s="1196"/>
      <c r="W495" s="1196"/>
      <c r="X495" s="1196"/>
      <c r="Y495" s="1196"/>
      <c r="Z495" s="1196"/>
    </row>
    <row r="496" spans="1:26" ht="12.75" customHeight="1">
      <c r="A496" s="1196"/>
      <c r="B496" s="1196"/>
      <c r="C496" s="1196"/>
      <c r="D496" s="1196"/>
      <c r="E496" s="1196"/>
      <c r="F496" s="1196"/>
      <c r="G496" s="1196"/>
      <c r="H496" s="1196"/>
      <c r="I496" s="1196"/>
      <c r="J496" s="1196"/>
      <c r="K496" s="1196"/>
      <c r="L496" s="1196"/>
      <c r="M496" s="1196"/>
      <c r="N496" s="1196"/>
      <c r="O496" s="1196"/>
      <c r="P496" s="1196"/>
      <c r="Q496" s="1196"/>
      <c r="R496" s="1196"/>
      <c r="S496" s="1196"/>
      <c r="T496" s="1196"/>
      <c r="U496" s="1196"/>
      <c r="V496" s="1196"/>
      <c r="W496" s="1196"/>
      <c r="X496" s="1196"/>
      <c r="Y496" s="1196"/>
      <c r="Z496" s="1196"/>
    </row>
    <row r="497" spans="1:26" ht="12.75" customHeight="1">
      <c r="A497" s="1196"/>
      <c r="B497" s="1196"/>
      <c r="C497" s="1196"/>
      <c r="D497" s="1196"/>
      <c r="E497" s="1196"/>
      <c r="F497" s="1196"/>
      <c r="G497" s="1196"/>
      <c r="H497" s="1196"/>
      <c r="I497" s="1196"/>
      <c r="J497" s="1196"/>
      <c r="K497" s="1196"/>
      <c r="L497" s="1196"/>
      <c r="M497" s="1196"/>
      <c r="N497" s="1196"/>
      <c r="O497" s="1196"/>
      <c r="P497" s="1196"/>
      <c r="Q497" s="1196"/>
      <c r="R497" s="1196"/>
      <c r="S497" s="1196"/>
      <c r="T497" s="1196"/>
      <c r="U497" s="1196"/>
      <c r="V497" s="1196"/>
      <c r="W497" s="1196"/>
      <c r="X497" s="1196"/>
      <c r="Y497" s="1196"/>
      <c r="Z497" s="1196"/>
    </row>
    <row r="498" spans="1:26" ht="12.75" customHeight="1">
      <c r="A498" s="1196"/>
      <c r="B498" s="1196"/>
      <c r="C498" s="1196"/>
      <c r="D498" s="1196"/>
      <c r="E498" s="1196"/>
      <c r="F498" s="1196"/>
      <c r="G498" s="1196"/>
      <c r="H498" s="1196"/>
      <c r="I498" s="1196"/>
      <c r="J498" s="1196"/>
      <c r="K498" s="1196"/>
      <c r="L498" s="1196"/>
      <c r="M498" s="1196"/>
      <c r="N498" s="1196"/>
      <c r="O498" s="1196"/>
      <c r="P498" s="1196"/>
      <c r="Q498" s="1196"/>
      <c r="R498" s="1196"/>
      <c r="S498" s="1196"/>
      <c r="T498" s="1196"/>
      <c r="U498" s="1196"/>
      <c r="V498" s="1196"/>
      <c r="W498" s="1196"/>
      <c r="X498" s="1196"/>
      <c r="Y498" s="1196"/>
      <c r="Z498" s="1196"/>
    </row>
    <row r="499" spans="1:26" ht="12.75" customHeight="1">
      <c r="A499" s="1196"/>
      <c r="B499" s="1196"/>
      <c r="C499" s="1196"/>
      <c r="D499" s="1196"/>
      <c r="E499" s="1196"/>
      <c r="F499" s="1196"/>
      <c r="G499" s="1196"/>
      <c r="H499" s="1196"/>
      <c r="I499" s="1196"/>
      <c r="J499" s="1196"/>
      <c r="K499" s="1196"/>
      <c r="L499" s="1196"/>
      <c r="M499" s="1196"/>
      <c r="N499" s="1196"/>
      <c r="O499" s="1196"/>
      <c r="P499" s="1196"/>
      <c r="Q499" s="1196"/>
      <c r="R499" s="1196"/>
      <c r="S499" s="1196"/>
      <c r="T499" s="1196"/>
      <c r="U499" s="1196"/>
      <c r="V499" s="1196"/>
      <c r="W499" s="1196"/>
      <c r="X499" s="1196"/>
      <c r="Y499" s="1196"/>
      <c r="Z499" s="1196"/>
    </row>
    <row r="500" spans="1:26" ht="12.75" customHeight="1">
      <c r="A500" s="1196"/>
      <c r="B500" s="1196"/>
      <c r="C500" s="1196"/>
      <c r="D500" s="1196"/>
      <c r="E500" s="1196"/>
      <c r="F500" s="1196"/>
      <c r="G500" s="1196"/>
      <c r="H500" s="1196"/>
      <c r="I500" s="1196"/>
      <c r="J500" s="1196"/>
      <c r="K500" s="1196"/>
      <c r="L500" s="1196"/>
      <c r="M500" s="1196"/>
      <c r="N500" s="1196"/>
      <c r="O500" s="1196"/>
      <c r="P500" s="1196"/>
      <c r="Q500" s="1196"/>
      <c r="R500" s="1196"/>
      <c r="S500" s="1196"/>
      <c r="T500" s="1196"/>
      <c r="U500" s="1196"/>
      <c r="V500" s="1196"/>
      <c r="W500" s="1196"/>
      <c r="X500" s="1196"/>
      <c r="Y500" s="1196"/>
      <c r="Z500" s="1196"/>
    </row>
    <row r="501" spans="1:26" ht="12.75" customHeight="1">
      <c r="A501" s="1196"/>
      <c r="B501" s="1196"/>
      <c r="C501" s="1196"/>
      <c r="D501" s="1196"/>
      <c r="E501" s="1196"/>
      <c r="F501" s="1196"/>
      <c r="G501" s="1196"/>
      <c r="H501" s="1196"/>
      <c r="I501" s="1196"/>
      <c r="J501" s="1196"/>
      <c r="K501" s="1196"/>
      <c r="L501" s="1196"/>
      <c r="M501" s="1196"/>
      <c r="N501" s="1196"/>
      <c r="O501" s="1196"/>
      <c r="P501" s="1196"/>
      <c r="Q501" s="1196"/>
      <c r="R501" s="1196"/>
      <c r="S501" s="1196"/>
      <c r="T501" s="1196"/>
      <c r="U501" s="1196"/>
      <c r="V501" s="1196"/>
      <c r="W501" s="1196"/>
      <c r="X501" s="1196"/>
      <c r="Y501" s="1196"/>
      <c r="Z501" s="1196"/>
    </row>
    <row r="502" spans="1:26" ht="12.75" customHeight="1">
      <c r="A502" s="1196"/>
      <c r="B502" s="1196"/>
      <c r="C502" s="1196"/>
      <c r="D502" s="1196"/>
      <c r="E502" s="1196"/>
      <c r="F502" s="1196"/>
      <c r="G502" s="1196"/>
      <c r="H502" s="1196"/>
      <c r="I502" s="1196"/>
      <c r="J502" s="1196"/>
      <c r="K502" s="1196"/>
      <c r="L502" s="1196"/>
      <c r="M502" s="1196"/>
      <c r="N502" s="1196"/>
      <c r="O502" s="1196"/>
      <c r="P502" s="1196"/>
      <c r="Q502" s="1196"/>
      <c r="R502" s="1196"/>
      <c r="S502" s="1196"/>
      <c r="T502" s="1196"/>
      <c r="U502" s="1196"/>
      <c r="V502" s="1196"/>
      <c r="W502" s="1196"/>
      <c r="X502" s="1196"/>
      <c r="Y502" s="1196"/>
      <c r="Z502" s="1196"/>
    </row>
    <row r="503" spans="1:26" ht="12.75" customHeight="1">
      <c r="A503" s="1196"/>
      <c r="B503" s="1196"/>
      <c r="C503" s="1196"/>
      <c r="D503" s="1196"/>
      <c r="E503" s="1196"/>
      <c r="F503" s="1196"/>
      <c r="G503" s="1196"/>
      <c r="H503" s="1196"/>
      <c r="I503" s="1196"/>
      <c r="J503" s="1196"/>
      <c r="K503" s="1196"/>
      <c r="L503" s="1196"/>
      <c r="M503" s="1196"/>
      <c r="N503" s="1196"/>
      <c r="O503" s="1196"/>
      <c r="P503" s="1196"/>
      <c r="Q503" s="1196"/>
      <c r="R503" s="1196"/>
      <c r="S503" s="1196"/>
      <c r="T503" s="1196"/>
      <c r="U503" s="1196"/>
      <c r="V503" s="1196"/>
      <c r="W503" s="1196"/>
      <c r="X503" s="1196"/>
      <c r="Y503" s="1196"/>
      <c r="Z503" s="1196"/>
    </row>
    <row r="504" spans="1:26" ht="12.75" customHeight="1">
      <c r="A504" s="1196"/>
      <c r="B504" s="1196"/>
      <c r="C504" s="1196"/>
      <c r="D504" s="1196"/>
      <c r="E504" s="1196"/>
      <c r="F504" s="1196"/>
      <c r="G504" s="1196"/>
      <c r="H504" s="1196"/>
      <c r="I504" s="1196"/>
      <c r="J504" s="1196"/>
      <c r="K504" s="1196"/>
      <c r="L504" s="1196"/>
      <c r="M504" s="1196"/>
      <c r="N504" s="1196"/>
      <c r="O504" s="1196"/>
      <c r="P504" s="1196"/>
      <c r="Q504" s="1196"/>
      <c r="R504" s="1196"/>
      <c r="S504" s="1196"/>
      <c r="T504" s="1196"/>
      <c r="U504" s="1196"/>
      <c r="V504" s="1196"/>
      <c r="W504" s="1196"/>
      <c r="X504" s="1196"/>
      <c r="Y504" s="1196"/>
      <c r="Z504" s="1196"/>
    </row>
    <row r="505" spans="1:26" ht="12.75" customHeight="1">
      <c r="A505" s="1196"/>
      <c r="B505" s="1196"/>
      <c r="C505" s="1196"/>
      <c r="D505" s="1196"/>
      <c r="E505" s="1196"/>
      <c r="F505" s="1196"/>
      <c r="G505" s="1196"/>
      <c r="H505" s="1196"/>
      <c r="I505" s="1196"/>
      <c r="J505" s="1196"/>
      <c r="K505" s="1196"/>
      <c r="L505" s="1196"/>
      <c r="M505" s="1196"/>
      <c r="N505" s="1196"/>
      <c r="O505" s="1196"/>
      <c r="P505" s="1196"/>
      <c r="Q505" s="1196"/>
      <c r="R505" s="1196"/>
      <c r="S505" s="1196"/>
      <c r="T505" s="1196"/>
      <c r="U505" s="1196"/>
      <c r="V505" s="1196"/>
      <c r="W505" s="1196"/>
      <c r="X505" s="1196"/>
      <c r="Y505" s="1196"/>
      <c r="Z505" s="1196"/>
    </row>
    <row r="506" spans="1:26" ht="12.75" customHeight="1">
      <c r="A506" s="1196"/>
      <c r="B506" s="1196"/>
      <c r="C506" s="1196"/>
      <c r="D506" s="1196"/>
      <c r="E506" s="1196"/>
      <c r="F506" s="1196"/>
      <c r="G506" s="1196"/>
      <c r="H506" s="1196"/>
      <c r="I506" s="1196"/>
      <c r="J506" s="1196"/>
      <c r="K506" s="1196"/>
      <c r="L506" s="1196"/>
      <c r="M506" s="1196"/>
      <c r="N506" s="1196"/>
      <c r="O506" s="1196"/>
      <c r="P506" s="1196"/>
      <c r="Q506" s="1196"/>
      <c r="R506" s="1196"/>
      <c r="S506" s="1196"/>
      <c r="T506" s="1196"/>
      <c r="U506" s="1196"/>
      <c r="V506" s="1196"/>
      <c r="W506" s="1196"/>
      <c r="X506" s="1196"/>
      <c r="Y506" s="1196"/>
      <c r="Z506" s="1196"/>
    </row>
    <row r="507" spans="1:26" ht="12.75" customHeight="1">
      <c r="A507" s="1196"/>
      <c r="B507" s="1196"/>
      <c r="C507" s="1196"/>
      <c r="D507" s="1196"/>
      <c r="E507" s="1196"/>
      <c r="F507" s="1196"/>
      <c r="G507" s="1196"/>
      <c r="H507" s="1196"/>
      <c r="I507" s="1196"/>
      <c r="J507" s="1196"/>
      <c r="K507" s="1196"/>
      <c r="L507" s="1196"/>
      <c r="M507" s="1196"/>
      <c r="N507" s="1196"/>
      <c r="O507" s="1196"/>
      <c r="P507" s="1196"/>
      <c r="Q507" s="1196"/>
      <c r="R507" s="1196"/>
      <c r="S507" s="1196"/>
      <c r="T507" s="1196"/>
      <c r="U507" s="1196"/>
      <c r="V507" s="1196"/>
      <c r="W507" s="1196"/>
      <c r="X507" s="1196"/>
      <c r="Y507" s="1196"/>
      <c r="Z507" s="1196"/>
    </row>
    <row r="508" spans="1:26" ht="12.75" customHeight="1">
      <c r="A508" s="1196"/>
      <c r="B508" s="1196"/>
      <c r="C508" s="1196"/>
      <c r="D508" s="1196"/>
      <c r="E508" s="1196"/>
      <c r="F508" s="1196"/>
      <c r="G508" s="1196"/>
      <c r="H508" s="1196"/>
      <c r="I508" s="1196"/>
      <c r="J508" s="1196"/>
      <c r="K508" s="1196"/>
      <c r="L508" s="1196"/>
      <c r="M508" s="1196"/>
      <c r="N508" s="1196"/>
      <c r="O508" s="1196"/>
      <c r="P508" s="1196"/>
      <c r="Q508" s="1196"/>
      <c r="R508" s="1196"/>
      <c r="S508" s="1196"/>
      <c r="T508" s="1196"/>
      <c r="U508" s="1196"/>
      <c r="V508" s="1196"/>
      <c r="W508" s="1196"/>
      <c r="X508" s="1196"/>
      <c r="Y508" s="1196"/>
      <c r="Z508" s="1196"/>
    </row>
    <row r="509" spans="1:26" ht="12.75" customHeight="1">
      <c r="A509" s="1196"/>
      <c r="B509" s="1196"/>
      <c r="C509" s="1196"/>
      <c r="D509" s="1196"/>
      <c r="E509" s="1196"/>
      <c r="F509" s="1196"/>
      <c r="G509" s="1196"/>
      <c r="H509" s="1196"/>
      <c r="I509" s="1196"/>
      <c r="J509" s="1196"/>
      <c r="K509" s="1196"/>
      <c r="L509" s="1196"/>
      <c r="M509" s="1196"/>
      <c r="N509" s="1196"/>
      <c r="O509" s="1196"/>
      <c r="P509" s="1196"/>
      <c r="Q509" s="1196"/>
      <c r="R509" s="1196"/>
      <c r="S509" s="1196"/>
      <c r="T509" s="1196"/>
      <c r="U509" s="1196"/>
      <c r="V509" s="1196"/>
      <c r="W509" s="1196"/>
      <c r="X509" s="1196"/>
      <c r="Y509" s="1196"/>
      <c r="Z509" s="1196"/>
    </row>
    <row r="510" spans="1:26" ht="12.75" customHeight="1">
      <c r="A510" s="1196"/>
      <c r="B510" s="1196"/>
      <c r="C510" s="1196"/>
      <c r="D510" s="1196"/>
      <c r="E510" s="1196"/>
      <c r="F510" s="1196"/>
      <c r="G510" s="1196"/>
      <c r="H510" s="1196"/>
      <c r="I510" s="1196"/>
      <c r="J510" s="1196"/>
      <c r="K510" s="1196"/>
      <c r="L510" s="1196"/>
      <c r="M510" s="1196"/>
      <c r="N510" s="1196"/>
      <c r="O510" s="1196"/>
      <c r="P510" s="1196"/>
      <c r="Q510" s="1196"/>
      <c r="R510" s="1196"/>
      <c r="S510" s="1196"/>
      <c r="T510" s="1196"/>
      <c r="U510" s="1196"/>
      <c r="V510" s="1196"/>
      <c r="W510" s="1196"/>
      <c r="X510" s="1196"/>
      <c r="Y510" s="1196"/>
      <c r="Z510" s="1196"/>
    </row>
    <row r="511" spans="1:26" ht="12.75" customHeight="1">
      <c r="A511" s="1196"/>
      <c r="B511" s="1196"/>
      <c r="C511" s="1196"/>
      <c r="D511" s="1196"/>
      <c r="E511" s="1196"/>
      <c r="F511" s="1196"/>
      <c r="G511" s="1196"/>
      <c r="H511" s="1196"/>
      <c r="I511" s="1196"/>
      <c r="J511" s="1196"/>
      <c r="K511" s="1196"/>
      <c r="L511" s="1196"/>
      <c r="M511" s="1196"/>
      <c r="N511" s="1196"/>
      <c r="O511" s="1196"/>
      <c r="P511" s="1196"/>
      <c r="Q511" s="1196"/>
      <c r="R511" s="1196"/>
      <c r="S511" s="1196"/>
      <c r="T511" s="1196"/>
      <c r="U511" s="1196"/>
      <c r="V511" s="1196"/>
      <c r="W511" s="1196"/>
      <c r="X511" s="1196"/>
      <c r="Y511" s="1196"/>
      <c r="Z511" s="1196"/>
    </row>
    <row r="512" spans="1:26" ht="12.75" customHeight="1">
      <c r="A512" s="1196"/>
      <c r="B512" s="1196"/>
      <c r="C512" s="1196"/>
      <c r="D512" s="1196"/>
      <c r="E512" s="1196"/>
      <c r="F512" s="1196"/>
      <c r="G512" s="1196"/>
      <c r="H512" s="1196"/>
      <c r="I512" s="1196"/>
      <c r="J512" s="1196"/>
      <c r="K512" s="1196"/>
      <c r="L512" s="1196"/>
      <c r="M512" s="1196"/>
      <c r="N512" s="1196"/>
      <c r="O512" s="1196"/>
      <c r="P512" s="1196"/>
      <c r="Q512" s="1196"/>
      <c r="R512" s="1196"/>
      <c r="S512" s="1196"/>
      <c r="T512" s="1196"/>
      <c r="U512" s="1196"/>
      <c r="V512" s="1196"/>
      <c r="W512" s="1196"/>
      <c r="X512" s="1196"/>
      <c r="Y512" s="1196"/>
      <c r="Z512" s="1196"/>
    </row>
    <row r="513" spans="1:26" ht="12.75" customHeight="1">
      <c r="A513" s="1196"/>
      <c r="B513" s="1196"/>
      <c r="C513" s="1196"/>
      <c r="D513" s="1196"/>
      <c r="E513" s="1196"/>
      <c r="F513" s="1196"/>
      <c r="G513" s="1196"/>
      <c r="H513" s="1196"/>
      <c r="I513" s="1196"/>
      <c r="J513" s="1196"/>
      <c r="K513" s="1196"/>
      <c r="L513" s="1196"/>
      <c r="M513" s="1196"/>
      <c r="N513" s="1196"/>
      <c r="O513" s="1196"/>
      <c r="P513" s="1196"/>
      <c r="Q513" s="1196"/>
      <c r="R513" s="1196"/>
      <c r="S513" s="1196"/>
      <c r="T513" s="1196"/>
      <c r="U513" s="1196"/>
      <c r="V513" s="1196"/>
      <c r="W513" s="1196"/>
      <c r="X513" s="1196"/>
      <c r="Y513" s="1196"/>
      <c r="Z513" s="1196"/>
    </row>
    <row r="514" spans="1:26" ht="12.75" customHeight="1">
      <c r="A514" s="1196"/>
      <c r="B514" s="1196"/>
      <c r="C514" s="1196"/>
      <c r="D514" s="1196"/>
      <c r="E514" s="1196"/>
      <c r="F514" s="1196"/>
      <c r="G514" s="1196"/>
      <c r="H514" s="1196"/>
      <c r="I514" s="1196"/>
      <c r="J514" s="1196"/>
      <c r="K514" s="1196"/>
      <c r="L514" s="1196"/>
      <c r="M514" s="1196"/>
      <c r="N514" s="1196"/>
      <c r="O514" s="1196"/>
      <c r="P514" s="1196"/>
      <c r="Q514" s="1196"/>
      <c r="R514" s="1196"/>
      <c r="S514" s="1196"/>
      <c r="T514" s="1196"/>
      <c r="U514" s="1196"/>
      <c r="V514" s="1196"/>
      <c r="W514" s="1196"/>
      <c r="X514" s="1196"/>
      <c r="Y514" s="1196"/>
      <c r="Z514" s="1196"/>
    </row>
    <row r="515" spans="1:26" ht="12.75" customHeight="1">
      <c r="A515" s="1196"/>
      <c r="B515" s="1196"/>
      <c r="C515" s="1196"/>
      <c r="D515" s="1196"/>
      <c r="E515" s="1196"/>
      <c r="F515" s="1196"/>
      <c r="G515" s="1196"/>
      <c r="H515" s="1196"/>
      <c r="I515" s="1196"/>
      <c r="J515" s="1196"/>
      <c r="K515" s="1196"/>
      <c r="L515" s="1196"/>
      <c r="M515" s="1196"/>
      <c r="N515" s="1196"/>
      <c r="O515" s="1196"/>
      <c r="P515" s="1196"/>
      <c r="Q515" s="1196"/>
      <c r="R515" s="1196"/>
      <c r="S515" s="1196"/>
      <c r="T515" s="1196"/>
      <c r="U515" s="1196"/>
      <c r="V515" s="1196"/>
      <c r="W515" s="1196"/>
      <c r="X515" s="1196"/>
      <c r="Y515" s="1196"/>
      <c r="Z515" s="1196"/>
    </row>
    <row r="516" spans="1:26" ht="12.75" customHeight="1">
      <c r="A516" s="1196"/>
      <c r="B516" s="1196"/>
      <c r="C516" s="1196"/>
      <c r="D516" s="1196"/>
      <c r="E516" s="1196"/>
      <c r="F516" s="1196"/>
      <c r="G516" s="1196"/>
      <c r="H516" s="1196"/>
      <c r="I516" s="1196"/>
      <c r="J516" s="1196"/>
      <c r="K516" s="1196"/>
      <c r="L516" s="1196"/>
      <c r="M516" s="1196"/>
      <c r="N516" s="1196"/>
      <c r="O516" s="1196"/>
      <c r="P516" s="1196"/>
      <c r="Q516" s="1196"/>
      <c r="R516" s="1196"/>
      <c r="S516" s="1196"/>
      <c r="T516" s="1196"/>
      <c r="U516" s="1196"/>
      <c r="V516" s="1196"/>
      <c r="W516" s="1196"/>
      <c r="X516" s="1196"/>
      <c r="Y516" s="1196"/>
      <c r="Z516" s="1196"/>
    </row>
    <row r="517" spans="1:26" ht="12.75" customHeight="1">
      <c r="A517" s="1196"/>
      <c r="B517" s="1196"/>
      <c r="C517" s="1196"/>
      <c r="D517" s="1196"/>
      <c r="E517" s="1196"/>
      <c r="F517" s="1196"/>
      <c r="G517" s="1196"/>
      <c r="H517" s="1196"/>
      <c r="I517" s="1196"/>
      <c r="J517" s="1196"/>
      <c r="K517" s="1196"/>
      <c r="L517" s="1196"/>
      <c r="M517" s="1196"/>
      <c r="N517" s="1196"/>
      <c r="O517" s="1196"/>
      <c r="P517" s="1196"/>
      <c r="Q517" s="1196"/>
      <c r="R517" s="1196"/>
      <c r="S517" s="1196"/>
      <c r="T517" s="1196"/>
      <c r="U517" s="1196"/>
      <c r="V517" s="1196"/>
      <c r="W517" s="1196"/>
      <c r="X517" s="1196"/>
      <c r="Y517" s="1196"/>
      <c r="Z517" s="1196"/>
    </row>
    <row r="518" spans="1:26" ht="12.75" customHeight="1">
      <c r="A518" s="1196"/>
      <c r="B518" s="1196"/>
      <c r="C518" s="1196"/>
      <c r="D518" s="1196"/>
      <c r="E518" s="1196"/>
      <c r="F518" s="1196"/>
      <c r="G518" s="1196"/>
      <c r="H518" s="1196"/>
      <c r="I518" s="1196"/>
      <c r="J518" s="1196"/>
      <c r="K518" s="1196"/>
      <c r="L518" s="1196"/>
      <c r="M518" s="1196"/>
      <c r="N518" s="1196"/>
      <c r="O518" s="1196"/>
      <c r="P518" s="1196"/>
      <c r="Q518" s="1196"/>
      <c r="R518" s="1196"/>
      <c r="S518" s="1196"/>
      <c r="T518" s="1196"/>
      <c r="U518" s="1196"/>
      <c r="V518" s="1196"/>
      <c r="W518" s="1196"/>
      <c r="X518" s="1196"/>
      <c r="Y518" s="1196"/>
      <c r="Z518" s="1196"/>
    </row>
    <row r="519" spans="1:26" ht="12.75" customHeight="1">
      <c r="A519" s="1196"/>
      <c r="B519" s="1196"/>
      <c r="C519" s="1196"/>
      <c r="D519" s="1196"/>
      <c r="E519" s="1196"/>
      <c r="F519" s="1196"/>
      <c r="G519" s="1196"/>
      <c r="H519" s="1196"/>
      <c r="I519" s="1196"/>
      <c r="J519" s="1196"/>
      <c r="K519" s="1196"/>
      <c r="L519" s="1196"/>
      <c r="M519" s="1196"/>
      <c r="N519" s="1196"/>
      <c r="O519" s="1196"/>
      <c r="P519" s="1196"/>
      <c r="Q519" s="1196"/>
      <c r="R519" s="1196"/>
      <c r="S519" s="1196"/>
      <c r="T519" s="1196"/>
      <c r="U519" s="1196"/>
      <c r="V519" s="1196"/>
      <c r="W519" s="1196"/>
      <c r="X519" s="1196"/>
      <c r="Y519" s="1196"/>
      <c r="Z519" s="1196"/>
    </row>
    <row r="520" spans="1:26" ht="12.75" customHeight="1">
      <c r="A520" s="1196"/>
      <c r="B520" s="1196"/>
      <c r="C520" s="1196"/>
      <c r="D520" s="1196"/>
      <c r="E520" s="1196"/>
      <c r="F520" s="1196"/>
      <c r="G520" s="1196"/>
      <c r="H520" s="1196"/>
      <c r="I520" s="1196"/>
      <c r="J520" s="1196"/>
      <c r="K520" s="1196"/>
      <c r="L520" s="1196"/>
      <c r="M520" s="1196"/>
      <c r="N520" s="1196"/>
      <c r="O520" s="1196"/>
      <c r="P520" s="1196"/>
      <c r="Q520" s="1196"/>
      <c r="R520" s="1196"/>
      <c r="S520" s="1196"/>
      <c r="T520" s="1196"/>
      <c r="U520" s="1196"/>
      <c r="V520" s="1196"/>
      <c r="W520" s="1196"/>
      <c r="X520" s="1196"/>
      <c r="Y520" s="1196"/>
      <c r="Z520" s="1196"/>
    </row>
    <row r="521" spans="1:26" ht="12.75" customHeight="1">
      <c r="A521" s="1196"/>
      <c r="B521" s="1196"/>
      <c r="C521" s="1196"/>
      <c r="D521" s="1196"/>
      <c r="E521" s="1196"/>
      <c r="F521" s="1196"/>
      <c r="G521" s="1196"/>
      <c r="H521" s="1196"/>
      <c r="I521" s="1196"/>
      <c r="J521" s="1196"/>
      <c r="K521" s="1196"/>
      <c r="L521" s="1196"/>
      <c r="M521" s="1196"/>
      <c r="N521" s="1196"/>
      <c r="O521" s="1196"/>
      <c r="P521" s="1196"/>
      <c r="Q521" s="1196"/>
      <c r="R521" s="1196"/>
      <c r="S521" s="1196"/>
      <c r="T521" s="1196"/>
      <c r="U521" s="1196"/>
      <c r="V521" s="1196"/>
      <c r="W521" s="1196"/>
      <c r="X521" s="1196"/>
      <c r="Y521" s="1196"/>
      <c r="Z521" s="1196"/>
    </row>
    <row r="522" spans="1:26" ht="12.75" customHeight="1">
      <c r="A522" s="1196"/>
      <c r="B522" s="1196"/>
      <c r="C522" s="1196"/>
      <c r="D522" s="1196"/>
      <c r="E522" s="1196"/>
      <c r="F522" s="1196"/>
      <c r="G522" s="1196"/>
      <c r="H522" s="1196"/>
      <c r="I522" s="1196"/>
      <c r="J522" s="1196"/>
      <c r="K522" s="1196"/>
      <c r="L522" s="1196"/>
      <c r="M522" s="1196"/>
      <c r="N522" s="1196"/>
      <c r="O522" s="1196"/>
      <c r="P522" s="1196"/>
      <c r="Q522" s="1196"/>
      <c r="R522" s="1196"/>
      <c r="S522" s="1196"/>
      <c r="T522" s="1196"/>
      <c r="U522" s="1196"/>
      <c r="V522" s="1196"/>
      <c r="W522" s="1196"/>
      <c r="X522" s="1196"/>
      <c r="Y522" s="1196"/>
      <c r="Z522" s="1196"/>
    </row>
    <row r="523" spans="1:26" ht="12.75" customHeight="1">
      <c r="A523" s="1196"/>
      <c r="B523" s="1196"/>
      <c r="C523" s="1196"/>
      <c r="D523" s="1196"/>
      <c r="E523" s="1196"/>
      <c r="F523" s="1196"/>
      <c r="G523" s="1196"/>
      <c r="H523" s="1196"/>
      <c r="I523" s="1196"/>
      <c r="J523" s="1196"/>
      <c r="K523" s="1196"/>
      <c r="L523" s="1196"/>
      <c r="M523" s="1196"/>
      <c r="N523" s="1196"/>
      <c r="O523" s="1196"/>
      <c r="P523" s="1196"/>
      <c r="Q523" s="1196"/>
      <c r="R523" s="1196"/>
      <c r="S523" s="1196"/>
      <c r="T523" s="1196"/>
      <c r="U523" s="1196"/>
      <c r="V523" s="1196"/>
      <c r="W523" s="1196"/>
      <c r="X523" s="1196"/>
      <c r="Y523" s="1196"/>
      <c r="Z523" s="1196"/>
    </row>
    <row r="524" spans="1:26" ht="12.75" customHeight="1">
      <c r="A524" s="1196"/>
      <c r="B524" s="1196"/>
      <c r="C524" s="1196"/>
      <c r="D524" s="1196"/>
      <c r="E524" s="1196"/>
      <c r="F524" s="1196"/>
      <c r="G524" s="1196"/>
      <c r="H524" s="1196"/>
      <c r="I524" s="1196"/>
      <c r="J524" s="1196"/>
      <c r="K524" s="1196"/>
      <c r="L524" s="1196"/>
      <c r="M524" s="1196"/>
      <c r="N524" s="1196"/>
      <c r="O524" s="1196"/>
      <c r="P524" s="1196"/>
      <c r="Q524" s="1196"/>
      <c r="R524" s="1196"/>
      <c r="S524" s="1196"/>
      <c r="T524" s="1196"/>
      <c r="U524" s="1196"/>
      <c r="V524" s="1196"/>
      <c r="W524" s="1196"/>
      <c r="X524" s="1196"/>
      <c r="Y524" s="1196"/>
      <c r="Z524" s="1196"/>
    </row>
    <row r="525" spans="1:26" ht="12.75" customHeight="1">
      <c r="A525" s="1196"/>
      <c r="B525" s="1196"/>
      <c r="C525" s="1196"/>
      <c r="D525" s="1196"/>
      <c r="E525" s="1196"/>
      <c r="F525" s="1196"/>
      <c r="G525" s="1196"/>
      <c r="H525" s="1196"/>
      <c r="I525" s="1196"/>
      <c r="J525" s="1196"/>
      <c r="K525" s="1196"/>
      <c r="L525" s="1196"/>
      <c r="M525" s="1196"/>
      <c r="N525" s="1196"/>
      <c r="O525" s="1196"/>
      <c r="P525" s="1196"/>
      <c r="Q525" s="1196"/>
      <c r="R525" s="1196"/>
      <c r="S525" s="1196"/>
      <c r="T525" s="1196"/>
      <c r="U525" s="1196"/>
      <c r="V525" s="1196"/>
      <c r="W525" s="1196"/>
      <c r="X525" s="1196"/>
      <c r="Y525" s="1196"/>
      <c r="Z525" s="1196"/>
    </row>
    <row r="526" spans="1:26" ht="12.75" customHeight="1">
      <c r="A526" s="1196"/>
      <c r="B526" s="1196"/>
      <c r="C526" s="1196"/>
      <c r="D526" s="1196"/>
      <c r="E526" s="1196"/>
      <c r="F526" s="1196"/>
      <c r="G526" s="1196"/>
      <c r="H526" s="1196"/>
      <c r="I526" s="1196"/>
      <c r="J526" s="1196"/>
      <c r="K526" s="1196"/>
      <c r="L526" s="1196"/>
      <c r="M526" s="1196"/>
      <c r="N526" s="1196"/>
      <c r="O526" s="1196"/>
      <c r="P526" s="1196"/>
      <c r="Q526" s="1196"/>
      <c r="R526" s="1196"/>
      <c r="S526" s="1196"/>
      <c r="T526" s="1196"/>
      <c r="U526" s="1196"/>
      <c r="V526" s="1196"/>
      <c r="W526" s="1196"/>
      <c r="X526" s="1196"/>
      <c r="Y526" s="1196"/>
      <c r="Z526" s="1196"/>
    </row>
    <row r="527" spans="1:26" ht="12.75" customHeight="1">
      <c r="A527" s="1196"/>
      <c r="B527" s="1196"/>
      <c r="C527" s="1196"/>
      <c r="D527" s="1196"/>
      <c r="E527" s="1196"/>
      <c r="F527" s="1196"/>
      <c r="G527" s="1196"/>
      <c r="H527" s="1196"/>
      <c r="I527" s="1196"/>
      <c r="J527" s="1196"/>
      <c r="K527" s="1196"/>
      <c r="L527" s="1196"/>
      <c r="M527" s="1196"/>
      <c r="N527" s="1196"/>
      <c r="O527" s="1196"/>
      <c r="P527" s="1196"/>
      <c r="Q527" s="1196"/>
      <c r="R527" s="1196"/>
      <c r="S527" s="1196"/>
      <c r="T527" s="1196"/>
      <c r="U527" s="1196"/>
      <c r="V527" s="1196"/>
      <c r="W527" s="1196"/>
      <c r="X527" s="1196"/>
      <c r="Y527" s="1196"/>
      <c r="Z527" s="1196"/>
    </row>
    <row r="528" spans="1:26" ht="12.75" customHeight="1">
      <c r="A528" s="1196"/>
      <c r="B528" s="1196"/>
      <c r="C528" s="1196"/>
      <c r="D528" s="1196"/>
      <c r="E528" s="1196"/>
      <c r="F528" s="1196"/>
      <c r="G528" s="1196"/>
      <c r="H528" s="1196"/>
      <c r="I528" s="1196"/>
      <c r="J528" s="1196"/>
      <c r="K528" s="1196"/>
      <c r="L528" s="1196"/>
      <c r="M528" s="1196"/>
      <c r="N528" s="1196"/>
      <c r="O528" s="1196"/>
      <c r="P528" s="1196"/>
      <c r="Q528" s="1196"/>
      <c r="R528" s="1196"/>
      <c r="S528" s="1196"/>
      <c r="T528" s="1196"/>
      <c r="U528" s="1196"/>
      <c r="V528" s="1196"/>
      <c r="W528" s="1196"/>
      <c r="X528" s="1196"/>
      <c r="Y528" s="1196"/>
      <c r="Z528" s="1196"/>
    </row>
    <row r="529" spans="1:26" ht="12.75" customHeight="1">
      <c r="A529" s="1196"/>
      <c r="B529" s="1196"/>
      <c r="C529" s="1196"/>
      <c r="D529" s="1196"/>
      <c r="E529" s="1196"/>
      <c r="F529" s="1196"/>
      <c r="G529" s="1196"/>
      <c r="H529" s="1196"/>
      <c r="I529" s="1196"/>
      <c r="J529" s="1196"/>
      <c r="K529" s="1196"/>
      <c r="L529" s="1196"/>
      <c r="M529" s="1196"/>
      <c r="N529" s="1196"/>
      <c r="O529" s="1196"/>
      <c r="P529" s="1196"/>
      <c r="Q529" s="1196"/>
      <c r="R529" s="1196"/>
      <c r="S529" s="1196"/>
      <c r="T529" s="1196"/>
      <c r="U529" s="1196"/>
      <c r="V529" s="1196"/>
      <c r="W529" s="1196"/>
      <c r="X529" s="1196"/>
      <c r="Y529" s="1196"/>
      <c r="Z529" s="1196"/>
    </row>
    <row r="530" spans="1:26" ht="12.75" customHeight="1">
      <c r="A530" s="1196"/>
      <c r="B530" s="1196"/>
      <c r="C530" s="1196"/>
      <c r="D530" s="1196"/>
      <c r="E530" s="1196"/>
      <c r="F530" s="1196"/>
      <c r="G530" s="1196"/>
      <c r="H530" s="1196"/>
      <c r="I530" s="1196"/>
      <c r="J530" s="1196"/>
      <c r="K530" s="1196"/>
      <c r="L530" s="1196"/>
      <c r="M530" s="1196"/>
      <c r="N530" s="1196"/>
      <c r="O530" s="1196"/>
      <c r="P530" s="1196"/>
      <c r="Q530" s="1196"/>
      <c r="R530" s="1196"/>
      <c r="S530" s="1196"/>
      <c r="T530" s="1196"/>
      <c r="U530" s="1196"/>
      <c r="V530" s="1196"/>
      <c r="W530" s="1196"/>
      <c r="X530" s="1196"/>
      <c r="Y530" s="1196"/>
      <c r="Z530" s="1196"/>
    </row>
    <row r="531" spans="1:26" ht="12.75" customHeight="1">
      <c r="A531" s="1196"/>
      <c r="B531" s="1196"/>
      <c r="C531" s="1196"/>
      <c r="D531" s="1196"/>
      <c r="E531" s="1196"/>
      <c r="F531" s="1196"/>
      <c r="G531" s="1196"/>
      <c r="H531" s="1196"/>
      <c r="I531" s="1196"/>
      <c r="J531" s="1196"/>
      <c r="K531" s="1196"/>
      <c r="L531" s="1196"/>
      <c r="M531" s="1196"/>
      <c r="N531" s="1196"/>
      <c r="O531" s="1196"/>
      <c r="P531" s="1196"/>
      <c r="Q531" s="1196"/>
      <c r="R531" s="1196"/>
      <c r="S531" s="1196"/>
      <c r="T531" s="1196"/>
      <c r="U531" s="1196"/>
      <c r="V531" s="1196"/>
      <c r="W531" s="1196"/>
      <c r="X531" s="1196"/>
      <c r="Y531" s="1196"/>
      <c r="Z531" s="1196"/>
    </row>
    <row r="532" spans="1:26" ht="12.75" customHeight="1">
      <c r="A532" s="1196"/>
      <c r="B532" s="1196"/>
      <c r="C532" s="1196"/>
      <c r="D532" s="1196"/>
      <c r="E532" s="1196"/>
      <c r="F532" s="1196"/>
      <c r="G532" s="1196"/>
      <c r="H532" s="1196"/>
      <c r="I532" s="1196"/>
      <c r="J532" s="1196"/>
      <c r="K532" s="1196"/>
      <c r="L532" s="1196"/>
      <c r="M532" s="1196"/>
      <c r="N532" s="1196"/>
      <c r="O532" s="1196"/>
      <c r="P532" s="1196"/>
      <c r="Q532" s="1196"/>
      <c r="R532" s="1196"/>
      <c r="S532" s="1196"/>
      <c r="T532" s="1196"/>
      <c r="U532" s="1196"/>
      <c r="V532" s="1196"/>
      <c r="W532" s="1196"/>
      <c r="X532" s="1196"/>
      <c r="Y532" s="1196"/>
      <c r="Z532" s="1196"/>
    </row>
    <row r="533" spans="1:26" ht="12.75" customHeight="1">
      <c r="A533" s="1196"/>
      <c r="B533" s="1196"/>
      <c r="C533" s="1196"/>
      <c r="D533" s="1196"/>
      <c r="E533" s="1196"/>
      <c r="F533" s="1196"/>
      <c r="G533" s="1196"/>
      <c r="H533" s="1196"/>
      <c r="I533" s="1196"/>
      <c r="J533" s="1196"/>
      <c r="K533" s="1196"/>
      <c r="L533" s="1196"/>
      <c r="M533" s="1196"/>
      <c r="N533" s="1196"/>
      <c r="O533" s="1196"/>
      <c r="P533" s="1196"/>
      <c r="Q533" s="1196"/>
      <c r="R533" s="1196"/>
      <c r="S533" s="1196"/>
      <c r="T533" s="1196"/>
      <c r="U533" s="1196"/>
      <c r="V533" s="1196"/>
      <c r="W533" s="1196"/>
      <c r="X533" s="1196"/>
      <c r="Y533" s="1196"/>
      <c r="Z533" s="1196"/>
    </row>
    <row r="534" spans="1:26" ht="12.75" customHeight="1">
      <c r="A534" s="1196"/>
      <c r="B534" s="1196"/>
      <c r="C534" s="1196"/>
      <c r="D534" s="1196"/>
      <c r="E534" s="1196"/>
      <c r="F534" s="1196"/>
      <c r="G534" s="1196"/>
      <c r="H534" s="1196"/>
      <c r="I534" s="1196"/>
      <c r="J534" s="1196"/>
      <c r="K534" s="1196"/>
      <c r="L534" s="1196"/>
      <c r="M534" s="1196"/>
      <c r="N534" s="1196"/>
      <c r="O534" s="1196"/>
      <c r="P534" s="1196"/>
      <c r="Q534" s="1196"/>
      <c r="R534" s="1196"/>
      <c r="S534" s="1196"/>
      <c r="T534" s="1196"/>
      <c r="U534" s="1196"/>
      <c r="V534" s="1196"/>
      <c r="W534" s="1196"/>
      <c r="X534" s="1196"/>
      <c r="Y534" s="1196"/>
      <c r="Z534" s="1196"/>
    </row>
    <row r="535" spans="1:26" ht="12.75" customHeight="1">
      <c r="A535" s="1196"/>
      <c r="B535" s="1196"/>
      <c r="C535" s="1196"/>
      <c r="D535" s="1196"/>
      <c r="E535" s="1196"/>
      <c r="F535" s="1196"/>
      <c r="G535" s="1196"/>
      <c r="H535" s="1196"/>
      <c r="I535" s="1196"/>
      <c r="J535" s="1196"/>
      <c r="K535" s="1196"/>
      <c r="L535" s="1196"/>
      <c r="M535" s="1196"/>
      <c r="N535" s="1196"/>
      <c r="O535" s="1196"/>
      <c r="P535" s="1196"/>
      <c r="Q535" s="1196"/>
      <c r="R535" s="1196"/>
      <c r="S535" s="1196"/>
      <c r="T535" s="1196"/>
      <c r="U535" s="1196"/>
      <c r="V535" s="1196"/>
      <c r="W535" s="1196"/>
      <c r="X535" s="1196"/>
      <c r="Y535" s="1196"/>
      <c r="Z535" s="1196"/>
    </row>
    <row r="536" spans="1:26" ht="12.75" customHeight="1">
      <c r="A536" s="1196"/>
      <c r="B536" s="1196"/>
      <c r="C536" s="1196"/>
      <c r="D536" s="1196"/>
      <c r="E536" s="1196"/>
      <c r="F536" s="1196"/>
      <c r="G536" s="1196"/>
      <c r="H536" s="1196"/>
      <c r="I536" s="1196"/>
      <c r="J536" s="1196"/>
      <c r="K536" s="1196"/>
      <c r="L536" s="1196"/>
      <c r="M536" s="1196"/>
      <c r="N536" s="1196"/>
      <c r="O536" s="1196"/>
      <c r="P536" s="1196"/>
      <c r="Q536" s="1196"/>
      <c r="R536" s="1196"/>
      <c r="S536" s="1196"/>
      <c r="T536" s="1196"/>
      <c r="U536" s="1196"/>
      <c r="V536" s="1196"/>
      <c r="W536" s="1196"/>
      <c r="X536" s="1196"/>
      <c r="Y536" s="1196"/>
      <c r="Z536" s="1196"/>
    </row>
    <row r="537" spans="1:26" ht="12.75" customHeight="1">
      <c r="A537" s="1196"/>
      <c r="B537" s="1196"/>
      <c r="C537" s="1196"/>
      <c r="D537" s="1196"/>
      <c r="E537" s="1196"/>
      <c r="F537" s="1196"/>
      <c r="G537" s="1196"/>
      <c r="H537" s="1196"/>
      <c r="I537" s="1196"/>
      <c r="J537" s="1196"/>
      <c r="K537" s="1196"/>
      <c r="L537" s="1196"/>
      <c r="M537" s="1196"/>
      <c r="N537" s="1196"/>
      <c r="O537" s="1196"/>
      <c r="P537" s="1196"/>
      <c r="Q537" s="1196"/>
      <c r="R537" s="1196"/>
      <c r="S537" s="1196"/>
      <c r="T537" s="1196"/>
      <c r="U537" s="1196"/>
      <c r="V537" s="1196"/>
      <c r="W537" s="1196"/>
      <c r="X537" s="1196"/>
      <c r="Y537" s="1196"/>
      <c r="Z537" s="1196"/>
    </row>
    <row r="538" spans="1:26" ht="12.75" customHeight="1">
      <c r="A538" s="1196"/>
      <c r="B538" s="1196"/>
      <c r="C538" s="1196"/>
      <c r="D538" s="1196"/>
      <c r="E538" s="1196"/>
      <c r="F538" s="1196"/>
      <c r="G538" s="1196"/>
      <c r="H538" s="1196"/>
      <c r="I538" s="1196"/>
      <c r="J538" s="1196"/>
      <c r="K538" s="1196"/>
      <c r="L538" s="1196"/>
      <c r="M538" s="1196"/>
      <c r="N538" s="1196"/>
      <c r="O538" s="1196"/>
      <c r="P538" s="1196"/>
      <c r="Q538" s="1196"/>
      <c r="R538" s="1196"/>
      <c r="S538" s="1196"/>
      <c r="T538" s="1196"/>
      <c r="U538" s="1196"/>
      <c r="V538" s="1196"/>
      <c r="W538" s="1196"/>
      <c r="X538" s="1196"/>
      <c r="Y538" s="1196"/>
      <c r="Z538" s="1196"/>
    </row>
    <row r="539" spans="1:26" ht="12.75" customHeight="1">
      <c r="A539" s="1196"/>
      <c r="B539" s="1196"/>
      <c r="C539" s="1196"/>
      <c r="D539" s="1196"/>
      <c r="E539" s="1196"/>
      <c r="F539" s="1196"/>
      <c r="G539" s="1196"/>
      <c r="H539" s="1196"/>
      <c r="I539" s="1196"/>
      <c r="J539" s="1196"/>
      <c r="K539" s="1196"/>
      <c r="L539" s="1196"/>
      <c r="M539" s="1196"/>
      <c r="N539" s="1196"/>
      <c r="O539" s="1196"/>
      <c r="P539" s="1196"/>
      <c r="Q539" s="1196"/>
      <c r="R539" s="1196"/>
      <c r="S539" s="1196"/>
      <c r="T539" s="1196"/>
      <c r="U539" s="1196"/>
      <c r="V539" s="1196"/>
      <c r="W539" s="1196"/>
      <c r="X539" s="1196"/>
      <c r="Y539" s="1196"/>
      <c r="Z539" s="1196"/>
    </row>
    <row r="540" spans="1:26" ht="12.75" customHeight="1">
      <c r="A540" s="1196"/>
      <c r="B540" s="1196"/>
      <c r="C540" s="1196"/>
      <c r="D540" s="1196"/>
      <c r="E540" s="1196"/>
      <c r="F540" s="1196"/>
      <c r="G540" s="1196"/>
      <c r="H540" s="1196"/>
      <c r="I540" s="1196"/>
      <c r="J540" s="1196"/>
      <c r="K540" s="1196"/>
      <c r="L540" s="1196"/>
      <c r="M540" s="1196"/>
      <c r="N540" s="1196"/>
      <c r="O540" s="1196"/>
      <c r="P540" s="1196"/>
      <c r="Q540" s="1196"/>
      <c r="R540" s="1196"/>
      <c r="S540" s="1196"/>
      <c r="T540" s="1196"/>
      <c r="U540" s="1196"/>
      <c r="V540" s="1196"/>
      <c r="W540" s="1196"/>
      <c r="X540" s="1196"/>
      <c r="Y540" s="1196"/>
      <c r="Z540" s="1196"/>
    </row>
    <row r="541" spans="1:26" ht="12.75" customHeight="1">
      <c r="A541" s="1196"/>
      <c r="B541" s="1196"/>
      <c r="C541" s="1196"/>
      <c r="D541" s="1196"/>
      <c r="E541" s="1196"/>
      <c r="F541" s="1196"/>
      <c r="G541" s="1196"/>
      <c r="H541" s="1196"/>
      <c r="I541" s="1196"/>
      <c r="J541" s="1196"/>
      <c r="K541" s="1196"/>
      <c r="L541" s="1196"/>
      <c r="M541" s="1196"/>
      <c r="N541" s="1196"/>
      <c r="O541" s="1196"/>
      <c r="P541" s="1196"/>
      <c r="Q541" s="1196"/>
      <c r="R541" s="1196"/>
      <c r="S541" s="1196"/>
      <c r="T541" s="1196"/>
      <c r="U541" s="1196"/>
      <c r="V541" s="1196"/>
      <c r="W541" s="1196"/>
      <c r="X541" s="1196"/>
      <c r="Y541" s="1196"/>
      <c r="Z541" s="1196"/>
    </row>
    <row r="542" spans="1:26" ht="12.75" customHeight="1">
      <c r="A542" s="1196"/>
      <c r="B542" s="1196"/>
      <c r="C542" s="1196"/>
      <c r="D542" s="1196"/>
      <c r="E542" s="1196"/>
      <c r="F542" s="1196"/>
      <c r="G542" s="1196"/>
      <c r="H542" s="1196"/>
      <c r="I542" s="1196"/>
      <c r="J542" s="1196"/>
      <c r="K542" s="1196"/>
      <c r="L542" s="1196"/>
      <c r="M542" s="1196"/>
      <c r="N542" s="1196"/>
      <c r="O542" s="1196"/>
      <c r="P542" s="1196"/>
      <c r="Q542" s="1196"/>
      <c r="R542" s="1196"/>
      <c r="S542" s="1196"/>
      <c r="T542" s="1196"/>
      <c r="U542" s="1196"/>
      <c r="V542" s="1196"/>
      <c r="W542" s="1196"/>
      <c r="X542" s="1196"/>
      <c r="Y542" s="1196"/>
      <c r="Z542" s="1196"/>
    </row>
    <row r="543" spans="1:26" ht="12.75" customHeight="1">
      <c r="A543" s="1196"/>
      <c r="B543" s="1196"/>
      <c r="C543" s="1196"/>
      <c r="D543" s="1196"/>
      <c r="E543" s="1196"/>
      <c r="F543" s="1196"/>
      <c r="G543" s="1196"/>
      <c r="H543" s="1196"/>
      <c r="I543" s="1196"/>
      <c r="J543" s="1196"/>
      <c r="K543" s="1196"/>
      <c r="L543" s="1196"/>
      <c r="M543" s="1196"/>
      <c r="N543" s="1196"/>
      <c r="O543" s="1196"/>
      <c r="P543" s="1196"/>
      <c r="Q543" s="1196"/>
      <c r="R543" s="1196"/>
      <c r="S543" s="1196"/>
      <c r="T543" s="1196"/>
      <c r="U543" s="1196"/>
      <c r="V543" s="1196"/>
      <c r="W543" s="1196"/>
      <c r="X543" s="1196"/>
      <c r="Y543" s="1196"/>
      <c r="Z543" s="1196"/>
    </row>
    <row r="544" spans="1:26" ht="12.75" customHeight="1">
      <c r="A544" s="1196"/>
      <c r="B544" s="1196"/>
      <c r="C544" s="1196"/>
      <c r="D544" s="1196"/>
      <c r="E544" s="1196"/>
      <c r="F544" s="1196"/>
      <c r="G544" s="1196"/>
      <c r="H544" s="1196"/>
      <c r="I544" s="1196"/>
      <c r="J544" s="1196"/>
      <c r="K544" s="1196"/>
      <c r="L544" s="1196"/>
      <c r="M544" s="1196"/>
      <c r="N544" s="1196"/>
      <c r="O544" s="1196"/>
      <c r="P544" s="1196"/>
      <c r="Q544" s="1196"/>
      <c r="R544" s="1196"/>
      <c r="S544" s="1196"/>
      <c r="T544" s="1196"/>
      <c r="U544" s="1196"/>
      <c r="V544" s="1196"/>
      <c r="W544" s="1196"/>
      <c r="X544" s="1196"/>
      <c r="Y544" s="1196"/>
      <c r="Z544" s="1196"/>
    </row>
    <row r="545" spans="1:26" ht="12.75" customHeight="1">
      <c r="A545" s="1196"/>
      <c r="B545" s="1196"/>
      <c r="C545" s="1196"/>
      <c r="D545" s="1196"/>
      <c r="E545" s="1196"/>
      <c r="F545" s="1196"/>
      <c r="G545" s="1196"/>
      <c r="H545" s="1196"/>
      <c r="I545" s="1196"/>
      <c r="J545" s="1196"/>
      <c r="K545" s="1196"/>
      <c r="L545" s="1196"/>
      <c r="M545" s="1196"/>
      <c r="N545" s="1196"/>
      <c r="O545" s="1196"/>
      <c r="P545" s="1196"/>
      <c r="Q545" s="1196"/>
      <c r="R545" s="1196"/>
      <c r="S545" s="1196"/>
      <c r="T545" s="1196"/>
      <c r="U545" s="1196"/>
      <c r="V545" s="1196"/>
      <c r="W545" s="1196"/>
      <c r="X545" s="1196"/>
      <c r="Y545" s="1196"/>
      <c r="Z545" s="1196"/>
    </row>
    <row r="546" spans="1:26" ht="12.75" customHeight="1">
      <c r="A546" s="1196"/>
      <c r="B546" s="1196"/>
      <c r="C546" s="1196"/>
      <c r="D546" s="1196"/>
      <c r="E546" s="1196"/>
      <c r="F546" s="1196"/>
      <c r="G546" s="1196"/>
      <c r="H546" s="1196"/>
      <c r="I546" s="1196"/>
      <c r="J546" s="1196"/>
      <c r="K546" s="1196"/>
      <c r="L546" s="1196"/>
      <c r="M546" s="1196"/>
      <c r="N546" s="1196"/>
      <c r="O546" s="1196"/>
      <c r="P546" s="1196"/>
      <c r="Q546" s="1196"/>
      <c r="R546" s="1196"/>
      <c r="S546" s="1196"/>
      <c r="T546" s="1196"/>
      <c r="U546" s="1196"/>
      <c r="V546" s="1196"/>
      <c r="W546" s="1196"/>
      <c r="X546" s="1196"/>
      <c r="Y546" s="1196"/>
      <c r="Z546" s="1196"/>
    </row>
    <row r="547" spans="1:26" ht="12.75" customHeight="1">
      <c r="A547" s="1196"/>
      <c r="B547" s="1196"/>
      <c r="C547" s="1196"/>
      <c r="D547" s="1196"/>
      <c r="E547" s="1196"/>
      <c r="F547" s="1196"/>
      <c r="G547" s="1196"/>
      <c r="H547" s="1196"/>
      <c r="I547" s="1196"/>
      <c r="J547" s="1196"/>
      <c r="K547" s="1196"/>
      <c r="L547" s="1196"/>
      <c r="M547" s="1196"/>
      <c r="N547" s="1196"/>
      <c r="O547" s="1196"/>
      <c r="P547" s="1196"/>
      <c r="Q547" s="1196"/>
      <c r="R547" s="1196"/>
      <c r="S547" s="1196"/>
      <c r="T547" s="1196"/>
      <c r="U547" s="1196"/>
      <c r="V547" s="1196"/>
      <c r="W547" s="1196"/>
      <c r="X547" s="1196"/>
      <c r="Y547" s="1196"/>
      <c r="Z547" s="1196"/>
    </row>
    <row r="548" spans="1:26" ht="12.75" customHeight="1">
      <c r="A548" s="1196"/>
      <c r="B548" s="1196"/>
      <c r="C548" s="1196"/>
      <c r="D548" s="1196"/>
      <c r="E548" s="1196"/>
      <c r="F548" s="1196"/>
      <c r="G548" s="1196"/>
      <c r="H548" s="1196"/>
      <c r="I548" s="1196"/>
      <c r="J548" s="1196"/>
      <c r="K548" s="1196"/>
      <c r="L548" s="1196"/>
      <c r="M548" s="1196"/>
      <c r="N548" s="1196"/>
      <c r="O548" s="1196"/>
      <c r="P548" s="1196"/>
      <c r="Q548" s="1196"/>
      <c r="R548" s="1196"/>
      <c r="S548" s="1196"/>
      <c r="T548" s="1196"/>
      <c r="U548" s="1196"/>
      <c r="V548" s="1196"/>
      <c r="W548" s="1196"/>
      <c r="X548" s="1196"/>
      <c r="Y548" s="1196"/>
      <c r="Z548" s="1196"/>
    </row>
    <row r="549" spans="1:26" ht="12.75" customHeight="1">
      <c r="A549" s="1196"/>
      <c r="B549" s="1196"/>
      <c r="C549" s="1196"/>
      <c r="D549" s="1196"/>
      <c r="E549" s="1196"/>
      <c r="F549" s="1196"/>
      <c r="G549" s="1196"/>
      <c r="H549" s="1196"/>
      <c r="I549" s="1196"/>
      <c r="J549" s="1196"/>
      <c r="K549" s="1196"/>
      <c r="L549" s="1196"/>
      <c r="M549" s="1196"/>
      <c r="N549" s="1196"/>
      <c r="O549" s="1196"/>
      <c r="P549" s="1196"/>
      <c r="Q549" s="1196"/>
      <c r="R549" s="1196"/>
      <c r="S549" s="1196"/>
      <c r="T549" s="1196"/>
      <c r="U549" s="1196"/>
      <c r="V549" s="1196"/>
      <c r="W549" s="1196"/>
      <c r="X549" s="1196"/>
      <c r="Y549" s="1196"/>
      <c r="Z549" s="1196"/>
    </row>
    <row r="550" spans="1:26" ht="12.75" customHeight="1">
      <c r="A550" s="1196"/>
      <c r="B550" s="1196"/>
      <c r="C550" s="1196"/>
      <c r="D550" s="1196"/>
      <c r="E550" s="1196"/>
      <c r="F550" s="1196"/>
      <c r="G550" s="1196"/>
      <c r="H550" s="1196"/>
      <c r="I550" s="1196"/>
      <c r="J550" s="1196"/>
      <c r="K550" s="1196"/>
      <c r="L550" s="1196"/>
      <c r="M550" s="1196"/>
      <c r="N550" s="1196"/>
      <c r="O550" s="1196"/>
      <c r="P550" s="1196"/>
      <c r="Q550" s="1196"/>
      <c r="R550" s="1196"/>
      <c r="S550" s="1196"/>
      <c r="T550" s="1196"/>
      <c r="U550" s="1196"/>
      <c r="V550" s="1196"/>
      <c r="W550" s="1196"/>
      <c r="X550" s="1196"/>
      <c r="Y550" s="1196"/>
      <c r="Z550" s="1196"/>
    </row>
    <row r="551" spans="1:26" ht="12.75" customHeight="1">
      <c r="A551" s="1196"/>
      <c r="B551" s="1196"/>
      <c r="C551" s="1196"/>
      <c r="D551" s="1196"/>
      <c r="E551" s="1196"/>
      <c r="F551" s="1196"/>
      <c r="G551" s="1196"/>
      <c r="H551" s="1196"/>
      <c r="I551" s="1196"/>
      <c r="J551" s="1196"/>
      <c r="K551" s="1196"/>
      <c r="L551" s="1196"/>
      <c r="M551" s="1196"/>
      <c r="N551" s="1196"/>
      <c r="O551" s="1196"/>
      <c r="P551" s="1196"/>
      <c r="Q551" s="1196"/>
      <c r="R551" s="1196"/>
      <c r="S551" s="1196"/>
      <c r="T551" s="1196"/>
      <c r="U551" s="1196"/>
      <c r="V551" s="1196"/>
      <c r="W551" s="1196"/>
      <c r="X551" s="1196"/>
      <c r="Y551" s="1196"/>
      <c r="Z551" s="1196"/>
    </row>
    <row r="552" spans="1:26" ht="12.75" customHeight="1">
      <c r="A552" s="1196"/>
      <c r="B552" s="1196"/>
      <c r="C552" s="1196"/>
      <c r="D552" s="1196"/>
      <c r="E552" s="1196"/>
      <c r="F552" s="1196"/>
      <c r="G552" s="1196"/>
      <c r="H552" s="1196"/>
      <c r="I552" s="1196"/>
      <c r="J552" s="1196"/>
      <c r="K552" s="1196"/>
      <c r="L552" s="1196"/>
      <c r="M552" s="1196"/>
      <c r="N552" s="1196"/>
      <c r="O552" s="1196"/>
      <c r="P552" s="1196"/>
      <c r="Q552" s="1196"/>
      <c r="R552" s="1196"/>
      <c r="S552" s="1196"/>
      <c r="T552" s="1196"/>
      <c r="U552" s="1196"/>
      <c r="V552" s="1196"/>
      <c r="W552" s="1196"/>
      <c r="X552" s="1196"/>
      <c r="Y552" s="1196"/>
      <c r="Z552" s="1196"/>
    </row>
    <row r="553" spans="1:26" ht="12.75" customHeight="1">
      <c r="A553" s="1196"/>
      <c r="B553" s="1196"/>
      <c r="C553" s="1196"/>
      <c r="D553" s="1196"/>
      <c r="E553" s="1196"/>
      <c r="F553" s="1196"/>
      <c r="G553" s="1196"/>
      <c r="H553" s="1196"/>
      <c r="I553" s="1196"/>
      <c r="J553" s="1196"/>
      <c r="K553" s="1196"/>
      <c r="L553" s="1196"/>
      <c r="M553" s="1196"/>
      <c r="N553" s="1196"/>
      <c r="O553" s="1196"/>
      <c r="P553" s="1196"/>
      <c r="Q553" s="1196"/>
      <c r="R553" s="1196"/>
      <c r="S553" s="1196"/>
      <c r="T553" s="1196"/>
      <c r="U553" s="1196"/>
      <c r="V553" s="1196"/>
      <c r="W553" s="1196"/>
      <c r="X553" s="1196"/>
      <c r="Y553" s="1196"/>
      <c r="Z553" s="1196"/>
    </row>
    <row r="554" spans="1:26" ht="12.75" customHeight="1">
      <c r="A554" s="1196"/>
      <c r="B554" s="1196"/>
      <c r="C554" s="1196"/>
      <c r="D554" s="1196"/>
      <c r="E554" s="1196"/>
      <c r="F554" s="1196"/>
      <c r="G554" s="1196"/>
      <c r="H554" s="1196"/>
      <c r="I554" s="1196"/>
      <c r="J554" s="1196"/>
      <c r="K554" s="1196"/>
      <c r="L554" s="1196"/>
      <c r="M554" s="1196"/>
      <c r="N554" s="1196"/>
      <c r="O554" s="1196"/>
      <c r="P554" s="1196"/>
      <c r="Q554" s="1196"/>
      <c r="R554" s="1196"/>
      <c r="S554" s="1196"/>
      <c r="T554" s="1196"/>
      <c r="U554" s="1196"/>
      <c r="V554" s="1196"/>
      <c r="W554" s="1196"/>
      <c r="X554" s="1196"/>
      <c r="Y554" s="1196"/>
      <c r="Z554" s="1196"/>
    </row>
    <row r="555" spans="1:26" ht="12.75" customHeight="1">
      <c r="A555" s="1196"/>
      <c r="B555" s="1196"/>
      <c r="C555" s="1196"/>
      <c r="D555" s="1196"/>
      <c r="E555" s="1196"/>
      <c r="F555" s="1196"/>
      <c r="G555" s="1196"/>
      <c r="H555" s="1196"/>
      <c r="I555" s="1196"/>
      <c r="J555" s="1196"/>
      <c r="K555" s="1196"/>
      <c r="L555" s="1196"/>
      <c r="M555" s="1196"/>
      <c r="N555" s="1196"/>
      <c r="O555" s="1196"/>
      <c r="P555" s="1196"/>
      <c r="Q555" s="1196"/>
      <c r="R555" s="1196"/>
      <c r="S555" s="1196"/>
      <c r="T555" s="1196"/>
      <c r="U555" s="1196"/>
      <c r="V555" s="1196"/>
      <c r="W555" s="1196"/>
      <c r="X555" s="1196"/>
      <c r="Y555" s="1196"/>
      <c r="Z555" s="1196"/>
    </row>
    <row r="556" spans="1:26" ht="12.75" customHeight="1">
      <c r="A556" s="1196"/>
      <c r="B556" s="1196"/>
      <c r="C556" s="1196"/>
      <c r="D556" s="1196"/>
      <c r="E556" s="1196"/>
      <c r="F556" s="1196"/>
      <c r="G556" s="1196"/>
      <c r="H556" s="1196"/>
      <c r="I556" s="1196"/>
      <c r="J556" s="1196"/>
      <c r="K556" s="1196"/>
      <c r="L556" s="1196"/>
      <c r="M556" s="1196"/>
      <c r="N556" s="1196"/>
      <c r="O556" s="1196"/>
      <c r="P556" s="1196"/>
      <c r="Q556" s="1196"/>
      <c r="R556" s="1196"/>
      <c r="S556" s="1196"/>
      <c r="T556" s="1196"/>
      <c r="U556" s="1196"/>
      <c r="V556" s="1196"/>
      <c r="W556" s="1196"/>
      <c r="X556" s="1196"/>
      <c r="Y556" s="1196"/>
      <c r="Z556" s="1196"/>
    </row>
    <row r="557" spans="1:26" ht="12.75" customHeight="1">
      <c r="A557" s="1196"/>
      <c r="B557" s="1196"/>
      <c r="C557" s="1196"/>
      <c r="D557" s="1196"/>
      <c r="E557" s="1196"/>
      <c r="F557" s="1196"/>
      <c r="G557" s="1196"/>
      <c r="H557" s="1196"/>
      <c r="I557" s="1196"/>
      <c r="J557" s="1196"/>
      <c r="K557" s="1196"/>
      <c r="L557" s="1196"/>
      <c r="M557" s="1196"/>
      <c r="N557" s="1196"/>
      <c r="O557" s="1196"/>
      <c r="P557" s="1196"/>
      <c r="Q557" s="1196"/>
      <c r="R557" s="1196"/>
      <c r="S557" s="1196"/>
      <c r="T557" s="1196"/>
      <c r="U557" s="1196"/>
      <c r="V557" s="1196"/>
      <c r="W557" s="1196"/>
      <c r="X557" s="1196"/>
      <c r="Y557" s="1196"/>
      <c r="Z557" s="1196"/>
    </row>
    <row r="558" spans="1:26" ht="12.75" customHeight="1">
      <c r="A558" s="1196"/>
      <c r="B558" s="1196"/>
      <c r="C558" s="1196"/>
      <c r="D558" s="1196"/>
      <c r="E558" s="1196"/>
      <c r="F558" s="1196"/>
      <c r="G558" s="1196"/>
      <c r="H558" s="1196"/>
      <c r="I558" s="1196"/>
      <c r="J558" s="1196"/>
      <c r="K558" s="1196"/>
      <c r="L558" s="1196"/>
      <c r="M558" s="1196"/>
      <c r="N558" s="1196"/>
      <c r="O558" s="1196"/>
      <c r="P558" s="1196"/>
      <c r="Q558" s="1196"/>
      <c r="R558" s="1196"/>
      <c r="S558" s="1196"/>
      <c r="T558" s="1196"/>
      <c r="U558" s="1196"/>
      <c r="V558" s="1196"/>
      <c r="W558" s="1196"/>
      <c r="X558" s="1196"/>
      <c r="Y558" s="1196"/>
      <c r="Z558" s="1196"/>
    </row>
    <row r="559" spans="1:26" ht="12.75" customHeight="1">
      <c r="A559" s="1196"/>
      <c r="B559" s="1196"/>
      <c r="C559" s="1196"/>
      <c r="D559" s="1196"/>
      <c r="E559" s="1196"/>
      <c r="F559" s="1196"/>
      <c r="G559" s="1196"/>
      <c r="H559" s="1196"/>
      <c r="I559" s="1196"/>
      <c r="J559" s="1196"/>
      <c r="K559" s="1196"/>
      <c r="L559" s="1196"/>
      <c r="M559" s="1196"/>
      <c r="N559" s="1196"/>
      <c r="O559" s="1196"/>
      <c r="P559" s="1196"/>
      <c r="Q559" s="1196"/>
      <c r="R559" s="1196"/>
      <c r="S559" s="1196"/>
      <c r="T559" s="1196"/>
      <c r="U559" s="1196"/>
      <c r="V559" s="1196"/>
      <c r="W559" s="1196"/>
      <c r="X559" s="1196"/>
      <c r="Y559" s="1196"/>
      <c r="Z559" s="1196"/>
    </row>
    <row r="560" spans="1:26" ht="12.75" customHeight="1">
      <c r="A560" s="1196"/>
      <c r="B560" s="1196"/>
      <c r="C560" s="1196"/>
      <c r="D560" s="1196"/>
      <c r="E560" s="1196"/>
      <c r="F560" s="1196"/>
      <c r="G560" s="1196"/>
      <c r="H560" s="1196"/>
      <c r="I560" s="1196"/>
      <c r="J560" s="1196"/>
      <c r="K560" s="1196"/>
      <c r="L560" s="1196"/>
      <c r="M560" s="1196"/>
      <c r="N560" s="1196"/>
      <c r="O560" s="1196"/>
      <c r="P560" s="1196"/>
      <c r="Q560" s="1196"/>
      <c r="R560" s="1196"/>
      <c r="S560" s="1196"/>
      <c r="T560" s="1196"/>
      <c r="U560" s="1196"/>
      <c r="V560" s="1196"/>
      <c r="W560" s="1196"/>
      <c r="X560" s="1196"/>
      <c r="Y560" s="1196"/>
      <c r="Z560" s="1196"/>
    </row>
    <row r="561" spans="1:26" ht="12.75" customHeight="1">
      <c r="A561" s="1196"/>
      <c r="B561" s="1196"/>
      <c r="C561" s="1196"/>
      <c r="D561" s="1196"/>
      <c r="E561" s="1196"/>
      <c r="F561" s="1196"/>
      <c r="G561" s="1196"/>
      <c r="H561" s="1196"/>
      <c r="I561" s="1196"/>
      <c r="J561" s="1196"/>
      <c r="K561" s="1196"/>
      <c r="L561" s="1196"/>
      <c r="M561" s="1196"/>
      <c r="N561" s="1196"/>
      <c r="O561" s="1196"/>
      <c r="P561" s="1196"/>
      <c r="Q561" s="1196"/>
      <c r="R561" s="1196"/>
      <c r="S561" s="1196"/>
      <c r="T561" s="1196"/>
      <c r="U561" s="1196"/>
      <c r="V561" s="1196"/>
      <c r="W561" s="1196"/>
      <c r="X561" s="1196"/>
      <c r="Y561" s="1196"/>
      <c r="Z561" s="1196"/>
    </row>
    <row r="562" spans="1:26" ht="12.75" customHeight="1">
      <c r="A562" s="1196"/>
      <c r="B562" s="1196"/>
      <c r="C562" s="1196"/>
      <c r="D562" s="1196"/>
      <c r="E562" s="1196"/>
      <c r="F562" s="1196"/>
      <c r="G562" s="1196"/>
      <c r="H562" s="1196"/>
      <c r="I562" s="1196"/>
      <c r="J562" s="1196"/>
      <c r="K562" s="1196"/>
      <c r="L562" s="1196"/>
      <c r="M562" s="1196"/>
      <c r="N562" s="1196"/>
      <c r="O562" s="1196"/>
      <c r="P562" s="1196"/>
      <c r="Q562" s="1196"/>
      <c r="R562" s="1196"/>
      <c r="S562" s="1196"/>
      <c r="T562" s="1196"/>
      <c r="U562" s="1196"/>
      <c r="V562" s="1196"/>
      <c r="W562" s="1196"/>
      <c r="X562" s="1196"/>
      <c r="Y562" s="1196"/>
      <c r="Z562" s="1196"/>
    </row>
    <row r="563" spans="1:26" ht="12.75" customHeight="1">
      <c r="A563" s="1196"/>
      <c r="B563" s="1196"/>
      <c r="C563" s="1196"/>
      <c r="D563" s="1196"/>
      <c r="E563" s="1196"/>
      <c r="F563" s="1196"/>
      <c r="G563" s="1196"/>
      <c r="H563" s="1196"/>
      <c r="I563" s="1196"/>
      <c r="J563" s="1196"/>
      <c r="K563" s="1196"/>
      <c r="L563" s="1196"/>
      <c r="M563" s="1196"/>
      <c r="N563" s="1196"/>
      <c r="O563" s="1196"/>
      <c r="P563" s="1196"/>
      <c r="Q563" s="1196"/>
      <c r="R563" s="1196"/>
      <c r="S563" s="1196"/>
      <c r="T563" s="1196"/>
      <c r="U563" s="1196"/>
      <c r="V563" s="1196"/>
      <c r="W563" s="1196"/>
      <c r="X563" s="1196"/>
      <c r="Y563" s="1196"/>
      <c r="Z563" s="1196"/>
    </row>
    <row r="564" spans="1:26" ht="12.75" customHeight="1">
      <c r="A564" s="1196"/>
      <c r="B564" s="1196"/>
      <c r="C564" s="1196"/>
      <c r="D564" s="1196"/>
      <c r="E564" s="1196"/>
      <c r="F564" s="1196"/>
      <c r="G564" s="1196"/>
      <c r="H564" s="1196"/>
      <c r="I564" s="1196"/>
      <c r="J564" s="1196"/>
      <c r="K564" s="1196"/>
      <c r="L564" s="1196"/>
      <c r="M564" s="1196"/>
      <c r="N564" s="1196"/>
      <c r="O564" s="1196"/>
      <c r="P564" s="1196"/>
      <c r="Q564" s="1196"/>
      <c r="R564" s="1196"/>
      <c r="S564" s="1196"/>
      <c r="T564" s="1196"/>
      <c r="U564" s="1196"/>
      <c r="V564" s="1196"/>
      <c r="W564" s="1196"/>
      <c r="X564" s="1196"/>
      <c r="Y564" s="1196"/>
      <c r="Z564" s="1196"/>
    </row>
    <row r="565" spans="1:26" ht="12.75" customHeight="1">
      <c r="A565" s="1196"/>
      <c r="B565" s="1196"/>
      <c r="C565" s="1196"/>
      <c r="D565" s="1196"/>
      <c r="E565" s="1196"/>
      <c r="F565" s="1196"/>
      <c r="G565" s="1196"/>
      <c r="H565" s="1196"/>
      <c r="I565" s="1196"/>
      <c r="J565" s="1196"/>
      <c r="K565" s="1196"/>
      <c r="L565" s="1196"/>
      <c r="M565" s="1196"/>
      <c r="N565" s="1196"/>
      <c r="O565" s="1196"/>
      <c r="P565" s="1196"/>
      <c r="Q565" s="1196"/>
      <c r="R565" s="1196"/>
      <c r="S565" s="1196"/>
      <c r="T565" s="1196"/>
      <c r="U565" s="1196"/>
      <c r="V565" s="1196"/>
      <c r="W565" s="1196"/>
      <c r="X565" s="1196"/>
      <c r="Y565" s="1196"/>
      <c r="Z565" s="1196"/>
    </row>
    <row r="566" spans="1:26" ht="12.75" customHeight="1">
      <c r="A566" s="1196"/>
      <c r="B566" s="1196"/>
      <c r="C566" s="1196"/>
      <c r="D566" s="1196"/>
      <c r="E566" s="1196"/>
      <c r="F566" s="1196"/>
      <c r="G566" s="1196"/>
      <c r="H566" s="1196"/>
      <c r="I566" s="1196"/>
      <c r="J566" s="1196"/>
      <c r="K566" s="1196"/>
      <c r="L566" s="1196"/>
      <c r="M566" s="1196"/>
      <c r="N566" s="1196"/>
      <c r="O566" s="1196"/>
      <c r="P566" s="1196"/>
      <c r="Q566" s="1196"/>
      <c r="R566" s="1196"/>
      <c r="S566" s="1196"/>
      <c r="T566" s="1196"/>
      <c r="U566" s="1196"/>
      <c r="V566" s="1196"/>
      <c r="W566" s="1196"/>
      <c r="X566" s="1196"/>
      <c r="Y566" s="1196"/>
      <c r="Z566" s="1196"/>
    </row>
    <row r="567" spans="1:26" ht="12.75" customHeight="1">
      <c r="A567" s="1196"/>
      <c r="B567" s="1196"/>
      <c r="C567" s="1196"/>
      <c r="D567" s="1196"/>
      <c r="E567" s="1196"/>
      <c r="F567" s="1196"/>
      <c r="G567" s="1196"/>
      <c r="H567" s="1196"/>
      <c r="I567" s="1196"/>
      <c r="J567" s="1196"/>
      <c r="K567" s="1196"/>
      <c r="L567" s="1196"/>
      <c r="M567" s="1196"/>
      <c r="N567" s="1196"/>
      <c r="O567" s="1196"/>
      <c r="P567" s="1196"/>
      <c r="Q567" s="1196"/>
      <c r="R567" s="1196"/>
      <c r="S567" s="1196"/>
      <c r="T567" s="1196"/>
      <c r="U567" s="1196"/>
      <c r="V567" s="1196"/>
      <c r="W567" s="1196"/>
      <c r="X567" s="1196"/>
      <c r="Y567" s="1196"/>
      <c r="Z567" s="1196"/>
    </row>
    <row r="568" spans="1:26" ht="12.75" customHeight="1">
      <c r="A568" s="1196"/>
      <c r="B568" s="1196"/>
      <c r="C568" s="1196"/>
      <c r="D568" s="1196"/>
      <c r="E568" s="1196"/>
      <c r="F568" s="1196"/>
      <c r="G568" s="1196"/>
      <c r="H568" s="1196"/>
      <c r="I568" s="1196"/>
      <c r="J568" s="1196"/>
      <c r="K568" s="1196"/>
      <c r="L568" s="1196"/>
      <c r="M568" s="1196"/>
      <c r="N568" s="1196"/>
      <c r="O568" s="1196"/>
      <c r="P568" s="1196"/>
      <c r="Q568" s="1196"/>
      <c r="R568" s="1196"/>
      <c r="S568" s="1196"/>
      <c r="T568" s="1196"/>
      <c r="U568" s="1196"/>
      <c r="V568" s="1196"/>
      <c r="W568" s="1196"/>
      <c r="X568" s="1196"/>
      <c r="Y568" s="1196"/>
      <c r="Z568" s="1196"/>
    </row>
    <row r="569" spans="1:26" ht="12.75" customHeight="1">
      <c r="A569" s="1196"/>
      <c r="B569" s="1196"/>
      <c r="C569" s="1196"/>
      <c r="D569" s="1196"/>
      <c r="E569" s="1196"/>
      <c r="F569" s="1196"/>
      <c r="G569" s="1196"/>
      <c r="H569" s="1196"/>
      <c r="I569" s="1196"/>
      <c r="J569" s="1196"/>
      <c r="K569" s="1196"/>
      <c r="L569" s="1196"/>
      <c r="M569" s="1196"/>
      <c r="N569" s="1196"/>
      <c r="O569" s="1196"/>
      <c r="P569" s="1196"/>
      <c r="Q569" s="1196"/>
      <c r="R569" s="1196"/>
      <c r="S569" s="1196"/>
      <c r="T569" s="1196"/>
      <c r="U569" s="1196"/>
      <c r="V569" s="1196"/>
      <c r="W569" s="1196"/>
      <c r="X569" s="1196"/>
      <c r="Y569" s="1196"/>
      <c r="Z569" s="1196"/>
    </row>
    <row r="570" spans="1:26" ht="12.75" customHeight="1">
      <c r="A570" s="1196"/>
      <c r="B570" s="1196"/>
      <c r="C570" s="1196"/>
      <c r="D570" s="1196"/>
      <c r="E570" s="1196"/>
      <c r="F570" s="1196"/>
      <c r="G570" s="1196"/>
      <c r="H570" s="1196"/>
      <c r="I570" s="1196"/>
      <c r="J570" s="1196"/>
      <c r="K570" s="1196"/>
      <c r="L570" s="1196"/>
      <c r="M570" s="1196"/>
      <c r="N570" s="1196"/>
      <c r="O570" s="1196"/>
      <c r="P570" s="1196"/>
      <c r="Q570" s="1196"/>
      <c r="R570" s="1196"/>
      <c r="S570" s="1196"/>
      <c r="T570" s="1196"/>
      <c r="U570" s="1196"/>
      <c r="V570" s="1196"/>
      <c r="W570" s="1196"/>
      <c r="X570" s="1196"/>
      <c r="Y570" s="1196"/>
      <c r="Z570" s="1196"/>
    </row>
    <row r="571" spans="1:26" ht="12.75" customHeight="1">
      <c r="A571" s="1196"/>
      <c r="B571" s="1196"/>
      <c r="C571" s="1196"/>
      <c r="D571" s="1196"/>
      <c r="E571" s="1196"/>
      <c r="F571" s="1196"/>
      <c r="G571" s="1196"/>
      <c r="H571" s="1196"/>
      <c r="I571" s="1196"/>
      <c r="J571" s="1196"/>
      <c r="K571" s="1196"/>
      <c r="L571" s="1196"/>
      <c r="M571" s="1196"/>
      <c r="N571" s="1196"/>
      <c r="O571" s="1196"/>
      <c r="P571" s="1196"/>
      <c r="Q571" s="1196"/>
      <c r="R571" s="1196"/>
      <c r="S571" s="1196"/>
      <c r="T571" s="1196"/>
      <c r="U571" s="1196"/>
      <c r="V571" s="1196"/>
      <c r="W571" s="1196"/>
      <c r="X571" s="1196"/>
      <c r="Y571" s="1196"/>
      <c r="Z571" s="1196"/>
    </row>
    <row r="572" spans="1:26" ht="12.75" customHeight="1">
      <c r="A572" s="1196"/>
      <c r="B572" s="1196"/>
      <c r="C572" s="1196"/>
      <c r="D572" s="1196"/>
      <c r="E572" s="1196"/>
      <c r="F572" s="1196"/>
      <c r="G572" s="1196"/>
      <c r="H572" s="1196"/>
      <c r="I572" s="1196"/>
      <c r="J572" s="1196"/>
      <c r="K572" s="1196"/>
      <c r="L572" s="1196"/>
      <c r="M572" s="1196"/>
      <c r="N572" s="1196"/>
      <c r="O572" s="1196"/>
      <c r="P572" s="1196"/>
      <c r="Q572" s="1196"/>
      <c r="R572" s="1196"/>
      <c r="S572" s="1196"/>
      <c r="T572" s="1196"/>
      <c r="U572" s="1196"/>
      <c r="V572" s="1196"/>
      <c r="W572" s="1196"/>
      <c r="X572" s="1196"/>
      <c r="Y572" s="1196"/>
      <c r="Z572" s="1196"/>
    </row>
    <row r="573" spans="1:26" ht="12.75" customHeight="1">
      <c r="A573" s="1196"/>
      <c r="B573" s="1196"/>
      <c r="C573" s="1196"/>
      <c r="D573" s="1196"/>
      <c r="E573" s="1196"/>
      <c r="F573" s="1196"/>
      <c r="G573" s="1196"/>
      <c r="H573" s="1196"/>
      <c r="I573" s="1196"/>
      <c r="J573" s="1196"/>
      <c r="K573" s="1196"/>
      <c r="L573" s="1196"/>
      <c r="M573" s="1196"/>
      <c r="N573" s="1196"/>
      <c r="O573" s="1196"/>
      <c r="P573" s="1196"/>
      <c r="Q573" s="1196"/>
      <c r="R573" s="1196"/>
      <c r="S573" s="1196"/>
      <c r="T573" s="1196"/>
      <c r="U573" s="1196"/>
      <c r="V573" s="1196"/>
      <c r="W573" s="1196"/>
      <c r="X573" s="1196"/>
      <c r="Y573" s="1196"/>
      <c r="Z573" s="1196"/>
    </row>
    <row r="574" spans="1:26" ht="12.75" customHeight="1">
      <c r="A574" s="1196"/>
      <c r="B574" s="1196"/>
      <c r="C574" s="1196"/>
      <c r="D574" s="1196"/>
      <c r="E574" s="1196"/>
      <c r="F574" s="1196"/>
      <c r="G574" s="1196"/>
      <c r="H574" s="1196"/>
      <c r="I574" s="1196"/>
      <c r="J574" s="1196"/>
      <c r="K574" s="1196"/>
      <c r="L574" s="1196"/>
      <c r="M574" s="1196"/>
      <c r="N574" s="1196"/>
      <c r="O574" s="1196"/>
      <c r="P574" s="1196"/>
      <c r="Q574" s="1196"/>
      <c r="R574" s="1196"/>
      <c r="S574" s="1196"/>
      <c r="T574" s="1196"/>
      <c r="U574" s="1196"/>
      <c r="V574" s="1196"/>
      <c r="W574" s="1196"/>
      <c r="X574" s="1196"/>
      <c r="Y574" s="1196"/>
      <c r="Z574" s="1196"/>
    </row>
    <row r="575" spans="1:26" ht="12.75" customHeight="1">
      <c r="A575" s="1196"/>
      <c r="B575" s="1196"/>
      <c r="C575" s="1196"/>
      <c r="D575" s="1196"/>
      <c r="E575" s="1196"/>
      <c r="F575" s="1196"/>
      <c r="G575" s="1196"/>
      <c r="H575" s="1196"/>
      <c r="I575" s="1196"/>
      <c r="J575" s="1196"/>
      <c r="K575" s="1196"/>
      <c r="L575" s="1196"/>
      <c r="M575" s="1196"/>
      <c r="N575" s="1196"/>
      <c r="O575" s="1196"/>
      <c r="P575" s="1196"/>
      <c r="Q575" s="1196"/>
      <c r="R575" s="1196"/>
      <c r="S575" s="1196"/>
      <c r="T575" s="1196"/>
      <c r="U575" s="1196"/>
      <c r="V575" s="1196"/>
      <c r="W575" s="1196"/>
      <c r="X575" s="1196"/>
      <c r="Y575" s="1196"/>
      <c r="Z575" s="1196"/>
    </row>
    <row r="576" spans="1:26" ht="12.75" customHeight="1">
      <c r="A576" s="1196"/>
      <c r="B576" s="1196"/>
      <c r="C576" s="1196"/>
      <c r="D576" s="1196"/>
      <c r="E576" s="1196"/>
      <c r="F576" s="1196"/>
      <c r="G576" s="1196"/>
      <c r="H576" s="1196"/>
      <c r="I576" s="1196"/>
      <c r="J576" s="1196"/>
      <c r="K576" s="1196"/>
      <c r="L576" s="1196"/>
      <c r="M576" s="1196"/>
      <c r="N576" s="1196"/>
      <c r="O576" s="1196"/>
      <c r="P576" s="1196"/>
      <c r="Q576" s="1196"/>
      <c r="R576" s="1196"/>
      <c r="S576" s="1196"/>
      <c r="T576" s="1196"/>
      <c r="U576" s="1196"/>
      <c r="V576" s="1196"/>
      <c r="W576" s="1196"/>
      <c r="X576" s="1196"/>
      <c r="Y576" s="1196"/>
      <c r="Z576" s="1196"/>
    </row>
    <row r="577" spans="1:26" ht="12.75" customHeight="1">
      <c r="A577" s="1196"/>
      <c r="B577" s="1196"/>
      <c r="C577" s="1196"/>
      <c r="D577" s="1196"/>
      <c r="E577" s="1196"/>
      <c r="F577" s="1196"/>
      <c r="G577" s="1196"/>
      <c r="H577" s="1196"/>
      <c r="I577" s="1196"/>
      <c r="J577" s="1196"/>
      <c r="K577" s="1196"/>
      <c r="L577" s="1196"/>
      <c r="M577" s="1196"/>
      <c r="N577" s="1196"/>
      <c r="O577" s="1196"/>
      <c r="P577" s="1196"/>
      <c r="Q577" s="1196"/>
      <c r="R577" s="1196"/>
      <c r="S577" s="1196"/>
      <c r="T577" s="1196"/>
      <c r="U577" s="1196"/>
      <c r="V577" s="1196"/>
      <c r="W577" s="1196"/>
      <c r="X577" s="1196"/>
      <c r="Y577" s="1196"/>
      <c r="Z577" s="1196"/>
    </row>
    <row r="578" spans="1:26" ht="12.75" customHeight="1">
      <c r="A578" s="1196"/>
      <c r="B578" s="1196"/>
      <c r="C578" s="1196"/>
      <c r="D578" s="1196"/>
      <c r="E578" s="1196"/>
      <c r="F578" s="1196"/>
      <c r="G578" s="1196"/>
      <c r="H578" s="1196"/>
      <c r="I578" s="1196"/>
      <c r="J578" s="1196"/>
      <c r="K578" s="1196"/>
      <c r="L578" s="1196"/>
      <c r="M578" s="1196"/>
      <c r="N578" s="1196"/>
      <c r="O578" s="1196"/>
      <c r="P578" s="1196"/>
      <c r="Q578" s="1196"/>
      <c r="R578" s="1196"/>
      <c r="S578" s="1196"/>
      <c r="T578" s="1196"/>
      <c r="U578" s="1196"/>
      <c r="V578" s="1196"/>
      <c r="W578" s="1196"/>
      <c r="X578" s="1196"/>
      <c r="Y578" s="1196"/>
      <c r="Z578" s="1196"/>
    </row>
    <row r="579" spans="1:26" ht="12.75" customHeight="1">
      <c r="A579" s="1196"/>
      <c r="B579" s="1196"/>
      <c r="C579" s="1196"/>
      <c r="D579" s="1196"/>
      <c r="E579" s="1196"/>
      <c r="F579" s="1196"/>
      <c r="G579" s="1196"/>
      <c r="H579" s="1196"/>
      <c r="I579" s="1196"/>
      <c r="J579" s="1196"/>
      <c r="K579" s="1196"/>
      <c r="L579" s="1196"/>
      <c r="M579" s="1196"/>
      <c r="N579" s="1196"/>
      <c r="O579" s="1196"/>
      <c r="P579" s="1196"/>
      <c r="Q579" s="1196"/>
      <c r="R579" s="1196"/>
      <c r="S579" s="1196"/>
      <c r="T579" s="1196"/>
      <c r="U579" s="1196"/>
      <c r="V579" s="1196"/>
      <c r="W579" s="1196"/>
      <c r="X579" s="1196"/>
      <c r="Y579" s="1196"/>
      <c r="Z579" s="1196"/>
    </row>
    <row r="580" spans="1:26" ht="12.75" customHeight="1">
      <c r="A580" s="1196"/>
      <c r="B580" s="1196"/>
      <c r="C580" s="1196"/>
      <c r="D580" s="1196"/>
      <c r="E580" s="1196"/>
      <c r="F580" s="1196"/>
      <c r="G580" s="1196"/>
      <c r="H580" s="1196"/>
      <c r="I580" s="1196"/>
      <c r="J580" s="1196"/>
      <c r="K580" s="1196"/>
      <c r="L580" s="1196"/>
      <c r="M580" s="1196"/>
      <c r="N580" s="1196"/>
      <c r="O580" s="1196"/>
      <c r="P580" s="1196"/>
      <c r="Q580" s="1196"/>
      <c r="R580" s="1196"/>
      <c r="S580" s="1196"/>
      <c r="T580" s="1196"/>
      <c r="U580" s="1196"/>
      <c r="V580" s="1196"/>
      <c r="W580" s="1196"/>
      <c r="X580" s="1196"/>
      <c r="Y580" s="1196"/>
      <c r="Z580" s="1196"/>
    </row>
    <row r="581" spans="1:26" ht="12.75" customHeight="1">
      <c r="A581" s="1196"/>
      <c r="B581" s="1196"/>
      <c r="C581" s="1196"/>
      <c r="D581" s="1196"/>
      <c r="E581" s="1196"/>
      <c r="F581" s="1196"/>
      <c r="G581" s="1196"/>
      <c r="H581" s="1196"/>
      <c r="I581" s="1196"/>
      <c r="J581" s="1196"/>
      <c r="K581" s="1196"/>
      <c r="L581" s="1196"/>
      <c r="M581" s="1196"/>
      <c r="N581" s="1196"/>
      <c r="O581" s="1196"/>
      <c r="P581" s="1196"/>
      <c r="Q581" s="1196"/>
      <c r="R581" s="1196"/>
      <c r="S581" s="1196"/>
      <c r="T581" s="1196"/>
      <c r="U581" s="1196"/>
      <c r="V581" s="1196"/>
      <c r="W581" s="1196"/>
      <c r="X581" s="1196"/>
      <c r="Y581" s="1196"/>
      <c r="Z581" s="1196"/>
    </row>
    <row r="582" spans="1:26" ht="12.75" customHeight="1">
      <c r="A582" s="1196"/>
      <c r="B582" s="1196"/>
      <c r="C582" s="1196"/>
      <c r="D582" s="1196"/>
      <c r="E582" s="1196"/>
      <c r="F582" s="1196"/>
      <c r="G582" s="1196"/>
      <c r="H582" s="1196"/>
      <c r="I582" s="1196"/>
      <c r="J582" s="1196"/>
      <c r="K582" s="1196"/>
      <c r="L582" s="1196"/>
      <c r="M582" s="1196"/>
      <c r="N582" s="1196"/>
      <c r="O582" s="1196"/>
      <c r="P582" s="1196"/>
      <c r="Q582" s="1196"/>
      <c r="R582" s="1196"/>
      <c r="S582" s="1196"/>
      <c r="T582" s="1196"/>
      <c r="U582" s="1196"/>
      <c r="V582" s="1196"/>
      <c r="W582" s="1196"/>
      <c r="X582" s="1196"/>
      <c r="Y582" s="1196"/>
      <c r="Z582" s="1196"/>
    </row>
    <row r="583" spans="1:26" ht="12.75" customHeight="1">
      <c r="A583" s="1196"/>
      <c r="B583" s="1196"/>
      <c r="C583" s="1196"/>
      <c r="D583" s="1196"/>
      <c r="E583" s="1196"/>
      <c r="F583" s="1196"/>
      <c r="G583" s="1196"/>
      <c r="H583" s="1196"/>
      <c r="I583" s="1196"/>
      <c r="J583" s="1196"/>
      <c r="K583" s="1196"/>
      <c r="L583" s="1196"/>
      <c r="M583" s="1196"/>
      <c r="N583" s="1196"/>
      <c r="O583" s="1196"/>
      <c r="P583" s="1196"/>
      <c r="Q583" s="1196"/>
      <c r="R583" s="1196"/>
      <c r="S583" s="1196"/>
      <c r="T583" s="1196"/>
      <c r="U583" s="1196"/>
      <c r="V583" s="1196"/>
      <c r="W583" s="1196"/>
      <c r="X583" s="1196"/>
      <c r="Y583" s="1196"/>
      <c r="Z583" s="1196"/>
    </row>
    <row r="584" spans="1:26" ht="12.75" customHeight="1">
      <c r="A584" s="1196"/>
      <c r="B584" s="1196"/>
      <c r="C584" s="1196"/>
      <c r="D584" s="1196"/>
      <c r="E584" s="1196"/>
      <c r="F584" s="1196"/>
      <c r="G584" s="1196"/>
      <c r="H584" s="1196"/>
      <c r="I584" s="1196"/>
      <c r="J584" s="1196"/>
      <c r="K584" s="1196"/>
      <c r="L584" s="1196"/>
      <c r="M584" s="1196"/>
      <c r="N584" s="1196"/>
      <c r="O584" s="1196"/>
      <c r="P584" s="1196"/>
      <c r="Q584" s="1196"/>
      <c r="R584" s="1196"/>
      <c r="S584" s="1196"/>
      <c r="T584" s="1196"/>
      <c r="U584" s="1196"/>
      <c r="V584" s="1196"/>
      <c r="W584" s="1196"/>
      <c r="X584" s="1196"/>
      <c r="Y584" s="1196"/>
      <c r="Z584" s="1196"/>
    </row>
    <row r="585" spans="1:26" ht="12.75" customHeight="1">
      <c r="A585" s="1196"/>
      <c r="B585" s="1196"/>
      <c r="C585" s="1196"/>
      <c r="D585" s="1196"/>
      <c r="E585" s="1196"/>
      <c r="F585" s="1196"/>
      <c r="G585" s="1196"/>
      <c r="H585" s="1196"/>
      <c r="I585" s="1196"/>
      <c r="J585" s="1196"/>
      <c r="K585" s="1196"/>
      <c r="L585" s="1196"/>
      <c r="M585" s="1196"/>
      <c r="N585" s="1196"/>
      <c r="O585" s="1196"/>
      <c r="P585" s="1196"/>
      <c r="Q585" s="1196"/>
      <c r="R585" s="1196"/>
      <c r="S585" s="1196"/>
      <c r="T585" s="1196"/>
      <c r="U585" s="1196"/>
      <c r="V585" s="1196"/>
      <c r="W585" s="1196"/>
      <c r="X585" s="1196"/>
      <c r="Y585" s="1196"/>
      <c r="Z585" s="1196"/>
    </row>
    <row r="586" spans="1:26" ht="12.75" customHeight="1">
      <c r="A586" s="1196"/>
      <c r="B586" s="1196"/>
      <c r="C586" s="1196"/>
      <c r="D586" s="1196"/>
      <c r="E586" s="1196"/>
      <c r="F586" s="1196"/>
      <c r="G586" s="1196"/>
      <c r="H586" s="1196"/>
      <c r="I586" s="1196"/>
      <c r="J586" s="1196"/>
      <c r="K586" s="1196"/>
      <c r="L586" s="1196"/>
      <c r="M586" s="1196"/>
      <c r="N586" s="1196"/>
      <c r="O586" s="1196"/>
      <c r="P586" s="1196"/>
      <c r="Q586" s="1196"/>
      <c r="R586" s="1196"/>
      <c r="S586" s="1196"/>
      <c r="T586" s="1196"/>
      <c r="U586" s="1196"/>
      <c r="V586" s="1196"/>
      <c r="W586" s="1196"/>
      <c r="X586" s="1196"/>
      <c r="Y586" s="1196"/>
      <c r="Z586" s="1196"/>
    </row>
    <row r="587" spans="1:26" ht="12.75" customHeight="1">
      <c r="A587" s="1196"/>
      <c r="B587" s="1196"/>
      <c r="C587" s="1196"/>
      <c r="D587" s="1196"/>
      <c r="E587" s="1196"/>
      <c r="F587" s="1196"/>
      <c r="G587" s="1196"/>
      <c r="H587" s="1196"/>
      <c r="I587" s="1196"/>
      <c r="J587" s="1196"/>
      <c r="K587" s="1196"/>
      <c r="L587" s="1196"/>
      <c r="M587" s="1196"/>
      <c r="N587" s="1196"/>
      <c r="O587" s="1196"/>
      <c r="P587" s="1196"/>
      <c r="Q587" s="1196"/>
      <c r="R587" s="1196"/>
      <c r="S587" s="1196"/>
      <c r="T587" s="1196"/>
      <c r="U587" s="1196"/>
      <c r="V587" s="1196"/>
      <c r="W587" s="1196"/>
      <c r="X587" s="1196"/>
      <c r="Y587" s="1196"/>
      <c r="Z587" s="1196"/>
    </row>
    <row r="588" spans="1:26" ht="12.75" customHeight="1">
      <c r="A588" s="1196"/>
      <c r="B588" s="1196"/>
      <c r="C588" s="1196"/>
      <c r="D588" s="1196"/>
      <c r="E588" s="1196"/>
      <c r="F588" s="1196"/>
      <c r="G588" s="1196"/>
      <c r="H588" s="1196"/>
      <c r="I588" s="1196"/>
      <c r="J588" s="1196"/>
      <c r="K588" s="1196"/>
      <c r="L588" s="1196"/>
      <c r="M588" s="1196"/>
      <c r="N588" s="1196"/>
      <c r="O588" s="1196"/>
      <c r="P588" s="1196"/>
      <c r="Q588" s="1196"/>
      <c r="R588" s="1196"/>
      <c r="S588" s="1196"/>
      <c r="T588" s="1196"/>
      <c r="U588" s="1196"/>
      <c r="V588" s="1196"/>
      <c r="W588" s="1196"/>
      <c r="X588" s="1196"/>
      <c r="Y588" s="1196"/>
      <c r="Z588" s="1196"/>
    </row>
    <row r="589" spans="1:26" ht="12.75" customHeight="1">
      <c r="A589" s="1196"/>
      <c r="B589" s="1196"/>
      <c r="C589" s="1196"/>
      <c r="D589" s="1196"/>
      <c r="E589" s="1196"/>
      <c r="F589" s="1196"/>
      <c r="G589" s="1196"/>
      <c r="H589" s="1196"/>
      <c r="I589" s="1196"/>
      <c r="J589" s="1196"/>
      <c r="K589" s="1196"/>
      <c r="L589" s="1196"/>
      <c r="M589" s="1196"/>
      <c r="N589" s="1196"/>
      <c r="O589" s="1196"/>
      <c r="P589" s="1196"/>
      <c r="Q589" s="1196"/>
      <c r="R589" s="1196"/>
      <c r="S589" s="1196"/>
      <c r="T589" s="1196"/>
      <c r="U589" s="1196"/>
      <c r="V589" s="1196"/>
      <c r="W589" s="1196"/>
      <c r="X589" s="1196"/>
      <c r="Y589" s="1196"/>
      <c r="Z589" s="1196"/>
    </row>
    <row r="590" spans="1:26" ht="12.75" customHeight="1">
      <c r="A590" s="1196"/>
      <c r="B590" s="1196"/>
      <c r="C590" s="1196"/>
      <c r="D590" s="1196"/>
      <c r="E590" s="1196"/>
      <c r="F590" s="1196"/>
      <c r="G590" s="1196"/>
      <c r="H590" s="1196"/>
      <c r="I590" s="1196"/>
      <c r="J590" s="1196"/>
      <c r="K590" s="1196"/>
      <c r="L590" s="1196"/>
      <c r="M590" s="1196"/>
      <c r="N590" s="1196"/>
      <c r="O590" s="1196"/>
      <c r="P590" s="1196"/>
      <c r="Q590" s="1196"/>
      <c r="R590" s="1196"/>
      <c r="S590" s="1196"/>
      <c r="T590" s="1196"/>
      <c r="U590" s="1196"/>
      <c r="V590" s="1196"/>
      <c r="W590" s="1196"/>
      <c r="X590" s="1196"/>
      <c r="Y590" s="1196"/>
      <c r="Z590" s="1196"/>
    </row>
    <row r="591" spans="1:26" ht="12.75" customHeight="1">
      <c r="A591" s="1196"/>
      <c r="B591" s="1196"/>
      <c r="C591" s="1196"/>
      <c r="D591" s="1196"/>
      <c r="E591" s="1196"/>
      <c r="F591" s="1196"/>
      <c r="G591" s="1196"/>
      <c r="H591" s="1196"/>
      <c r="I591" s="1196"/>
      <c r="J591" s="1196"/>
      <c r="K591" s="1196"/>
      <c r="L591" s="1196"/>
      <c r="M591" s="1196"/>
      <c r="N591" s="1196"/>
      <c r="O591" s="1196"/>
      <c r="P591" s="1196"/>
      <c r="Q591" s="1196"/>
      <c r="R591" s="1196"/>
      <c r="S591" s="1196"/>
      <c r="T591" s="1196"/>
      <c r="U591" s="1196"/>
      <c r="V591" s="1196"/>
      <c r="W591" s="1196"/>
      <c r="X591" s="1196"/>
      <c r="Y591" s="1196"/>
      <c r="Z591" s="1196"/>
    </row>
    <row r="592" spans="1:26" ht="12.75" customHeight="1">
      <c r="A592" s="1196"/>
      <c r="B592" s="1196"/>
      <c r="C592" s="1196"/>
      <c r="D592" s="1196"/>
      <c r="E592" s="1196"/>
      <c r="F592" s="1196"/>
      <c r="G592" s="1196"/>
      <c r="H592" s="1196"/>
      <c r="I592" s="1196"/>
      <c r="J592" s="1196"/>
      <c r="K592" s="1196"/>
      <c r="L592" s="1196"/>
      <c r="M592" s="1196"/>
      <c r="N592" s="1196"/>
      <c r="O592" s="1196"/>
      <c r="P592" s="1196"/>
      <c r="Q592" s="1196"/>
      <c r="R592" s="1196"/>
      <c r="S592" s="1196"/>
      <c r="T592" s="1196"/>
      <c r="U592" s="1196"/>
      <c r="V592" s="1196"/>
      <c r="W592" s="1196"/>
      <c r="X592" s="1196"/>
      <c r="Y592" s="1196"/>
      <c r="Z592" s="1196"/>
    </row>
    <row r="593" spans="1:26" ht="12.75" customHeight="1">
      <c r="A593" s="1196"/>
      <c r="B593" s="1196"/>
      <c r="C593" s="1196"/>
      <c r="D593" s="1196"/>
      <c r="E593" s="1196"/>
      <c r="F593" s="1196"/>
      <c r="G593" s="1196"/>
      <c r="H593" s="1196"/>
      <c r="I593" s="1196"/>
      <c r="J593" s="1196"/>
      <c r="K593" s="1196"/>
      <c r="L593" s="1196"/>
      <c r="M593" s="1196"/>
      <c r="N593" s="1196"/>
      <c r="O593" s="1196"/>
      <c r="P593" s="1196"/>
      <c r="Q593" s="1196"/>
      <c r="R593" s="1196"/>
      <c r="S593" s="1196"/>
      <c r="T593" s="1196"/>
      <c r="U593" s="1196"/>
      <c r="V593" s="1196"/>
      <c r="W593" s="1196"/>
      <c r="X593" s="1196"/>
      <c r="Y593" s="1196"/>
      <c r="Z593" s="1196"/>
    </row>
    <row r="594" spans="1:26" ht="12.75" customHeight="1">
      <c r="A594" s="1196"/>
      <c r="B594" s="1196"/>
      <c r="C594" s="1196"/>
      <c r="D594" s="1196"/>
      <c r="E594" s="1196"/>
      <c r="F594" s="1196"/>
      <c r="G594" s="1196"/>
      <c r="H594" s="1196"/>
      <c r="I594" s="1196"/>
      <c r="J594" s="1196"/>
      <c r="K594" s="1196"/>
      <c r="L594" s="1196"/>
      <c r="M594" s="1196"/>
      <c r="N594" s="1196"/>
      <c r="O594" s="1196"/>
      <c r="P594" s="1196"/>
      <c r="Q594" s="1196"/>
      <c r="R594" s="1196"/>
      <c r="S594" s="1196"/>
      <c r="T594" s="1196"/>
      <c r="U594" s="1196"/>
      <c r="V594" s="1196"/>
      <c r="W594" s="1196"/>
      <c r="X594" s="1196"/>
      <c r="Y594" s="1196"/>
      <c r="Z594" s="1196"/>
    </row>
    <row r="595" spans="1:26" ht="12.75" customHeight="1">
      <c r="A595" s="1196"/>
      <c r="B595" s="1196"/>
      <c r="C595" s="1196"/>
      <c r="D595" s="1196"/>
      <c r="E595" s="1196"/>
      <c r="F595" s="1196"/>
      <c r="G595" s="1196"/>
      <c r="H595" s="1196"/>
      <c r="I595" s="1196"/>
      <c r="J595" s="1196"/>
      <c r="K595" s="1196"/>
      <c r="L595" s="1196"/>
      <c r="M595" s="1196"/>
      <c r="N595" s="1196"/>
      <c r="O595" s="1196"/>
      <c r="P595" s="1196"/>
      <c r="Q595" s="1196"/>
      <c r="R595" s="1196"/>
      <c r="S595" s="1196"/>
      <c r="T595" s="1196"/>
      <c r="U595" s="1196"/>
      <c r="V595" s="1196"/>
      <c r="W595" s="1196"/>
      <c r="X595" s="1196"/>
      <c r="Y595" s="1196"/>
      <c r="Z595" s="1196"/>
    </row>
    <row r="596" spans="1:26" ht="12.75" customHeight="1">
      <c r="A596" s="1196"/>
      <c r="B596" s="1196"/>
      <c r="C596" s="1196"/>
      <c r="D596" s="1196"/>
      <c r="E596" s="1196"/>
      <c r="F596" s="1196"/>
      <c r="G596" s="1196"/>
      <c r="H596" s="1196"/>
      <c r="I596" s="1196"/>
      <c r="J596" s="1196"/>
      <c r="K596" s="1196"/>
      <c r="L596" s="1196"/>
      <c r="M596" s="1196"/>
      <c r="N596" s="1196"/>
      <c r="O596" s="1196"/>
      <c r="P596" s="1196"/>
      <c r="Q596" s="1196"/>
      <c r="R596" s="1196"/>
      <c r="S596" s="1196"/>
      <c r="T596" s="1196"/>
      <c r="U596" s="1196"/>
      <c r="V596" s="1196"/>
      <c r="W596" s="1196"/>
      <c r="X596" s="1196"/>
      <c r="Y596" s="1196"/>
      <c r="Z596" s="1196"/>
    </row>
    <row r="597" spans="1:26" ht="12.75" customHeight="1">
      <c r="A597" s="1196"/>
      <c r="B597" s="1196"/>
      <c r="C597" s="1196"/>
      <c r="D597" s="1196"/>
      <c r="E597" s="1196"/>
      <c r="F597" s="1196"/>
      <c r="G597" s="1196"/>
      <c r="H597" s="1196"/>
      <c r="I597" s="1196"/>
      <c r="J597" s="1196"/>
      <c r="K597" s="1196"/>
      <c r="L597" s="1196"/>
      <c r="M597" s="1196"/>
      <c r="N597" s="1196"/>
      <c r="O597" s="1196"/>
      <c r="P597" s="1196"/>
      <c r="Q597" s="1196"/>
      <c r="R597" s="1196"/>
      <c r="S597" s="1196"/>
      <c r="T597" s="1196"/>
      <c r="U597" s="1196"/>
      <c r="V597" s="1196"/>
      <c r="W597" s="1196"/>
      <c r="X597" s="1196"/>
      <c r="Y597" s="1196"/>
      <c r="Z597" s="1196"/>
    </row>
    <row r="598" spans="1:26" ht="12.75" customHeight="1">
      <c r="A598" s="1196"/>
      <c r="B598" s="1196"/>
      <c r="C598" s="1196"/>
      <c r="D598" s="1196"/>
      <c r="E598" s="1196"/>
      <c r="F598" s="1196"/>
      <c r="G598" s="1196"/>
      <c r="H598" s="1196"/>
      <c r="I598" s="1196"/>
      <c r="J598" s="1196"/>
      <c r="K598" s="1196"/>
      <c r="L598" s="1196"/>
      <c r="M598" s="1196"/>
      <c r="N598" s="1196"/>
      <c r="O598" s="1196"/>
      <c r="P598" s="1196"/>
      <c r="Q598" s="1196"/>
      <c r="R598" s="1196"/>
      <c r="S598" s="1196"/>
      <c r="T598" s="1196"/>
      <c r="U598" s="1196"/>
      <c r="V598" s="1196"/>
      <c r="W598" s="1196"/>
      <c r="X598" s="1196"/>
      <c r="Y598" s="1196"/>
      <c r="Z598" s="1196"/>
    </row>
    <row r="599" spans="1:26" ht="12.75" customHeight="1">
      <c r="A599" s="1196"/>
      <c r="B599" s="1196"/>
      <c r="C599" s="1196"/>
      <c r="D599" s="1196"/>
      <c r="E599" s="1196"/>
      <c r="F599" s="1196"/>
      <c r="G599" s="1196"/>
      <c r="H599" s="1196"/>
      <c r="I599" s="1196"/>
      <c r="J599" s="1196"/>
      <c r="K599" s="1196"/>
      <c r="L599" s="1196"/>
      <c r="M599" s="1196"/>
      <c r="N599" s="1196"/>
      <c r="O599" s="1196"/>
      <c r="P599" s="1196"/>
      <c r="Q599" s="1196"/>
      <c r="R599" s="1196"/>
      <c r="S599" s="1196"/>
      <c r="T599" s="1196"/>
      <c r="U599" s="1196"/>
      <c r="V599" s="1196"/>
      <c r="W599" s="1196"/>
      <c r="X599" s="1196"/>
      <c r="Y599" s="1196"/>
      <c r="Z599" s="1196"/>
    </row>
    <row r="600" spans="1:26" ht="12.75" customHeight="1">
      <c r="A600" s="1196"/>
      <c r="B600" s="1196"/>
      <c r="C600" s="1196"/>
      <c r="D600" s="1196"/>
      <c r="E600" s="1196"/>
      <c r="F600" s="1196"/>
      <c r="G600" s="1196"/>
      <c r="H600" s="1196"/>
      <c r="I600" s="1196"/>
      <c r="J600" s="1196"/>
      <c r="K600" s="1196"/>
      <c r="L600" s="1196"/>
      <c r="M600" s="1196"/>
      <c r="N600" s="1196"/>
      <c r="O600" s="1196"/>
      <c r="P600" s="1196"/>
      <c r="Q600" s="1196"/>
      <c r="R600" s="1196"/>
      <c r="S600" s="1196"/>
      <c r="T600" s="1196"/>
      <c r="U600" s="1196"/>
      <c r="V600" s="1196"/>
      <c r="W600" s="1196"/>
      <c r="X600" s="1196"/>
      <c r="Y600" s="1196"/>
      <c r="Z600" s="1196"/>
    </row>
    <row r="601" spans="1:26" ht="12.75" customHeight="1">
      <c r="A601" s="1196"/>
      <c r="B601" s="1196"/>
      <c r="C601" s="1196"/>
      <c r="D601" s="1196"/>
      <c r="E601" s="1196"/>
      <c r="F601" s="1196"/>
      <c r="G601" s="1196"/>
      <c r="H601" s="1196"/>
      <c r="I601" s="1196"/>
      <c r="J601" s="1196"/>
      <c r="K601" s="1196"/>
      <c r="L601" s="1196"/>
      <c r="M601" s="1196"/>
      <c r="N601" s="1196"/>
      <c r="O601" s="1196"/>
      <c r="P601" s="1196"/>
      <c r="Q601" s="1196"/>
      <c r="R601" s="1196"/>
      <c r="S601" s="1196"/>
      <c r="T601" s="1196"/>
      <c r="U601" s="1196"/>
      <c r="V601" s="1196"/>
      <c r="W601" s="1196"/>
      <c r="X601" s="1196"/>
      <c r="Y601" s="1196"/>
      <c r="Z601" s="1196"/>
    </row>
    <row r="602" spans="1:26" ht="12.75" customHeight="1">
      <c r="A602" s="1196"/>
      <c r="B602" s="1196"/>
      <c r="C602" s="1196"/>
      <c r="D602" s="1196"/>
      <c r="E602" s="1196"/>
      <c r="F602" s="1196"/>
      <c r="G602" s="1196"/>
      <c r="H602" s="1196"/>
      <c r="I602" s="1196"/>
      <c r="J602" s="1196"/>
      <c r="K602" s="1196"/>
      <c r="L602" s="1196"/>
      <c r="M602" s="1196"/>
      <c r="N602" s="1196"/>
      <c r="O602" s="1196"/>
      <c r="P602" s="1196"/>
      <c r="Q602" s="1196"/>
      <c r="R602" s="1196"/>
      <c r="S602" s="1196"/>
      <c r="T602" s="1196"/>
      <c r="U602" s="1196"/>
      <c r="V602" s="1196"/>
      <c r="W602" s="1196"/>
      <c r="X602" s="1196"/>
      <c r="Y602" s="1196"/>
      <c r="Z602" s="1196"/>
    </row>
    <row r="603" spans="1:26" ht="12.75" customHeight="1">
      <c r="A603" s="1196"/>
      <c r="B603" s="1196"/>
      <c r="C603" s="1196"/>
      <c r="D603" s="1196"/>
      <c r="E603" s="1196"/>
      <c r="F603" s="1196"/>
      <c r="G603" s="1196"/>
      <c r="H603" s="1196"/>
      <c r="I603" s="1196"/>
      <c r="J603" s="1196"/>
      <c r="K603" s="1196"/>
      <c r="L603" s="1196"/>
      <c r="M603" s="1196"/>
      <c r="N603" s="1196"/>
      <c r="O603" s="1196"/>
      <c r="P603" s="1196"/>
      <c r="Q603" s="1196"/>
      <c r="R603" s="1196"/>
      <c r="S603" s="1196"/>
      <c r="T603" s="1196"/>
      <c r="U603" s="1196"/>
      <c r="V603" s="1196"/>
      <c r="W603" s="1196"/>
      <c r="X603" s="1196"/>
      <c r="Y603" s="1196"/>
      <c r="Z603" s="1196"/>
    </row>
    <row r="604" spans="1:26" ht="12.75" customHeight="1">
      <c r="A604" s="1196"/>
      <c r="B604" s="1196"/>
      <c r="C604" s="1196"/>
      <c r="D604" s="1196"/>
      <c r="E604" s="1196"/>
      <c r="F604" s="1196"/>
      <c r="G604" s="1196"/>
      <c r="H604" s="1196"/>
      <c r="I604" s="1196"/>
      <c r="J604" s="1196"/>
      <c r="K604" s="1196"/>
      <c r="L604" s="1196"/>
      <c r="M604" s="1196"/>
      <c r="N604" s="1196"/>
      <c r="O604" s="1196"/>
      <c r="P604" s="1196"/>
      <c r="Q604" s="1196"/>
      <c r="R604" s="1196"/>
      <c r="S604" s="1196"/>
      <c r="T604" s="1196"/>
      <c r="U604" s="1196"/>
      <c r="V604" s="1196"/>
      <c r="W604" s="1196"/>
      <c r="X604" s="1196"/>
      <c r="Y604" s="1196"/>
      <c r="Z604" s="1196"/>
    </row>
    <row r="605" spans="1:26" ht="12.75" customHeight="1">
      <c r="A605" s="1196"/>
      <c r="B605" s="1196"/>
      <c r="C605" s="1196"/>
      <c r="D605" s="1196"/>
      <c r="E605" s="1196"/>
      <c r="F605" s="1196"/>
      <c r="G605" s="1196"/>
      <c r="H605" s="1196"/>
      <c r="I605" s="1196"/>
      <c r="J605" s="1196"/>
      <c r="K605" s="1196"/>
      <c r="L605" s="1196"/>
      <c r="M605" s="1196"/>
      <c r="N605" s="1196"/>
      <c r="O605" s="1196"/>
      <c r="P605" s="1196"/>
      <c r="Q605" s="1196"/>
      <c r="R605" s="1196"/>
      <c r="S605" s="1196"/>
      <c r="T605" s="1196"/>
      <c r="U605" s="1196"/>
      <c r="V605" s="1196"/>
      <c r="W605" s="1196"/>
      <c r="X605" s="1196"/>
      <c r="Y605" s="1196"/>
      <c r="Z605" s="1196"/>
    </row>
    <row r="606" spans="1:26" ht="12.75" customHeight="1">
      <c r="A606" s="1196"/>
      <c r="B606" s="1196"/>
      <c r="C606" s="1196"/>
      <c r="D606" s="1196"/>
      <c r="E606" s="1196"/>
      <c r="F606" s="1196"/>
      <c r="G606" s="1196"/>
      <c r="H606" s="1196"/>
      <c r="I606" s="1196"/>
      <c r="J606" s="1196"/>
      <c r="K606" s="1196"/>
      <c r="L606" s="1196"/>
      <c r="M606" s="1196"/>
      <c r="N606" s="1196"/>
      <c r="O606" s="1196"/>
      <c r="P606" s="1196"/>
      <c r="Q606" s="1196"/>
      <c r="R606" s="1196"/>
      <c r="S606" s="1196"/>
      <c r="T606" s="1196"/>
      <c r="U606" s="1196"/>
      <c r="V606" s="1196"/>
      <c r="W606" s="1196"/>
      <c r="X606" s="1196"/>
      <c r="Y606" s="1196"/>
      <c r="Z606" s="1196"/>
    </row>
    <row r="607" spans="1:26" ht="12.75" customHeight="1">
      <c r="A607" s="1196"/>
      <c r="B607" s="1196"/>
      <c r="C607" s="1196"/>
      <c r="D607" s="1196"/>
      <c r="E607" s="1196"/>
      <c r="F607" s="1196"/>
      <c r="G607" s="1196"/>
      <c r="H607" s="1196"/>
      <c r="I607" s="1196"/>
      <c r="J607" s="1196"/>
      <c r="K607" s="1196"/>
      <c r="L607" s="1196"/>
      <c r="M607" s="1196"/>
      <c r="N607" s="1196"/>
      <c r="O607" s="1196"/>
      <c r="P607" s="1196"/>
      <c r="Q607" s="1196"/>
      <c r="R607" s="1196"/>
      <c r="S607" s="1196"/>
      <c r="T607" s="1196"/>
      <c r="U607" s="1196"/>
      <c r="V607" s="1196"/>
      <c r="W607" s="1196"/>
      <c r="X607" s="1196"/>
      <c r="Y607" s="1196"/>
      <c r="Z607" s="1196"/>
    </row>
    <row r="608" spans="1:26" ht="12.75" customHeight="1">
      <c r="A608" s="1196"/>
      <c r="B608" s="1196"/>
      <c r="C608" s="1196"/>
      <c r="D608" s="1196"/>
      <c r="E608" s="1196"/>
      <c r="F608" s="1196"/>
      <c r="G608" s="1196"/>
      <c r="H608" s="1196"/>
      <c r="I608" s="1196"/>
      <c r="J608" s="1196"/>
      <c r="K608" s="1196"/>
      <c r="L608" s="1196"/>
      <c r="M608" s="1196"/>
      <c r="N608" s="1196"/>
      <c r="O608" s="1196"/>
      <c r="P608" s="1196"/>
      <c r="Q608" s="1196"/>
      <c r="R608" s="1196"/>
      <c r="S608" s="1196"/>
      <c r="T608" s="1196"/>
      <c r="U608" s="1196"/>
      <c r="V608" s="1196"/>
      <c r="W608" s="1196"/>
      <c r="X608" s="1196"/>
      <c r="Y608" s="1196"/>
      <c r="Z608" s="1196"/>
    </row>
    <row r="609" spans="1:26" ht="12.75" customHeight="1">
      <c r="A609" s="1196"/>
      <c r="B609" s="1196"/>
      <c r="C609" s="1196"/>
      <c r="D609" s="1196"/>
      <c r="E609" s="1196"/>
      <c r="F609" s="1196"/>
      <c r="G609" s="1196"/>
      <c r="H609" s="1196"/>
      <c r="I609" s="1196"/>
      <c r="J609" s="1196"/>
      <c r="K609" s="1196"/>
      <c r="L609" s="1196"/>
      <c r="M609" s="1196"/>
      <c r="N609" s="1196"/>
      <c r="O609" s="1196"/>
      <c r="P609" s="1196"/>
      <c r="Q609" s="1196"/>
      <c r="R609" s="1196"/>
      <c r="S609" s="1196"/>
      <c r="T609" s="1196"/>
      <c r="U609" s="1196"/>
      <c r="V609" s="1196"/>
      <c r="W609" s="1196"/>
      <c r="X609" s="1196"/>
      <c r="Y609" s="1196"/>
      <c r="Z609" s="1196"/>
    </row>
    <row r="610" spans="1:26" ht="12.75" customHeight="1">
      <c r="A610" s="1196"/>
      <c r="B610" s="1196"/>
      <c r="C610" s="1196"/>
      <c r="D610" s="1196"/>
      <c r="E610" s="1196"/>
      <c r="F610" s="1196"/>
      <c r="G610" s="1196"/>
      <c r="H610" s="1196"/>
      <c r="I610" s="1196"/>
      <c r="J610" s="1196"/>
      <c r="K610" s="1196"/>
      <c r="L610" s="1196"/>
      <c r="M610" s="1196"/>
      <c r="N610" s="1196"/>
      <c r="O610" s="1196"/>
      <c r="P610" s="1196"/>
      <c r="Q610" s="1196"/>
      <c r="R610" s="1196"/>
      <c r="S610" s="1196"/>
      <c r="T610" s="1196"/>
      <c r="U610" s="1196"/>
      <c r="V610" s="1196"/>
      <c r="W610" s="1196"/>
      <c r="X610" s="1196"/>
      <c r="Y610" s="1196"/>
      <c r="Z610" s="1196"/>
    </row>
    <row r="611" spans="1:26" ht="12.75" customHeight="1">
      <c r="A611" s="1196"/>
      <c r="B611" s="1196"/>
      <c r="C611" s="1196"/>
      <c r="D611" s="1196"/>
      <c r="E611" s="1196"/>
      <c r="F611" s="1196"/>
      <c r="G611" s="1196"/>
      <c r="H611" s="1196"/>
      <c r="I611" s="1196"/>
      <c r="J611" s="1196"/>
      <c r="K611" s="1196"/>
      <c r="L611" s="1196"/>
      <c r="M611" s="1196"/>
      <c r="N611" s="1196"/>
      <c r="O611" s="1196"/>
      <c r="P611" s="1196"/>
      <c r="Q611" s="1196"/>
      <c r="R611" s="1196"/>
      <c r="S611" s="1196"/>
      <c r="T611" s="1196"/>
      <c r="U611" s="1196"/>
      <c r="V611" s="1196"/>
      <c r="W611" s="1196"/>
      <c r="X611" s="1196"/>
      <c r="Y611" s="1196"/>
      <c r="Z611" s="1196"/>
    </row>
    <row r="612" spans="1:26" ht="12.75" customHeight="1">
      <c r="A612" s="1196"/>
      <c r="B612" s="1196"/>
      <c r="C612" s="1196"/>
      <c r="D612" s="1196"/>
      <c r="E612" s="1196"/>
      <c r="F612" s="1196"/>
      <c r="G612" s="1196"/>
      <c r="H612" s="1196"/>
      <c r="I612" s="1196"/>
      <c r="J612" s="1196"/>
      <c r="K612" s="1196"/>
      <c r="L612" s="1196"/>
      <c r="M612" s="1196"/>
      <c r="N612" s="1196"/>
      <c r="O612" s="1196"/>
      <c r="P612" s="1196"/>
      <c r="Q612" s="1196"/>
      <c r="R612" s="1196"/>
      <c r="S612" s="1196"/>
      <c r="T612" s="1196"/>
      <c r="U612" s="1196"/>
      <c r="V612" s="1196"/>
      <c r="W612" s="1196"/>
      <c r="X612" s="1196"/>
      <c r="Y612" s="1196"/>
      <c r="Z612" s="1196"/>
    </row>
    <row r="613" spans="1:26" ht="12.75" customHeight="1">
      <c r="A613" s="1196"/>
      <c r="B613" s="1196"/>
      <c r="C613" s="1196"/>
      <c r="D613" s="1196"/>
      <c r="E613" s="1196"/>
      <c r="F613" s="1196"/>
      <c r="G613" s="1196"/>
      <c r="H613" s="1196"/>
      <c r="I613" s="1196"/>
      <c r="J613" s="1196"/>
      <c r="K613" s="1196"/>
      <c r="L613" s="1196"/>
      <c r="M613" s="1196"/>
      <c r="N613" s="1196"/>
      <c r="O613" s="1196"/>
      <c r="P613" s="1196"/>
      <c r="Q613" s="1196"/>
      <c r="R613" s="1196"/>
      <c r="S613" s="1196"/>
      <c r="T613" s="1196"/>
      <c r="U613" s="1196"/>
      <c r="V613" s="1196"/>
      <c r="W613" s="1196"/>
      <c r="X613" s="1196"/>
      <c r="Y613" s="1196"/>
      <c r="Z613" s="1196"/>
    </row>
    <row r="614" spans="1:26" ht="12.75" customHeight="1">
      <c r="A614" s="1196"/>
      <c r="B614" s="1196"/>
      <c r="C614" s="1196"/>
      <c r="D614" s="1196"/>
      <c r="E614" s="1196"/>
      <c r="F614" s="1196"/>
      <c r="G614" s="1196"/>
      <c r="H614" s="1196"/>
      <c r="I614" s="1196"/>
      <c r="J614" s="1196"/>
      <c r="K614" s="1196"/>
      <c r="L614" s="1196"/>
      <c r="M614" s="1196"/>
      <c r="N614" s="1196"/>
      <c r="O614" s="1196"/>
      <c r="P614" s="1196"/>
      <c r="Q614" s="1196"/>
      <c r="R614" s="1196"/>
      <c r="S614" s="1196"/>
      <c r="T614" s="1196"/>
      <c r="U614" s="1196"/>
      <c r="V614" s="1196"/>
      <c r="W614" s="1196"/>
      <c r="X614" s="1196"/>
      <c r="Y614" s="1196"/>
      <c r="Z614" s="1196"/>
    </row>
    <row r="615" spans="1:26" ht="12.75" customHeight="1">
      <c r="A615" s="1196"/>
      <c r="B615" s="1196"/>
      <c r="C615" s="1196"/>
      <c r="D615" s="1196"/>
      <c r="E615" s="1196"/>
      <c r="F615" s="1196"/>
      <c r="G615" s="1196"/>
      <c r="H615" s="1196"/>
      <c r="I615" s="1196"/>
      <c r="J615" s="1196"/>
      <c r="K615" s="1196"/>
      <c r="L615" s="1196"/>
      <c r="M615" s="1196"/>
      <c r="N615" s="1196"/>
      <c r="O615" s="1196"/>
      <c r="P615" s="1196"/>
      <c r="Q615" s="1196"/>
      <c r="R615" s="1196"/>
      <c r="S615" s="1196"/>
      <c r="T615" s="1196"/>
      <c r="U615" s="1196"/>
      <c r="V615" s="1196"/>
      <c r="W615" s="1196"/>
      <c r="X615" s="1196"/>
      <c r="Y615" s="1196"/>
      <c r="Z615" s="1196"/>
    </row>
    <row r="616" spans="1:26" ht="12.75" customHeight="1">
      <c r="A616" s="1196"/>
      <c r="B616" s="1196"/>
      <c r="C616" s="1196"/>
      <c r="D616" s="1196"/>
      <c r="E616" s="1196"/>
      <c r="F616" s="1196"/>
      <c r="G616" s="1196"/>
      <c r="H616" s="1196"/>
      <c r="I616" s="1196"/>
      <c r="J616" s="1196"/>
      <c r="K616" s="1196"/>
      <c r="L616" s="1196"/>
      <c r="M616" s="1196"/>
      <c r="N616" s="1196"/>
      <c r="O616" s="1196"/>
      <c r="P616" s="1196"/>
      <c r="Q616" s="1196"/>
      <c r="R616" s="1196"/>
      <c r="S616" s="1196"/>
      <c r="T616" s="1196"/>
      <c r="U616" s="1196"/>
      <c r="V616" s="1196"/>
      <c r="W616" s="1196"/>
      <c r="X616" s="1196"/>
      <c r="Y616" s="1196"/>
      <c r="Z616" s="1196"/>
    </row>
    <row r="617" spans="1:26" ht="12.75" customHeight="1">
      <c r="A617" s="1196"/>
      <c r="B617" s="1196"/>
      <c r="C617" s="1196"/>
      <c r="D617" s="1196"/>
      <c r="E617" s="1196"/>
      <c r="F617" s="1196"/>
      <c r="G617" s="1196"/>
      <c r="H617" s="1196"/>
      <c r="I617" s="1196"/>
      <c r="J617" s="1196"/>
      <c r="K617" s="1196"/>
      <c r="L617" s="1196"/>
      <c r="M617" s="1196"/>
      <c r="N617" s="1196"/>
      <c r="O617" s="1196"/>
      <c r="P617" s="1196"/>
      <c r="Q617" s="1196"/>
      <c r="R617" s="1196"/>
      <c r="S617" s="1196"/>
      <c r="T617" s="1196"/>
      <c r="U617" s="1196"/>
      <c r="V617" s="1196"/>
      <c r="W617" s="1196"/>
      <c r="X617" s="1196"/>
      <c r="Y617" s="1196"/>
      <c r="Z617" s="1196"/>
    </row>
    <row r="618" spans="1:26" ht="12.75" customHeight="1">
      <c r="A618" s="1196"/>
      <c r="B618" s="1196"/>
      <c r="C618" s="1196"/>
      <c r="D618" s="1196"/>
      <c r="E618" s="1196"/>
      <c r="F618" s="1196"/>
      <c r="G618" s="1196"/>
      <c r="H618" s="1196"/>
      <c r="I618" s="1196"/>
      <c r="J618" s="1196"/>
      <c r="K618" s="1196"/>
      <c r="L618" s="1196"/>
      <c r="M618" s="1196"/>
      <c r="N618" s="1196"/>
      <c r="O618" s="1196"/>
      <c r="P618" s="1196"/>
      <c r="Q618" s="1196"/>
      <c r="R618" s="1196"/>
      <c r="S618" s="1196"/>
      <c r="T618" s="1196"/>
      <c r="U618" s="1196"/>
      <c r="V618" s="1196"/>
      <c r="W618" s="1196"/>
      <c r="X618" s="1196"/>
      <c r="Y618" s="1196"/>
      <c r="Z618" s="1196"/>
    </row>
    <row r="619" spans="1:26" ht="12.75" customHeight="1">
      <c r="A619" s="1196"/>
      <c r="B619" s="1196"/>
      <c r="C619" s="1196"/>
      <c r="D619" s="1196"/>
      <c r="E619" s="1196"/>
      <c r="F619" s="1196"/>
      <c r="G619" s="1196"/>
      <c r="H619" s="1196"/>
      <c r="I619" s="1196"/>
      <c r="J619" s="1196"/>
      <c r="K619" s="1196"/>
      <c r="L619" s="1196"/>
      <c r="M619" s="1196"/>
      <c r="N619" s="1196"/>
      <c r="O619" s="1196"/>
      <c r="P619" s="1196"/>
      <c r="Q619" s="1196"/>
      <c r="R619" s="1196"/>
      <c r="S619" s="1196"/>
      <c r="T619" s="1196"/>
      <c r="U619" s="1196"/>
      <c r="V619" s="1196"/>
      <c r="W619" s="1196"/>
      <c r="X619" s="1196"/>
      <c r="Y619" s="1196"/>
      <c r="Z619" s="1196"/>
    </row>
    <row r="620" spans="1:26" ht="12.75" customHeight="1">
      <c r="A620" s="1196"/>
      <c r="B620" s="1196"/>
      <c r="C620" s="1196"/>
      <c r="D620" s="1196"/>
      <c r="E620" s="1196"/>
      <c r="F620" s="1196"/>
      <c r="G620" s="1196"/>
      <c r="H620" s="1196"/>
      <c r="I620" s="1196"/>
      <c r="J620" s="1196"/>
      <c r="K620" s="1196"/>
      <c r="L620" s="1196"/>
      <c r="M620" s="1196"/>
      <c r="N620" s="1196"/>
      <c r="O620" s="1196"/>
      <c r="P620" s="1196"/>
      <c r="Q620" s="1196"/>
      <c r="R620" s="1196"/>
      <c r="S620" s="1196"/>
      <c r="T620" s="1196"/>
      <c r="U620" s="1196"/>
      <c r="V620" s="1196"/>
      <c r="W620" s="1196"/>
      <c r="X620" s="1196"/>
      <c r="Y620" s="1196"/>
      <c r="Z620" s="1196"/>
    </row>
    <row r="621" spans="1:26" ht="12.75" customHeight="1">
      <c r="A621" s="1196"/>
      <c r="B621" s="1196"/>
      <c r="C621" s="1196"/>
      <c r="D621" s="1196"/>
      <c r="E621" s="1196"/>
      <c r="F621" s="1196"/>
      <c r="G621" s="1196"/>
      <c r="H621" s="1196"/>
      <c r="I621" s="1196"/>
      <c r="J621" s="1196"/>
      <c r="K621" s="1196"/>
      <c r="L621" s="1196"/>
      <c r="M621" s="1196"/>
      <c r="N621" s="1196"/>
      <c r="O621" s="1196"/>
      <c r="P621" s="1196"/>
      <c r="Q621" s="1196"/>
      <c r="R621" s="1196"/>
      <c r="S621" s="1196"/>
      <c r="T621" s="1196"/>
      <c r="U621" s="1196"/>
      <c r="V621" s="1196"/>
      <c r="W621" s="1196"/>
      <c r="X621" s="1196"/>
      <c r="Y621" s="1196"/>
      <c r="Z621" s="1196"/>
    </row>
    <row r="622" spans="1:26" ht="12.75" customHeight="1">
      <c r="A622" s="1196"/>
      <c r="B622" s="1196"/>
      <c r="C622" s="1196"/>
      <c r="D622" s="1196"/>
      <c r="E622" s="1196"/>
      <c r="F622" s="1196"/>
      <c r="G622" s="1196"/>
      <c r="H622" s="1196"/>
      <c r="I622" s="1196"/>
      <c r="J622" s="1196"/>
      <c r="K622" s="1196"/>
      <c r="L622" s="1196"/>
      <c r="M622" s="1196"/>
      <c r="N622" s="1196"/>
      <c r="O622" s="1196"/>
      <c r="P622" s="1196"/>
      <c r="Q622" s="1196"/>
      <c r="R622" s="1196"/>
      <c r="S622" s="1196"/>
      <c r="T622" s="1196"/>
      <c r="U622" s="1196"/>
      <c r="V622" s="1196"/>
      <c r="W622" s="1196"/>
      <c r="X622" s="1196"/>
      <c r="Y622" s="1196"/>
      <c r="Z622" s="1196"/>
    </row>
    <row r="623" spans="1:26" ht="12.75" customHeight="1">
      <c r="A623" s="1196"/>
      <c r="B623" s="1196"/>
      <c r="C623" s="1196"/>
      <c r="D623" s="1196"/>
      <c r="E623" s="1196"/>
      <c r="F623" s="1196"/>
      <c r="G623" s="1196"/>
      <c r="H623" s="1196"/>
      <c r="I623" s="1196"/>
      <c r="J623" s="1196"/>
      <c r="K623" s="1196"/>
      <c r="L623" s="1196"/>
      <c r="M623" s="1196"/>
      <c r="N623" s="1196"/>
      <c r="O623" s="1196"/>
      <c r="P623" s="1196"/>
      <c r="Q623" s="1196"/>
      <c r="R623" s="1196"/>
      <c r="S623" s="1196"/>
      <c r="T623" s="1196"/>
      <c r="U623" s="1196"/>
      <c r="V623" s="1196"/>
      <c r="W623" s="1196"/>
      <c r="X623" s="1196"/>
      <c r="Y623" s="1196"/>
      <c r="Z623" s="1196"/>
    </row>
    <row r="624" spans="1:26" ht="12.75" customHeight="1">
      <c r="A624" s="1196"/>
      <c r="B624" s="1196"/>
      <c r="C624" s="1196"/>
      <c r="D624" s="1196"/>
      <c r="E624" s="1196"/>
      <c r="F624" s="1196"/>
      <c r="G624" s="1196"/>
      <c r="H624" s="1196"/>
      <c r="I624" s="1196"/>
      <c r="J624" s="1196"/>
      <c r="K624" s="1196"/>
      <c r="L624" s="1196"/>
      <c r="M624" s="1196"/>
      <c r="N624" s="1196"/>
      <c r="O624" s="1196"/>
      <c r="P624" s="1196"/>
      <c r="Q624" s="1196"/>
      <c r="R624" s="1196"/>
      <c r="S624" s="1196"/>
      <c r="T624" s="1196"/>
      <c r="U624" s="1196"/>
      <c r="V624" s="1196"/>
      <c r="W624" s="1196"/>
      <c r="X624" s="1196"/>
      <c r="Y624" s="1196"/>
      <c r="Z624" s="1196"/>
    </row>
    <row r="625" spans="1:26" ht="12.75" customHeight="1">
      <c r="A625" s="1196"/>
      <c r="B625" s="1196"/>
      <c r="C625" s="1196"/>
      <c r="D625" s="1196"/>
      <c r="E625" s="1196"/>
      <c r="F625" s="1196"/>
      <c r="G625" s="1196"/>
      <c r="H625" s="1196"/>
      <c r="I625" s="1196"/>
      <c r="J625" s="1196"/>
      <c r="K625" s="1196"/>
      <c r="L625" s="1196"/>
      <c r="M625" s="1196"/>
      <c r="N625" s="1196"/>
      <c r="O625" s="1196"/>
      <c r="P625" s="1196"/>
      <c r="Q625" s="1196"/>
      <c r="R625" s="1196"/>
      <c r="S625" s="1196"/>
      <c r="T625" s="1196"/>
      <c r="U625" s="1196"/>
      <c r="V625" s="1196"/>
      <c r="W625" s="1196"/>
      <c r="X625" s="1196"/>
      <c r="Y625" s="1196"/>
      <c r="Z625" s="1196"/>
    </row>
    <row r="626" spans="1:26" ht="12.75" customHeight="1">
      <c r="A626" s="1196"/>
      <c r="B626" s="1196"/>
      <c r="C626" s="1196"/>
      <c r="D626" s="1196"/>
      <c r="E626" s="1196"/>
      <c r="F626" s="1196"/>
      <c r="G626" s="1196"/>
      <c r="H626" s="1196"/>
      <c r="I626" s="1196"/>
      <c r="J626" s="1196"/>
      <c r="K626" s="1196"/>
      <c r="L626" s="1196"/>
      <c r="M626" s="1196"/>
      <c r="N626" s="1196"/>
      <c r="O626" s="1196"/>
      <c r="P626" s="1196"/>
      <c r="Q626" s="1196"/>
      <c r="R626" s="1196"/>
      <c r="S626" s="1196"/>
      <c r="T626" s="1196"/>
      <c r="U626" s="1196"/>
      <c r="V626" s="1196"/>
      <c r="W626" s="1196"/>
      <c r="X626" s="1196"/>
      <c r="Y626" s="1196"/>
      <c r="Z626" s="1196"/>
    </row>
    <row r="627" spans="1:26" ht="12.75" customHeight="1">
      <c r="A627" s="1196"/>
      <c r="B627" s="1196"/>
      <c r="C627" s="1196"/>
      <c r="D627" s="1196"/>
      <c r="E627" s="1196"/>
      <c r="F627" s="1196"/>
      <c r="G627" s="1196"/>
      <c r="H627" s="1196"/>
      <c r="I627" s="1196"/>
      <c r="J627" s="1196"/>
      <c r="K627" s="1196"/>
      <c r="L627" s="1196"/>
      <c r="M627" s="1196"/>
      <c r="N627" s="1196"/>
      <c r="O627" s="1196"/>
      <c r="P627" s="1196"/>
      <c r="Q627" s="1196"/>
      <c r="R627" s="1196"/>
      <c r="S627" s="1196"/>
      <c r="T627" s="1196"/>
      <c r="U627" s="1196"/>
      <c r="V627" s="1196"/>
      <c r="W627" s="1196"/>
      <c r="X627" s="1196"/>
      <c r="Y627" s="1196"/>
      <c r="Z627" s="1196"/>
    </row>
    <row r="628" spans="1:26" ht="12.75" customHeight="1">
      <c r="A628" s="1196"/>
      <c r="B628" s="1196"/>
      <c r="C628" s="1196"/>
      <c r="D628" s="1196"/>
      <c r="E628" s="1196"/>
      <c r="F628" s="1196"/>
      <c r="G628" s="1196"/>
      <c r="H628" s="1196"/>
      <c r="I628" s="1196"/>
      <c r="J628" s="1196"/>
      <c r="K628" s="1196"/>
      <c r="L628" s="1196"/>
      <c r="M628" s="1196"/>
      <c r="N628" s="1196"/>
      <c r="O628" s="1196"/>
      <c r="P628" s="1196"/>
      <c r="Q628" s="1196"/>
      <c r="R628" s="1196"/>
      <c r="S628" s="1196"/>
      <c r="T628" s="1196"/>
      <c r="U628" s="1196"/>
      <c r="V628" s="1196"/>
      <c r="W628" s="1196"/>
      <c r="X628" s="1196"/>
      <c r="Y628" s="1196"/>
      <c r="Z628" s="1196"/>
    </row>
    <row r="629" spans="1:26" ht="12.75" customHeight="1">
      <c r="A629" s="1196"/>
      <c r="B629" s="1196"/>
      <c r="C629" s="1196"/>
      <c r="D629" s="1196"/>
      <c r="E629" s="1196"/>
      <c r="F629" s="1196"/>
      <c r="G629" s="1196"/>
      <c r="H629" s="1196"/>
      <c r="I629" s="1196"/>
      <c r="J629" s="1196"/>
      <c r="K629" s="1196"/>
      <c r="L629" s="1196"/>
      <c r="M629" s="1196"/>
      <c r="N629" s="1196"/>
      <c r="O629" s="1196"/>
      <c r="P629" s="1196"/>
      <c r="Q629" s="1196"/>
      <c r="R629" s="1196"/>
      <c r="S629" s="1196"/>
      <c r="T629" s="1196"/>
      <c r="U629" s="1196"/>
      <c r="V629" s="1196"/>
      <c r="W629" s="1196"/>
      <c r="X629" s="1196"/>
      <c r="Y629" s="1196"/>
      <c r="Z629" s="1196"/>
    </row>
    <row r="630" spans="1:26" ht="12.75" customHeight="1">
      <c r="A630" s="1196"/>
      <c r="B630" s="1196"/>
      <c r="C630" s="1196"/>
      <c r="D630" s="1196"/>
      <c r="E630" s="1196"/>
      <c r="F630" s="1196"/>
      <c r="G630" s="1196"/>
      <c r="H630" s="1196"/>
      <c r="I630" s="1196"/>
      <c r="J630" s="1196"/>
      <c r="K630" s="1196"/>
      <c r="L630" s="1196"/>
      <c r="M630" s="1196"/>
      <c r="N630" s="1196"/>
      <c r="O630" s="1196"/>
      <c r="P630" s="1196"/>
      <c r="Q630" s="1196"/>
      <c r="R630" s="1196"/>
      <c r="S630" s="1196"/>
      <c r="T630" s="1196"/>
      <c r="U630" s="1196"/>
      <c r="V630" s="1196"/>
      <c r="W630" s="1196"/>
      <c r="X630" s="1196"/>
      <c r="Y630" s="1196"/>
      <c r="Z630" s="1196"/>
    </row>
    <row r="631" spans="1:26" ht="12.75" customHeight="1">
      <c r="A631" s="1196"/>
      <c r="B631" s="1196"/>
      <c r="C631" s="1196"/>
      <c r="D631" s="1196"/>
      <c r="E631" s="1196"/>
      <c r="F631" s="1196"/>
      <c r="G631" s="1196"/>
      <c r="H631" s="1196"/>
      <c r="I631" s="1196"/>
      <c r="J631" s="1196"/>
      <c r="K631" s="1196"/>
      <c r="L631" s="1196"/>
      <c r="M631" s="1196"/>
      <c r="N631" s="1196"/>
      <c r="O631" s="1196"/>
      <c r="P631" s="1196"/>
      <c r="Q631" s="1196"/>
      <c r="R631" s="1196"/>
      <c r="S631" s="1196"/>
      <c r="T631" s="1196"/>
      <c r="U631" s="1196"/>
      <c r="V631" s="1196"/>
      <c r="W631" s="1196"/>
      <c r="X631" s="1196"/>
      <c r="Y631" s="1196"/>
      <c r="Z631" s="1196"/>
    </row>
    <row r="632" spans="1:26" ht="12.75" customHeight="1">
      <c r="A632" s="1196"/>
      <c r="B632" s="1196"/>
      <c r="C632" s="1196"/>
      <c r="D632" s="1196"/>
      <c r="E632" s="1196"/>
      <c r="F632" s="1196"/>
      <c r="G632" s="1196"/>
      <c r="H632" s="1196"/>
      <c r="I632" s="1196"/>
      <c r="J632" s="1196"/>
      <c r="K632" s="1196"/>
      <c r="L632" s="1196"/>
      <c r="M632" s="1196"/>
      <c r="N632" s="1196"/>
      <c r="O632" s="1196"/>
      <c r="P632" s="1196"/>
      <c r="Q632" s="1196"/>
      <c r="R632" s="1196"/>
      <c r="S632" s="1196"/>
      <c r="T632" s="1196"/>
      <c r="U632" s="1196"/>
      <c r="V632" s="1196"/>
      <c r="W632" s="1196"/>
      <c r="X632" s="1196"/>
      <c r="Y632" s="1196"/>
      <c r="Z632" s="1196"/>
    </row>
    <row r="633" spans="1:26" ht="12.75" customHeight="1">
      <c r="A633" s="1196"/>
      <c r="B633" s="1196"/>
      <c r="C633" s="1196"/>
      <c r="D633" s="1196"/>
      <c r="E633" s="1196"/>
      <c r="F633" s="1196"/>
      <c r="G633" s="1196"/>
      <c r="H633" s="1196"/>
      <c r="I633" s="1196"/>
      <c r="J633" s="1196"/>
      <c r="K633" s="1196"/>
      <c r="L633" s="1196"/>
      <c r="M633" s="1196"/>
      <c r="N633" s="1196"/>
      <c r="O633" s="1196"/>
      <c r="P633" s="1196"/>
      <c r="Q633" s="1196"/>
      <c r="R633" s="1196"/>
      <c r="S633" s="1196"/>
      <c r="T633" s="1196"/>
      <c r="U633" s="1196"/>
      <c r="V633" s="1196"/>
      <c r="W633" s="1196"/>
      <c r="X633" s="1196"/>
      <c r="Y633" s="1196"/>
      <c r="Z633" s="1196"/>
    </row>
    <row r="634" spans="1:26" ht="12.75" customHeight="1">
      <c r="A634" s="1196"/>
      <c r="B634" s="1196"/>
      <c r="C634" s="1196"/>
      <c r="D634" s="1196"/>
      <c r="E634" s="1196"/>
      <c r="F634" s="1196"/>
      <c r="G634" s="1196"/>
      <c r="H634" s="1196"/>
      <c r="I634" s="1196"/>
      <c r="J634" s="1196"/>
      <c r="K634" s="1196"/>
      <c r="L634" s="1196"/>
      <c r="M634" s="1196"/>
      <c r="N634" s="1196"/>
      <c r="O634" s="1196"/>
      <c r="P634" s="1196"/>
      <c r="Q634" s="1196"/>
      <c r="R634" s="1196"/>
      <c r="S634" s="1196"/>
      <c r="T634" s="1196"/>
      <c r="U634" s="1196"/>
      <c r="V634" s="1196"/>
      <c r="W634" s="1196"/>
      <c r="X634" s="1196"/>
      <c r="Y634" s="1196"/>
      <c r="Z634" s="1196"/>
    </row>
    <row r="635" spans="1:26" ht="12.75" customHeight="1">
      <c r="A635" s="1196"/>
      <c r="B635" s="1196"/>
      <c r="C635" s="1196"/>
      <c r="D635" s="1196"/>
      <c r="E635" s="1196"/>
      <c r="F635" s="1196"/>
      <c r="G635" s="1196"/>
      <c r="H635" s="1196"/>
      <c r="I635" s="1196"/>
      <c r="J635" s="1196"/>
      <c r="K635" s="1196"/>
      <c r="L635" s="1196"/>
      <c r="M635" s="1196"/>
      <c r="N635" s="1196"/>
      <c r="O635" s="1196"/>
      <c r="P635" s="1196"/>
      <c r="Q635" s="1196"/>
      <c r="R635" s="1196"/>
      <c r="S635" s="1196"/>
      <c r="T635" s="1196"/>
      <c r="U635" s="1196"/>
      <c r="V635" s="1196"/>
      <c r="W635" s="1196"/>
      <c r="X635" s="1196"/>
      <c r="Y635" s="1196"/>
      <c r="Z635" s="1196"/>
    </row>
    <row r="636" spans="1:26" ht="12.75" customHeight="1">
      <c r="A636" s="1196"/>
      <c r="B636" s="1196"/>
      <c r="C636" s="1196"/>
      <c r="D636" s="1196"/>
      <c r="E636" s="1196"/>
      <c r="F636" s="1196"/>
      <c r="G636" s="1196"/>
      <c r="H636" s="1196"/>
      <c r="I636" s="1196"/>
      <c r="J636" s="1196"/>
      <c r="K636" s="1196"/>
      <c r="L636" s="1196"/>
      <c r="M636" s="1196"/>
      <c r="N636" s="1196"/>
      <c r="O636" s="1196"/>
      <c r="P636" s="1196"/>
      <c r="Q636" s="1196"/>
      <c r="R636" s="1196"/>
      <c r="S636" s="1196"/>
      <c r="T636" s="1196"/>
      <c r="U636" s="1196"/>
      <c r="V636" s="1196"/>
      <c r="W636" s="1196"/>
      <c r="X636" s="1196"/>
      <c r="Y636" s="1196"/>
      <c r="Z636" s="1196"/>
    </row>
    <row r="637" spans="1:26" ht="12.75" customHeight="1">
      <c r="A637" s="1196"/>
      <c r="B637" s="1196"/>
      <c r="C637" s="1196"/>
      <c r="D637" s="1196"/>
      <c r="E637" s="1196"/>
      <c r="F637" s="1196"/>
      <c r="G637" s="1196"/>
      <c r="H637" s="1196"/>
      <c r="I637" s="1196"/>
      <c r="J637" s="1196"/>
      <c r="K637" s="1196"/>
      <c r="L637" s="1196"/>
      <c r="M637" s="1196"/>
      <c r="N637" s="1196"/>
      <c r="O637" s="1196"/>
      <c r="P637" s="1196"/>
      <c r="Q637" s="1196"/>
      <c r="R637" s="1196"/>
      <c r="S637" s="1196"/>
      <c r="T637" s="1196"/>
      <c r="U637" s="1196"/>
      <c r="V637" s="1196"/>
      <c r="W637" s="1196"/>
      <c r="X637" s="1196"/>
      <c r="Y637" s="1196"/>
      <c r="Z637" s="1196"/>
    </row>
    <row r="638" spans="1:26" ht="12.75" customHeight="1">
      <c r="A638" s="1196"/>
      <c r="B638" s="1196"/>
      <c r="C638" s="1196"/>
      <c r="D638" s="1196"/>
      <c r="E638" s="1196"/>
      <c r="F638" s="1196"/>
      <c r="G638" s="1196"/>
      <c r="H638" s="1196"/>
      <c r="I638" s="1196"/>
      <c r="J638" s="1196"/>
      <c r="K638" s="1196"/>
      <c r="L638" s="1196"/>
      <c r="M638" s="1196"/>
      <c r="N638" s="1196"/>
      <c r="O638" s="1196"/>
      <c r="P638" s="1196"/>
      <c r="Q638" s="1196"/>
      <c r="R638" s="1196"/>
      <c r="S638" s="1196"/>
      <c r="T638" s="1196"/>
      <c r="U638" s="1196"/>
      <c r="V638" s="1196"/>
      <c r="W638" s="1196"/>
      <c r="X638" s="1196"/>
      <c r="Y638" s="1196"/>
      <c r="Z638" s="1196"/>
    </row>
    <row r="639" spans="1:26" ht="12.75" customHeight="1">
      <c r="A639" s="1196"/>
      <c r="B639" s="1196"/>
      <c r="C639" s="1196"/>
      <c r="D639" s="1196"/>
      <c r="E639" s="1196"/>
      <c r="F639" s="1196"/>
      <c r="G639" s="1196"/>
      <c r="H639" s="1196"/>
      <c r="I639" s="1196"/>
      <c r="J639" s="1196"/>
      <c r="K639" s="1196"/>
      <c r="L639" s="1196"/>
      <c r="M639" s="1196"/>
      <c r="N639" s="1196"/>
      <c r="O639" s="1196"/>
      <c r="P639" s="1196"/>
      <c r="Q639" s="1196"/>
      <c r="R639" s="1196"/>
      <c r="S639" s="1196"/>
      <c r="T639" s="1196"/>
      <c r="U639" s="1196"/>
      <c r="V639" s="1196"/>
      <c r="W639" s="1196"/>
      <c r="X639" s="1196"/>
      <c r="Y639" s="1196"/>
      <c r="Z639" s="1196"/>
    </row>
    <row r="640" spans="1:26" ht="12.75" customHeight="1">
      <c r="A640" s="1196"/>
      <c r="B640" s="1196"/>
      <c r="C640" s="1196"/>
      <c r="D640" s="1196"/>
      <c r="E640" s="1196"/>
      <c r="F640" s="1196"/>
      <c r="G640" s="1196"/>
      <c r="H640" s="1196"/>
      <c r="I640" s="1196"/>
      <c r="J640" s="1196"/>
      <c r="K640" s="1196"/>
      <c r="L640" s="1196"/>
      <c r="M640" s="1196"/>
      <c r="N640" s="1196"/>
      <c r="O640" s="1196"/>
      <c r="P640" s="1196"/>
      <c r="Q640" s="1196"/>
      <c r="R640" s="1196"/>
      <c r="S640" s="1196"/>
      <c r="T640" s="1196"/>
      <c r="U640" s="1196"/>
      <c r="V640" s="1196"/>
      <c r="W640" s="1196"/>
      <c r="X640" s="1196"/>
      <c r="Y640" s="1196"/>
      <c r="Z640" s="1196"/>
    </row>
    <row r="641" spans="1:26" ht="12.75" customHeight="1">
      <c r="A641" s="1196"/>
      <c r="B641" s="1196"/>
      <c r="C641" s="1196"/>
      <c r="D641" s="1196"/>
      <c r="E641" s="1196"/>
      <c r="F641" s="1196"/>
      <c r="G641" s="1196"/>
      <c r="H641" s="1196"/>
      <c r="I641" s="1196"/>
      <c r="J641" s="1196"/>
      <c r="K641" s="1196"/>
      <c r="L641" s="1196"/>
      <c r="M641" s="1196"/>
      <c r="N641" s="1196"/>
      <c r="O641" s="1196"/>
      <c r="P641" s="1196"/>
      <c r="Q641" s="1196"/>
      <c r="R641" s="1196"/>
      <c r="S641" s="1196"/>
      <c r="T641" s="1196"/>
      <c r="U641" s="1196"/>
      <c r="V641" s="1196"/>
      <c r="W641" s="1196"/>
      <c r="X641" s="1196"/>
      <c r="Y641" s="1196"/>
      <c r="Z641" s="1196"/>
    </row>
    <row r="642" spans="1:26" ht="12.75" customHeight="1">
      <c r="A642" s="1196"/>
      <c r="B642" s="1196"/>
      <c r="C642" s="1196"/>
      <c r="D642" s="1196"/>
      <c r="E642" s="1196"/>
      <c r="F642" s="1196"/>
      <c r="G642" s="1196"/>
      <c r="H642" s="1196"/>
      <c r="I642" s="1196"/>
      <c r="J642" s="1196"/>
      <c r="K642" s="1196"/>
      <c r="L642" s="1196"/>
      <c r="M642" s="1196"/>
      <c r="N642" s="1196"/>
      <c r="O642" s="1196"/>
      <c r="P642" s="1196"/>
      <c r="Q642" s="1196"/>
      <c r="R642" s="1196"/>
      <c r="S642" s="1196"/>
      <c r="T642" s="1196"/>
      <c r="U642" s="1196"/>
      <c r="V642" s="1196"/>
      <c r="W642" s="1196"/>
      <c r="X642" s="1196"/>
      <c r="Y642" s="1196"/>
      <c r="Z642" s="1196"/>
    </row>
    <row r="643" spans="1:26" ht="12.75" customHeight="1">
      <c r="A643" s="1196"/>
      <c r="B643" s="1196"/>
      <c r="C643" s="1196"/>
      <c r="D643" s="1196"/>
      <c r="E643" s="1196"/>
      <c r="F643" s="1196"/>
      <c r="G643" s="1196"/>
      <c r="H643" s="1196"/>
      <c r="I643" s="1196"/>
      <c r="J643" s="1196"/>
      <c r="K643" s="1196"/>
      <c r="L643" s="1196"/>
      <c r="M643" s="1196"/>
      <c r="N643" s="1196"/>
      <c r="O643" s="1196"/>
      <c r="P643" s="1196"/>
      <c r="Q643" s="1196"/>
      <c r="R643" s="1196"/>
      <c r="S643" s="1196"/>
      <c r="T643" s="1196"/>
      <c r="U643" s="1196"/>
      <c r="V643" s="1196"/>
      <c r="W643" s="1196"/>
      <c r="X643" s="1196"/>
      <c r="Y643" s="1196"/>
      <c r="Z643" s="1196"/>
    </row>
    <row r="644" spans="1:26" ht="12.75" customHeight="1">
      <c r="A644" s="1196"/>
      <c r="B644" s="1196"/>
      <c r="C644" s="1196"/>
      <c r="D644" s="1196"/>
      <c r="E644" s="1196"/>
      <c r="F644" s="1196"/>
      <c r="G644" s="1196"/>
      <c r="H644" s="1196"/>
      <c r="I644" s="1196"/>
      <c r="J644" s="1196"/>
      <c r="K644" s="1196"/>
      <c r="L644" s="1196"/>
      <c r="M644" s="1196"/>
      <c r="N644" s="1196"/>
      <c r="O644" s="1196"/>
      <c r="P644" s="1196"/>
      <c r="Q644" s="1196"/>
      <c r="R644" s="1196"/>
      <c r="S644" s="1196"/>
      <c r="T644" s="1196"/>
      <c r="U644" s="1196"/>
      <c r="V644" s="1196"/>
      <c r="W644" s="1196"/>
      <c r="X644" s="1196"/>
      <c r="Y644" s="1196"/>
      <c r="Z644" s="1196"/>
    </row>
    <row r="645" spans="1:26" ht="12.75" customHeight="1">
      <c r="A645" s="1196"/>
      <c r="B645" s="1196"/>
      <c r="C645" s="1196"/>
      <c r="D645" s="1196"/>
      <c r="E645" s="1196"/>
      <c r="F645" s="1196"/>
      <c r="G645" s="1196"/>
      <c r="H645" s="1196"/>
      <c r="I645" s="1196"/>
      <c r="J645" s="1196"/>
      <c r="K645" s="1196"/>
      <c r="L645" s="1196"/>
      <c r="M645" s="1196"/>
      <c r="N645" s="1196"/>
      <c r="O645" s="1196"/>
      <c r="P645" s="1196"/>
      <c r="Q645" s="1196"/>
      <c r="R645" s="1196"/>
      <c r="S645" s="1196"/>
      <c r="T645" s="1196"/>
      <c r="U645" s="1196"/>
      <c r="V645" s="1196"/>
      <c r="W645" s="1196"/>
      <c r="X645" s="1196"/>
      <c r="Y645" s="1196"/>
      <c r="Z645" s="1196"/>
    </row>
    <row r="646" spans="1:26" ht="12.75" customHeight="1">
      <c r="A646" s="1196"/>
      <c r="B646" s="1196"/>
      <c r="C646" s="1196"/>
      <c r="D646" s="1196"/>
      <c r="E646" s="1196"/>
      <c r="F646" s="1196"/>
      <c r="G646" s="1196"/>
      <c r="H646" s="1196"/>
      <c r="I646" s="1196"/>
      <c r="J646" s="1196"/>
      <c r="K646" s="1196"/>
      <c r="L646" s="1196"/>
      <c r="M646" s="1196"/>
      <c r="N646" s="1196"/>
      <c r="O646" s="1196"/>
      <c r="P646" s="1196"/>
      <c r="Q646" s="1196"/>
      <c r="R646" s="1196"/>
      <c r="S646" s="1196"/>
      <c r="T646" s="1196"/>
      <c r="U646" s="1196"/>
      <c r="V646" s="1196"/>
      <c r="W646" s="1196"/>
      <c r="X646" s="1196"/>
      <c r="Y646" s="1196"/>
      <c r="Z646" s="1196"/>
    </row>
    <row r="647" spans="1:26" ht="12.75" customHeight="1">
      <c r="A647" s="1196"/>
      <c r="B647" s="1196"/>
      <c r="C647" s="1196"/>
      <c r="D647" s="1196"/>
      <c r="E647" s="1196"/>
      <c r="F647" s="1196"/>
      <c r="G647" s="1196"/>
      <c r="H647" s="1196"/>
      <c r="I647" s="1196"/>
      <c r="J647" s="1196"/>
      <c r="K647" s="1196"/>
      <c r="L647" s="1196"/>
      <c r="M647" s="1196"/>
      <c r="N647" s="1196"/>
      <c r="O647" s="1196"/>
      <c r="P647" s="1196"/>
      <c r="Q647" s="1196"/>
      <c r="R647" s="1196"/>
      <c r="S647" s="1196"/>
      <c r="T647" s="1196"/>
      <c r="U647" s="1196"/>
      <c r="V647" s="1196"/>
      <c r="W647" s="1196"/>
      <c r="X647" s="1196"/>
      <c r="Y647" s="1196"/>
      <c r="Z647" s="1196"/>
    </row>
    <row r="648" spans="1:26" ht="12.75" customHeight="1">
      <c r="A648" s="1196"/>
      <c r="B648" s="1196"/>
      <c r="C648" s="1196"/>
      <c r="D648" s="1196"/>
      <c r="E648" s="1196"/>
      <c r="F648" s="1196"/>
      <c r="G648" s="1196"/>
      <c r="H648" s="1196"/>
      <c r="I648" s="1196"/>
      <c r="J648" s="1196"/>
      <c r="K648" s="1196"/>
      <c r="L648" s="1196"/>
      <c r="M648" s="1196"/>
      <c r="N648" s="1196"/>
      <c r="O648" s="1196"/>
      <c r="P648" s="1196"/>
      <c r="Q648" s="1196"/>
      <c r="R648" s="1196"/>
      <c r="S648" s="1196"/>
      <c r="T648" s="1196"/>
      <c r="U648" s="1196"/>
      <c r="V648" s="1196"/>
      <c r="W648" s="1196"/>
      <c r="X648" s="1196"/>
      <c r="Y648" s="1196"/>
      <c r="Z648" s="1196"/>
    </row>
    <row r="649" spans="1:26" ht="12.75" customHeight="1">
      <c r="A649" s="1196"/>
      <c r="B649" s="1196"/>
      <c r="C649" s="1196"/>
      <c r="D649" s="1196"/>
      <c r="E649" s="1196"/>
      <c r="F649" s="1196"/>
      <c r="G649" s="1196"/>
      <c r="H649" s="1196"/>
      <c r="I649" s="1196"/>
      <c r="J649" s="1196"/>
      <c r="K649" s="1196"/>
      <c r="L649" s="1196"/>
      <c r="M649" s="1196"/>
      <c r="N649" s="1196"/>
      <c r="O649" s="1196"/>
      <c r="P649" s="1196"/>
      <c r="Q649" s="1196"/>
      <c r="R649" s="1196"/>
      <c r="S649" s="1196"/>
      <c r="T649" s="1196"/>
      <c r="U649" s="1196"/>
      <c r="V649" s="1196"/>
      <c r="W649" s="1196"/>
      <c r="X649" s="1196"/>
      <c r="Y649" s="1196"/>
      <c r="Z649" s="1196"/>
    </row>
    <row r="650" spans="1:26" ht="12.75" customHeight="1">
      <c r="A650" s="1196"/>
      <c r="B650" s="1196"/>
      <c r="C650" s="1196"/>
      <c r="D650" s="1196"/>
      <c r="E650" s="1196"/>
      <c r="F650" s="1196"/>
      <c r="G650" s="1196"/>
      <c r="H650" s="1196"/>
      <c r="I650" s="1196"/>
      <c r="J650" s="1196"/>
      <c r="K650" s="1196"/>
      <c r="L650" s="1196"/>
      <c r="M650" s="1196"/>
      <c r="N650" s="1196"/>
      <c r="O650" s="1196"/>
      <c r="P650" s="1196"/>
      <c r="Q650" s="1196"/>
      <c r="R650" s="1196"/>
      <c r="S650" s="1196"/>
      <c r="T650" s="1196"/>
      <c r="U650" s="1196"/>
      <c r="V650" s="1196"/>
      <c r="W650" s="1196"/>
      <c r="X650" s="1196"/>
      <c r="Y650" s="1196"/>
      <c r="Z650" s="1196"/>
    </row>
    <row r="651" spans="1:26" ht="12.75" customHeight="1">
      <c r="A651" s="1196"/>
      <c r="B651" s="1196"/>
      <c r="C651" s="1196"/>
      <c r="D651" s="1196"/>
      <c r="E651" s="1196"/>
      <c r="F651" s="1196"/>
      <c r="G651" s="1196"/>
      <c r="H651" s="1196"/>
      <c r="I651" s="1196"/>
      <c r="J651" s="1196"/>
      <c r="K651" s="1196"/>
      <c r="L651" s="1196"/>
      <c r="M651" s="1196"/>
      <c r="N651" s="1196"/>
      <c r="O651" s="1196"/>
      <c r="P651" s="1196"/>
      <c r="Q651" s="1196"/>
      <c r="R651" s="1196"/>
      <c r="S651" s="1196"/>
      <c r="T651" s="1196"/>
      <c r="U651" s="1196"/>
      <c r="V651" s="1196"/>
      <c r="W651" s="1196"/>
      <c r="X651" s="1196"/>
      <c r="Y651" s="1196"/>
      <c r="Z651" s="1196"/>
    </row>
    <row r="652" spans="1:26" ht="12.75" customHeight="1">
      <c r="A652" s="1196"/>
      <c r="B652" s="1196"/>
      <c r="C652" s="1196"/>
      <c r="D652" s="1196"/>
      <c r="E652" s="1196"/>
      <c r="F652" s="1196"/>
      <c r="G652" s="1196"/>
      <c r="H652" s="1196"/>
      <c r="I652" s="1196"/>
      <c r="J652" s="1196"/>
      <c r="K652" s="1196"/>
      <c r="L652" s="1196"/>
      <c r="M652" s="1196"/>
      <c r="N652" s="1196"/>
      <c r="O652" s="1196"/>
      <c r="P652" s="1196"/>
      <c r="Q652" s="1196"/>
      <c r="R652" s="1196"/>
      <c r="S652" s="1196"/>
      <c r="T652" s="1196"/>
      <c r="U652" s="1196"/>
      <c r="V652" s="1196"/>
      <c r="W652" s="1196"/>
      <c r="X652" s="1196"/>
      <c r="Y652" s="1196"/>
      <c r="Z652" s="1196"/>
    </row>
    <row r="653" spans="1:26" ht="12.75" customHeight="1">
      <c r="A653" s="1196"/>
      <c r="B653" s="1196"/>
      <c r="C653" s="1196"/>
      <c r="D653" s="1196"/>
      <c r="E653" s="1196"/>
      <c r="F653" s="1196"/>
      <c r="G653" s="1196"/>
      <c r="H653" s="1196"/>
      <c r="I653" s="1196"/>
      <c r="J653" s="1196"/>
      <c r="K653" s="1196"/>
      <c r="L653" s="1196"/>
      <c r="M653" s="1196"/>
      <c r="N653" s="1196"/>
      <c r="O653" s="1196"/>
      <c r="P653" s="1196"/>
      <c r="Q653" s="1196"/>
      <c r="R653" s="1196"/>
      <c r="S653" s="1196"/>
      <c r="T653" s="1196"/>
      <c r="U653" s="1196"/>
      <c r="V653" s="1196"/>
      <c r="W653" s="1196"/>
      <c r="X653" s="1196"/>
      <c r="Y653" s="1196"/>
      <c r="Z653" s="1196"/>
    </row>
    <row r="654" spans="1:26" ht="12.75" customHeight="1">
      <c r="A654" s="1196"/>
      <c r="B654" s="1196"/>
      <c r="C654" s="1196"/>
      <c r="D654" s="1196"/>
      <c r="E654" s="1196"/>
      <c r="F654" s="1196"/>
      <c r="G654" s="1196"/>
      <c r="H654" s="1196"/>
      <c r="I654" s="1196"/>
      <c r="J654" s="1196"/>
      <c r="K654" s="1196"/>
      <c r="L654" s="1196"/>
      <c r="M654" s="1196"/>
      <c r="N654" s="1196"/>
      <c r="O654" s="1196"/>
      <c r="P654" s="1196"/>
      <c r="Q654" s="1196"/>
      <c r="R654" s="1196"/>
      <c r="S654" s="1196"/>
      <c r="T654" s="1196"/>
      <c r="U654" s="1196"/>
      <c r="V654" s="1196"/>
      <c r="W654" s="1196"/>
      <c r="X654" s="1196"/>
      <c r="Y654" s="1196"/>
      <c r="Z654" s="1196"/>
    </row>
    <row r="655" spans="1:26" ht="12.75" customHeight="1">
      <c r="A655" s="1196"/>
      <c r="B655" s="1196"/>
      <c r="C655" s="1196"/>
      <c r="D655" s="1196"/>
      <c r="E655" s="1196"/>
      <c r="F655" s="1196"/>
      <c r="G655" s="1196"/>
      <c r="H655" s="1196"/>
      <c r="I655" s="1196"/>
      <c r="J655" s="1196"/>
      <c r="K655" s="1196"/>
      <c r="L655" s="1196"/>
      <c r="M655" s="1196"/>
      <c r="N655" s="1196"/>
      <c r="O655" s="1196"/>
      <c r="P655" s="1196"/>
      <c r="Q655" s="1196"/>
      <c r="R655" s="1196"/>
      <c r="S655" s="1196"/>
      <c r="T655" s="1196"/>
      <c r="U655" s="1196"/>
      <c r="V655" s="1196"/>
      <c r="W655" s="1196"/>
      <c r="X655" s="1196"/>
      <c r="Y655" s="1196"/>
      <c r="Z655" s="1196"/>
    </row>
    <row r="656" spans="1:26" ht="12.75" customHeight="1">
      <c r="A656" s="1196"/>
      <c r="B656" s="1196"/>
      <c r="C656" s="1196"/>
      <c r="D656" s="1196"/>
      <c r="E656" s="1196"/>
      <c r="F656" s="1196"/>
      <c r="G656" s="1196"/>
      <c r="H656" s="1196"/>
      <c r="I656" s="1196"/>
      <c r="J656" s="1196"/>
      <c r="K656" s="1196"/>
      <c r="L656" s="1196"/>
      <c r="M656" s="1196"/>
      <c r="N656" s="1196"/>
      <c r="O656" s="1196"/>
      <c r="P656" s="1196"/>
      <c r="Q656" s="1196"/>
      <c r="R656" s="1196"/>
      <c r="S656" s="1196"/>
      <c r="T656" s="1196"/>
      <c r="U656" s="1196"/>
      <c r="V656" s="1196"/>
      <c r="W656" s="1196"/>
      <c r="X656" s="1196"/>
      <c r="Y656" s="1196"/>
      <c r="Z656" s="1196"/>
    </row>
    <row r="657" spans="1:26" ht="12.75" customHeight="1">
      <c r="A657" s="1196"/>
      <c r="B657" s="1196"/>
      <c r="C657" s="1196"/>
      <c r="D657" s="1196"/>
      <c r="E657" s="1196"/>
      <c r="F657" s="1196"/>
      <c r="G657" s="1196"/>
      <c r="H657" s="1196"/>
      <c r="I657" s="1196"/>
      <c r="J657" s="1196"/>
      <c r="K657" s="1196"/>
      <c r="L657" s="1196"/>
      <c r="M657" s="1196"/>
      <c r="N657" s="1196"/>
      <c r="O657" s="1196"/>
      <c r="P657" s="1196"/>
      <c r="Q657" s="1196"/>
      <c r="R657" s="1196"/>
      <c r="S657" s="1196"/>
      <c r="T657" s="1196"/>
      <c r="U657" s="1196"/>
      <c r="V657" s="1196"/>
      <c r="W657" s="1196"/>
      <c r="X657" s="1196"/>
      <c r="Y657" s="1196"/>
      <c r="Z657" s="1196"/>
    </row>
    <row r="658" spans="1:26" ht="12.75" customHeight="1">
      <c r="A658" s="1196"/>
      <c r="B658" s="1196"/>
      <c r="C658" s="1196"/>
      <c r="D658" s="1196"/>
      <c r="E658" s="1196"/>
      <c r="F658" s="1196"/>
      <c r="G658" s="1196"/>
      <c r="H658" s="1196"/>
      <c r="I658" s="1196"/>
      <c r="J658" s="1196"/>
      <c r="K658" s="1196"/>
      <c r="L658" s="1196"/>
      <c r="M658" s="1196"/>
      <c r="N658" s="1196"/>
      <c r="O658" s="1196"/>
      <c r="P658" s="1196"/>
      <c r="Q658" s="1196"/>
      <c r="R658" s="1196"/>
      <c r="S658" s="1196"/>
      <c r="T658" s="1196"/>
      <c r="U658" s="1196"/>
      <c r="V658" s="1196"/>
      <c r="W658" s="1196"/>
      <c r="X658" s="1196"/>
      <c r="Y658" s="1196"/>
      <c r="Z658" s="1196"/>
    </row>
    <row r="659" spans="1:26" ht="12.75" customHeight="1">
      <c r="A659" s="1196"/>
      <c r="B659" s="1196"/>
      <c r="C659" s="1196"/>
      <c r="D659" s="1196"/>
      <c r="E659" s="1196"/>
      <c r="F659" s="1196"/>
      <c r="G659" s="1196"/>
      <c r="H659" s="1196"/>
      <c r="I659" s="1196"/>
      <c r="J659" s="1196"/>
      <c r="K659" s="1196"/>
      <c r="L659" s="1196"/>
      <c r="M659" s="1196"/>
      <c r="N659" s="1196"/>
      <c r="O659" s="1196"/>
      <c r="P659" s="1196"/>
      <c r="Q659" s="1196"/>
      <c r="R659" s="1196"/>
      <c r="S659" s="1196"/>
      <c r="T659" s="1196"/>
      <c r="U659" s="1196"/>
      <c r="V659" s="1196"/>
      <c r="W659" s="1196"/>
      <c r="X659" s="1196"/>
      <c r="Y659" s="1196"/>
      <c r="Z659" s="1196"/>
    </row>
    <row r="660" spans="1:26" ht="12.75" customHeight="1">
      <c r="A660" s="1196"/>
      <c r="B660" s="1196"/>
      <c r="C660" s="1196"/>
      <c r="D660" s="1196"/>
      <c r="E660" s="1196"/>
      <c r="F660" s="1196"/>
      <c r="G660" s="1196"/>
      <c r="H660" s="1196"/>
      <c r="I660" s="1196"/>
      <c r="J660" s="1196"/>
      <c r="K660" s="1196"/>
      <c r="L660" s="1196"/>
      <c r="M660" s="1196"/>
      <c r="N660" s="1196"/>
      <c r="O660" s="1196"/>
      <c r="P660" s="1196"/>
      <c r="Q660" s="1196"/>
      <c r="R660" s="1196"/>
      <c r="S660" s="1196"/>
      <c r="T660" s="1196"/>
      <c r="U660" s="1196"/>
      <c r="V660" s="1196"/>
      <c r="W660" s="1196"/>
      <c r="X660" s="1196"/>
      <c r="Y660" s="1196"/>
      <c r="Z660" s="1196"/>
    </row>
    <row r="661" spans="1:26" ht="12.75" customHeight="1">
      <c r="A661" s="1196"/>
      <c r="B661" s="1196"/>
      <c r="C661" s="1196"/>
      <c r="D661" s="1196"/>
      <c r="E661" s="1196"/>
      <c r="F661" s="1196"/>
      <c r="G661" s="1196"/>
      <c r="H661" s="1196"/>
      <c r="I661" s="1196"/>
      <c r="J661" s="1196"/>
      <c r="K661" s="1196"/>
      <c r="L661" s="1196"/>
      <c r="M661" s="1196"/>
      <c r="N661" s="1196"/>
      <c r="O661" s="1196"/>
      <c r="P661" s="1196"/>
      <c r="Q661" s="1196"/>
      <c r="R661" s="1196"/>
      <c r="S661" s="1196"/>
      <c r="T661" s="1196"/>
      <c r="U661" s="1196"/>
      <c r="V661" s="1196"/>
      <c r="W661" s="1196"/>
      <c r="X661" s="1196"/>
      <c r="Y661" s="1196"/>
      <c r="Z661" s="1196"/>
    </row>
    <row r="662" spans="1:26" ht="12.75" customHeight="1">
      <c r="A662" s="1196"/>
      <c r="B662" s="1196"/>
      <c r="C662" s="1196"/>
      <c r="D662" s="1196"/>
      <c r="E662" s="1196"/>
      <c r="F662" s="1196"/>
      <c r="G662" s="1196"/>
      <c r="H662" s="1196"/>
      <c r="I662" s="1196"/>
      <c r="J662" s="1196"/>
      <c r="K662" s="1196"/>
      <c r="L662" s="1196"/>
      <c r="M662" s="1196"/>
      <c r="N662" s="1196"/>
      <c r="O662" s="1196"/>
      <c r="P662" s="1196"/>
      <c r="Q662" s="1196"/>
      <c r="R662" s="1196"/>
      <c r="S662" s="1196"/>
      <c r="T662" s="1196"/>
      <c r="U662" s="1196"/>
      <c r="V662" s="1196"/>
      <c r="W662" s="1196"/>
      <c r="X662" s="1196"/>
      <c r="Y662" s="1196"/>
      <c r="Z662" s="1196"/>
    </row>
    <row r="663" spans="1:26" ht="12.75" customHeight="1">
      <c r="A663" s="1196"/>
      <c r="B663" s="1196"/>
      <c r="C663" s="1196"/>
      <c r="D663" s="1196"/>
      <c r="E663" s="1196"/>
      <c r="F663" s="1196"/>
      <c r="G663" s="1196"/>
      <c r="H663" s="1196"/>
      <c r="I663" s="1196"/>
      <c r="J663" s="1196"/>
      <c r="K663" s="1196"/>
      <c r="L663" s="1196"/>
      <c r="M663" s="1196"/>
      <c r="N663" s="1196"/>
      <c r="O663" s="1196"/>
      <c r="P663" s="1196"/>
      <c r="Q663" s="1196"/>
      <c r="R663" s="1196"/>
      <c r="S663" s="1196"/>
      <c r="T663" s="1196"/>
      <c r="U663" s="1196"/>
      <c r="V663" s="1196"/>
      <c r="W663" s="1196"/>
      <c r="X663" s="1196"/>
      <c r="Y663" s="1196"/>
      <c r="Z663" s="1196"/>
    </row>
    <row r="664" spans="1:26" ht="12.75" customHeight="1">
      <c r="A664" s="1196"/>
      <c r="B664" s="1196"/>
      <c r="C664" s="1196"/>
      <c r="D664" s="1196"/>
      <c r="E664" s="1196"/>
      <c r="F664" s="1196"/>
      <c r="G664" s="1196"/>
      <c r="H664" s="1196"/>
      <c r="I664" s="1196"/>
      <c r="J664" s="1196"/>
      <c r="K664" s="1196"/>
      <c r="L664" s="1196"/>
      <c r="M664" s="1196"/>
      <c r="N664" s="1196"/>
      <c r="O664" s="1196"/>
      <c r="P664" s="1196"/>
      <c r="Q664" s="1196"/>
      <c r="R664" s="1196"/>
      <c r="S664" s="1196"/>
      <c r="T664" s="1196"/>
      <c r="U664" s="1196"/>
      <c r="V664" s="1196"/>
      <c r="W664" s="1196"/>
      <c r="X664" s="1196"/>
      <c r="Y664" s="1196"/>
      <c r="Z664" s="1196"/>
    </row>
    <row r="665" spans="1:26" ht="12.75" customHeight="1">
      <c r="A665" s="1196"/>
      <c r="B665" s="1196"/>
      <c r="C665" s="1196"/>
      <c r="D665" s="1196"/>
      <c r="E665" s="1196"/>
      <c r="F665" s="1196"/>
      <c r="G665" s="1196"/>
      <c r="H665" s="1196"/>
      <c r="I665" s="1196"/>
      <c r="J665" s="1196"/>
      <c r="K665" s="1196"/>
      <c r="L665" s="1196"/>
      <c r="M665" s="1196"/>
      <c r="N665" s="1196"/>
      <c r="O665" s="1196"/>
      <c r="P665" s="1196"/>
      <c r="Q665" s="1196"/>
      <c r="R665" s="1196"/>
      <c r="S665" s="1196"/>
      <c r="T665" s="1196"/>
      <c r="U665" s="1196"/>
      <c r="V665" s="1196"/>
      <c r="W665" s="1196"/>
      <c r="X665" s="1196"/>
      <c r="Y665" s="1196"/>
      <c r="Z665" s="1196"/>
    </row>
    <row r="666" spans="1:26" ht="12.75" customHeight="1">
      <c r="A666" s="1196"/>
      <c r="B666" s="1196"/>
      <c r="C666" s="1196"/>
      <c r="D666" s="1196"/>
      <c r="E666" s="1196"/>
      <c r="F666" s="1196"/>
      <c r="G666" s="1196"/>
      <c r="H666" s="1196"/>
      <c r="I666" s="1196"/>
      <c r="J666" s="1196"/>
      <c r="K666" s="1196"/>
      <c r="L666" s="1196"/>
      <c r="M666" s="1196"/>
      <c r="N666" s="1196"/>
      <c r="O666" s="1196"/>
      <c r="P666" s="1196"/>
      <c r="Q666" s="1196"/>
      <c r="R666" s="1196"/>
      <c r="S666" s="1196"/>
      <c r="T666" s="1196"/>
      <c r="U666" s="1196"/>
      <c r="V666" s="1196"/>
      <c r="W666" s="1196"/>
      <c r="X666" s="1196"/>
      <c r="Y666" s="1196"/>
      <c r="Z666" s="1196"/>
    </row>
    <row r="667" spans="1:26" ht="12.75" customHeight="1">
      <c r="A667" s="1196"/>
      <c r="B667" s="1196"/>
      <c r="C667" s="1196"/>
      <c r="D667" s="1196"/>
      <c r="E667" s="1196"/>
      <c r="F667" s="1196"/>
      <c r="G667" s="1196"/>
      <c r="H667" s="1196"/>
      <c r="I667" s="1196"/>
      <c r="J667" s="1196"/>
      <c r="K667" s="1196"/>
      <c r="L667" s="1196"/>
      <c r="M667" s="1196"/>
      <c r="N667" s="1196"/>
      <c r="O667" s="1196"/>
      <c r="P667" s="1196"/>
      <c r="Q667" s="1196"/>
      <c r="R667" s="1196"/>
      <c r="S667" s="1196"/>
      <c r="T667" s="1196"/>
      <c r="U667" s="1196"/>
      <c r="V667" s="1196"/>
      <c r="W667" s="1196"/>
      <c r="X667" s="1196"/>
      <c r="Y667" s="1196"/>
      <c r="Z667" s="1196"/>
    </row>
    <row r="668" spans="1:26" ht="12.75" customHeight="1">
      <c r="A668" s="1196"/>
      <c r="B668" s="1196"/>
      <c r="C668" s="1196"/>
      <c r="D668" s="1196"/>
      <c r="E668" s="1196"/>
      <c r="F668" s="1196"/>
      <c r="G668" s="1196"/>
      <c r="H668" s="1196"/>
      <c r="I668" s="1196"/>
      <c r="J668" s="1196"/>
      <c r="K668" s="1196"/>
      <c r="L668" s="1196"/>
      <c r="M668" s="1196"/>
      <c r="N668" s="1196"/>
      <c r="O668" s="1196"/>
      <c r="P668" s="1196"/>
      <c r="Q668" s="1196"/>
      <c r="R668" s="1196"/>
      <c r="S668" s="1196"/>
      <c r="T668" s="1196"/>
      <c r="U668" s="1196"/>
      <c r="V668" s="1196"/>
      <c r="W668" s="1196"/>
      <c r="X668" s="1196"/>
      <c r="Y668" s="1196"/>
      <c r="Z668" s="1196"/>
    </row>
    <row r="669" spans="1:26" ht="12.75" customHeight="1">
      <c r="A669" s="1196"/>
      <c r="B669" s="1196"/>
      <c r="C669" s="1196"/>
      <c r="D669" s="1196"/>
      <c r="E669" s="1196"/>
      <c r="F669" s="1196"/>
      <c r="G669" s="1196"/>
      <c r="H669" s="1196"/>
      <c r="I669" s="1196"/>
      <c r="J669" s="1196"/>
      <c r="K669" s="1196"/>
      <c r="L669" s="1196"/>
      <c r="M669" s="1196"/>
      <c r="N669" s="1196"/>
      <c r="O669" s="1196"/>
      <c r="P669" s="1196"/>
      <c r="Q669" s="1196"/>
      <c r="R669" s="1196"/>
      <c r="S669" s="1196"/>
      <c r="T669" s="1196"/>
      <c r="U669" s="1196"/>
      <c r="V669" s="1196"/>
      <c r="W669" s="1196"/>
      <c r="X669" s="1196"/>
      <c r="Y669" s="1196"/>
      <c r="Z669" s="1196"/>
    </row>
    <row r="670" spans="1:26" ht="12.75" customHeight="1">
      <c r="A670" s="1196"/>
      <c r="B670" s="1196"/>
      <c r="C670" s="1196"/>
      <c r="D670" s="1196"/>
      <c r="E670" s="1196"/>
      <c r="F670" s="1196"/>
      <c r="G670" s="1196"/>
      <c r="H670" s="1196"/>
      <c r="I670" s="1196"/>
      <c r="J670" s="1196"/>
      <c r="K670" s="1196"/>
      <c r="L670" s="1196"/>
      <c r="M670" s="1196"/>
      <c r="N670" s="1196"/>
      <c r="O670" s="1196"/>
      <c r="P670" s="1196"/>
      <c r="Q670" s="1196"/>
      <c r="R670" s="1196"/>
      <c r="S670" s="1196"/>
      <c r="T670" s="1196"/>
      <c r="U670" s="1196"/>
      <c r="V670" s="1196"/>
      <c r="W670" s="1196"/>
      <c r="X670" s="1196"/>
      <c r="Y670" s="1196"/>
      <c r="Z670" s="1196"/>
    </row>
    <row r="671" spans="1:26" ht="12.75" customHeight="1">
      <c r="A671" s="1196"/>
      <c r="B671" s="1196"/>
      <c r="C671" s="1196"/>
      <c r="D671" s="1196"/>
      <c r="E671" s="1196"/>
      <c r="F671" s="1196"/>
      <c r="G671" s="1196"/>
      <c r="H671" s="1196"/>
      <c r="I671" s="1196"/>
      <c r="J671" s="1196"/>
      <c r="K671" s="1196"/>
      <c r="L671" s="1196"/>
      <c r="M671" s="1196"/>
      <c r="N671" s="1196"/>
      <c r="O671" s="1196"/>
      <c r="P671" s="1196"/>
      <c r="Q671" s="1196"/>
      <c r="R671" s="1196"/>
      <c r="S671" s="1196"/>
      <c r="T671" s="1196"/>
      <c r="U671" s="1196"/>
      <c r="V671" s="1196"/>
      <c r="W671" s="1196"/>
      <c r="X671" s="1196"/>
      <c r="Y671" s="1196"/>
      <c r="Z671" s="1196"/>
    </row>
    <row r="672" spans="1:26" ht="12.75" customHeight="1">
      <c r="A672" s="1196"/>
      <c r="B672" s="1196"/>
      <c r="C672" s="1196"/>
      <c r="D672" s="1196"/>
      <c r="E672" s="1196"/>
      <c r="F672" s="1196"/>
      <c r="G672" s="1196"/>
      <c r="H672" s="1196"/>
      <c r="I672" s="1196"/>
      <c r="J672" s="1196"/>
      <c r="K672" s="1196"/>
      <c r="L672" s="1196"/>
      <c r="M672" s="1196"/>
      <c r="N672" s="1196"/>
      <c r="O672" s="1196"/>
      <c r="P672" s="1196"/>
      <c r="Q672" s="1196"/>
      <c r="R672" s="1196"/>
      <c r="S672" s="1196"/>
      <c r="T672" s="1196"/>
      <c r="U672" s="1196"/>
      <c r="V672" s="1196"/>
      <c r="W672" s="1196"/>
      <c r="X672" s="1196"/>
      <c r="Y672" s="1196"/>
      <c r="Z672" s="1196"/>
    </row>
    <row r="673" spans="1:26" ht="12.75" customHeight="1">
      <c r="A673" s="1196"/>
      <c r="B673" s="1196"/>
      <c r="C673" s="1196"/>
      <c r="D673" s="1196"/>
      <c r="E673" s="1196"/>
      <c r="F673" s="1196"/>
      <c r="G673" s="1196"/>
      <c r="H673" s="1196"/>
      <c r="I673" s="1196"/>
      <c r="J673" s="1196"/>
      <c r="K673" s="1196"/>
      <c r="L673" s="1196"/>
      <c r="M673" s="1196"/>
      <c r="N673" s="1196"/>
      <c r="O673" s="1196"/>
      <c r="P673" s="1196"/>
      <c r="Q673" s="1196"/>
      <c r="R673" s="1196"/>
      <c r="S673" s="1196"/>
      <c r="T673" s="1196"/>
      <c r="U673" s="1196"/>
      <c r="V673" s="1196"/>
      <c r="W673" s="1196"/>
      <c r="X673" s="1196"/>
      <c r="Y673" s="1196"/>
      <c r="Z673" s="1196"/>
    </row>
    <row r="674" spans="1:26" ht="12.75" customHeight="1">
      <c r="A674" s="1196"/>
      <c r="B674" s="1196"/>
      <c r="C674" s="1196"/>
      <c r="D674" s="1196"/>
      <c r="E674" s="1196"/>
      <c r="F674" s="1196"/>
      <c r="G674" s="1196"/>
      <c r="H674" s="1196"/>
      <c r="I674" s="1196"/>
      <c r="J674" s="1196"/>
      <c r="K674" s="1196"/>
      <c r="L674" s="1196"/>
      <c r="M674" s="1196"/>
      <c r="N674" s="1196"/>
      <c r="O674" s="1196"/>
      <c r="P674" s="1196"/>
      <c r="Q674" s="1196"/>
      <c r="R674" s="1196"/>
      <c r="S674" s="1196"/>
      <c r="T674" s="1196"/>
      <c r="U674" s="1196"/>
      <c r="V674" s="1196"/>
      <c r="W674" s="1196"/>
      <c r="X674" s="1196"/>
      <c r="Y674" s="1196"/>
      <c r="Z674" s="1196"/>
    </row>
    <row r="675" spans="1:26" ht="12.75" customHeight="1">
      <c r="A675" s="1196"/>
      <c r="B675" s="1196"/>
      <c r="C675" s="1196"/>
      <c r="D675" s="1196"/>
      <c r="E675" s="1196"/>
      <c r="F675" s="1196"/>
      <c r="G675" s="1196"/>
      <c r="H675" s="1196"/>
      <c r="I675" s="1196"/>
      <c r="J675" s="1196"/>
      <c r="K675" s="1196"/>
      <c r="L675" s="1196"/>
      <c r="M675" s="1196"/>
      <c r="N675" s="1196"/>
      <c r="O675" s="1196"/>
      <c r="P675" s="1196"/>
      <c r="Q675" s="1196"/>
      <c r="R675" s="1196"/>
      <c r="S675" s="1196"/>
      <c r="T675" s="1196"/>
      <c r="U675" s="1196"/>
      <c r="V675" s="1196"/>
      <c r="W675" s="1196"/>
      <c r="X675" s="1196"/>
      <c r="Y675" s="1196"/>
      <c r="Z675" s="1196"/>
    </row>
    <row r="676" spans="1:26" ht="12.75" customHeight="1">
      <c r="A676" s="1196"/>
      <c r="B676" s="1196"/>
      <c r="C676" s="1196"/>
      <c r="D676" s="1196"/>
      <c r="E676" s="1196"/>
      <c r="F676" s="1196"/>
      <c r="G676" s="1196"/>
      <c r="H676" s="1196"/>
      <c r="I676" s="1196"/>
      <c r="J676" s="1196"/>
      <c r="K676" s="1196"/>
      <c r="L676" s="1196"/>
      <c r="M676" s="1196"/>
      <c r="N676" s="1196"/>
      <c r="O676" s="1196"/>
      <c r="P676" s="1196"/>
      <c r="Q676" s="1196"/>
      <c r="R676" s="1196"/>
      <c r="S676" s="1196"/>
      <c r="T676" s="1196"/>
      <c r="U676" s="1196"/>
      <c r="V676" s="1196"/>
      <c r="W676" s="1196"/>
      <c r="X676" s="1196"/>
      <c r="Y676" s="1196"/>
      <c r="Z676" s="1196"/>
    </row>
    <row r="677" spans="1:26" ht="12.75" customHeight="1">
      <c r="A677" s="1196"/>
      <c r="B677" s="1196"/>
      <c r="C677" s="1196"/>
      <c r="D677" s="1196"/>
      <c r="E677" s="1196"/>
      <c r="F677" s="1196"/>
      <c r="G677" s="1196"/>
      <c r="H677" s="1196"/>
      <c r="I677" s="1196"/>
      <c r="J677" s="1196"/>
      <c r="K677" s="1196"/>
      <c r="L677" s="1196"/>
      <c r="M677" s="1196"/>
      <c r="N677" s="1196"/>
      <c r="O677" s="1196"/>
      <c r="P677" s="1196"/>
      <c r="Q677" s="1196"/>
      <c r="R677" s="1196"/>
      <c r="S677" s="1196"/>
      <c r="T677" s="1196"/>
      <c r="U677" s="1196"/>
      <c r="V677" s="1196"/>
      <c r="W677" s="1196"/>
      <c r="X677" s="1196"/>
      <c r="Y677" s="1196"/>
      <c r="Z677" s="1196"/>
    </row>
    <row r="678" spans="1:26" ht="12.75" customHeight="1">
      <c r="A678" s="1196"/>
      <c r="B678" s="1196"/>
      <c r="C678" s="1196"/>
      <c r="D678" s="1196"/>
      <c r="E678" s="1196"/>
      <c r="F678" s="1196"/>
      <c r="G678" s="1196"/>
      <c r="H678" s="1196"/>
      <c r="I678" s="1196"/>
      <c r="J678" s="1196"/>
      <c r="K678" s="1196"/>
      <c r="L678" s="1196"/>
      <c r="M678" s="1196"/>
      <c r="N678" s="1196"/>
      <c r="O678" s="1196"/>
      <c r="P678" s="1196"/>
      <c r="Q678" s="1196"/>
      <c r="R678" s="1196"/>
      <c r="S678" s="1196"/>
      <c r="T678" s="1196"/>
      <c r="U678" s="1196"/>
      <c r="V678" s="1196"/>
      <c r="W678" s="1196"/>
      <c r="X678" s="1196"/>
      <c r="Y678" s="1196"/>
      <c r="Z678" s="1196"/>
    </row>
    <row r="679" spans="1:26" ht="12.75" customHeight="1">
      <c r="A679" s="1196"/>
      <c r="B679" s="1196"/>
      <c r="C679" s="1196"/>
      <c r="D679" s="1196"/>
      <c r="E679" s="1196"/>
      <c r="F679" s="1196"/>
      <c r="G679" s="1196"/>
      <c r="H679" s="1196"/>
      <c r="I679" s="1196"/>
      <c r="J679" s="1196"/>
      <c r="K679" s="1196"/>
      <c r="L679" s="1196"/>
      <c r="M679" s="1196"/>
      <c r="N679" s="1196"/>
      <c r="O679" s="1196"/>
      <c r="P679" s="1196"/>
      <c r="Q679" s="1196"/>
      <c r="R679" s="1196"/>
      <c r="S679" s="1196"/>
      <c r="T679" s="1196"/>
      <c r="U679" s="1196"/>
      <c r="V679" s="1196"/>
      <c r="W679" s="1196"/>
      <c r="X679" s="1196"/>
      <c r="Y679" s="1196"/>
      <c r="Z679" s="1196"/>
    </row>
    <row r="680" spans="1:26" ht="12.75" customHeight="1">
      <c r="A680" s="1196"/>
      <c r="B680" s="1196"/>
      <c r="C680" s="1196"/>
      <c r="D680" s="1196"/>
      <c r="E680" s="1196"/>
      <c r="F680" s="1196"/>
      <c r="G680" s="1196"/>
      <c r="H680" s="1196"/>
      <c r="I680" s="1196"/>
      <c r="J680" s="1196"/>
      <c r="K680" s="1196"/>
      <c r="L680" s="1196"/>
      <c r="M680" s="1196"/>
      <c r="N680" s="1196"/>
      <c r="O680" s="1196"/>
      <c r="P680" s="1196"/>
      <c r="Q680" s="1196"/>
      <c r="R680" s="1196"/>
      <c r="S680" s="1196"/>
      <c r="T680" s="1196"/>
      <c r="U680" s="1196"/>
      <c r="V680" s="1196"/>
      <c r="W680" s="1196"/>
      <c r="X680" s="1196"/>
      <c r="Y680" s="1196"/>
      <c r="Z680" s="1196"/>
    </row>
    <row r="681" spans="1:26" ht="12.75" customHeight="1">
      <c r="A681" s="1196"/>
      <c r="B681" s="1196"/>
      <c r="C681" s="1196"/>
      <c r="D681" s="1196"/>
      <c r="E681" s="1196"/>
      <c r="F681" s="1196"/>
      <c r="G681" s="1196"/>
      <c r="H681" s="1196"/>
      <c r="I681" s="1196"/>
      <c r="J681" s="1196"/>
      <c r="K681" s="1196"/>
      <c r="L681" s="1196"/>
      <c r="M681" s="1196"/>
      <c r="N681" s="1196"/>
      <c r="O681" s="1196"/>
      <c r="P681" s="1196"/>
      <c r="Q681" s="1196"/>
      <c r="R681" s="1196"/>
      <c r="S681" s="1196"/>
      <c r="T681" s="1196"/>
      <c r="U681" s="1196"/>
      <c r="V681" s="1196"/>
      <c r="W681" s="1196"/>
      <c r="X681" s="1196"/>
      <c r="Y681" s="1196"/>
      <c r="Z681" s="1196"/>
    </row>
    <row r="682" spans="1:26" ht="12.75" customHeight="1">
      <c r="A682" s="1196"/>
      <c r="B682" s="1196"/>
      <c r="C682" s="1196"/>
      <c r="D682" s="1196"/>
      <c r="E682" s="1196"/>
      <c r="F682" s="1196"/>
      <c r="G682" s="1196"/>
      <c r="H682" s="1196"/>
      <c r="I682" s="1196"/>
      <c r="J682" s="1196"/>
      <c r="K682" s="1196"/>
      <c r="L682" s="1196"/>
      <c r="M682" s="1196"/>
      <c r="N682" s="1196"/>
      <c r="O682" s="1196"/>
      <c r="P682" s="1196"/>
      <c r="Q682" s="1196"/>
      <c r="R682" s="1196"/>
      <c r="S682" s="1196"/>
      <c r="T682" s="1196"/>
      <c r="U682" s="1196"/>
      <c r="V682" s="1196"/>
      <c r="W682" s="1196"/>
      <c r="X682" s="1196"/>
      <c r="Y682" s="1196"/>
      <c r="Z682" s="1196"/>
    </row>
    <row r="683" spans="1:26" ht="12.75" customHeight="1">
      <c r="A683" s="1196"/>
      <c r="B683" s="1196"/>
      <c r="C683" s="1196"/>
      <c r="D683" s="1196"/>
      <c r="E683" s="1196"/>
      <c r="F683" s="1196"/>
      <c r="G683" s="1196"/>
      <c r="H683" s="1196"/>
      <c r="I683" s="1196"/>
      <c r="J683" s="1196"/>
      <c r="K683" s="1196"/>
      <c r="L683" s="1196"/>
      <c r="M683" s="1196"/>
      <c r="N683" s="1196"/>
      <c r="O683" s="1196"/>
      <c r="P683" s="1196"/>
      <c r="Q683" s="1196"/>
      <c r="R683" s="1196"/>
      <c r="S683" s="1196"/>
      <c r="T683" s="1196"/>
      <c r="U683" s="1196"/>
      <c r="V683" s="1196"/>
      <c r="W683" s="1196"/>
      <c r="X683" s="1196"/>
      <c r="Y683" s="1196"/>
      <c r="Z683" s="1196"/>
    </row>
    <row r="684" spans="1:26" ht="12.75" customHeight="1">
      <c r="A684" s="1196"/>
      <c r="B684" s="1196"/>
      <c r="C684" s="1196"/>
      <c r="D684" s="1196"/>
      <c r="E684" s="1196"/>
      <c r="F684" s="1196"/>
      <c r="G684" s="1196"/>
      <c r="H684" s="1196"/>
      <c r="I684" s="1196"/>
      <c r="J684" s="1196"/>
      <c r="K684" s="1196"/>
      <c r="L684" s="1196"/>
      <c r="M684" s="1196"/>
      <c r="N684" s="1196"/>
      <c r="O684" s="1196"/>
      <c r="P684" s="1196"/>
      <c r="Q684" s="1196"/>
      <c r="R684" s="1196"/>
      <c r="S684" s="1196"/>
      <c r="T684" s="1196"/>
      <c r="U684" s="1196"/>
      <c r="V684" s="1196"/>
      <c r="W684" s="1196"/>
      <c r="X684" s="1196"/>
      <c r="Y684" s="1196"/>
      <c r="Z684" s="1196"/>
    </row>
    <row r="685" spans="1:26" ht="12.75" customHeight="1">
      <c r="A685" s="1196"/>
      <c r="B685" s="1196"/>
      <c r="C685" s="1196"/>
      <c r="D685" s="1196"/>
      <c r="E685" s="1196"/>
      <c r="F685" s="1196"/>
      <c r="G685" s="1196"/>
      <c r="H685" s="1196"/>
      <c r="I685" s="1196"/>
      <c r="J685" s="1196"/>
      <c r="K685" s="1196"/>
      <c r="L685" s="1196"/>
      <c r="M685" s="1196"/>
      <c r="N685" s="1196"/>
      <c r="O685" s="1196"/>
      <c r="P685" s="1196"/>
      <c r="Q685" s="1196"/>
      <c r="R685" s="1196"/>
      <c r="S685" s="1196"/>
      <c r="T685" s="1196"/>
      <c r="U685" s="1196"/>
      <c r="V685" s="1196"/>
      <c r="W685" s="1196"/>
      <c r="X685" s="1196"/>
      <c r="Y685" s="1196"/>
      <c r="Z685" s="1196"/>
    </row>
    <row r="686" spans="1:26" ht="12.75" customHeight="1">
      <c r="A686" s="1196"/>
      <c r="B686" s="1196"/>
      <c r="C686" s="1196"/>
      <c r="D686" s="1196"/>
      <c r="E686" s="1196"/>
      <c r="F686" s="1196"/>
      <c r="G686" s="1196"/>
      <c r="H686" s="1196"/>
      <c r="I686" s="1196"/>
      <c r="J686" s="1196"/>
      <c r="K686" s="1196"/>
      <c r="L686" s="1196"/>
      <c r="M686" s="1196"/>
      <c r="N686" s="1196"/>
      <c r="O686" s="1196"/>
      <c r="P686" s="1196"/>
      <c r="Q686" s="1196"/>
      <c r="R686" s="1196"/>
      <c r="S686" s="1196"/>
      <c r="T686" s="1196"/>
      <c r="U686" s="1196"/>
      <c r="V686" s="1196"/>
      <c r="W686" s="1196"/>
      <c r="X686" s="1196"/>
      <c r="Y686" s="1196"/>
      <c r="Z686" s="1196"/>
    </row>
    <row r="687" spans="1:26" ht="12.75" customHeight="1">
      <c r="A687" s="1196"/>
      <c r="B687" s="1196"/>
      <c r="C687" s="1196"/>
      <c r="D687" s="1196"/>
      <c r="E687" s="1196"/>
      <c r="F687" s="1196"/>
      <c r="G687" s="1196"/>
      <c r="H687" s="1196"/>
      <c r="I687" s="1196"/>
      <c r="J687" s="1196"/>
      <c r="K687" s="1196"/>
      <c r="L687" s="1196"/>
      <c r="M687" s="1196"/>
      <c r="N687" s="1196"/>
      <c r="O687" s="1196"/>
      <c r="P687" s="1196"/>
      <c r="Q687" s="1196"/>
      <c r="R687" s="1196"/>
      <c r="S687" s="1196"/>
      <c r="T687" s="1196"/>
      <c r="U687" s="1196"/>
      <c r="V687" s="1196"/>
      <c r="W687" s="1196"/>
      <c r="X687" s="1196"/>
      <c r="Y687" s="1196"/>
      <c r="Z687" s="1196"/>
    </row>
    <row r="688" spans="1:26" ht="12.75" customHeight="1">
      <c r="A688" s="1196"/>
      <c r="B688" s="1196"/>
      <c r="C688" s="1196"/>
      <c r="D688" s="1196"/>
      <c r="E688" s="1196"/>
      <c r="F688" s="1196"/>
      <c r="G688" s="1196"/>
      <c r="H688" s="1196"/>
      <c r="I688" s="1196"/>
      <c r="J688" s="1196"/>
      <c r="K688" s="1196"/>
      <c r="L688" s="1196"/>
      <c r="M688" s="1196"/>
      <c r="N688" s="1196"/>
      <c r="O688" s="1196"/>
      <c r="P688" s="1196"/>
      <c r="Q688" s="1196"/>
      <c r="R688" s="1196"/>
      <c r="S688" s="1196"/>
      <c r="T688" s="1196"/>
      <c r="U688" s="1196"/>
      <c r="V688" s="1196"/>
      <c r="W688" s="1196"/>
      <c r="X688" s="1196"/>
      <c r="Y688" s="1196"/>
      <c r="Z688" s="1196"/>
    </row>
    <row r="689" spans="1:26" ht="12.75" customHeight="1">
      <c r="A689" s="1196"/>
      <c r="B689" s="1196"/>
      <c r="C689" s="1196"/>
      <c r="D689" s="1196"/>
      <c r="E689" s="1196"/>
      <c r="F689" s="1196"/>
      <c r="G689" s="1196"/>
      <c r="H689" s="1196"/>
      <c r="I689" s="1196"/>
      <c r="J689" s="1196"/>
      <c r="K689" s="1196"/>
      <c r="L689" s="1196"/>
      <c r="M689" s="1196"/>
      <c r="N689" s="1196"/>
      <c r="O689" s="1196"/>
      <c r="P689" s="1196"/>
      <c r="Q689" s="1196"/>
      <c r="R689" s="1196"/>
      <c r="S689" s="1196"/>
      <c r="T689" s="1196"/>
      <c r="U689" s="1196"/>
      <c r="V689" s="1196"/>
      <c r="W689" s="1196"/>
      <c r="X689" s="1196"/>
      <c r="Y689" s="1196"/>
      <c r="Z689" s="1196"/>
    </row>
    <row r="690" spans="1:26" ht="12.75" customHeight="1">
      <c r="A690" s="1196"/>
      <c r="B690" s="1196"/>
      <c r="C690" s="1196"/>
      <c r="D690" s="1196"/>
      <c r="E690" s="1196"/>
      <c r="F690" s="1196"/>
      <c r="G690" s="1196"/>
      <c r="H690" s="1196"/>
      <c r="I690" s="1196"/>
      <c r="J690" s="1196"/>
      <c r="K690" s="1196"/>
      <c r="L690" s="1196"/>
      <c r="M690" s="1196"/>
      <c r="N690" s="1196"/>
      <c r="O690" s="1196"/>
      <c r="P690" s="1196"/>
      <c r="Q690" s="1196"/>
      <c r="R690" s="1196"/>
      <c r="S690" s="1196"/>
      <c r="T690" s="1196"/>
      <c r="U690" s="1196"/>
      <c r="V690" s="1196"/>
      <c r="W690" s="1196"/>
      <c r="X690" s="1196"/>
      <c r="Y690" s="1196"/>
      <c r="Z690" s="1196"/>
    </row>
    <row r="691" spans="1:26" ht="12.75" customHeight="1">
      <c r="A691" s="1196"/>
      <c r="B691" s="1196"/>
      <c r="C691" s="1196"/>
      <c r="D691" s="1196"/>
      <c r="E691" s="1196"/>
      <c r="F691" s="1196"/>
      <c r="G691" s="1196"/>
      <c r="H691" s="1196"/>
      <c r="I691" s="1196"/>
      <c r="J691" s="1196"/>
      <c r="K691" s="1196"/>
      <c r="L691" s="1196"/>
      <c r="M691" s="1196"/>
      <c r="N691" s="1196"/>
      <c r="O691" s="1196"/>
      <c r="P691" s="1196"/>
      <c r="Q691" s="1196"/>
      <c r="R691" s="1196"/>
      <c r="S691" s="1196"/>
      <c r="T691" s="1196"/>
      <c r="U691" s="1196"/>
      <c r="V691" s="1196"/>
      <c r="W691" s="1196"/>
      <c r="X691" s="1196"/>
      <c r="Y691" s="1196"/>
      <c r="Z691" s="1196"/>
    </row>
    <row r="692" spans="1:26" ht="12.75" customHeight="1">
      <c r="A692" s="1196"/>
      <c r="B692" s="1196"/>
      <c r="C692" s="1196"/>
      <c r="D692" s="1196"/>
      <c r="E692" s="1196"/>
      <c r="F692" s="1196"/>
      <c r="G692" s="1196"/>
      <c r="H692" s="1196"/>
      <c r="I692" s="1196"/>
      <c r="J692" s="1196"/>
      <c r="K692" s="1196"/>
      <c r="L692" s="1196"/>
      <c r="M692" s="1196"/>
      <c r="N692" s="1196"/>
      <c r="O692" s="1196"/>
      <c r="P692" s="1196"/>
      <c r="Q692" s="1196"/>
      <c r="R692" s="1196"/>
      <c r="S692" s="1196"/>
      <c r="T692" s="1196"/>
      <c r="U692" s="1196"/>
      <c r="V692" s="1196"/>
      <c r="W692" s="1196"/>
      <c r="X692" s="1196"/>
      <c r="Y692" s="1196"/>
      <c r="Z692" s="1196"/>
    </row>
    <row r="693" spans="1:26" ht="12.75" customHeight="1">
      <c r="A693" s="1196"/>
      <c r="B693" s="1196"/>
      <c r="C693" s="1196"/>
      <c r="D693" s="1196"/>
      <c r="E693" s="1196"/>
      <c r="F693" s="1196"/>
      <c r="G693" s="1196"/>
      <c r="H693" s="1196"/>
      <c r="I693" s="1196"/>
      <c r="J693" s="1196"/>
      <c r="K693" s="1196"/>
      <c r="L693" s="1196"/>
      <c r="M693" s="1196"/>
      <c r="N693" s="1196"/>
      <c r="O693" s="1196"/>
      <c r="P693" s="1196"/>
      <c r="Q693" s="1196"/>
      <c r="R693" s="1196"/>
      <c r="S693" s="1196"/>
      <c r="T693" s="1196"/>
      <c r="U693" s="1196"/>
      <c r="V693" s="1196"/>
      <c r="W693" s="1196"/>
      <c r="X693" s="1196"/>
      <c r="Y693" s="1196"/>
      <c r="Z693" s="1196"/>
    </row>
    <row r="694" spans="1:26" ht="12.75" customHeight="1">
      <c r="A694" s="1196"/>
      <c r="B694" s="1196"/>
      <c r="C694" s="1196"/>
      <c r="D694" s="1196"/>
      <c r="E694" s="1196"/>
      <c r="F694" s="1196"/>
      <c r="G694" s="1196"/>
      <c r="H694" s="1196"/>
      <c r="I694" s="1196"/>
      <c r="J694" s="1196"/>
      <c r="K694" s="1196"/>
      <c r="L694" s="1196"/>
      <c r="M694" s="1196"/>
      <c r="N694" s="1196"/>
      <c r="O694" s="1196"/>
      <c r="P694" s="1196"/>
      <c r="Q694" s="1196"/>
      <c r="R694" s="1196"/>
      <c r="S694" s="1196"/>
      <c r="T694" s="1196"/>
      <c r="U694" s="1196"/>
      <c r="V694" s="1196"/>
      <c r="W694" s="1196"/>
      <c r="X694" s="1196"/>
      <c r="Y694" s="1196"/>
      <c r="Z694" s="1196"/>
    </row>
    <row r="695" spans="1:26" ht="12.75" customHeight="1">
      <c r="A695" s="1196"/>
      <c r="B695" s="1196"/>
      <c r="C695" s="1196"/>
      <c r="D695" s="1196"/>
      <c r="E695" s="1196"/>
      <c r="F695" s="1196"/>
      <c r="G695" s="1196"/>
      <c r="H695" s="1196"/>
      <c r="I695" s="1196"/>
      <c r="J695" s="1196"/>
      <c r="K695" s="1196"/>
      <c r="L695" s="1196"/>
      <c r="M695" s="1196"/>
      <c r="N695" s="1196"/>
      <c r="O695" s="1196"/>
      <c r="P695" s="1196"/>
      <c r="Q695" s="1196"/>
      <c r="R695" s="1196"/>
      <c r="S695" s="1196"/>
      <c r="T695" s="1196"/>
      <c r="U695" s="1196"/>
      <c r="V695" s="1196"/>
      <c r="W695" s="1196"/>
      <c r="X695" s="1196"/>
      <c r="Y695" s="1196"/>
      <c r="Z695" s="1196"/>
    </row>
    <row r="696" spans="1:26" ht="12.75" customHeight="1">
      <c r="A696" s="1196"/>
      <c r="B696" s="1196"/>
      <c r="C696" s="1196"/>
      <c r="D696" s="1196"/>
      <c r="E696" s="1196"/>
      <c r="F696" s="1196"/>
      <c r="G696" s="1196"/>
      <c r="H696" s="1196"/>
      <c r="I696" s="1196"/>
      <c r="J696" s="1196"/>
      <c r="K696" s="1196"/>
      <c r="L696" s="1196"/>
      <c r="M696" s="1196"/>
      <c r="N696" s="1196"/>
      <c r="O696" s="1196"/>
      <c r="P696" s="1196"/>
      <c r="Q696" s="1196"/>
      <c r="R696" s="1196"/>
      <c r="S696" s="1196"/>
      <c r="T696" s="1196"/>
      <c r="U696" s="1196"/>
      <c r="V696" s="1196"/>
      <c r="W696" s="1196"/>
      <c r="X696" s="1196"/>
      <c r="Y696" s="1196"/>
      <c r="Z696" s="1196"/>
    </row>
    <row r="697" spans="1:26" ht="12.75" customHeight="1">
      <c r="A697" s="1196"/>
      <c r="B697" s="1196"/>
      <c r="C697" s="1196"/>
      <c r="D697" s="1196"/>
      <c r="E697" s="1196"/>
      <c r="F697" s="1196"/>
      <c r="G697" s="1196"/>
      <c r="H697" s="1196"/>
      <c r="I697" s="1196"/>
      <c r="J697" s="1196"/>
      <c r="K697" s="1196"/>
      <c r="L697" s="1196"/>
      <c r="M697" s="1196"/>
      <c r="N697" s="1196"/>
      <c r="O697" s="1196"/>
      <c r="P697" s="1196"/>
      <c r="Q697" s="1196"/>
      <c r="R697" s="1196"/>
      <c r="S697" s="1196"/>
      <c r="T697" s="1196"/>
      <c r="U697" s="1196"/>
      <c r="V697" s="1196"/>
      <c r="W697" s="1196"/>
      <c r="X697" s="1196"/>
      <c r="Y697" s="1196"/>
      <c r="Z697" s="1196"/>
    </row>
    <row r="698" spans="1:26" ht="12.75" customHeight="1">
      <c r="A698" s="1196"/>
      <c r="B698" s="1196"/>
      <c r="C698" s="1196"/>
      <c r="D698" s="1196"/>
      <c r="E698" s="1196"/>
      <c r="F698" s="1196"/>
      <c r="G698" s="1196"/>
      <c r="H698" s="1196"/>
      <c r="I698" s="1196"/>
      <c r="J698" s="1196"/>
      <c r="K698" s="1196"/>
      <c r="L698" s="1196"/>
      <c r="M698" s="1196"/>
      <c r="N698" s="1196"/>
      <c r="O698" s="1196"/>
      <c r="P698" s="1196"/>
      <c r="Q698" s="1196"/>
      <c r="R698" s="1196"/>
      <c r="S698" s="1196"/>
      <c r="T698" s="1196"/>
      <c r="U698" s="1196"/>
      <c r="V698" s="1196"/>
      <c r="W698" s="1196"/>
      <c r="X698" s="1196"/>
      <c r="Y698" s="1196"/>
      <c r="Z698" s="1196"/>
    </row>
    <row r="699" spans="1:26" ht="12.75" customHeight="1">
      <c r="A699" s="1196"/>
      <c r="B699" s="1196"/>
      <c r="C699" s="1196"/>
      <c r="D699" s="1196"/>
      <c r="E699" s="1196"/>
      <c r="F699" s="1196"/>
      <c r="G699" s="1196"/>
      <c r="H699" s="1196"/>
      <c r="I699" s="1196"/>
      <c r="J699" s="1196"/>
      <c r="K699" s="1196"/>
      <c r="L699" s="1196"/>
      <c r="M699" s="1196"/>
      <c r="N699" s="1196"/>
      <c r="O699" s="1196"/>
      <c r="P699" s="1196"/>
      <c r="Q699" s="1196"/>
      <c r="R699" s="1196"/>
      <c r="S699" s="1196"/>
      <c r="T699" s="1196"/>
      <c r="U699" s="1196"/>
      <c r="V699" s="1196"/>
      <c r="W699" s="1196"/>
      <c r="X699" s="1196"/>
      <c r="Y699" s="1196"/>
      <c r="Z699" s="1196"/>
    </row>
    <row r="700" spans="1:26" ht="12.75" customHeight="1">
      <c r="A700" s="1196"/>
      <c r="B700" s="1196"/>
      <c r="C700" s="1196"/>
      <c r="D700" s="1196"/>
      <c r="E700" s="1196"/>
      <c r="F700" s="1196"/>
      <c r="G700" s="1196"/>
      <c r="H700" s="1196"/>
      <c r="I700" s="1196"/>
      <c r="J700" s="1196"/>
      <c r="K700" s="1196"/>
      <c r="L700" s="1196"/>
      <c r="M700" s="1196"/>
      <c r="N700" s="1196"/>
      <c r="O700" s="1196"/>
      <c r="P700" s="1196"/>
      <c r="Q700" s="1196"/>
      <c r="R700" s="1196"/>
      <c r="S700" s="1196"/>
      <c r="T700" s="1196"/>
      <c r="U700" s="1196"/>
      <c r="V700" s="1196"/>
      <c r="W700" s="1196"/>
      <c r="X700" s="1196"/>
      <c r="Y700" s="1196"/>
      <c r="Z700" s="1196"/>
    </row>
    <row r="701" spans="1:26" ht="12.75" customHeight="1">
      <c r="A701" s="1196"/>
      <c r="B701" s="1196"/>
      <c r="C701" s="1196"/>
      <c r="D701" s="1196"/>
      <c r="E701" s="1196"/>
      <c r="F701" s="1196"/>
      <c r="G701" s="1196"/>
      <c r="H701" s="1196"/>
      <c r="I701" s="1196"/>
      <c r="J701" s="1196"/>
      <c r="K701" s="1196"/>
      <c r="L701" s="1196"/>
      <c r="M701" s="1196"/>
      <c r="N701" s="1196"/>
      <c r="O701" s="1196"/>
      <c r="P701" s="1196"/>
      <c r="Q701" s="1196"/>
      <c r="R701" s="1196"/>
      <c r="S701" s="1196"/>
      <c r="T701" s="1196"/>
      <c r="U701" s="1196"/>
      <c r="V701" s="1196"/>
      <c r="W701" s="1196"/>
      <c r="X701" s="1196"/>
      <c r="Y701" s="1196"/>
      <c r="Z701" s="1196"/>
    </row>
    <row r="702" spans="1:26" ht="12.75" customHeight="1">
      <c r="A702" s="1196"/>
      <c r="B702" s="1196"/>
      <c r="C702" s="1196"/>
      <c r="D702" s="1196"/>
      <c r="E702" s="1196"/>
      <c r="F702" s="1196"/>
      <c r="G702" s="1196"/>
      <c r="H702" s="1196"/>
      <c r="I702" s="1196"/>
      <c r="J702" s="1196"/>
      <c r="K702" s="1196"/>
      <c r="L702" s="1196"/>
      <c r="M702" s="1196"/>
      <c r="N702" s="1196"/>
      <c r="O702" s="1196"/>
      <c r="P702" s="1196"/>
      <c r="Q702" s="1196"/>
      <c r="R702" s="1196"/>
      <c r="S702" s="1196"/>
      <c r="T702" s="1196"/>
      <c r="U702" s="1196"/>
      <c r="V702" s="1196"/>
      <c r="W702" s="1196"/>
      <c r="X702" s="1196"/>
      <c r="Y702" s="1196"/>
      <c r="Z702" s="1196"/>
    </row>
    <row r="703" spans="1:26" ht="12.75" customHeight="1">
      <c r="A703" s="1196"/>
      <c r="B703" s="1196"/>
      <c r="C703" s="1196"/>
      <c r="D703" s="1196"/>
      <c r="E703" s="1196"/>
      <c r="F703" s="1196"/>
      <c r="G703" s="1196"/>
      <c r="H703" s="1196"/>
      <c r="I703" s="1196"/>
      <c r="J703" s="1196"/>
      <c r="K703" s="1196"/>
      <c r="L703" s="1196"/>
      <c r="M703" s="1196"/>
      <c r="N703" s="1196"/>
      <c r="O703" s="1196"/>
      <c r="P703" s="1196"/>
      <c r="Q703" s="1196"/>
      <c r="R703" s="1196"/>
      <c r="S703" s="1196"/>
      <c r="T703" s="1196"/>
      <c r="U703" s="1196"/>
      <c r="V703" s="1196"/>
      <c r="W703" s="1196"/>
      <c r="X703" s="1196"/>
      <c r="Y703" s="1196"/>
      <c r="Z703" s="1196"/>
    </row>
    <row r="704" spans="1:26" ht="12.75" customHeight="1">
      <c r="A704" s="1196"/>
      <c r="B704" s="1196"/>
      <c r="C704" s="1196"/>
      <c r="D704" s="1196"/>
      <c r="E704" s="1196"/>
      <c r="F704" s="1196"/>
      <c r="G704" s="1196"/>
      <c r="H704" s="1196"/>
      <c r="I704" s="1196"/>
      <c r="J704" s="1196"/>
      <c r="K704" s="1196"/>
      <c r="L704" s="1196"/>
      <c r="M704" s="1196"/>
      <c r="N704" s="1196"/>
      <c r="O704" s="1196"/>
      <c r="P704" s="1196"/>
      <c r="Q704" s="1196"/>
      <c r="R704" s="1196"/>
      <c r="S704" s="1196"/>
      <c r="T704" s="1196"/>
      <c r="U704" s="1196"/>
      <c r="V704" s="1196"/>
      <c r="W704" s="1196"/>
      <c r="X704" s="1196"/>
      <c r="Y704" s="1196"/>
      <c r="Z704" s="1196"/>
    </row>
    <row r="705" spans="1:26" ht="12.75" customHeight="1">
      <c r="A705" s="1196"/>
      <c r="B705" s="1196"/>
      <c r="C705" s="1196"/>
      <c r="D705" s="1196"/>
      <c r="E705" s="1196"/>
      <c r="F705" s="1196"/>
      <c r="G705" s="1196"/>
      <c r="H705" s="1196"/>
      <c r="I705" s="1196"/>
      <c r="J705" s="1196"/>
      <c r="K705" s="1196"/>
      <c r="L705" s="1196"/>
      <c r="M705" s="1196"/>
      <c r="N705" s="1196"/>
      <c r="O705" s="1196"/>
      <c r="P705" s="1196"/>
      <c r="Q705" s="1196"/>
      <c r="R705" s="1196"/>
      <c r="S705" s="1196"/>
      <c r="T705" s="1196"/>
      <c r="U705" s="1196"/>
      <c r="V705" s="1196"/>
      <c r="W705" s="1196"/>
      <c r="X705" s="1196"/>
      <c r="Y705" s="1196"/>
      <c r="Z705" s="1196"/>
    </row>
    <row r="706" spans="1:26" ht="12.75" customHeight="1">
      <c r="A706" s="1196"/>
      <c r="B706" s="1196"/>
      <c r="C706" s="1196"/>
      <c r="D706" s="1196"/>
      <c r="E706" s="1196"/>
      <c r="F706" s="1196"/>
      <c r="G706" s="1196"/>
      <c r="H706" s="1196"/>
      <c r="I706" s="1196"/>
      <c r="J706" s="1196"/>
      <c r="K706" s="1196"/>
      <c r="L706" s="1196"/>
      <c r="M706" s="1196"/>
      <c r="N706" s="1196"/>
      <c r="O706" s="1196"/>
      <c r="P706" s="1196"/>
      <c r="Q706" s="1196"/>
      <c r="R706" s="1196"/>
      <c r="S706" s="1196"/>
      <c r="T706" s="1196"/>
      <c r="U706" s="1196"/>
      <c r="V706" s="1196"/>
      <c r="W706" s="1196"/>
      <c r="X706" s="1196"/>
      <c r="Y706" s="1196"/>
      <c r="Z706" s="1196"/>
    </row>
    <row r="707" spans="1:26" ht="12.75" customHeight="1">
      <c r="A707" s="1196"/>
      <c r="B707" s="1196"/>
      <c r="C707" s="1196"/>
      <c r="D707" s="1196"/>
      <c r="E707" s="1196"/>
      <c r="F707" s="1196"/>
      <c r="G707" s="1196"/>
      <c r="H707" s="1196"/>
      <c r="I707" s="1196"/>
      <c r="J707" s="1196"/>
      <c r="K707" s="1196"/>
      <c r="L707" s="1196"/>
      <c r="M707" s="1196"/>
      <c r="N707" s="1196"/>
      <c r="O707" s="1196"/>
      <c r="P707" s="1196"/>
      <c r="Q707" s="1196"/>
      <c r="R707" s="1196"/>
      <c r="S707" s="1196"/>
      <c r="T707" s="1196"/>
      <c r="U707" s="1196"/>
      <c r="V707" s="1196"/>
      <c r="W707" s="1196"/>
      <c r="X707" s="1196"/>
      <c r="Y707" s="1196"/>
      <c r="Z707" s="1196"/>
    </row>
    <row r="708" spans="1:26" ht="12.75" customHeight="1">
      <c r="A708" s="1196"/>
      <c r="B708" s="1196"/>
      <c r="C708" s="1196"/>
      <c r="D708" s="1196"/>
      <c r="E708" s="1196"/>
      <c r="F708" s="1196"/>
      <c r="G708" s="1196"/>
      <c r="H708" s="1196"/>
      <c r="I708" s="1196"/>
      <c r="J708" s="1196"/>
      <c r="K708" s="1196"/>
      <c r="L708" s="1196"/>
      <c r="M708" s="1196"/>
      <c r="N708" s="1196"/>
      <c r="O708" s="1196"/>
      <c r="P708" s="1196"/>
      <c r="Q708" s="1196"/>
      <c r="R708" s="1196"/>
      <c r="S708" s="1196"/>
      <c r="T708" s="1196"/>
      <c r="U708" s="1196"/>
      <c r="V708" s="1196"/>
      <c r="W708" s="1196"/>
      <c r="X708" s="1196"/>
      <c r="Y708" s="1196"/>
      <c r="Z708" s="1196"/>
    </row>
    <row r="709" spans="1:26" ht="12.75" customHeight="1">
      <c r="A709" s="1196"/>
      <c r="B709" s="1196"/>
      <c r="C709" s="1196"/>
      <c r="D709" s="1196"/>
      <c r="E709" s="1196"/>
      <c r="F709" s="1196"/>
      <c r="G709" s="1196"/>
      <c r="H709" s="1196"/>
      <c r="I709" s="1196"/>
      <c r="J709" s="1196"/>
      <c r="K709" s="1196"/>
      <c r="L709" s="1196"/>
      <c r="M709" s="1196"/>
      <c r="N709" s="1196"/>
      <c r="O709" s="1196"/>
      <c r="P709" s="1196"/>
      <c r="Q709" s="1196"/>
      <c r="R709" s="1196"/>
      <c r="S709" s="1196"/>
      <c r="T709" s="1196"/>
      <c r="U709" s="1196"/>
      <c r="V709" s="1196"/>
      <c r="W709" s="1196"/>
      <c r="X709" s="1196"/>
      <c r="Y709" s="1196"/>
      <c r="Z709" s="1196"/>
    </row>
    <row r="710" spans="1:26" ht="12.75" customHeight="1">
      <c r="A710" s="1196"/>
      <c r="B710" s="1196"/>
      <c r="C710" s="1196"/>
      <c r="D710" s="1196"/>
      <c r="E710" s="1196"/>
      <c r="F710" s="1196"/>
      <c r="G710" s="1196"/>
      <c r="H710" s="1196"/>
      <c r="I710" s="1196"/>
      <c r="J710" s="1196"/>
      <c r="K710" s="1196"/>
      <c r="L710" s="1196"/>
      <c r="M710" s="1196"/>
      <c r="N710" s="1196"/>
      <c r="O710" s="1196"/>
      <c r="P710" s="1196"/>
      <c r="Q710" s="1196"/>
      <c r="R710" s="1196"/>
      <c r="S710" s="1196"/>
      <c r="T710" s="1196"/>
      <c r="U710" s="1196"/>
      <c r="V710" s="1196"/>
      <c r="W710" s="1196"/>
      <c r="X710" s="1196"/>
      <c r="Y710" s="1196"/>
      <c r="Z710" s="1196"/>
    </row>
    <row r="711" spans="1:26" ht="12.75" customHeight="1">
      <c r="A711" s="1196"/>
      <c r="B711" s="1196"/>
      <c r="C711" s="1196"/>
      <c r="D711" s="1196"/>
      <c r="E711" s="1196"/>
      <c r="F711" s="1196"/>
      <c r="G711" s="1196"/>
      <c r="H711" s="1196"/>
      <c r="I711" s="1196"/>
      <c r="J711" s="1196"/>
      <c r="K711" s="1196"/>
      <c r="L711" s="1196"/>
      <c r="M711" s="1196"/>
      <c r="N711" s="1196"/>
      <c r="O711" s="1196"/>
      <c r="P711" s="1196"/>
      <c r="Q711" s="1196"/>
      <c r="R711" s="1196"/>
      <c r="S711" s="1196"/>
      <c r="T711" s="1196"/>
      <c r="U711" s="1196"/>
      <c r="V711" s="1196"/>
      <c r="W711" s="1196"/>
      <c r="X711" s="1196"/>
      <c r="Y711" s="1196"/>
      <c r="Z711" s="1196"/>
    </row>
    <row r="712" spans="1:26" ht="12.75" customHeight="1">
      <c r="A712" s="1196"/>
      <c r="B712" s="1196"/>
      <c r="C712" s="1196"/>
      <c r="D712" s="1196"/>
      <c r="E712" s="1196"/>
      <c r="F712" s="1196"/>
      <c r="G712" s="1196"/>
      <c r="H712" s="1196"/>
      <c r="I712" s="1196"/>
      <c r="J712" s="1196"/>
      <c r="K712" s="1196"/>
      <c r="L712" s="1196"/>
      <c r="M712" s="1196"/>
      <c r="N712" s="1196"/>
      <c r="O712" s="1196"/>
      <c r="P712" s="1196"/>
      <c r="Q712" s="1196"/>
      <c r="R712" s="1196"/>
      <c r="S712" s="1196"/>
      <c r="T712" s="1196"/>
      <c r="U712" s="1196"/>
      <c r="V712" s="1196"/>
      <c r="W712" s="1196"/>
      <c r="X712" s="1196"/>
      <c r="Y712" s="1196"/>
      <c r="Z712" s="1196"/>
    </row>
    <row r="713" spans="1:26" ht="12.75" customHeight="1">
      <c r="A713" s="1196"/>
      <c r="B713" s="1196"/>
      <c r="C713" s="1196"/>
      <c r="D713" s="1196"/>
      <c r="E713" s="1196"/>
      <c r="F713" s="1196"/>
      <c r="G713" s="1196"/>
      <c r="H713" s="1196"/>
      <c r="I713" s="1196"/>
      <c r="J713" s="1196"/>
      <c r="K713" s="1196"/>
      <c r="L713" s="1196"/>
      <c r="M713" s="1196"/>
      <c r="N713" s="1196"/>
      <c r="O713" s="1196"/>
      <c r="P713" s="1196"/>
      <c r="Q713" s="1196"/>
      <c r="R713" s="1196"/>
      <c r="S713" s="1196"/>
      <c r="T713" s="1196"/>
      <c r="U713" s="1196"/>
      <c r="V713" s="1196"/>
      <c r="W713" s="1196"/>
      <c r="X713" s="1196"/>
      <c r="Y713" s="1196"/>
      <c r="Z713" s="1196"/>
    </row>
    <row r="714" spans="1:26" ht="12.75" customHeight="1">
      <c r="A714" s="1196"/>
      <c r="B714" s="1196"/>
      <c r="C714" s="1196"/>
      <c r="D714" s="1196"/>
      <c r="E714" s="1196"/>
      <c r="F714" s="1196"/>
      <c r="G714" s="1196"/>
      <c r="H714" s="1196"/>
      <c r="I714" s="1196"/>
      <c r="J714" s="1196"/>
      <c r="K714" s="1196"/>
      <c r="L714" s="1196"/>
      <c r="M714" s="1196"/>
      <c r="N714" s="1196"/>
      <c r="O714" s="1196"/>
      <c r="P714" s="1196"/>
      <c r="Q714" s="1196"/>
      <c r="R714" s="1196"/>
      <c r="S714" s="1196"/>
      <c r="T714" s="1196"/>
      <c r="U714" s="1196"/>
      <c r="V714" s="1196"/>
      <c r="W714" s="1196"/>
      <c r="X714" s="1196"/>
      <c r="Y714" s="1196"/>
      <c r="Z714" s="1196"/>
    </row>
    <row r="715" spans="1:26" ht="12.75" customHeight="1">
      <c r="A715" s="1196"/>
      <c r="B715" s="1196"/>
      <c r="C715" s="1196"/>
      <c r="D715" s="1196"/>
      <c r="E715" s="1196"/>
      <c r="F715" s="1196"/>
      <c r="G715" s="1196"/>
      <c r="H715" s="1196"/>
      <c r="I715" s="1196"/>
      <c r="J715" s="1196"/>
      <c r="K715" s="1196"/>
      <c r="L715" s="1196"/>
      <c r="M715" s="1196"/>
      <c r="N715" s="1196"/>
      <c r="O715" s="1196"/>
      <c r="P715" s="1196"/>
      <c r="Q715" s="1196"/>
      <c r="R715" s="1196"/>
      <c r="S715" s="1196"/>
      <c r="T715" s="1196"/>
      <c r="U715" s="1196"/>
      <c r="V715" s="1196"/>
      <c r="W715" s="1196"/>
      <c r="X715" s="1196"/>
      <c r="Y715" s="1196"/>
      <c r="Z715" s="1196"/>
    </row>
    <row r="716" spans="1:26" ht="12.75" customHeight="1">
      <c r="A716" s="1196"/>
      <c r="B716" s="1196"/>
      <c r="C716" s="1196"/>
      <c r="D716" s="1196"/>
      <c r="E716" s="1196"/>
      <c r="F716" s="1196"/>
      <c r="G716" s="1196"/>
      <c r="H716" s="1196"/>
      <c r="I716" s="1196"/>
      <c r="J716" s="1196"/>
      <c r="K716" s="1196"/>
      <c r="L716" s="1196"/>
      <c r="M716" s="1196"/>
      <c r="N716" s="1196"/>
      <c r="O716" s="1196"/>
      <c r="P716" s="1196"/>
      <c r="Q716" s="1196"/>
      <c r="R716" s="1196"/>
      <c r="S716" s="1196"/>
      <c r="T716" s="1196"/>
      <c r="U716" s="1196"/>
      <c r="V716" s="1196"/>
      <c r="W716" s="1196"/>
      <c r="X716" s="1196"/>
      <c r="Y716" s="1196"/>
      <c r="Z716" s="1196"/>
    </row>
    <row r="717" spans="1:26" ht="12.75" customHeight="1">
      <c r="A717" s="1196"/>
      <c r="B717" s="1196"/>
      <c r="C717" s="1196"/>
      <c r="D717" s="1196"/>
      <c r="E717" s="1196"/>
      <c r="F717" s="1196"/>
      <c r="G717" s="1196"/>
      <c r="H717" s="1196"/>
      <c r="I717" s="1196"/>
      <c r="J717" s="1196"/>
      <c r="K717" s="1196"/>
      <c r="L717" s="1196"/>
      <c r="M717" s="1196"/>
      <c r="N717" s="1196"/>
      <c r="O717" s="1196"/>
      <c r="P717" s="1196"/>
      <c r="Q717" s="1196"/>
      <c r="R717" s="1196"/>
      <c r="S717" s="1196"/>
      <c r="T717" s="1196"/>
      <c r="U717" s="1196"/>
      <c r="V717" s="1196"/>
      <c r="W717" s="1196"/>
      <c r="X717" s="1196"/>
      <c r="Y717" s="1196"/>
      <c r="Z717" s="1196"/>
    </row>
    <row r="718" spans="1:26" ht="12.75" customHeight="1">
      <c r="A718" s="1196"/>
      <c r="B718" s="1196"/>
      <c r="C718" s="1196"/>
      <c r="D718" s="1196"/>
      <c r="E718" s="1196"/>
      <c r="F718" s="1196"/>
      <c r="G718" s="1196"/>
      <c r="H718" s="1196"/>
      <c r="I718" s="1196"/>
      <c r="J718" s="1196"/>
      <c r="K718" s="1196"/>
      <c r="L718" s="1196"/>
      <c r="M718" s="1196"/>
      <c r="N718" s="1196"/>
      <c r="O718" s="1196"/>
      <c r="P718" s="1196"/>
      <c r="Q718" s="1196"/>
      <c r="R718" s="1196"/>
      <c r="S718" s="1196"/>
      <c r="T718" s="1196"/>
      <c r="U718" s="1196"/>
      <c r="V718" s="1196"/>
      <c r="W718" s="1196"/>
      <c r="X718" s="1196"/>
      <c r="Y718" s="1196"/>
      <c r="Z718" s="1196"/>
    </row>
    <row r="719" spans="1:26" ht="12.75" customHeight="1">
      <c r="A719" s="1196"/>
      <c r="B719" s="1196"/>
      <c r="C719" s="1196"/>
      <c r="D719" s="1196"/>
      <c r="E719" s="1196"/>
      <c r="F719" s="1196"/>
      <c r="G719" s="1196"/>
      <c r="H719" s="1196"/>
      <c r="I719" s="1196"/>
      <c r="J719" s="1196"/>
      <c r="K719" s="1196"/>
      <c r="L719" s="1196"/>
      <c r="M719" s="1196"/>
      <c r="N719" s="1196"/>
      <c r="O719" s="1196"/>
      <c r="P719" s="1196"/>
      <c r="Q719" s="1196"/>
      <c r="R719" s="1196"/>
      <c r="S719" s="1196"/>
      <c r="T719" s="1196"/>
      <c r="U719" s="1196"/>
      <c r="V719" s="1196"/>
      <c r="W719" s="1196"/>
      <c r="X719" s="1196"/>
      <c r="Y719" s="1196"/>
      <c r="Z719" s="1196"/>
    </row>
    <row r="720" spans="1:26" ht="12.75" customHeight="1">
      <c r="A720" s="1196"/>
      <c r="B720" s="1196"/>
      <c r="C720" s="1196"/>
      <c r="D720" s="1196"/>
      <c r="E720" s="1196"/>
      <c r="F720" s="1196"/>
      <c r="G720" s="1196"/>
      <c r="H720" s="1196"/>
      <c r="I720" s="1196"/>
      <c r="J720" s="1196"/>
      <c r="K720" s="1196"/>
      <c r="L720" s="1196"/>
      <c r="M720" s="1196"/>
      <c r="N720" s="1196"/>
      <c r="O720" s="1196"/>
      <c r="P720" s="1196"/>
      <c r="Q720" s="1196"/>
      <c r="R720" s="1196"/>
      <c r="S720" s="1196"/>
      <c r="T720" s="1196"/>
      <c r="U720" s="1196"/>
      <c r="V720" s="1196"/>
      <c r="W720" s="1196"/>
      <c r="X720" s="1196"/>
      <c r="Y720" s="1196"/>
      <c r="Z720" s="1196"/>
    </row>
    <row r="721" spans="1:26" ht="12.75" customHeight="1">
      <c r="A721" s="1196"/>
      <c r="B721" s="1196"/>
      <c r="C721" s="1196"/>
      <c r="D721" s="1196"/>
      <c r="E721" s="1196"/>
      <c r="F721" s="1196"/>
      <c r="G721" s="1196"/>
      <c r="H721" s="1196"/>
      <c r="I721" s="1196"/>
      <c r="J721" s="1196"/>
      <c r="K721" s="1196"/>
      <c r="L721" s="1196"/>
      <c r="M721" s="1196"/>
      <c r="N721" s="1196"/>
      <c r="O721" s="1196"/>
      <c r="P721" s="1196"/>
      <c r="Q721" s="1196"/>
      <c r="R721" s="1196"/>
      <c r="S721" s="1196"/>
      <c r="T721" s="1196"/>
      <c r="U721" s="1196"/>
      <c r="V721" s="1196"/>
      <c r="W721" s="1196"/>
      <c r="X721" s="1196"/>
      <c r="Y721" s="1196"/>
      <c r="Z721" s="1196"/>
    </row>
    <row r="722" spans="1:26" ht="12.75" customHeight="1">
      <c r="A722" s="1196"/>
      <c r="B722" s="1196"/>
      <c r="C722" s="1196"/>
      <c r="D722" s="1196"/>
      <c r="E722" s="1196"/>
      <c r="F722" s="1196"/>
      <c r="G722" s="1196"/>
      <c r="H722" s="1196"/>
      <c r="I722" s="1196"/>
      <c r="J722" s="1196"/>
      <c r="K722" s="1196"/>
      <c r="L722" s="1196"/>
      <c r="M722" s="1196"/>
      <c r="N722" s="1196"/>
      <c r="O722" s="1196"/>
      <c r="P722" s="1196"/>
      <c r="Q722" s="1196"/>
      <c r="R722" s="1196"/>
      <c r="S722" s="1196"/>
      <c r="T722" s="1196"/>
      <c r="U722" s="1196"/>
      <c r="V722" s="1196"/>
      <c r="W722" s="1196"/>
      <c r="X722" s="1196"/>
      <c r="Y722" s="1196"/>
      <c r="Z722" s="1196"/>
    </row>
    <row r="723" spans="1:26" ht="12.75" customHeight="1">
      <c r="A723" s="1196"/>
      <c r="B723" s="1196"/>
      <c r="C723" s="1196"/>
      <c r="D723" s="1196"/>
      <c r="E723" s="1196"/>
      <c r="F723" s="1196"/>
      <c r="G723" s="1196"/>
      <c r="H723" s="1196"/>
      <c r="I723" s="1196"/>
      <c r="J723" s="1196"/>
      <c r="K723" s="1196"/>
      <c r="L723" s="1196"/>
      <c r="M723" s="1196"/>
      <c r="N723" s="1196"/>
      <c r="O723" s="1196"/>
      <c r="P723" s="1196"/>
      <c r="Q723" s="1196"/>
      <c r="R723" s="1196"/>
      <c r="S723" s="1196"/>
      <c r="T723" s="1196"/>
      <c r="U723" s="1196"/>
      <c r="V723" s="1196"/>
      <c r="W723" s="1196"/>
      <c r="X723" s="1196"/>
      <c r="Y723" s="1196"/>
      <c r="Z723" s="1196"/>
    </row>
    <row r="724" spans="1:26" ht="12.75" customHeight="1">
      <c r="A724" s="1196"/>
      <c r="B724" s="1196"/>
      <c r="C724" s="1196"/>
      <c r="D724" s="1196"/>
      <c r="E724" s="1196"/>
      <c r="F724" s="1196"/>
      <c r="G724" s="1196"/>
      <c r="H724" s="1196"/>
      <c r="I724" s="1196"/>
      <c r="J724" s="1196"/>
      <c r="K724" s="1196"/>
      <c r="L724" s="1196"/>
      <c r="M724" s="1196"/>
      <c r="N724" s="1196"/>
      <c r="O724" s="1196"/>
      <c r="P724" s="1196"/>
      <c r="Q724" s="1196"/>
      <c r="R724" s="1196"/>
      <c r="S724" s="1196"/>
      <c r="T724" s="1196"/>
      <c r="U724" s="1196"/>
      <c r="V724" s="1196"/>
      <c r="W724" s="1196"/>
      <c r="X724" s="1196"/>
      <c r="Y724" s="1196"/>
      <c r="Z724" s="1196"/>
    </row>
    <row r="725" spans="1:26" ht="12.75" customHeight="1">
      <c r="A725" s="1196"/>
      <c r="B725" s="1196"/>
      <c r="C725" s="1196"/>
      <c r="D725" s="1196"/>
      <c r="E725" s="1196"/>
      <c r="F725" s="1196"/>
      <c r="G725" s="1196"/>
      <c r="H725" s="1196"/>
      <c r="I725" s="1196"/>
      <c r="J725" s="1196"/>
      <c r="K725" s="1196"/>
      <c r="L725" s="1196"/>
      <c r="M725" s="1196"/>
      <c r="N725" s="1196"/>
      <c r="O725" s="1196"/>
      <c r="P725" s="1196"/>
      <c r="Q725" s="1196"/>
      <c r="R725" s="1196"/>
      <c r="S725" s="1196"/>
      <c r="T725" s="1196"/>
      <c r="U725" s="1196"/>
      <c r="V725" s="1196"/>
      <c r="W725" s="1196"/>
      <c r="X725" s="1196"/>
      <c r="Y725" s="1196"/>
      <c r="Z725" s="1196"/>
    </row>
    <row r="726" spans="1:26" ht="12.75" customHeight="1">
      <c r="A726" s="1196"/>
      <c r="B726" s="1196"/>
      <c r="C726" s="1196"/>
      <c r="D726" s="1196"/>
      <c r="E726" s="1196"/>
      <c r="F726" s="1196"/>
      <c r="G726" s="1196"/>
      <c r="H726" s="1196"/>
      <c r="I726" s="1196"/>
      <c r="J726" s="1196"/>
      <c r="K726" s="1196"/>
      <c r="L726" s="1196"/>
      <c r="M726" s="1196"/>
      <c r="N726" s="1196"/>
      <c r="O726" s="1196"/>
      <c r="P726" s="1196"/>
      <c r="Q726" s="1196"/>
      <c r="R726" s="1196"/>
      <c r="S726" s="1196"/>
      <c r="T726" s="1196"/>
      <c r="U726" s="1196"/>
      <c r="V726" s="1196"/>
      <c r="W726" s="1196"/>
      <c r="X726" s="1196"/>
      <c r="Y726" s="1196"/>
      <c r="Z726" s="1196"/>
    </row>
    <row r="727" spans="1:26" ht="12.75" customHeight="1">
      <c r="A727" s="1196"/>
      <c r="B727" s="1196"/>
      <c r="C727" s="1196"/>
      <c r="D727" s="1196"/>
      <c r="E727" s="1196"/>
      <c r="F727" s="1196"/>
      <c r="G727" s="1196"/>
      <c r="H727" s="1196"/>
      <c r="I727" s="1196"/>
      <c r="J727" s="1196"/>
      <c r="K727" s="1196"/>
      <c r="L727" s="1196"/>
      <c r="M727" s="1196"/>
      <c r="N727" s="1196"/>
      <c r="O727" s="1196"/>
      <c r="P727" s="1196"/>
      <c r="Q727" s="1196"/>
      <c r="R727" s="1196"/>
      <c r="S727" s="1196"/>
      <c r="T727" s="1196"/>
      <c r="U727" s="1196"/>
      <c r="V727" s="1196"/>
      <c r="W727" s="1196"/>
      <c r="X727" s="1196"/>
      <c r="Y727" s="1196"/>
      <c r="Z727" s="1196"/>
    </row>
    <row r="728" spans="1:26" ht="12.75" customHeight="1">
      <c r="A728" s="1196"/>
      <c r="B728" s="1196"/>
      <c r="C728" s="1196"/>
      <c r="D728" s="1196"/>
      <c r="E728" s="1196"/>
      <c r="F728" s="1196"/>
      <c r="G728" s="1196"/>
      <c r="H728" s="1196"/>
      <c r="I728" s="1196"/>
      <c r="J728" s="1196"/>
      <c r="K728" s="1196"/>
      <c r="L728" s="1196"/>
      <c r="M728" s="1196"/>
      <c r="N728" s="1196"/>
      <c r="O728" s="1196"/>
      <c r="P728" s="1196"/>
      <c r="Q728" s="1196"/>
      <c r="R728" s="1196"/>
      <c r="S728" s="1196"/>
      <c r="T728" s="1196"/>
      <c r="U728" s="1196"/>
      <c r="V728" s="1196"/>
      <c r="W728" s="1196"/>
      <c r="X728" s="1196"/>
      <c r="Y728" s="1196"/>
      <c r="Z728" s="1196"/>
    </row>
    <row r="729" spans="1:26" ht="12.75" customHeight="1">
      <c r="A729" s="1196"/>
      <c r="B729" s="1196"/>
      <c r="C729" s="1196"/>
      <c r="D729" s="1196"/>
      <c r="E729" s="1196"/>
      <c r="F729" s="1196"/>
      <c r="G729" s="1196"/>
      <c r="H729" s="1196"/>
      <c r="I729" s="1196"/>
      <c r="J729" s="1196"/>
      <c r="K729" s="1196"/>
      <c r="L729" s="1196"/>
      <c r="M729" s="1196"/>
      <c r="N729" s="1196"/>
      <c r="O729" s="1196"/>
      <c r="P729" s="1196"/>
      <c r="Q729" s="1196"/>
      <c r="R729" s="1196"/>
      <c r="S729" s="1196"/>
      <c r="T729" s="1196"/>
      <c r="U729" s="1196"/>
      <c r="V729" s="1196"/>
      <c r="W729" s="1196"/>
      <c r="X729" s="1196"/>
      <c r="Y729" s="1196"/>
      <c r="Z729" s="1196"/>
    </row>
    <row r="730" spans="1:26" ht="12.75" customHeight="1">
      <c r="A730" s="1196"/>
      <c r="B730" s="1196"/>
      <c r="C730" s="1196"/>
      <c r="D730" s="1196"/>
      <c r="E730" s="1196"/>
      <c r="F730" s="1196"/>
      <c r="G730" s="1196"/>
      <c r="H730" s="1196"/>
      <c r="I730" s="1196"/>
      <c r="J730" s="1196"/>
      <c r="K730" s="1196"/>
      <c r="L730" s="1196"/>
      <c r="M730" s="1196"/>
      <c r="N730" s="1196"/>
      <c r="O730" s="1196"/>
      <c r="P730" s="1196"/>
      <c r="Q730" s="1196"/>
      <c r="R730" s="1196"/>
      <c r="S730" s="1196"/>
      <c r="T730" s="1196"/>
      <c r="U730" s="1196"/>
      <c r="V730" s="1196"/>
      <c r="W730" s="1196"/>
      <c r="X730" s="1196"/>
      <c r="Y730" s="1196"/>
      <c r="Z730" s="1196"/>
    </row>
    <row r="731" spans="1:26" ht="12.75" customHeight="1">
      <c r="A731" s="1196"/>
      <c r="B731" s="1196"/>
      <c r="C731" s="1196"/>
      <c r="D731" s="1196"/>
      <c r="E731" s="1196"/>
      <c r="F731" s="1196"/>
      <c r="G731" s="1196"/>
      <c r="H731" s="1196"/>
      <c r="I731" s="1196"/>
      <c r="J731" s="1196"/>
      <c r="K731" s="1196"/>
      <c r="L731" s="1196"/>
      <c r="M731" s="1196"/>
      <c r="N731" s="1196"/>
      <c r="O731" s="1196"/>
      <c r="P731" s="1196"/>
      <c r="Q731" s="1196"/>
      <c r="R731" s="1196"/>
      <c r="S731" s="1196"/>
      <c r="T731" s="1196"/>
      <c r="U731" s="1196"/>
      <c r="V731" s="1196"/>
      <c r="W731" s="1196"/>
      <c r="X731" s="1196"/>
      <c r="Y731" s="1196"/>
      <c r="Z731" s="1196"/>
    </row>
    <row r="732" spans="1:26" ht="12.75" customHeight="1">
      <c r="A732" s="1196"/>
      <c r="B732" s="1196"/>
      <c r="C732" s="1196"/>
      <c r="D732" s="1196"/>
      <c r="E732" s="1196"/>
      <c r="F732" s="1196"/>
      <c r="G732" s="1196"/>
      <c r="H732" s="1196"/>
      <c r="I732" s="1196"/>
      <c r="J732" s="1196"/>
      <c r="K732" s="1196"/>
      <c r="L732" s="1196"/>
      <c r="M732" s="1196"/>
      <c r="N732" s="1196"/>
      <c r="O732" s="1196"/>
      <c r="P732" s="1196"/>
      <c r="Q732" s="1196"/>
      <c r="R732" s="1196"/>
      <c r="S732" s="1196"/>
      <c r="T732" s="1196"/>
      <c r="U732" s="1196"/>
      <c r="V732" s="1196"/>
      <c r="W732" s="1196"/>
      <c r="X732" s="1196"/>
      <c r="Y732" s="1196"/>
      <c r="Z732" s="1196"/>
    </row>
    <row r="733" spans="1:26" ht="12.75" customHeight="1">
      <c r="A733" s="1196"/>
      <c r="B733" s="1196"/>
      <c r="C733" s="1196"/>
      <c r="D733" s="1196"/>
      <c r="E733" s="1196"/>
      <c r="F733" s="1196"/>
      <c r="G733" s="1196"/>
      <c r="H733" s="1196"/>
      <c r="I733" s="1196"/>
      <c r="J733" s="1196"/>
      <c r="K733" s="1196"/>
      <c r="L733" s="1196"/>
      <c r="M733" s="1196"/>
      <c r="N733" s="1196"/>
      <c r="O733" s="1196"/>
      <c r="P733" s="1196"/>
      <c r="Q733" s="1196"/>
      <c r="R733" s="1196"/>
      <c r="S733" s="1196"/>
      <c r="T733" s="1196"/>
      <c r="U733" s="1196"/>
      <c r="V733" s="1196"/>
      <c r="W733" s="1196"/>
      <c r="X733" s="1196"/>
      <c r="Y733" s="1196"/>
      <c r="Z733" s="1196"/>
    </row>
    <row r="734" spans="1:26" ht="12.75" customHeight="1">
      <c r="A734" s="1196"/>
      <c r="B734" s="1196"/>
      <c r="C734" s="1196"/>
      <c r="D734" s="1196"/>
      <c r="E734" s="1196"/>
      <c r="F734" s="1196"/>
      <c r="G734" s="1196"/>
      <c r="H734" s="1196"/>
      <c r="I734" s="1196"/>
      <c r="J734" s="1196"/>
      <c r="K734" s="1196"/>
      <c r="L734" s="1196"/>
      <c r="M734" s="1196"/>
      <c r="N734" s="1196"/>
      <c r="O734" s="1196"/>
      <c r="P734" s="1196"/>
      <c r="Q734" s="1196"/>
      <c r="R734" s="1196"/>
      <c r="S734" s="1196"/>
      <c r="T734" s="1196"/>
      <c r="U734" s="1196"/>
      <c r="V734" s="1196"/>
      <c r="W734" s="1196"/>
      <c r="X734" s="1196"/>
      <c r="Y734" s="1196"/>
      <c r="Z734" s="1196"/>
    </row>
    <row r="735" spans="1:26" ht="12.75" customHeight="1">
      <c r="A735" s="1196"/>
      <c r="B735" s="1196"/>
      <c r="C735" s="1196"/>
      <c r="D735" s="1196"/>
      <c r="E735" s="1196"/>
      <c r="F735" s="1196"/>
      <c r="G735" s="1196"/>
      <c r="H735" s="1196"/>
      <c r="I735" s="1196"/>
      <c r="J735" s="1196"/>
      <c r="K735" s="1196"/>
      <c r="L735" s="1196"/>
      <c r="M735" s="1196"/>
      <c r="N735" s="1196"/>
      <c r="O735" s="1196"/>
      <c r="P735" s="1196"/>
      <c r="Q735" s="1196"/>
      <c r="R735" s="1196"/>
      <c r="S735" s="1196"/>
      <c r="T735" s="1196"/>
      <c r="U735" s="1196"/>
      <c r="V735" s="1196"/>
      <c r="W735" s="1196"/>
      <c r="X735" s="1196"/>
      <c r="Y735" s="1196"/>
      <c r="Z735" s="1196"/>
    </row>
    <row r="736" spans="1:26" ht="12.75" customHeight="1">
      <c r="A736" s="1196"/>
      <c r="B736" s="1196"/>
      <c r="C736" s="1196"/>
      <c r="D736" s="1196"/>
      <c r="E736" s="1196"/>
      <c r="F736" s="1196"/>
      <c r="G736" s="1196"/>
      <c r="H736" s="1196"/>
      <c r="I736" s="1196"/>
      <c r="J736" s="1196"/>
      <c r="K736" s="1196"/>
      <c r="L736" s="1196"/>
      <c r="M736" s="1196"/>
      <c r="N736" s="1196"/>
      <c r="O736" s="1196"/>
      <c r="P736" s="1196"/>
      <c r="Q736" s="1196"/>
      <c r="R736" s="1196"/>
      <c r="S736" s="1196"/>
      <c r="T736" s="1196"/>
      <c r="U736" s="1196"/>
      <c r="V736" s="1196"/>
      <c r="W736" s="1196"/>
      <c r="X736" s="1196"/>
      <c r="Y736" s="1196"/>
      <c r="Z736" s="1196"/>
    </row>
    <row r="737" spans="1:26" ht="12.75" customHeight="1">
      <c r="A737" s="1196"/>
      <c r="B737" s="1196"/>
      <c r="C737" s="1196"/>
      <c r="D737" s="1196"/>
      <c r="E737" s="1196"/>
      <c r="F737" s="1196"/>
      <c r="G737" s="1196"/>
      <c r="H737" s="1196"/>
      <c r="I737" s="1196"/>
      <c r="J737" s="1196"/>
      <c r="K737" s="1196"/>
      <c r="L737" s="1196"/>
      <c r="M737" s="1196"/>
      <c r="N737" s="1196"/>
      <c r="O737" s="1196"/>
      <c r="P737" s="1196"/>
      <c r="Q737" s="1196"/>
      <c r="R737" s="1196"/>
      <c r="S737" s="1196"/>
      <c r="T737" s="1196"/>
      <c r="U737" s="1196"/>
      <c r="V737" s="1196"/>
      <c r="W737" s="1196"/>
      <c r="X737" s="1196"/>
      <c r="Y737" s="1196"/>
      <c r="Z737" s="1196"/>
    </row>
    <row r="738" spans="1:26" ht="12.75" customHeight="1">
      <c r="A738" s="1196"/>
      <c r="B738" s="1196"/>
      <c r="C738" s="1196"/>
      <c r="D738" s="1196"/>
      <c r="E738" s="1196"/>
      <c r="F738" s="1196"/>
      <c r="G738" s="1196"/>
      <c r="H738" s="1196"/>
      <c r="I738" s="1196"/>
      <c r="J738" s="1196"/>
      <c r="K738" s="1196"/>
      <c r="L738" s="1196"/>
      <c r="M738" s="1196"/>
      <c r="N738" s="1196"/>
      <c r="O738" s="1196"/>
      <c r="P738" s="1196"/>
      <c r="Q738" s="1196"/>
      <c r="R738" s="1196"/>
      <c r="S738" s="1196"/>
      <c r="T738" s="1196"/>
      <c r="U738" s="1196"/>
      <c r="V738" s="1196"/>
      <c r="W738" s="1196"/>
      <c r="X738" s="1196"/>
      <c r="Y738" s="1196"/>
      <c r="Z738" s="1196"/>
    </row>
    <row r="739" spans="1:26" ht="12.75" customHeight="1">
      <c r="A739" s="1196"/>
      <c r="B739" s="1196"/>
      <c r="C739" s="1196"/>
      <c r="D739" s="1196"/>
      <c r="E739" s="1196"/>
      <c r="F739" s="1196"/>
      <c r="G739" s="1196"/>
      <c r="H739" s="1196"/>
      <c r="I739" s="1196"/>
      <c r="J739" s="1196"/>
      <c r="K739" s="1196"/>
      <c r="L739" s="1196"/>
      <c r="M739" s="1196"/>
      <c r="N739" s="1196"/>
      <c r="O739" s="1196"/>
      <c r="P739" s="1196"/>
      <c r="Q739" s="1196"/>
      <c r="R739" s="1196"/>
      <c r="S739" s="1196"/>
      <c r="T739" s="1196"/>
      <c r="U739" s="1196"/>
      <c r="V739" s="1196"/>
      <c r="W739" s="1196"/>
      <c r="X739" s="1196"/>
      <c r="Y739" s="1196"/>
      <c r="Z739" s="1196"/>
    </row>
    <row r="740" spans="1:26" ht="12.75" customHeight="1">
      <c r="A740" s="1196"/>
      <c r="B740" s="1196"/>
      <c r="C740" s="1196"/>
      <c r="D740" s="1196"/>
      <c r="E740" s="1196"/>
      <c r="F740" s="1196"/>
      <c r="G740" s="1196"/>
      <c r="H740" s="1196"/>
      <c r="I740" s="1196"/>
      <c r="J740" s="1196"/>
      <c r="K740" s="1196"/>
      <c r="L740" s="1196"/>
      <c r="M740" s="1196"/>
      <c r="N740" s="1196"/>
      <c r="O740" s="1196"/>
      <c r="P740" s="1196"/>
      <c r="Q740" s="1196"/>
      <c r="R740" s="1196"/>
      <c r="S740" s="1196"/>
      <c r="T740" s="1196"/>
      <c r="U740" s="1196"/>
      <c r="V740" s="1196"/>
      <c r="W740" s="1196"/>
      <c r="X740" s="1196"/>
      <c r="Y740" s="1196"/>
      <c r="Z740" s="1196"/>
    </row>
    <row r="741" spans="1:26" ht="12.75" customHeight="1">
      <c r="A741" s="1196"/>
      <c r="B741" s="1196"/>
      <c r="C741" s="1196"/>
      <c r="D741" s="1196"/>
      <c r="E741" s="1196"/>
      <c r="F741" s="1196"/>
      <c r="G741" s="1196"/>
      <c r="H741" s="1196"/>
      <c r="I741" s="1196"/>
      <c r="J741" s="1196"/>
      <c r="K741" s="1196"/>
      <c r="L741" s="1196"/>
      <c r="M741" s="1196"/>
      <c r="N741" s="1196"/>
      <c r="O741" s="1196"/>
      <c r="P741" s="1196"/>
      <c r="Q741" s="1196"/>
      <c r="R741" s="1196"/>
      <c r="S741" s="1196"/>
      <c r="T741" s="1196"/>
      <c r="U741" s="1196"/>
      <c r="V741" s="1196"/>
      <c r="W741" s="1196"/>
      <c r="X741" s="1196"/>
      <c r="Y741" s="1196"/>
      <c r="Z741" s="1196"/>
    </row>
    <row r="742" spans="1:26" ht="12.75" customHeight="1">
      <c r="A742" s="1196"/>
      <c r="B742" s="1196"/>
      <c r="C742" s="1196"/>
      <c r="D742" s="1196"/>
      <c r="E742" s="1196"/>
      <c r="F742" s="1196"/>
      <c r="G742" s="1196"/>
      <c r="H742" s="1196"/>
      <c r="I742" s="1196"/>
      <c r="J742" s="1196"/>
      <c r="K742" s="1196"/>
      <c r="L742" s="1196"/>
      <c r="M742" s="1196"/>
      <c r="N742" s="1196"/>
      <c r="O742" s="1196"/>
      <c r="P742" s="1196"/>
      <c r="Q742" s="1196"/>
      <c r="R742" s="1196"/>
      <c r="S742" s="1196"/>
      <c r="T742" s="1196"/>
      <c r="U742" s="1196"/>
      <c r="V742" s="1196"/>
      <c r="W742" s="1196"/>
      <c r="X742" s="1196"/>
      <c r="Y742" s="1196"/>
      <c r="Z742" s="1196"/>
    </row>
    <row r="743" spans="1:26" ht="12.75" customHeight="1">
      <c r="A743" s="1196"/>
      <c r="B743" s="1196"/>
      <c r="C743" s="1196"/>
      <c r="D743" s="1196"/>
      <c r="E743" s="1196"/>
      <c r="F743" s="1196"/>
      <c r="G743" s="1196"/>
      <c r="H743" s="1196"/>
      <c r="I743" s="1196"/>
      <c r="J743" s="1196"/>
      <c r="K743" s="1196"/>
      <c r="L743" s="1196"/>
      <c r="M743" s="1196"/>
      <c r="N743" s="1196"/>
      <c r="O743" s="1196"/>
      <c r="P743" s="1196"/>
      <c r="Q743" s="1196"/>
      <c r="R743" s="1196"/>
      <c r="S743" s="1196"/>
      <c r="T743" s="1196"/>
      <c r="U743" s="1196"/>
      <c r="V743" s="1196"/>
      <c r="W743" s="1196"/>
      <c r="X743" s="1196"/>
      <c r="Y743" s="1196"/>
      <c r="Z743" s="1196"/>
    </row>
    <row r="744" spans="1:26" ht="12.75" customHeight="1">
      <c r="A744" s="1196"/>
      <c r="B744" s="1196"/>
      <c r="C744" s="1196"/>
      <c r="D744" s="1196"/>
      <c r="E744" s="1196"/>
      <c r="F744" s="1196"/>
      <c r="G744" s="1196"/>
      <c r="H744" s="1196"/>
      <c r="I744" s="1196"/>
      <c r="J744" s="1196"/>
      <c r="K744" s="1196"/>
      <c r="L744" s="1196"/>
      <c r="M744" s="1196"/>
      <c r="N744" s="1196"/>
      <c r="O744" s="1196"/>
      <c r="P744" s="1196"/>
      <c r="Q744" s="1196"/>
      <c r="R744" s="1196"/>
      <c r="S744" s="1196"/>
      <c r="T744" s="1196"/>
      <c r="U744" s="1196"/>
      <c r="V744" s="1196"/>
      <c r="W744" s="1196"/>
      <c r="X744" s="1196"/>
      <c r="Y744" s="1196"/>
      <c r="Z744" s="1196"/>
    </row>
    <row r="745" spans="1:26" ht="12.75" customHeight="1">
      <c r="A745" s="1196"/>
      <c r="B745" s="1196"/>
      <c r="C745" s="1196"/>
      <c r="D745" s="1196"/>
      <c r="E745" s="1196"/>
      <c r="F745" s="1196"/>
      <c r="G745" s="1196"/>
      <c r="H745" s="1196"/>
      <c r="I745" s="1196"/>
      <c r="J745" s="1196"/>
      <c r="K745" s="1196"/>
      <c r="L745" s="1196"/>
      <c r="M745" s="1196"/>
      <c r="N745" s="1196"/>
      <c r="O745" s="1196"/>
      <c r="P745" s="1196"/>
      <c r="Q745" s="1196"/>
      <c r="R745" s="1196"/>
      <c r="S745" s="1196"/>
      <c r="T745" s="1196"/>
      <c r="U745" s="1196"/>
      <c r="V745" s="1196"/>
      <c r="W745" s="1196"/>
      <c r="X745" s="1196"/>
      <c r="Y745" s="1196"/>
      <c r="Z745" s="1196"/>
    </row>
    <row r="746" spans="1:26" ht="12.75" customHeight="1">
      <c r="A746" s="1196"/>
      <c r="B746" s="1196"/>
      <c r="C746" s="1196"/>
      <c r="D746" s="1196"/>
      <c r="E746" s="1196"/>
      <c r="F746" s="1196"/>
      <c r="G746" s="1196"/>
      <c r="H746" s="1196"/>
      <c r="I746" s="1196"/>
      <c r="J746" s="1196"/>
      <c r="K746" s="1196"/>
      <c r="L746" s="1196"/>
      <c r="M746" s="1196"/>
      <c r="N746" s="1196"/>
      <c r="O746" s="1196"/>
      <c r="P746" s="1196"/>
      <c r="Q746" s="1196"/>
      <c r="R746" s="1196"/>
      <c r="S746" s="1196"/>
      <c r="T746" s="1196"/>
      <c r="U746" s="1196"/>
      <c r="V746" s="1196"/>
      <c r="W746" s="1196"/>
      <c r="X746" s="1196"/>
      <c r="Y746" s="1196"/>
      <c r="Z746" s="1196"/>
    </row>
    <row r="747" spans="1:26" ht="12.75" customHeight="1">
      <c r="A747" s="1196"/>
      <c r="B747" s="1196"/>
      <c r="C747" s="1196"/>
      <c r="D747" s="1196"/>
      <c r="E747" s="1196"/>
      <c r="F747" s="1196"/>
      <c r="G747" s="1196"/>
      <c r="H747" s="1196"/>
      <c r="I747" s="1196"/>
      <c r="J747" s="1196"/>
      <c r="K747" s="1196"/>
      <c r="L747" s="1196"/>
      <c r="M747" s="1196"/>
      <c r="N747" s="1196"/>
      <c r="O747" s="1196"/>
      <c r="P747" s="1196"/>
      <c r="Q747" s="1196"/>
      <c r="R747" s="1196"/>
      <c r="S747" s="1196"/>
      <c r="T747" s="1196"/>
      <c r="U747" s="1196"/>
      <c r="V747" s="1196"/>
      <c r="W747" s="1196"/>
      <c r="X747" s="1196"/>
      <c r="Y747" s="1196"/>
      <c r="Z747" s="1196"/>
    </row>
    <row r="748" spans="1:26" ht="12.75" customHeight="1">
      <c r="A748" s="1196"/>
      <c r="B748" s="1196"/>
      <c r="C748" s="1196"/>
      <c r="D748" s="1196"/>
      <c r="E748" s="1196"/>
      <c r="F748" s="1196"/>
      <c r="G748" s="1196"/>
      <c r="H748" s="1196"/>
      <c r="I748" s="1196"/>
      <c r="J748" s="1196"/>
      <c r="K748" s="1196"/>
      <c r="L748" s="1196"/>
      <c r="M748" s="1196"/>
      <c r="N748" s="1196"/>
      <c r="O748" s="1196"/>
      <c r="P748" s="1196"/>
      <c r="Q748" s="1196"/>
      <c r="R748" s="1196"/>
      <c r="S748" s="1196"/>
      <c r="T748" s="1196"/>
      <c r="U748" s="1196"/>
      <c r="V748" s="1196"/>
      <c r="W748" s="1196"/>
      <c r="X748" s="1196"/>
      <c r="Y748" s="1196"/>
      <c r="Z748" s="1196"/>
    </row>
    <row r="749" spans="1:26" ht="12.75" customHeight="1">
      <c r="A749" s="1196"/>
      <c r="B749" s="1196"/>
      <c r="C749" s="1196"/>
      <c r="D749" s="1196"/>
      <c r="E749" s="1196"/>
      <c r="F749" s="1196"/>
      <c r="G749" s="1196"/>
      <c r="H749" s="1196"/>
      <c r="I749" s="1196"/>
      <c r="J749" s="1196"/>
      <c r="K749" s="1196"/>
      <c r="L749" s="1196"/>
      <c r="M749" s="1196"/>
      <c r="N749" s="1196"/>
      <c r="O749" s="1196"/>
      <c r="P749" s="1196"/>
      <c r="Q749" s="1196"/>
      <c r="R749" s="1196"/>
      <c r="S749" s="1196"/>
      <c r="T749" s="1196"/>
      <c r="U749" s="1196"/>
      <c r="V749" s="1196"/>
      <c r="W749" s="1196"/>
      <c r="X749" s="1196"/>
      <c r="Y749" s="1196"/>
      <c r="Z749" s="1196"/>
    </row>
    <row r="750" spans="1:26" ht="12.75" customHeight="1">
      <c r="A750" s="1196"/>
      <c r="B750" s="1196"/>
      <c r="C750" s="1196"/>
      <c r="D750" s="1196"/>
      <c r="E750" s="1196"/>
      <c r="F750" s="1196"/>
      <c r="G750" s="1196"/>
      <c r="H750" s="1196"/>
      <c r="I750" s="1196"/>
      <c r="J750" s="1196"/>
      <c r="K750" s="1196"/>
      <c r="L750" s="1196"/>
      <c r="M750" s="1196"/>
      <c r="N750" s="1196"/>
      <c r="O750" s="1196"/>
      <c r="P750" s="1196"/>
      <c r="Q750" s="1196"/>
      <c r="R750" s="1196"/>
      <c r="S750" s="1196"/>
      <c r="T750" s="1196"/>
      <c r="U750" s="1196"/>
      <c r="V750" s="1196"/>
      <c r="W750" s="1196"/>
      <c r="X750" s="1196"/>
      <c r="Y750" s="1196"/>
      <c r="Z750" s="1196"/>
    </row>
    <row r="751" spans="1:26" ht="12.75" customHeight="1">
      <c r="A751" s="1196"/>
      <c r="B751" s="1196"/>
      <c r="C751" s="1196"/>
      <c r="D751" s="1196"/>
      <c r="E751" s="1196"/>
      <c r="F751" s="1196"/>
      <c r="G751" s="1196"/>
      <c r="H751" s="1196"/>
      <c r="I751" s="1196"/>
      <c r="J751" s="1196"/>
      <c r="K751" s="1196"/>
      <c r="L751" s="1196"/>
      <c r="M751" s="1196"/>
      <c r="N751" s="1196"/>
      <c r="O751" s="1196"/>
      <c r="P751" s="1196"/>
      <c r="Q751" s="1196"/>
      <c r="R751" s="1196"/>
      <c r="S751" s="1196"/>
      <c r="T751" s="1196"/>
      <c r="U751" s="1196"/>
      <c r="V751" s="1196"/>
      <c r="W751" s="1196"/>
      <c r="X751" s="1196"/>
      <c r="Y751" s="1196"/>
      <c r="Z751" s="1196"/>
    </row>
    <row r="752" spans="1:26" ht="12.75" customHeight="1">
      <c r="A752" s="1196"/>
      <c r="B752" s="1196"/>
      <c r="C752" s="1196"/>
      <c r="D752" s="1196"/>
      <c r="E752" s="1196"/>
      <c r="F752" s="1196"/>
      <c r="G752" s="1196"/>
      <c r="H752" s="1196"/>
      <c r="I752" s="1196"/>
      <c r="J752" s="1196"/>
      <c r="K752" s="1196"/>
      <c r="L752" s="1196"/>
      <c r="M752" s="1196"/>
      <c r="N752" s="1196"/>
      <c r="O752" s="1196"/>
      <c r="P752" s="1196"/>
      <c r="Q752" s="1196"/>
      <c r="R752" s="1196"/>
      <c r="S752" s="1196"/>
      <c r="T752" s="1196"/>
      <c r="U752" s="1196"/>
      <c r="V752" s="1196"/>
      <c r="W752" s="1196"/>
      <c r="X752" s="1196"/>
      <c r="Y752" s="1196"/>
      <c r="Z752" s="1196"/>
    </row>
    <row r="753" spans="1:26" ht="12.75" customHeight="1">
      <c r="A753" s="1196"/>
      <c r="B753" s="1196"/>
      <c r="C753" s="1196"/>
      <c r="D753" s="1196"/>
      <c r="E753" s="1196"/>
      <c r="F753" s="1196"/>
      <c r="G753" s="1196"/>
      <c r="H753" s="1196"/>
      <c r="I753" s="1196"/>
      <c r="J753" s="1196"/>
      <c r="K753" s="1196"/>
      <c r="L753" s="1196"/>
      <c r="M753" s="1196"/>
      <c r="N753" s="1196"/>
      <c r="O753" s="1196"/>
      <c r="P753" s="1196"/>
      <c r="Q753" s="1196"/>
      <c r="R753" s="1196"/>
      <c r="S753" s="1196"/>
      <c r="T753" s="1196"/>
      <c r="U753" s="1196"/>
      <c r="V753" s="1196"/>
      <c r="W753" s="1196"/>
      <c r="X753" s="1196"/>
      <c r="Y753" s="1196"/>
      <c r="Z753" s="1196"/>
    </row>
    <row r="754" spans="1:26" ht="12.75" customHeight="1">
      <c r="A754" s="1196"/>
      <c r="B754" s="1196"/>
      <c r="C754" s="1196"/>
      <c r="D754" s="1196"/>
      <c r="E754" s="1196"/>
      <c r="F754" s="1196"/>
      <c r="G754" s="1196"/>
      <c r="H754" s="1196"/>
      <c r="I754" s="1196"/>
      <c r="J754" s="1196"/>
      <c r="K754" s="1196"/>
      <c r="L754" s="1196"/>
      <c r="M754" s="1196"/>
      <c r="N754" s="1196"/>
      <c r="O754" s="1196"/>
      <c r="P754" s="1196"/>
      <c r="Q754" s="1196"/>
      <c r="R754" s="1196"/>
      <c r="S754" s="1196"/>
      <c r="T754" s="1196"/>
      <c r="U754" s="1196"/>
      <c r="V754" s="1196"/>
      <c r="W754" s="1196"/>
      <c r="X754" s="1196"/>
      <c r="Y754" s="1196"/>
      <c r="Z754" s="1196"/>
    </row>
    <row r="755" spans="1:26" ht="12.75" customHeight="1">
      <c r="A755" s="1196"/>
      <c r="B755" s="1196"/>
      <c r="C755" s="1196"/>
      <c r="D755" s="1196"/>
      <c r="E755" s="1196"/>
      <c r="F755" s="1196"/>
      <c r="G755" s="1196"/>
      <c r="H755" s="1196"/>
      <c r="I755" s="1196"/>
      <c r="J755" s="1196"/>
      <c r="K755" s="1196"/>
      <c r="L755" s="1196"/>
      <c r="M755" s="1196"/>
      <c r="N755" s="1196"/>
      <c r="O755" s="1196"/>
      <c r="P755" s="1196"/>
      <c r="Q755" s="1196"/>
      <c r="R755" s="1196"/>
      <c r="S755" s="1196"/>
      <c r="T755" s="1196"/>
      <c r="U755" s="1196"/>
      <c r="V755" s="1196"/>
      <c r="W755" s="1196"/>
      <c r="X755" s="1196"/>
      <c r="Y755" s="1196"/>
      <c r="Z755" s="1196"/>
    </row>
    <row r="756" spans="1:26" ht="12.75" customHeight="1">
      <c r="A756" s="1196"/>
      <c r="B756" s="1196"/>
      <c r="C756" s="1196"/>
      <c r="D756" s="1196"/>
      <c r="E756" s="1196"/>
      <c r="F756" s="1196"/>
      <c r="G756" s="1196"/>
      <c r="H756" s="1196"/>
      <c r="I756" s="1196"/>
      <c r="J756" s="1196"/>
      <c r="K756" s="1196"/>
      <c r="L756" s="1196"/>
      <c r="M756" s="1196"/>
      <c r="N756" s="1196"/>
      <c r="O756" s="1196"/>
      <c r="P756" s="1196"/>
      <c r="Q756" s="1196"/>
      <c r="R756" s="1196"/>
      <c r="S756" s="1196"/>
      <c r="T756" s="1196"/>
      <c r="U756" s="1196"/>
      <c r="V756" s="1196"/>
      <c r="W756" s="1196"/>
      <c r="X756" s="1196"/>
      <c r="Y756" s="1196"/>
      <c r="Z756" s="1196"/>
    </row>
    <row r="757" spans="1:26" ht="12.75" customHeight="1">
      <c r="A757" s="1196"/>
      <c r="B757" s="1196"/>
      <c r="C757" s="1196"/>
      <c r="D757" s="1196"/>
      <c r="E757" s="1196"/>
      <c r="F757" s="1196"/>
      <c r="G757" s="1196"/>
      <c r="H757" s="1196"/>
      <c r="I757" s="1196"/>
      <c r="J757" s="1196"/>
      <c r="K757" s="1196"/>
      <c r="L757" s="1196"/>
      <c r="M757" s="1196"/>
      <c r="N757" s="1196"/>
      <c r="O757" s="1196"/>
      <c r="P757" s="1196"/>
      <c r="Q757" s="1196"/>
      <c r="R757" s="1196"/>
      <c r="S757" s="1196"/>
      <c r="T757" s="1196"/>
      <c r="U757" s="1196"/>
      <c r="V757" s="1196"/>
      <c r="W757" s="1196"/>
      <c r="X757" s="1196"/>
      <c r="Y757" s="1196"/>
      <c r="Z757" s="1196"/>
    </row>
    <row r="758" spans="1:26" ht="12.75" customHeight="1">
      <c r="A758" s="1196"/>
      <c r="B758" s="1196"/>
      <c r="C758" s="1196"/>
      <c r="D758" s="1196"/>
      <c r="E758" s="1196"/>
      <c r="F758" s="1196"/>
      <c r="G758" s="1196"/>
      <c r="H758" s="1196"/>
      <c r="I758" s="1196"/>
      <c r="J758" s="1196"/>
      <c r="K758" s="1196"/>
      <c r="L758" s="1196"/>
      <c r="M758" s="1196"/>
      <c r="N758" s="1196"/>
      <c r="O758" s="1196"/>
      <c r="P758" s="1196"/>
      <c r="Q758" s="1196"/>
      <c r="R758" s="1196"/>
      <c r="S758" s="1196"/>
      <c r="T758" s="1196"/>
      <c r="U758" s="1196"/>
      <c r="V758" s="1196"/>
      <c r="W758" s="1196"/>
      <c r="X758" s="1196"/>
      <c r="Y758" s="1196"/>
      <c r="Z758" s="1196"/>
    </row>
    <row r="759" spans="1:26" ht="12.75" customHeight="1">
      <c r="A759" s="1196"/>
      <c r="B759" s="1196"/>
      <c r="C759" s="1196"/>
      <c r="D759" s="1196"/>
      <c r="E759" s="1196"/>
      <c r="F759" s="1196"/>
      <c r="G759" s="1196"/>
      <c r="H759" s="1196"/>
      <c r="I759" s="1196"/>
      <c r="J759" s="1196"/>
      <c r="K759" s="1196"/>
      <c r="L759" s="1196"/>
      <c r="M759" s="1196"/>
      <c r="N759" s="1196"/>
      <c r="O759" s="1196"/>
      <c r="P759" s="1196"/>
      <c r="Q759" s="1196"/>
      <c r="R759" s="1196"/>
      <c r="S759" s="1196"/>
      <c r="T759" s="1196"/>
      <c r="U759" s="1196"/>
      <c r="V759" s="1196"/>
      <c r="W759" s="1196"/>
      <c r="X759" s="1196"/>
      <c r="Y759" s="1196"/>
      <c r="Z759" s="1196"/>
    </row>
    <row r="760" spans="1:26" ht="12.75" customHeight="1">
      <c r="A760" s="1196"/>
      <c r="B760" s="1196"/>
      <c r="C760" s="1196"/>
      <c r="D760" s="1196"/>
      <c r="E760" s="1196"/>
      <c r="F760" s="1196"/>
      <c r="G760" s="1196"/>
      <c r="H760" s="1196"/>
      <c r="I760" s="1196"/>
      <c r="J760" s="1196"/>
      <c r="K760" s="1196"/>
      <c r="L760" s="1196"/>
      <c r="M760" s="1196"/>
      <c r="N760" s="1196"/>
      <c r="O760" s="1196"/>
      <c r="P760" s="1196"/>
      <c r="Q760" s="1196"/>
      <c r="R760" s="1196"/>
      <c r="S760" s="1196"/>
      <c r="T760" s="1196"/>
      <c r="U760" s="1196"/>
      <c r="V760" s="1196"/>
      <c r="W760" s="1196"/>
      <c r="X760" s="1196"/>
      <c r="Y760" s="1196"/>
      <c r="Z760" s="1196"/>
    </row>
    <row r="761" spans="1:26" ht="12.75" customHeight="1">
      <c r="A761" s="1196"/>
      <c r="B761" s="1196"/>
      <c r="C761" s="1196"/>
      <c r="D761" s="1196"/>
      <c r="E761" s="1196"/>
      <c r="F761" s="1196"/>
      <c r="G761" s="1196"/>
      <c r="H761" s="1196"/>
      <c r="I761" s="1196"/>
      <c r="J761" s="1196"/>
      <c r="K761" s="1196"/>
      <c r="L761" s="1196"/>
      <c r="M761" s="1196"/>
      <c r="N761" s="1196"/>
      <c r="O761" s="1196"/>
      <c r="P761" s="1196"/>
      <c r="Q761" s="1196"/>
      <c r="R761" s="1196"/>
      <c r="S761" s="1196"/>
      <c r="T761" s="1196"/>
      <c r="U761" s="1196"/>
      <c r="V761" s="1196"/>
      <c r="W761" s="1196"/>
      <c r="X761" s="1196"/>
      <c r="Y761" s="1196"/>
      <c r="Z761" s="1196"/>
    </row>
    <row r="762" spans="1:26" ht="12.75" customHeight="1">
      <c r="A762" s="1196"/>
      <c r="B762" s="1196"/>
      <c r="C762" s="1196"/>
      <c r="D762" s="1196"/>
      <c r="E762" s="1196"/>
      <c r="F762" s="1196"/>
      <c r="G762" s="1196"/>
      <c r="H762" s="1196"/>
      <c r="I762" s="1196"/>
      <c r="J762" s="1196"/>
      <c r="K762" s="1196"/>
      <c r="L762" s="1196"/>
      <c r="M762" s="1196"/>
      <c r="N762" s="1196"/>
      <c r="O762" s="1196"/>
      <c r="P762" s="1196"/>
      <c r="Q762" s="1196"/>
      <c r="R762" s="1196"/>
      <c r="S762" s="1196"/>
      <c r="T762" s="1196"/>
      <c r="U762" s="1196"/>
      <c r="V762" s="1196"/>
      <c r="W762" s="1196"/>
      <c r="X762" s="1196"/>
      <c r="Y762" s="1196"/>
      <c r="Z762" s="1196"/>
    </row>
    <row r="763" spans="1:26" ht="12.75" customHeight="1">
      <c r="A763" s="1196"/>
      <c r="B763" s="1196"/>
      <c r="C763" s="1196"/>
      <c r="D763" s="1196"/>
      <c r="E763" s="1196"/>
      <c r="F763" s="1196"/>
      <c r="G763" s="1196"/>
      <c r="H763" s="1196"/>
      <c r="I763" s="1196"/>
      <c r="J763" s="1196"/>
      <c r="K763" s="1196"/>
      <c r="L763" s="1196"/>
      <c r="M763" s="1196"/>
      <c r="N763" s="1196"/>
      <c r="O763" s="1196"/>
      <c r="P763" s="1196"/>
      <c r="Q763" s="1196"/>
      <c r="R763" s="1196"/>
      <c r="S763" s="1196"/>
      <c r="T763" s="1196"/>
      <c r="U763" s="1196"/>
      <c r="V763" s="1196"/>
      <c r="W763" s="1196"/>
      <c r="X763" s="1196"/>
      <c r="Y763" s="1196"/>
      <c r="Z763" s="1196"/>
    </row>
    <row r="764" spans="1:26" ht="12.75" customHeight="1">
      <c r="A764" s="1196"/>
      <c r="B764" s="1196"/>
      <c r="C764" s="1196"/>
      <c r="D764" s="1196"/>
      <c r="E764" s="1196"/>
      <c r="F764" s="1196"/>
      <c r="G764" s="1196"/>
      <c r="H764" s="1196"/>
      <c r="I764" s="1196"/>
      <c r="J764" s="1196"/>
      <c r="K764" s="1196"/>
      <c r="L764" s="1196"/>
      <c r="M764" s="1196"/>
      <c r="N764" s="1196"/>
      <c r="O764" s="1196"/>
      <c r="P764" s="1196"/>
      <c r="Q764" s="1196"/>
      <c r="R764" s="1196"/>
      <c r="S764" s="1196"/>
      <c r="T764" s="1196"/>
      <c r="U764" s="1196"/>
      <c r="V764" s="1196"/>
      <c r="W764" s="1196"/>
      <c r="X764" s="1196"/>
      <c r="Y764" s="1196"/>
      <c r="Z764" s="1196"/>
    </row>
    <row r="765" spans="1:26" ht="12.75" customHeight="1">
      <c r="A765" s="1196"/>
      <c r="B765" s="1196"/>
      <c r="C765" s="1196"/>
      <c r="D765" s="1196"/>
      <c r="E765" s="1196"/>
      <c r="F765" s="1196"/>
      <c r="G765" s="1196"/>
      <c r="H765" s="1196"/>
      <c r="I765" s="1196"/>
      <c r="J765" s="1196"/>
      <c r="K765" s="1196"/>
      <c r="L765" s="1196"/>
      <c r="M765" s="1196"/>
      <c r="N765" s="1196"/>
      <c r="O765" s="1196"/>
      <c r="P765" s="1196"/>
      <c r="Q765" s="1196"/>
      <c r="R765" s="1196"/>
      <c r="S765" s="1196"/>
      <c r="T765" s="1196"/>
      <c r="U765" s="1196"/>
      <c r="V765" s="1196"/>
      <c r="W765" s="1196"/>
      <c r="X765" s="1196"/>
      <c r="Y765" s="1196"/>
      <c r="Z765" s="1196"/>
    </row>
    <row r="766" spans="1:26" ht="12.75" customHeight="1">
      <c r="A766" s="1196"/>
      <c r="B766" s="1196"/>
      <c r="C766" s="1196"/>
      <c r="D766" s="1196"/>
      <c r="E766" s="1196"/>
      <c r="F766" s="1196"/>
      <c r="G766" s="1196"/>
      <c r="H766" s="1196"/>
      <c r="I766" s="1196"/>
      <c r="J766" s="1196"/>
      <c r="K766" s="1196"/>
      <c r="L766" s="1196"/>
      <c r="M766" s="1196"/>
      <c r="N766" s="1196"/>
      <c r="O766" s="1196"/>
      <c r="P766" s="1196"/>
      <c r="Q766" s="1196"/>
      <c r="R766" s="1196"/>
      <c r="S766" s="1196"/>
      <c r="T766" s="1196"/>
      <c r="U766" s="1196"/>
      <c r="V766" s="1196"/>
      <c r="W766" s="1196"/>
      <c r="X766" s="1196"/>
      <c r="Y766" s="1196"/>
      <c r="Z766" s="1196"/>
    </row>
    <row r="767" spans="1:26" ht="12.75" customHeight="1">
      <c r="A767" s="1196"/>
      <c r="B767" s="1196"/>
      <c r="C767" s="1196"/>
      <c r="D767" s="1196"/>
      <c r="E767" s="1196"/>
      <c r="F767" s="1196"/>
      <c r="G767" s="1196"/>
      <c r="H767" s="1196"/>
      <c r="I767" s="1196"/>
      <c r="J767" s="1196"/>
      <c r="K767" s="1196"/>
      <c r="L767" s="1196"/>
      <c r="M767" s="1196"/>
      <c r="N767" s="1196"/>
      <c r="O767" s="1196"/>
      <c r="P767" s="1196"/>
      <c r="Q767" s="1196"/>
      <c r="R767" s="1196"/>
      <c r="S767" s="1196"/>
      <c r="T767" s="1196"/>
      <c r="U767" s="1196"/>
      <c r="V767" s="1196"/>
      <c r="W767" s="1196"/>
      <c r="X767" s="1196"/>
      <c r="Y767" s="1196"/>
      <c r="Z767" s="1196"/>
    </row>
    <row r="768" spans="1:26" ht="12.75" customHeight="1">
      <c r="A768" s="1196"/>
      <c r="B768" s="1196"/>
      <c r="C768" s="1196"/>
      <c r="D768" s="1196"/>
      <c r="E768" s="1196"/>
      <c r="F768" s="1196"/>
      <c r="G768" s="1196"/>
      <c r="H768" s="1196"/>
      <c r="I768" s="1196"/>
      <c r="J768" s="1196"/>
      <c r="K768" s="1196"/>
      <c r="L768" s="1196"/>
      <c r="M768" s="1196"/>
      <c r="N768" s="1196"/>
      <c r="O768" s="1196"/>
      <c r="P768" s="1196"/>
      <c r="Q768" s="1196"/>
      <c r="R768" s="1196"/>
      <c r="S768" s="1196"/>
      <c r="T768" s="1196"/>
      <c r="U768" s="1196"/>
      <c r="V768" s="1196"/>
      <c r="W768" s="1196"/>
      <c r="X768" s="1196"/>
      <c r="Y768" s="1196"/>
      <c r="Z768" s="1196"/>
    </row>
    <row r="769" spans="1:26" ht="12.75" customHeight="1">
      <c r="A769" s="1196"/>
      <c r="B769" s="1196"/>
      <c r="C769" s="1196"/>
      <c r="D769" s="1196"/>
      <c r="E769" s="1196"/>
      <c r="F769" s="1196"/>
      <c r="G769" s="1196"/>
      <c r="H769" s="1196"/>
      <c r="I769" s="1196"/>
      <c r="J769" s="1196"/>
      <c r="K769" s="1196"/>
      <c r="L769" s="1196"/>
      <c r="M769" s="1196"/>
      <c r="N769" s="1196"/>
      <c r="O769" s="1196"/>
      <c r="P769" s="1196"/>
      <c r="Q769" s="1196"/>
      <c r="R769" s="1196"/>
      <c r="S769" s="1196"/>
      <c r="T769" s="1196"/>
      <c r="U769" s="1196"/>
      <c r="V769" s="1196"/>
      <c r="W769" s="1196"/>
      <c r="X769" s="1196"/>
      <c r="Y769" s="1196"/>
      <c r="Z769" s="1196"/>
    </row>
    <row r="770" spans="1:26" ht="12.75" customHeight="1">
      <c r="A770" s="1196"/>
      <c r="B770" s="1196"/>
      <c r="C770" s="1196"/>
      <c r="D770" s="1196"/>
      <c r="E770" s="1196"/>
      <c r="F770" s="1196"/>
      <c r="G770" s="1196"/>
      <c r="H770" s="1196"/>
      <c r="I770" s="1196"/>
      <c r="J770" s="1196"/>
      <c r="K770" s="1196"/>
      <c r="L770" s="1196"/>
      <c r="M770" s="1196"/>
      <c r="N770" s="1196"/>
      <c r="O770" s="1196"/>
      <c r="P770" s="1196"/>
      <c r="Q770" s="1196"/>
      <c r="R770" s="1196"/>
      <c r="S770" s="1196"/>
      <c r="T770" s="1196"/>
      <c r="U770" s="1196"/>
      <c r="V770" s="1196"/>
      <c r="W770" s="1196"/>
      <c r="X770" s="1196"/>
      <c r="Y770" s="1196"/>
      <c r="Z770" s="1196"/>
    </row>
    <row r="771" spans="1:26" ht="12.75" customHeight="1">
      <c r="A771" s="1196"/>
      <c r="B771" s="1196"/>
      <c r="C771" s="1196"/>
      <c r="D771" s="1196"/>
      <c r="E771" s="1196"/>
      <c r="F771" s="1196"/>
      <c r="G771" s="1196"/>
      <c r="H771" s="1196"/>
      <c r="I771" s="1196"/>
      <c r="J771" s="1196"/>
      <c r="K771" s="1196"/>
      <c r="L771" s="1196"/>
      <c r="M771" s="1196"/>
      <c r="N771" s="1196"/>
      <c r="O771" s="1196"/>
      <c r="P771" s="1196"/>
      <c r="Q771" s="1196"/>
      <c r="R771" s="1196"/>
      <c r="S771" s="1196"/>
      <c r="T771" s="1196"/>
      <c r="U771" s="1196"/>
      <c r="V771" s="1196"/>
      <c r="W771" s="1196"/>
      <c r="X771" s="1196"/>
      <c r="Y771" s="1196"/>
      <c r="Z771" s="1196"/>
    </row>
    <row r="772" spans="1:26" ht="12.75" customHeight="1">
      <c r="A772" s="1196"/>
      <c r="B772" s="1196"/>
      <c r="C772" s="1196"/>
      <c r="D772" s="1196"/>
      <c r="E772" s="1196"/>
      <c r="F772" s="1196"/>
      <c r="G772" s="1196"/>
      <c r="H772" s="1196"/>
      <c r="I772" s="1196"/>
      <c r="J772" s="1196"/>
      <c r="K772" s="1196"/>
      <c r="L772" s="1196"/>
      <c r="M772" s="1196"/>
      <c r="N772" s="1196"/>
      <c r="O772" s="1196"/>
      <c r="P772" s="1196"/>
      <c r="Q772" s="1196"/>
      <c r="R772" s="1196"/>
      <c r="S772" s="1196"/>
      <c r="T772" s="1196"/>
      <c r="U772" s="1196"/>
      <c r="V772" s="1196"/>
      <c r="W772" s="1196"/>
      <c r="X772" s="1196"/>
      <c r="Y772" s="1196"/>
      <c r="Z772" s="1196"/>
    </row>
    <row r="773" spans="1:26" ht="12.75" customHeight="1">
      <c r="A773" s="1196"/>
      <c r="B773" s="1196"/>
      <c r="C773" s="1196"/>
      <c r="D773" s="1196"/>
      <c r="E773" s="1196"/>
      <c r="F773" s="1196"/>
      <c r="G773" s="1196"/>
      <c r="H773" s="1196"/>
      <c r="I773" s="1196"/>
      <c r="J773" s="1196"/>
      <c r="K773" s="1196"/>
      <c r="L773" s="1196"/>
      <c r="M773" s="1196"/>
      <c r="N773" s="1196"/>
      <c r="O773" s="1196"/>
      <c r="P773" s="1196"/>
      <c r="Q773" s="1196"/>
      <c r="R773" s="1196"/>
      <c r="S773" s="1196"/>
      <c r="T773" s="1196"/>
      <c r="U773" s="1196"/>
      <c r="V773" s="1196"/>
      <c r="W773" s="1196"/>
      <c r="X773" s="1196"/>
      <c r="Y773" s="1196"/>
      <c r="Z773" s="1196"/>
    </row>
    <row r="774" spans="1:26" ht="12.75" customHeight="1">
      <c r="A774" s="1196"/>
      <c r="B774" s="1196"/>
      <c r="C774" s="1196"/>
      <c r="D774" s="1196"/>
      <c r="E774" s="1196"/>
      <c r="F774" s="1196"/>
      <c r="G774" s="1196"/>
      <c r="H774" s="1196"/>
      <c r="I774" s="1196"/>
      <c r="J774" s="1196"/>
      <c r="K774" s="1196"/>
      <c r="L774" s="1196"/>
      <c r="M774" s="1196"/>
      <c r="N774" s="1196"/>
      <c r="O774" s="1196"/>
      <c r="P774" s="1196"/>
      <c r="Q774" s="1196"/>
      <c r="R774" s="1196"/>
      <c r="S774" s="1196"/>
      <c r="T774" s="1196"/>
      <c r="U774" s="1196"/>
      <c r="V774" s="1196"/>
      <c r="W774" s="1196"/>
      <c r="X774" s="1196"/>
      <c r="Y774" s="1196"/>
      <c r="Z774" s="1196"/>
    </row>
    <row r="775" spans="1:26" ht="12.75" customHeight="1">
      <c r="A775" s="1196"/>
      <c r="B775" s="1196"/>
      <c r="C775" s="1196"/>
      <c r="D775" s="1196"/>
      <c r="E775" s="1196"/>
      <c r="F775" s="1196"/>
      <c r="G775" s="1196"/>
      <c r="H775" s="1196"/>
      <c r="I775" s="1196"/>
      <c r="J775" s="1196"/>
      <c r="K775" s="1196"/>
      <c r="L775" s="1196"/>
      <c r="M775" s="1196"/>
      <c r="N775" s="1196"/>
      <c r="O775" s="1196"/>
      <c r="P775" s="1196"/>
      <c r="Q775" s="1196"/>
      <c r="R775" s="1196"/>
      <c r="S775" s="1196"/>
      <c r="T775" s="1196"/>
      <c r="U775" s="1196"/>
      <c r="V775" s="1196"/>
      <c r="W775" s="1196"/>
      <c r="X775" s="1196"/>
      <c r="Y775" s="1196"/>
      <c r="Z775" s="1196"/>
    </row>
    <row r="776" spans="1:26" ht="12.75" customHeight="1">
      <c r="A776" s="1196"/>
      <c r="B776" s="1196"/>
      <c r="C776" s="1196"/>
      <c r="D776" s="1196"/>
      <c r="E776" s="1196"/>
      <c r="F776" s="1196"/>
      <c r="G776" s="1196"/>
      <c r="H776" s="1196"/>
      <c r="I776" s="1196"/>
      <c r="J776" s="1196"/>
      <c r="K776" s="1196"/>
      <c r="L776" s="1196"/>
      <c r="M776" s="1196"/>
      <c r="N776" s="1196"/>
      <c r="O776" s="1196"/>
      <c r="P776" s="1196"/>
      <c r="Q776" s="1196"/>
      <c r="R776" s="1196"/>
      <c r="S776" s="1196"/>
      <c r="T776" s="1196"/>
      <c r="U776" s="1196"/>
      <c r="V776" s="1196"/>
      <c r="W776" s="1196"/>
      <c r="X776" s="1196"/>
      <c r="Y776" s="1196"/>
      <c r="Z776" s="1196"/>
    </row>
    <row r="777" spans="1:26" ht="12.75" customHeight="1">
      <c r="A777" s="1196"/>
      <c r="B777" s="1196"/>
      <c r="C777" s="1196"/>
      <c r="D777" s="1196"/>
      <c r="E777" s="1196"/>
      <c r="F777" s="1196"/>
      <c r="G777" s="1196"/>
      <c r="H777" s="1196"/>
      <c r="I777" s="1196"/>
      <c r="J777" s="1196"/>
      <c r="K777" s="1196"/>
      <c r="L777" s="1196"/>
      <c r="M777" s="1196"/>
      <c r="N777" s="1196"/>
      <c r="O777" s="1196"/>
      <c r="P777" s="1196"/>
      <c r="Q777" s="1196"/>
      <c r="R777" s="1196"/>
      <c r="S777" s="1196"/>
      <c r="T777" s="1196"/>
      <c r="U777" s="1196"/>
      <c r="V777" s="1196"/>
      <c r="W777" s="1196"/>
      <c r="X777" s="1196"/>
      <c r="Y777" s="1196"/>
      <c r="Z777" s="1196"/>
    </row>
    <row r="778" spans="1:26" ht="12.75" customHeight="1">
      <c r="A778" s="1196"/>
      <c r="B778" s="1196"/>
      <c r="C778" s="1196"/>
      <c r="D778" s="1196"/>
      <c r="E778" s="1196"/>
      <c r="F778" s="1196"/>
      <c r="G778" s="1196"/>
      <c r="H778" s="1196"/>
      <c r="I778" s="1196"/>
      <c r="J778" s="1196"/>
      <c r="K778" s="1196"/>
      <c r="L778" s="1196"/>
      <c r="M778" s="1196"/>
      <c r="N778" s="1196"/>
      <c r="O778" s="1196"/>
      <c r="P778" s="1196"/>
      <c r="Q778" s="1196"/>
      <c r="R778" s="1196"/>
      <c r="S778" s="1196"/>
      <c r="T778" s="1196"/>
      <c r="U778" s="1196"/>
      <c r="V778" s="1196"/>
      <c r="W778" s="1196"/>
      <c r="X778" s="1196"/>
      <c r="Y778" s="1196"/>
      <c r="Z778" s="1196"/>
    </row>
    <row r="779" spans="1:26" ht="12.75" customHeight="1">
      <c r="A779" s="1196"/>
      <c r="B779" s="1196"/>
      <c r="C779" s="1196"/>
      <c r="D779" s="1196"/>
      <c r="E779" s="1196"/>
      <c r="F779" s="1196"/>
      <c r="G779" s="1196"/>
      <c r="H779" s="1196"/>
      <c r="I779" s="1196"/>
      <c r="J779" s="1196"/>
      <c r="K779" s="1196"/>
      <c r="L779" s="1196"/>
      <c r="M779" s="1196"/>
      <c r="N779" s="1196"/>
      <c r="O779" s="1196"/>
      <c r="P779" s="1196"/>
      <c r="Q779" s="1196"/>
      <c r="R779" s="1196"/>
      <c r="S779" s="1196"/>
      <c r="T779" s="1196"/>
      <c r="U779" s="1196"/>
      <c r="V779" s="1196"/>
      <c r="W779" s="1196"/>
      <c r="X779" s="1196"/>
      <c r="Y779" s="1196"/>
      <c r="Z779" s="1196"/>
    </row>
    <row r="780" spans="1:26" ht="12.75" customHeight="1">
      <c r="A780" s="1196"/>
      <c r="B780" s="1196"/>
      <c r="C780" s="1196"/>
      <c r="D780" s="1196"/>
      <c r="E780" s="1196"/>
      <c r="F780" s="1196"/>
      <c r="G780" s="1196"/>
      <c r="H780" s="1196"/>
      <c r="I780" s="1196"/>
      <c r="J780" s="1196"/>
      <c r="K780" s="1196"/>
      <c r="L780" s="1196"/>
      <c r="M780" s="1196"/>
      <c r="N780" s="1196"/>
      <c r="O780" s="1196"/>
      <c r="P780" s="1196"/>
      <c r="Q780" s="1196"/>
      <c r="R780" s="1196"/>
      <c r="S780" s="1196"/>
      <c r="T780" s="1196"/>
      <c r="U780" s="1196"/>
      <c r="V780" s="1196"/>
      <c r="W780" s="1196"/>
      <c r="X780" s="1196"/>
      <c r="Y780" s="1196"/>
      <c r="Z780" s="1196"/>
    </row>
    <row r="781" spans="1:26" ht="12.75" customHeight="1">
      <c r="A781" s="1196"/>
      <c r="B781" s="1196"/>
      <c r="C781" s="1196"/>
      <c r="D781" s="1196"/>
      <c r="E781" s="1196"/>
      <c r="F781" s="1196"/>
      <c r="G781" s="1196"/>
      <c r="H781" s="1196"/>
      <c r="I781" s="1196"/>
      <c r="J781" s="1196"/>
      <c r="K781" s="1196"/>
      <c r="L781" s="1196"/>
      <c r="M781" s="1196"/>
      <c r="N781" s="1196"/>
      <c r="O781" s="1196"/>
      <c r="P781" s="1196"/>
      <c r="Q781" s="1196"/>
      <c r="R781" s="1196"/>
      <c r="S781" s="1196"/>
      <c r="T781" s="1196"/>
      <c r="U781" s="1196"/>
      <c r="V781" s="1196"/>
      <c r="W781" s="1196"/>
      <c r="X781" s="1196"/>
      <c r="Y781" s="1196"/>
      <c r="Z781" s="1196"/>
    </row>
    <row r="782" spans="1:26" ht="12.75" customHeight="1">
      <c r="A782" s="1196"/>
      <c r="B782" s="1196"/>
      <c r="C782" s="1196"/>
      <c r="D782" s="1196"/>
      <c r="E782" s="1196"/>
      <c r="F782" s="1196"/>
      <c r="G782" s="1196"/>
      <c r="H782" s="1196"/>
      <c r="I782" s="1196"/>
      <c r="J782" s="1196"/>
      <c r="K782" s="1196"/>
      <c r="L782" s="1196"/>
      <c r="M782" s="1196"/>
      <c r="N782" s="1196"/>
      <c r="O782" s="1196"/>
      <c r="P782" s="1196"/>
      <c r="Q782" s="1196"/>
      <c r="R782" s="1196"/>
      <c r="S782" s="1196"/>
      <c r="T782" s="1196"/>
      <c r="U782" s="1196"/>
      <c r="V782" s="1196"/>
      <c r="W782" s="1196"/>
      <c r="X782" s="1196"/>
      <c r="Y782" s="1196"/>
      <c r="Z782" s="1196"/>
    </row>
    <row r="783" spans="1:26" ht="12.75" customHeight="1">
      <c r="A783" s="1196"/>
      <c r="B783" s="1196"/>
      <c r="C783" s="1196"/>
      <c r="D783" s="1196"/>
      <c r="E783" s="1196"/>
      <c r="F783" s="1196"/>
      <c r="G783" s="1196"/>
      <c r="H783" s="1196"/>
      <c r="I783" s="1196"/>
      <c r="J783" s="1196"/>
      <c r="K783" s="1196"/>
      <c r="L783" s="1196"/>
      <c r="M783" s="1196"/>
      <c r="N783" s="1196"/>
      <c r="O783" s="1196"/>
      <c r="P783" s="1196"/>
      <c r="Q783" s="1196"/>
      <c r="R783" s="1196"/>
      <c r="S783" s="1196"/>
      <c r="T783" s="1196"/>
      <c r="U783" s="1196"/>
      <c r="V783" s="1196"/>
      <c r="W783" s="1196"/>
      <c r="X783" s="1196"/>
      <c r="Y783" s="1196"/>
      <c r="Z783" s="1196"/>
    </row>
    <row r="784" spans="1:26" ht="12.75" customHeight="1">
      <c r="A784" s="1196"/>
      <c r="B784" s="1196"/>
      <c r="C784" s="1196"/>
      <c r="D784" s="1196"/>
      <c r="E784" s="1196"/>
      <c r="F784" s="1196"/>
      <c r="G784" s="1196"/>
      <c r="H784" s="1196"/>
      <c r="I784" s="1196"/>
      <c r="J784" s="1196"/>
      <c r="K784" s="1196"/>
      <c r="L784" s="1196"/>
      <c r="M784" s="1196"/>
      <c r="N784" s="1196"/>
      <c r="O784" s="1196"/>
      <c r="P784" s="1196"/>
      <c r="Q784" s="1196"/>
      <c r="R784" s="1196"/>
      <c r="S784" s="1196"/>
      <c r="T784" s="1196"/>
      <c r="U784" s="1196"/>
      <c r="V784" s="1196"/>
      <c r="W784" s="1196"/>
      <c r="X784" s="1196"/>
      <c r="Y784" s="1196"/>
      <c r="Z784" s="1196"/>
    </row>
    <row r="785" spans="1:26" ht="12.75" customHeight="1">
      <c r="A785" s="1196"/>
      <c r="B785" s="1196"/>
      <c r="C785" s="1196"/>
      <c r="D785" s="1196"/>
      <c r="E785" s="1196"/>
      <c r="F785" s="1196"/>
      <c r="G785" s="1196"/>
      <c r="H785" s="1196"/>
      <c r="I785" s="1196"/>
      <c r="J785" s="1196"/>
      <c r="K785" s="1196"/>
      <c r="L785" s="1196"/>
      <c r="M785" s="1196"/>
      <c r="N785" s="1196"/>
      <c r="O785" s="1196"/>
      <c r="P785" s="1196"/>
      <c r="Q785" s="1196"/>
      <c r="R785" s="1196"/>
      <c r="S785" s="1196"/>
      <c r="T785" s="1196"/>
      <c r="U785" s="1196"/>
      <c r="V785" s="1196"/>
      <c r="W785" s="1196"/>
      <c r="X785" s="1196"/>
      <c r="Y785" s="1196"/>
      <c r="Z785" s="1196"/>
    </row>
    <row r="786" spans="1:26" ht="12.75" customHeight="1">
      <c r="A786" s="1196"/>
      <c r="B786" s="1196"/>
      <c r="C786" s="1196"/>
      <c r="D786" s="1196"/>
      <c r="E786" s="1196"/>
      <c r="F786" s="1196"/>
      <c r="G786" s="1196"/>
      <c r="H786" s="1196"/>
      <c r="I786" s="1196"/>
      <c r="J786" s="1196"/>
      <c r="K786" s="1196"/>
      <c r="L786" s="1196"/>
      <c r="M786" s="1196"/>
      <c r="N786" s="1196"/>
      <c r="O786" s="1196"/>
      <c r="P786" s="1196"/>
      <c r="Q786" s="1196"/>
      <c r="R786" s="1196"/>
      <c r="S786" s="1196"/>
      <c r="T786" s="1196"/>
      <c r="U786" s="1196"/>
      <c r="V786" s="1196"/>
      <c r="W786" s="1196"/>
      <c r="X786" s="1196"/>
      <c r="Y786" s="1196"/>
      <c r="Z786" s="1196"/>
    </row>
    <row r="787" spans="1:26" ht="12.75" customHeight="1">
      <c r="A787" s="1196"/>
      <c r="B787" s="1196"/>
      <c r="C787" s="1196"/>
      <c r="D787" s="1196"/>
      <c r="E787" s="1196"/>
      <c r="F787" s="1196"/>
      <c r="G787" s="1196"/>
      <c r="H787" s="1196"/>
      <c r="I787" s="1196"/>
      <c r="J787" s="1196"/>
      <c r="K787" s="1196"/>
      <c r="L787" s="1196"/>
      <c r="M787" s="1196"/>
      <c r="N787" s="1196"/>
      <c r="O787" s="1196"/>
      <c r="P787" s="1196"/>
      <c r="Q787" s="1196"/>
      <c r="R787" s="1196"/>
      <c r="S787" s="1196"/>
      <c r="T787" s="1196"/>
      <c r="U787" s="1196"/>
      <c r="V787" s="1196"/>
      <c r="W787" s="1196"/>
      <c r="X787" s="1196"/>
      <c r="Y787" s="1196"/>
      <c r="Z787" s="1196"/>
    </row>
    <row r="788" spans="1:26" ht="12.75" customHeight="1">
      <c r="A788" s="1196"/>
      <c r="B788" s="1196"/>
      <c r="C788" s="1196"/>
      <c r="D788" s="1196"/>
      <c r="E788" s="1196"/>
      <c r="F788" s="1196"/>
      <c r="G788" s="1196"/>
      <c r="H788" s="1196"/>
      <c r="I788" s="1196"/>
      <c r="J788" s="1196"/>
      <c r="K788" s="1196"/>
      <c r="L788" s="1196"/>
      <c r="M788" s="1196"/>
      <c r="N788" s="1196"/>
      <c r="O788" s="1196"/>
      <c r="P788" s="1196"/>
      <c r="Q788" s="1196"/>
      <c r="R788" s="1196"/>
      <c r="S788" s="1196"/>
      <c r="T788" s="1196"/>
      <c r="U788" s="1196"/>
      <c r="V788" s="1196"/>
      <c r="W788" s="1196"/>
      <c r="X788" s="1196"/>
      <c r="Y788" s="1196"/>
      <c r="Z788" s="1196"/>
    </row>
    <row r="789" spans="1:26" ht="12.75" customHeight="1">
      <c r="A789" s="1196"/>
      <c r="B789" s="1196"/>
      <c r="C789" s="1196"/>
      <c r="D789" s="1196"/>
      <c r="E789" s="1196"/>
      <c r="F789" s="1196"/>
      <c r="G789" s="1196"/>
      <c r="H789" s="1196"/>
      <c r="I789" s="1196"/>
      <c r="J789" s="1196"/>
      <c r="K789" s="1196"/>
      <c r="L789" s="1196"/>
      <c r="M789" s="1196"/>
      <c r="N789" s="1196"/>
      <c r="O789" s="1196"/>
      <c r="P789" s="1196"/>
      <c r="Q789" s="1196"/>
      <c r="R789" s="1196"/>
      <c r="S789" s="1196"/>
      <c r="T789" s="1196"/>
      <c r="U789" s="1196"/>
      <c r="V789" s="1196"/>
      <c r="W789" s="1196"/>
      <c r="X789" s="1196"/>
      <c r="Y789" s="1196"/>
      <c r="Z789" s="1196"/>
    </row>
    <row r="790" spans="1:26" ht="12.75" customHeight="1">
      <c r="A790" s="1196"/>
      <c r="B790" s="1196"/>
      <c r="C790" s="1196"/>
      <c r="D790" s="1196"/>
      <c r="E790" s="1196"/>
      <c r="F790" s="1196"/>
      <c r="G790" s="1196"/>
      <c r="H790" s="1196"/>
      <c r="I790" s="1196"/>
      <c r="J790" s="1196"/>
      <c r="K790" s="1196"/>
      <c r="L790" s="1196"/>
      <c r="M790" s="1196"/>
      <c r="N790" s="1196"/>
      <c r="O790" s="1196"/>
      <c r="P790" s="1196"/>
      <c r="Q790" s="1196"/>
      <c r="R790" s="1196"/>
      <c r="S790" s="1196"/>
      <c r="T790" s="1196"/>
      <c r="U790" s="1196"/>
      <c r="V790" s="1196"/>
      <c r="W790" s="1196"/>
      <c r="X790" s="1196"/>
      <c r="Y790" s="1196"/>
      <c r="Z790" s="1196"/>
    </row>
    <row r="791" spans="1:26" ht="12.75" customHeight="1">
      <c r="A791" s="1196"/>
      <c r="B791" s="1196"/>
      <c r="C791" s="1196"/>
      <c r="D791" s="1196"/>
      <c r="E791" s="1196"/>
      <c r="F791" s="1196"/>
      <c r="G791" s="1196"/>
      <c r="H791" s="1196"/>
      <c r="I791" s="1196"/>
      <c r="J791" s="1196"/>
      <c r="K791" s="1196"/>
      <c r="L791" s="1196"/>
      <c r="M791" s="1196"/>
      <c r="N791" s="1196"/>
      <c r="O791" s="1196"/>
      <c r="P791" s="1196"/>
      <c r="Q791" s="1196"/>
      <c r="R791" s="1196"/>
      <c r="S791" s="1196"/>
      <c r="T791" s="1196"/>
      <c r="U791" s="1196"/>
      <c r="V791" s="1196"/>
      <c r="W791" s="1196"/>
      <c r="X791" s="1196"/>
      <c r="Y791" s="1196"/>
      <c r="Z791" s="1196"/>
    </row>
    <row r="792" spans="1:26" ht="12.75" customHeight="1">
      <c r="A792" s="1196"/>
      <c r="B792" s="1196"/>
      <c r="C792" s="1196"/>
      <c r="D792" s="1196"/>
      <c r="E792" s="1196"/>
      <c r="F792" s="1196"/>
      <c r="G792" s="1196"/>
      <c r="H792" s="1196"/>
      <c r="I792" s="1196"/>
      <c r="J792" s="1196"/>
      <c r="K792" s="1196"/>
      <c r="L792" s="1196"/>
      <c r="M792" s="1196"/>
      <c r="N792" s="1196"/>
      <c r="O792" s="1196"/>
      <c r="P792" s="1196"/>
      <c r="Q792" s="1196"/>
      <c r="R792" s="1196"/>
      <c r="S792" s="1196"/>
      <c r="T792" s="1196"/>
      <c r="U792" s="1196"/>
      <c r="V792" s="1196"/>
      <c r="W792" s="1196"/>
      <c r="X792" s="1196"/>
      <c r="Y792" s="1196"/>
      <c r="Z792" s="1196"/>
    </row>
    <row r="793" spans="1:26" ht="12.75" customHeight="1">
      <c r="A793" s="1196"/>
      <c r="B793" s="1196"/>
      <c r="C793" s="1196"/>
      <c r="D793" s="1196"/>
      <c r="E793" s="1196"/>
      <c r="F793" s="1196"/>
      <c r="G793" s="1196"/>
      <c r="H793" s="1196"/>
      <c r="I793" s="1196"/>
      <c r="J793" s="1196"/>
      <c r="K793" s="1196"/>
      <c r="L793" s="1196"/>
      <c r="M793" s="1196"/>
      <c r="N793" s="1196"/>
      <c r="O793" s="1196"/>
      <c r="P793" s="1196"/>
      <c r="Q793" s="1196"/>
      <c r="R793" s="1196"/>
      <c r="S793" s="1196"/>
      <c r="T793" s="1196"/>
      <c r="U793" s="1196"/>
      <c r="V793" s="1196"/>
      <c r="W793" s="1196"/>
      <c r="X793" s="1196"/>
      <c r="Y793" s="1196"/>
      <c r="Z793" s="1196"/>
    </row>
    <row r="794" spans="1:26" ht="12.75" customHeight="1">
      <c r="A794" s="1196"/>
      <c r="B794" s="1196"/>
      <c r="C794" s="1196"/>
      <c r="D794" s="1196"/>
      <c r="E794" s="1196"/>
      <c r="F794" s="1196"/>
      <c r="G794" s="1196"/>
      <c r="H794" s="1196"/>
      <c r="I794" s="1196"/>
      <c r="J794" s="1196"/>
      <c r="K794" s="1196"/>
      <c r="L794" s="1196"/>
      <c r="M794" s="1196"/>
      <c r="N794" s="1196"/>
      <c r="O794" s="1196"/>
      <c r="P794" s="1196"/>
      <c r="Q794" s="1196"/>
      <c r="R794" s="1196"/>
      <c r="S794" s="1196"/>
      <c r="T794" s="1196"/>
      <c r="U794" s="1196"/>
      <c r="V794" s="1196"/>
      <c r="W794" s="1196"/>
      <c r="X794" s="1196"/>
      <c r="Y794" s="1196"/>
      <c r="Z794" s="1196"/>
    </row>
    <row r="795" spans="1:26" ht="12.75" customHeight="1">
      <c r="A795" s="1196"/>
      <c r="B795" s="1196"/>
      <c r="C795" s="1196"/>
      <c r="D795" s="1196"/>
      <c r="E795" s="1196"/>
      <c r="F795" s="1196"/>
      <c r="G795" s="1196"/>
      <c r="H795" s="1196"/>
      <c r="I795" s="1196"/>
      <c r="J795" s="1196"/>
      <c r="K795" s="1196"/>
      <c r="L795" s="1196"/>
      <c r="M795" s="1196"/>
      <c r="N795" s="1196"/>
      <c r="O795" s="1196"/>
      <c r="P795" s="1196"/>
      <c r="Q795" s="1196"/>
      <c r="R795" s="1196"/>
      <c r="S795" s="1196"/>
      <c r="T795" s="1196"/>
      <c r="U795" s="1196"/>
      <c r="V795" s="1196"/>
      <c r="W795" s="1196"/>
      <c r="X795" s="1196"/>
      <c r="Y795" s="1196"/>
      <c r="Z795" s="1196"/>
    </row>
    <row r="796" spans="1:26" ht="12.75" customHeight="1">
      <c r="A796" s="1196"/>
      <c r="B796" s="1196"/>
      <c r="C796" s="1196"/>
      <c r="D796" s="1196"/>
      <c r="E796" s="1196"/>
      <c r="F796" s="1196"/>
      <c r="G796" s="1196"/>
      <c r="H796" s="1196"/>
      <c r="I796" s="1196"/>
      <c r="J796" s="1196"/>
      <c r="K796" s="1196"/>
      <c r="L796" s="1196"/>
      <c r="M796" s="1196"/>
      <c r="N796" s="1196"/>
      <c r="O796" s="1196"/>
      <c r="P796" s="1196"/>
      <c r="Q796" s="1196"/>
      <c r="R796" s="1196"/>
      <c r="S796" s="1196"/>
      <c r="T796" s="1196"/>
      <c r="U796" s="1196"/>
      <c r="V796" s="1196"/>
      <c r="W796" s="1196"/>
      <c r="X796" s="1196"/>
      <c r="Y796" s="1196"/>
      <c r="Z796" s="1196"/>
    </row>
    <row r="797" spans="1:26" ht="12.75" customHeight="1">
      <c r="A797" s="1196"/>
      <c r="B797" s="1196"/>
      <c r="C797" s="1196"/>
      <c r="D797" s="1196"/>
      <c r="E797" s="1196"/>
      <c r="F797" s="1196"/>
      <c r="G797" s="1196"/>
      <c r="H797" s="1196"/>
      <c r="I797" s="1196"/>
      <c r="J797" s="1196"/>
      <c r="K797" s="1196"/>
      <c r="L797" s="1196"/>
      <c r="M797" s="1196"/>
      <c r="N797" s="1196"/>
      <c r="O797" s="1196"/>
      <c r="P797" s="1196"/>
      <c r="Q797" s="1196"/>
      <c r="R797" s="1196"/>
      <c r="S797" s="1196"/>
      <c r="T797" s="1196"/>
      <c r="U797" s="1196"/>
      <c r="V797" s="1196"/>
      <c r="W797" s="1196"/>
      <c r="X797" s="1196"/>
      <c r="Y797" s="1196"/>
      <c r="Z797" s="1196"/>
    </row>
    <row r="798" spans="1:26" ht="12.75" customHeight="1">
      <c r="A798" s="1196"/>
      <c r="B798" s="1196"/>
      <c r="C798" s="1196"/>
      <c r="D798" s="1196"/>
      <c r="E798" s="1196"/>
      <c r="F798" s="1196"/>
      <c r="G798" s="1196"/>
      <c r="H798" s="1196"/>
      <c r="I798" s="1196"/>
      <c r="J798" s="1196"/>
      <c r="K798" s="1196"/>
      <c r="L798" s="1196"/>
      <c r="M798" s="1196"/>
      <c r="N798" s="1196"/>
      <c r="O798" s="1196"/>
      <c r="P798" s="1196"/>
      <c r="Q798" s="1196"/>
      <c r="R798" s="1196"/>
      <c r="S798" s="1196"/>
      <c r="T798" s="1196"/>
      <c r="U798" s="1196"/>
      <c r="V798" s="1196"/>
      <c r="W798" s="1196"/>
      <c r="X798" s="1196"/>
      <c r="Y798" s="1196"/>
      <c r="Z798" s="1196"/>
    </row>
    <row r="799" spans="1:26" ht="12.75" customHeight="1">
      <c r="A799" s="1196"/>
      <c r="B799" s="1196"/>
      <c r="C799" s="1196"/>
      <c r="D799" s="1196"/>
      <c r="E799" s="1196"/>
      <c r="F799" s="1196"/>
      <c r="G799" s="1196"/>
      <c r="H799" s="1196"/>
      <c r="I799" s="1196"/>
      <c r="J799" s="1196"/>
      <c r="K799" s="1196"/>
      <c r="L799" s="1196"/>
      <c r="M799" s="1196"/>
      <c r="N799" s="1196"/>
      <c r="O799" s="1196"/>
      <c r="P799" s="1196"/>
      <c r="Q799" s="1196"/>
      <c r="R799" s="1196"/>
      <c r="S799" s="1196"/>
      <c r="T799" s="1196"/>
      <c r="U799" s="1196"/>
      <c r="V799" s="1196"/>
      <c r="W799" s="1196"/>
      <c r="X799" s="1196"/>
      <c r="Y799" s="1196"/>
      <c r="Z799" s="1196"/>
    </row>
    <row r="800" spans="1:26" ht="12.75" customHeight="1">
      <c r="A800" s="1196"/>
      <c r="B800" s="1196"/>
      <c r="C800" s="1196"/>
      <c r="D800" s="1196"/>
      <c r="E800" s="1196"/>
      <c r="F800" s="1196"/>
      <c r="G800" s="1196"/>
      <c r="H800" s="1196"/>
      <c r="I800" s="1196"/>
      <c r="J800" s="1196"/>
      <c r="K800" s="1196"/>
      <c r="L800" s="1196"/>
      <c r="M800" s="1196"/>
      <c r="N800" s="1196"/>
      <c r="O800" s="1196"/>
      <c r="P800" s="1196"/>
      <c r="Q800" s="1196"/>
      <c r="R800" s="1196"/>
      <c r="S800" s="1196"/>
      <c r="T800" s="1196"/>
      <c r="U800" s="1196"/>
      <c r="V800" s="1196"/>
      <c r="W800" s="1196"/>
      <c r="X800" s="1196"/>
      <c r="Y800" s="1196"/>
      <c r="Z800" s="1196"/>
    </row>
    <row r="801" spans="1:26" ht="12.75" customHeight="1">
      <c r="A801" s="1196"/>
      <c r="B801" s="1196"/>
      <c r="C801" s="1196"/>
      <c r="D801" s="1196"/>
      <c r="E801" s="1196"/>
      <c r="F801" s="1196"/>
      <c r="G801" s="1196"/>
      <c r="H801" s="1196"/>
      <c r="I801" s="1196"/>
      <c r="J801" s="1196"/>
      <c r="K801" s="1196"/>
      <c r="L801" s="1196"/>
      <c r="M801" s="1196"/>
      <c r="N801" s="1196"/>
      <c r="O801" s="1196"/>
      <c r="P801" s="1196"/>
      <c r="Q801" s="1196"/>
      <c r="R801" s="1196"/>
      <c r="S801" s="1196"/>
      <c r="T801" s="1196"/>
      <c r="U801" s="1196"/>
      <c r="V801" s="1196"/>
      <c r="W801" s="1196"/>
      <c r="X801" s="1196"/>
      <c r="Y801" s="1196"/>
      <c r="Z801" s="1196"/>
    </row>
    <row r="802" spans="1:26" ht="12.75" customHeight="1">
      <c r="A802" s="1196"/>
      <c r="B802" s="1196"/>
      <c r="C802" s="1196"/>
      <c r="D802" s="1196"/>
      <c r="E802" s="1196"/>
      <c r="F802" s="1196"/>
      <c r="G802" s="1196"/>
      <c r="H802" s="1196"/>
      <c r="I802" s="1196"/>
      <c r="J802" s="1196"/>
      <c r="K802" s="1196"/>
      <c r="L802" s="1196"/>
      <c r="M802" s="1196"/>
      <c r="N802" s="1196"/>
      <c r="O802" s="1196"/>
      <c r="P802" s="1196"/>
      <c r="Q802" s="1196"/>
      <c r="R802" s="1196"/>
      <c r="S802" s="1196"/>
      <c r="T802" s="1196"/>
      <c r="U802" s="1196"/>
      <c r="V802" s="1196"/>
      <c r="W802" s="1196"/>
      <c r="X802" s="1196"/>
      <c r="Y802" s="1196"/>
      <c r="Z802" s="1196"/>
    </row>
    <row r="803" spans="1:26" ht="12.75" customHeight="1">
      <c r="A803" s="1196"/>
      <c r="B803" s="1196"/>
      <c r="C803" s="1196"/>
      <c r="D803" s="1196"/>
      <c r="E803" s="1196"/>
      <c r="F803" s="1196"/>
      <c r="G803" s="1196"/>
      <c r="H803" s="1196"/>
      <c r="I803" s="1196"/>
      <c r="J803" s="1196"/>
      <c r="K803" s="1196"/>
      <c r="L803" s="1196"/>
      <c r="M803" s="1196"/>
      <c r="N803" s="1196"/>
      <c r="O803" s="1196"/>
      <c r="P803" s="1196"/>
      <c r="Q803" s="1196"/>
      <c r="R803" s="1196"/>
      <c r="S803" s="1196"/>
      <c r="T803" s="1196"/>
      <c r="U803" s="1196"/>
      <c r="V803" s="1196"/>
      <c r="W803" s="1196"/>
      <c r="X803" s="1196"/>
      <c r="Y803" s="1196"/>
      <c r="Z803" s="1196"/>
    </row>
    <row r="804" spans="1:26" ht="12.75" customHeight="1">
      <c r="A804" s="1196"/>
      <c r="B804" s="1196"/>
      <c r="C804" s="1196"/>
      <c r="D804" s="1196"/>
      <c r="E804" s="1196"/>
      <c r="F804" s="1196"/>
      <c r="G804" s="1196"/>
      <c r="H804" s="1196"/>
      <c r="I804" s="1196"/>
      <c r="J804" s="1196"/>
      <c r="K804" s="1196"/>
      <c r="L804" s="1196"/>
      <c r="M804" s="1196"/>
      <c r="N804" s="1196"/>
      <c r="O804" s="1196"/>
      <c r="P804" s="1196"/>
      <c r="Q804" s="1196"/>
      <c r="R804" s="1196"/>
      <c r="S804" s="1196"/>
      <c r="T804" s="1196"/>
      <c r="U804" s="1196"/>
      <c r="V804" s="1196"/>
      <c r="W804" s="1196"/>
      <c r="X804" s="1196"/>
      <c r="Y804" s="1196"/>
      <c r="Z804" s="1196"/>
    </row>
    <row r="805" spans="1:26" ht="12.75" customHeight="1">
      <c r="A805" s="1196"/>
      <c r="B805" s="1196"/>
      <c r="C805" s="1196"/>
      <c r="D805" s="1196"/>
      <c r="E805" s="1196"/>
      <c r="F805" s="1196"/>
      <c r="G805" s="1196"/>
      <c r="H805" s="1196"/>
      <c r="I805" s="1196"/>
      <c r="J805" s="1196"/>
      <c r="K805" s="1196"/>
      <c r="L805" s="1196"/>
      <c r="M805" s="1196"/>
      <c r="N805" s="1196"/>
      <c r="O805" s="1196"/>
      <c r="P805" s="1196"/>
      <c r="Q805" s="1196"/>
      <c r="R805" s="1196"/>
      <c r="S805" s="1196"/>
      <c r="T805" s="1196"/>
      <c r="U805" s="1196"/>
      <c r="V805" s="1196"/>
      <c r="W805" s="1196"/>
      <c r="X805" s="1196"/>
      <c r="Y805" s="1196"/>
      <c r="Z805" s="1196"/>
    </row>
    <row r="806" spans="1:26" ht="12.75" customHeight="1">
      <c r="A806" s="1196"/>
      <c r="B806" s="1196"/>
      <c r="C806" s="1196"/>
      <c r="D806" s="1196"/>
      <c r="E806" s="1196"/>
      <c r="F806" s="1196"/>
      <c r="G806" s="1196"/>
      <c r="H806" s="1196"/>
      <c r="I806" s="1196"/>
      <c r="J806" s="1196"/>
      <c r="K806" s="1196"/>
      <c r="L806" s="1196"/>
      <c r="M806" s="1196"/>
      <c r="N806" s="1196"/>
      <c r="O806" s="1196"/>
      <c r="P806" s="1196"/>
      <c r="Q806" s="1196"/>
      <c r="R806" s="1196"/>
      <c r="S806" s="1196"/>
      <c r="T806" s="1196"/>
      <c r="U806" s="1196"/>
      <c r="V806" s="1196"/>
      <c r="W806" s="1196"/>
      <c r="X806" s="1196"/>
      <c r="Y806" s="1196"/>
      <c r="Z806" s="1196"/>
    </row>
    <row r="807" spans="1:26" ht="12.75" customHeight="1">
      <c r="A807" s="1196"/>
      <c r="B807" s="1196"/>
      <c r="C807" s="1196"/>
      <c r="D807" s="1196"/>
      <c r="E807" s="1196"/>
      <c r="F807" s="1196"/>
      <c r="G807" s="1196"/>
      <c r="H807" s="1196"/>
      <c r="I807" s="1196"/>
      <c r="J807" s="1196"/>
      <c r="K807" s="1196"/>
      <c r="L807" s="1196"/>
      <c r="M807" s="1196"/>
      <c r="N807" s="1196"/>
      <c r="O807" s="1196"/>
      <c r="P807" s="1196"/>
      <c r="Q807" s="1196"/>
      <c r="R807" s="1196"/>
      <c r="S807" s="1196"/>
      <c r="T807" s="1196"/>
      <c r="U807" s="1196"/>
      <c r="V807" s="1196"/>
      <c r="W807" s="1196"/>
      <c r="X807" s="1196"/>
      <c r="Y807" s="1196"/>
      <c r="Z807" s="1196"/>
    </row>
    <row r="808" spans="1:26" ht="12.75" customHeight="1">
      <c r="A808" s="1196"/>
      <c r="B808" s="1196"/>
      <c r="C808" s="1196"/>
      <c r="D808" s="1196"/>
      <c r="E808" s="1196"/>
      <c r="F808" s="1196"/>
      <c r="G808" s="1196"/>
      <c r="H808" s="1196"/>
      <c r="I808" s="1196"/>
      <c r="J808" s="1196"/>
      <c r="K808" s="1196"/>
      <c r="L808" s="1196"/>
      <c r="M808" s="1196"/>
      <c r="N808" s="1196"/>
      <c r="O808" s="1196"/>
      <c r="P808" s="1196"/>
      <c r="Q808" s="1196"/>
      <c r="R808" s="1196"/>
      <c r="S808" s="1196"/>
      <c r="T808" s="1196"/>
      <c r="U808" s="1196"/>
      <c r="V808" s="1196"/>
      <c r="W808" s="1196"/>
      <c r="X808" s="1196"/>
      <c r="Y808" s="1196"/>
      <c r="Z808" s="1196"/>
    </row>
    <row r="809" spans="1:26" ht="12.75" customHeight="1">
      <c r="A809" s="1196"/>
      <c r="B809" s="1196"/>
      <c r="C809" s="1196"/>
      <c r="D809" s="1196"/>
      <c r="E809" s="1196"/>
      <c r="F809" s="1196"/>
      <c r="G809" s="1196"/>
      <c r="H809" s="1196"/>
      <c r="I809" s="1196"/>
      <c r="J809" s="1196"/>
      <c r="K809" s="1196"/>
      <c r="L809" s="1196"/>
      <c r="M809" s="1196"/>
      <c r="N809" s="1196"/>
      <c r="O809" s="1196"/>
      <c r="P809" s="1196"/>
      <c r="Q809" s="1196"/>
      <c r="R809" s="1196"/>
      <c r="S809" s="1196"/>
      <c r="T809" s="1196"/>
      <c r="U809" s="1196"/>
      <c r="V809" s="1196"/>
      <c r="W809" s="1196"/>
      <c r="X809" s="1196"/>
      <c r="Y809" s="1196"/>
      <c r="Z809" s="1196"/>
    </row>
    <row r="810" spans="1:26" ht="12.75" customHeight="1">
      <c r="A810" s="1196"/>
      <c r="B810" s="1196"/>
      <c r="C810" s="1196"/>
      <c r="D810" s="1196"/>
      <c r="E810" s="1196"/>
      <c r="F810" s="1196"/>
      <c r="G810" s="1196"/>
      <c r="H810" s="1196"/>
      <c r="I810" s="1196"/>
      <c r="J810" s="1196"/>
      <c r="K810" s="1196"/>
      <c r="L810" s="1196"/>
      <c r="M810" s="1196"/>
      <c r="N810" s="1196"/>
      <c r="O810" s="1196"/>
      <c r="P810" s="1196"/>
      <c r="Q810" s="1196"/>
      <c r="R810" s="1196"/>
      <c r="S810" s="1196"/>
      <c r="T810" s="1196"/>
      <c r="U810" s="1196"/>
      <c r="V810" s="1196"/>
      <c r="W810" s="1196"/>
      <c r="X810" s="1196"/>
      <c r="Y810" s="1196"/>
      <c r="Z810" s="1196"/>
    </row>
    <row r="811" spans="1:26" ht="12.75" customHeight="1">
      <c r="A811" s="1196"/>
      <c r="B811" s="1196"/>
      <c r="C811" s="1196"/>
      <c r="D811" s="1196"/>
      <c r="E811" s="1196"/>
      <c r="F811" s="1196"/>
      <c r="G811" s="1196"/>
      <c r="H811" s="1196"/>
      <c r="I811" s="1196"/>
      <c r="J811" s="1196"/>
      <c r="K811" s="1196"/>
      <c r="L811" s="1196"/>
      <c r="M811" s="1196"/>
      <c r="N811" s="1196"/>
      <c r="O811" s="1196"/>
      <c r="P811" s="1196"/>
      <c r="Q811" s="1196"/>
      <c r="R811" s="1196"/>
      <c r="S811" s="1196"/>
      <c r="T811" s="1196"/>
      <c r="U811" s="1196"/>
      <c r="V811" s="1196"/>
      <c r="W811" s="1196"/>
      <c r="X811" s="1196"/>
      <c r="Y811" s="1196"/>
      <c r="Z811" s="1196"/>
    </row>
    <row r="812" spans="1:26" ht="12.75" customHeight="1">
      <c r="A812" s="1196"/>
      <c r="B812" s="1196"/>
      <c r="C812" s="1196"/>
      <c r="D812" s="1196"/>
      <c r="E812" s="1196"/>
      <c r="F812" s="1196"/>
      <c r="G812" s="1196"/>
      <c r="H812" s="1196"/>
      <c r="I812" s="1196"/>
      <c r="J812" s="1196"/>
      <c r="K812" s="1196"/>
      <c r="L812" s="1196"/>
      <c r="M812" s="1196"/>
      <c r="N812" s="1196"/>
      <c r="O812" s="1196"/>
      <c r="P812" s="1196"/>
      <c r="Q812" s="1196"/>
      <c r="R812" s="1196"/>
      <c r="S812" s="1196"/>
      <c r="T812" s="1196"/>
      <c r="U812" s="1196"/>
      <c r="V812" s="1196"/>
      <c r="W812" s="1196"/>
      <c r="X812" s="1196"/>
      <c r="Y812" s="1196"/>
      <c r="Z812" s="1196"/>
    </row>
    <row r="813" spans="1:26" ht="12.75" customHeight="1">
      <c r="A813" s="1196"/>
      <c r="B813" s="1196"/>
      <c r="C813" s="1196"/>
      <c r="D813" s="1196"/>
      <c r="E813" s="1196"/>
      <c r="F813" s="1196"/>
      <c r="G813" s="1196"/>
      <c r="H813" s="1196"/>
      <c r="I813" s="1196"/>
      <c r="J813" s="1196"/>
      <c r="K813" s="1196"/>
      <c r="L813" s="1196"/>
      <c r="M813" s="1196"/>
      <c r="N813" s="1196"/>
      <c r="O813" s="1196"/>
      <c r="P813" s="1196"/>
      <c r="Q813" s="1196"/>
      <c r="R813" s="1196"/>
      <c r="S813" s="1196"/>
      <c r="T813" s="1196"/>
      <c r="U813" s="1196"/>
      <c r="V813" s="1196"/>
      <c r="W813" s="1196"/>
      <c r="X813" s="1196"/>
      <c r="Y813" s="1196"/>
      <c r="Z813" s="1196"/>
    </row>
    <row r="814" spans="1:26" ht="12.75" customHeight="1">
      <c r="A814" s="1196"/>
      <c r="B814" s="1196"/>
      <c r="C814" s="1196"/>
      <c r="D814" s="1196"/>
      <c r="E814" s="1196"/>
      <c r="F814" s="1196"/>
      <c r="G814" s="1196"/>
      <c r="H814" s="1196"/>
      <c r="I814" s="1196"/>
      <c r="J814" s="1196"/>
      <c r="K814" s="1196"/>
      <c r="L814" s="1196"/>
      <c r="M814" s="1196"/>
      <c r="N814" s="1196"/>
      <c r="O814" s="1196"/>
      <c r="P814" s="1196"/>
      <c r="Q814" s="1196"/>
      <c r="R814" s="1196"/>
      <c r="S814" s="1196"/>
      <c r="T814" s="1196"/>
      <c r="U814" s="1196"/>
      <c r="V814" s="1196"/>
      <c r="W814" s="1196"/>
      <c r="X814" s="1196"/>
      <c r="Y814" s="1196"/>
      <c r="Z814" s="1196"/>
    </row>
    <row r="815" spans="1:26" ht="12.75" customHeight="1">
      <c r="A815" s="1196"/>
      <c r="B815" s="1196"/>
      <c r="C815" s="1196"/>
      <c r="D815" s="1196"/>
      <c r="E815" s="1196"/>
      <c r="F815" s="1196"/>
      <c r="G815" s="1196"/>
      <c r="H815" s="1196"/>
      <c r="I815" s="1196"/>
      <c r="J815" s="1196"/>
      <c r="K815" s="1196"/>
      <c r="L815" s="1196"/>
      <c r="M815" s="1196"/>
      <c r="N815" s="1196"/>
      <c r="O815" s="1196"/>
      <c r="P815" s="1196"/>
      <c r="Q815" s="1196"/>
      <c r="R815" s="1196"/>
      <c r="S815" s="1196"/>
      <c r="T815" s="1196"/>
      <c r="U815" s="1196"/>
      <c r="V815" s="1196"/>
      <c r="W815" s="1196"/>
      <c r="X815" s="1196"/>
      <c r="Y815" s="1196"/>
      <c r="Z815" s="1196"/>
    </row>
    <row r="816" spans="1:26" ht="12.75" customHeight="1">
      <c r="A816" s="1196"/>
      <c r="B816" s="1196"/>
      <c r="C816" s="1196"/>
      <c r="D816" s="1196"/>
      <c r="E816" s="1196"/>
      <c r="F816" s="1196"/>
      <c r="G816" s="1196"/>
      <c r="H816" s="1196"/>
      <c r="I816" s="1196"/>
      <c r="J816" s="1196"/>
      <c r="K816" s="1196"/>
      <c r="L816" s="1196"/>
      <c r="M816" s="1196"/>
      <c r="N816" s="1196"/>
      <c r="O816" s="1196"/>
      <c r="P816" s="1196"/>
      <c r="Q816" s="1196"/>
      <c r="R816" s="1196"/>
      <c r="S816" s="1196"/>
      <c r="T816" s="1196"/>
      <c r="U816" s="1196"/>
      <c r="V816" s="1196"/>
      <c r="W816" s="1196"/>
      <c r="X816" s="1196"/>
      <c r="Y816" s="1196"/>
      <c r="Z816" s="1196"/>
    </row>
    <row r="817" spans="1:26" ht="12.75" customHeight="1">
      <c r="A817" s="1196"/>
      <c r="B817" s="1196"/>
      <c r="C817" s="1196"/>
      <c r="D817" s="1196"/>
      <c r="E817" s="1196"/>
      <c r="F817" s="1196"/>
      <c r="G817" s="1196"/>
      <c r="H817" s="1196"/>
      <c r="I817" s="1196"/>
      <c r="J817" s="1196"/>
      <c r="K817" s="1196"/>
      <c r="L817" s="1196"/>
      <c r="M817" s="1196"/>
      <c r="N817" s="1196"/>
      <c r="O817" s="1196"/>
      <c r="P817" s="1196"/>
      <c r="Q817" s="1196"/>
      <c r="R817" s="1196"/>
      <c r="S817" s="1196"/>
      <c r="T817" s="1196"/>
      <c r="U817" s="1196"/>
      <c r="V817" s="1196"/>
      <c r="W817" s="1196"/>
      <c r="X817" s="1196"/>
      <c r="Y817" s="1196"/>
      <c r="Z817" s="1196"/>
    </row>
    <row r="818" spans="1:26" ht="12.75" customHeight="1">
      <c r="A818" s="1196"/>
      <c r="B818" s="1196"/>
      <c r="C818" s="1196"/>
      <c r="D818" s="1196"/>
      <c r="E818" s="1196"/>
      <c r="F818" s="1196"/>
      <c r="G818" s="1196"/>
      <c r="H818" s="1196"/>
      <c r="I818" s="1196"/>
      <c r="J818" s="1196"/>
      <c r="K818" s="1196"/>
      <c r="L818" s="1196"/>
      <c r="M818" s="1196"/>
      <c r="N818" s="1196"/>
      <c r="O818" s="1196"/>
      <c r="P818" s="1196"/>
      <c r="Q818" s="1196"/>
      <c r="R818" s="1196"/>
      <c r="S818" s="1196"/>
      <c r="T818" s="1196"/>
      <c r="U818" s="1196"/>
      <c r="V818" s="1196"/>
      <c r="W818" s="1196"/>
      <c r="X818" s="1196"/>
      <c r="Y818" s="1196"/>
      <c r="Z818" s="1196"/>
    </row>
    <row r="819" spans="1:26" ht="12.75" customHeight="1">
      <c r="A819" s="1196"/>
      <c r="B819" s="1196"/>
      <c r="C819" s="1196"/>
      <c r="D819" s="1196"/>
      <c r="E819" s="1196"/>
      <c r="F819" s="1196"/>
      <c r="G819" s="1196"/>
      <c r="H819" s="1196"/>
      <c r="I819" s="1196"/>
      <c r="J819" s="1196"/>
      <c r="K819" s="1196"/>
      <c r="L819" s="1196"/>
      <c r="M819" s="1196"/>
      <c r="N819" s="1196"/>
      <c r="O819" s="1196"/>
      <c r="P819" s="1196"/>
      <c r="Q819" s="1196"/>
      <c r="R819" s="1196"/>
      <c r="S819" s="1196"/>
      <c r="T819" s="1196"/>
      <c r="U819" s="1196"/>
      <c r="V819" s="1196"/>
      <c r="W819" s="1196"/>
      <c r="X819" s="1196"/>
      <c r="Y819" s="1196"/>
      <c r="Z819" s="1196"/>
    </row>
    <row r="820" spans="1:26" ht="12.75" customHeight="1">
      <c r="A820" s="1196"/>
      <c r="B820" s="1196"/>
      <c r="C820" s="1196"/>
      <c r="D820" s="1196"/>
      <c r="E820" s="1196"/>
      <c r="F820" s="1196"/>
      <c r="G820" s="1196"/>
      <c r="H820" s="1196"/>
      <c r="I820" s="1196"/>
      <c r="J820" s="1196"/>
      <c r="K820" s="1196"/>
      <c r="L820" s="1196"/>
      <c r="M820" s="1196"/>
      <c r="N820" s="1196"/>
      <c r="O820" s="1196"/>
      <c r="P820" s="1196"/>
      <c r="Q820" s="1196"/>
      <c r="R820" s="1196"/>
      <c r="S820" s="1196"/>
      <c r="T820" s="1196"/>
      <c r="U820" s="1196"/>
      <c r="V820" s="1196"/>
      <c r="W820" s="1196"/>
      <c r="X820" s="1196"/>
      <c r="Y820" s="1196"/>
      <c r="Z820" s="1196"/>
    </row>
    <row r="821" spans="1:26" ht="12.75" customHeight="1">
      <c r="A821" s="1196"/>
      <c r="B821" s="1196"/>
      <c r="C821" s="1196"/>
      <c r="D821" s="1196"/>
      <c r="E821" s="1196"/>
      <c r="F821" s="1196"/>
      <c r="G821" s="1196"/>
      <c r="H821" s="1196"/>
      <c r="I821" s="1196"/>
      <c r="J821" s="1196"/>
      <c r="K821" s="1196"/>
      <c r="L821" s="1196"/>
      <c r="M821" s="1196"/>
      <c r="N821" s="1196"/>
      <c r="O821" s="1196"/>
      <c r="P821" s="1196"/>
      <c r="Q821" s="1196"/>
      <c r="R821" s="1196"/>
      <c r="S821" s="1196"/>
      <c r="T821" s="1196"/>
      <c r="U821" s="1196"/>
      <c r="V821" s="1196"/>
      <c r="W821" s="1196"/>
      <c r="X821" s="1196"/>
      <c r="Y821" s="1196"/>
      <c r="Z821" s="1196"/>
    </row>
    <row r="822" spans="1:26" ht="12.75" customHeight="1">
      <c r="A822" s="1196"/>
      <c r="B822" s="1196"/>
      <c r="C822" s="1196"/>
      <c r="D822" s="1196"/>
      <c r="E822" s="1196"/>
      <c r="F822" s="1196"/>
      <c r="G822" s="1196"/>
      <c r="H822" s="1196"/>
      <c r="I822" s="1196"/>
      <c r="J822" s="1196"/>
      <c r="K822" s="1196"/>
      <c r="L822" s="1196"/>
      <c r="M822" s="1196"/>
      <c r="N822" s="1196"/>
      <c r="O822" s="1196"/>
      <c r="P822" s="1196"/>
      <c r="Q822" s="1196"/>
      <c r="R822" s="1196"/>
      <c r="S822" s="1196"/>
      <c r="T822" s="1196"/>
      <c r="U822" s="1196"/>
      <c r="V822" s="1196"/>
      <c r="W822" s="1196"/>
      <c r="X822" s="1196"/>
      <c r="Y822" s="1196"/>
      <c r="Z822" s="1196"/>
    </row>
    <row r="823" spans="1:26" ht="12.75" customHeight="1">
      <c r="A823" s="1196"/>
      <c r="B823" s="1196"/>
      <c r="C823" s="1196"/>
      <c r="D823" s="1196"/>
      <c r="E823" s="1196"/>
      <c r="F823" s="1196"/>
      <c r="G823" s="1196"/>
      <c r="H823" s="1196"/>
      <c r="I823" s="1196"/>
      <c r="J823" s="1196"/>
      <c r="K823" s="1196"/>
      <c r="L823" s="1196"/>
      <c r="M823" s="1196"/>
      <c r="N823" s="1196"/>
      <c r="O823" s="1196"/>
      <c r="P823" s="1196"/>
      <c r="Q823" s="1196"/>
      <c r="R823" s="1196"/>
      <c r="S823" s="1196"/>
      <c r="T823" s="1196"/>
      <c r="U823" s="1196"/>
      <c r="V823" s="1196"/>
      <c r="W823" s="1196"/>
      <c r="X823" s="1196"/>
      <c r="Y823" s="1196"/>
      <c r="Z823" s="1196"/>
    </row>
    <row r="824" spans="1:26" ht="12.75" customHeight="1">
      <c r="A824" s="1196"/>
      <c r="B824" s="1196"/>
      <c r="C824" s="1196"/>
      <c r="D824" s="1196"/>
      <c r="E824" s="1196"/>
      <c r="F824" s="1196"/>
      <c r="G824" s="1196"/>
      <c r="H824" s="1196"/>
      <c r="I824" s="1196"/>
      <c r="J824" s="1196"/>
      <c r="K824" s="1196"/>
      <c r="L824" s="1196"/>
      <c r="M824" s="1196"/>
      <c r="N824" s="1196"/>
      <c r="O824" s="1196"/>
      <c r="P824" s="1196"/>
      <c r="Q824" s="1196"/>
      <c r="R824" s="1196"/>
      <c r="S824" s="1196"/>
      <c r="T824" s="1196"/>
      <c r="U824" s="1196"/>
      <c r="V824" s="1196"/>
      <c r="W824" s="1196"/>
      <c r="X824" s="1196"/>
      <c r="Y824" s="1196"/>
      <c r="Z824" s="1196"/>
    </row>
    <row r="825" spans="1:26" ht="12.75" customHeight="1">
      <c r="A825" s="1196"/>
      <c r="B825" s="1196"/>
      <c r="C825" s="1196"/>
      <c r="D825" s="1196"/>
      <c r="E825" s="1196"/>
      <c r="F825" s="1196"/>
      <c r="G825" s="1196"/>
      <c r="H825" s="1196"/>
      <c r="I825" s="1196"/>
      <c r="J825" s="1196"/>
      <c r="K825" s="1196"/>
      <c r="L825" s="1196"/>
      <c r="M825" s="1196"/>
      <c r="N825" s="1196"/>
      <c r="O825" s="1196"/>
      <c r="P825" s="1196"/>
      <c r="Q825" s="1196"/>
      <c r="R825" s="1196"/>
      <c r="S825" s="1196"/>
      <c r="T825" s="1196"/>
      <c r="U825" s="1196"/>
      <c r="V825" s="1196"/>
      <c r="W825" s="1196"/>
      <c r="X825" s="1196"/>
      <c r="Y825" s="1196"/>
      <c r="Z825" s="1196"/>
    </row>
    <row r="826" spans="1:26" ht="12.75" customHeight="1">
      <c r="A826" s="1196"/>
      <c r="B826" s="1196"/>
      <c r="C826" s="1196"/>
      <c r="D826" s="1196"/>
      <c r="E826" s="1196"/>
      <c r="F826" s="1196"/>
      <c r="G826" s="1196"/>
      <c r="H826" s="1196"/>
      <c r="I826" s="1196"/>
      <c r="J826" s="1196"/>
      <c r="K826" s="1196"/>
      <c r="L826" s="1196"/>
      <c r="M826" s="1196"/>
      <c r="N826" s="1196"/>
      <c r="O826" s="1196"/>
      <c r="P826" s="1196"/>
      <c r="Q826" s="1196"/>
      <c r="R826" s="1196"/>
      <c r="S826" s="1196"/>
      <c r="T826" s="1196"/>
      <c r="U826" s="1196"/>
      <c r="V826" s="1196"/>
      <c r="W826" s="1196"/>
      <c r="X826" s="1196"/>
      <c r="Y826" s="1196"/>
      <c r="Z826" s="1196"/>
    </row>
    <row r="827" spans="1:26" ht="12.75" customHeight="1">
      <c r="A827" s="1196"/>
      <c r="B827" s="1196"/>
      <c r="C827" s="1196"/>
      <c r="D827" s="1196"/>
      <c r="E827" s="1196"/>
      <c r="F827" s="1196"/>
      <c r="G827" s="1196"/>
      <c r="H827" s="1196"/>
      <c r="I827" s="1196"/>
      <c r="J827" s="1196"/>
      <c r="K827" s="1196"/>
      <c r="L827" s="1196"/>
      <c r="M827" s="1196"/>
      <c r="N827" s="1196"/>
      <c r="O827" s="1196"/>
      <c r="P827" s="1196"/>
      <c r="Q827" s="1196"/>
      <c r="R827" s="1196"/>
      <c r="S827" s="1196"/>
      <c r="T827" s="1196"/>
      <c r="U827" s="1196"/>
      <c r="V827" s="1196"/>
      <c r="W827" s="1196"/>
      <c r="X827" s="1196"/>
      <c r="Y827" s="1196"/>
      <c r="Z827" s="1196"/>
    </row>
    <row r="828" spans="1:26" ht="12.75" customHeight="1">
      <c r="A828" s="1196"/>
      <c r="B828" s="1196"/>
      <c r="C828" s="1196"/>
      <c r="D828" s="1196"/>
      <c r="E828" s="1196"/>
      <c r="F828" s="1196"/>
      <c r="G828" s="1196"/>
      <c r="H828" s="1196"/>
      <c r="I828" s="1196"/>
      <c r="J828" s="1196"/>
      <c r="K828" s="1196"/>
      <c r="L828" s="1196"/>
      <c r="M828" s="1196"/>
      <c r="N828" s="1196"/>
      <c r="O828" s="1196"/>
      <c r="P828" s="1196"/>
      <c r="Q828" s="1196"/>
      <c r="R828" s="1196"/>
      <c r="S828" s="1196"/>
      <c r="T828" s="1196"/>
      <c r="U828" s="1196"/>
      <c r="V828" s="1196"/>
      <c r="W828" s="1196"/>
      <c r="X828" s="1196"/>
      <c r="Y828" s="1196"/>
      <c r="Z828" s="1196"/>
    </row>
    <row r="829" spans="1:26" ht="12.75" customHeight="1">
      <c r="A829" s="1196"/>
      <c r="B829" s="1196"/>
      <c r="C829" s="1196"/>
      <c r="D829" s="1196"/>
      <c r="E829" s="1196"/>
      <c r="F829" s="1196"/>
      <c r="G829" s="1196"/>
      <c r="H829" s="1196"/>
      <c r="I829" s="1196"/>
      <c r="J829" s="1196"/>
      <c r="K829" s="1196"/>
      <c r="L829" s="1196"/>
      <c r="M829" s="1196"/>
      <c r="N829" s="1196"/>
      <c r="O829" s="1196"/>
      <c r="P829" s="1196"/>
      <c r="Q829" s="1196"/>
      <c r="R829" s="1196"/>
      <c r="S829" s="1196"/>
      <c r="T829" s="1196"/>
      <c r="U829" s="1196"/>
      <c r="V829" s="1196"/>
      <c r="W829" s="1196"/>
      <c r="X829" s="1196"/>
      <c r="Y829" s="1196"/>
      <c r="Z829" s="1196"/>
    </row>
    <row r="830" spans="1:26" ht="12.75" customHeight="1">
      <c r="A830" s="1196"/>
      <c r="B830" s="1196"/>
      <c r="C830" s="1196"/>
      <c r="D830" s="1196"/>
      <c r="E830" s="1196"/>
      <c r="F830" s="1196"/>
      <c r="G830" s="1196"/>
      <c r="H830" s="1196"/>
      <c r="I830" s="1196"/>
      <c r="J830" s="1196"/>
      <c r="K830" s="1196"/>
      <c r="L830" s="1196"/>
      <c r="M830" s="1196"/>
      <c r="N830" s="1196"/>
      <c r="O830" s="1196"/>
      <c r="P830" s="1196"/>
      <c r="Q830" s="1196"/>
      <c r="R830" s="1196"/>
      <c r="S830" s="1196"/>
      <c r="T830" s="1196"/>
      <c r="U830" s="1196"/>
      <c r="V830" s="1196"/>
      <c r="W830" s="1196"/>
      <c r="X830" s="1196"/>
      <c r="Y830" s="1196"/>
      <c r="Z830" s="1196"/>
    </row>
    <row r="831" spans="1:26" ht="12.75" customHeight="1">
      <c r="A831" s="1196"/>
      <c r="B831" s="1196"/>
      <c r="C831" s="1196"/>
      <c r="D831" s="1196"/>
      <c r="E831" s="1196"/>
      <c r="F831" s="1196"/>
      <c r="G831" s="1196"/>
      <c r="H831" s="1196"/>
      <c r="I831" s="1196"/>
      <c r="J831" s="1196"/>
      <c r="K831" s="1196"/>
      <c r="L831" s="1196"/>
      <c r="M831" s="1196"/>
      <c r="N831" s="1196"/>
      <c r="O831" s="1196"/>
      <c r="P831" s="1196"/>
      <c r="Q831" s="1196"/>
      <c r="R831" s="1196"/>
      <c r="S831" s="1196"/>
      <c r="T831" s="1196"/>
      <c r="U831" s="1196"/>
      <c r="V831" s="1196"/>
      <c r="W831" s="1196"/>
      <c r="X831" s="1196"/>
      <c r="Y831" s="1196"/>
      <c r="Z831" s="1196"/>
    </row>
    <row r="832" spans="1:26" ht="12.75" customHeight="1">
      <c r="A832" s="1196"/>
      <c r="B832" s="1196"/>
      <c r="C832" s="1196"/>
      <c r="D832" s="1196"/>
      <c r="E832" s="1196"/>
      <c r="F832" s="1196"/>
      <c r="G832" s="1196"/>
      <c r="H832" s="1196"/>
      <c r="I832" s="1196"/>
      <c r="J832" s="1196"/>
      <c r="K832" s="1196"/>
      <c r="L832" s="1196"/>
      <c r="M832" s="1196"/>
      <c r="N832" s="1196"/>
      <c r="O832" s="1196"/>
      <c r="P832" s="1196"/>
      <c r="Q832" s="1196"/>
      <c r="R832" s="1196"/>
      <c r="S832" s="1196"/>
      <c r="T832" s="1196"/>
      <c r="U832" s="1196"/>
      <c r="V832" s="1196"/>
      <c r="W832" s="1196"/>
      <c r="X832" s="1196"/>
      <c r="Y832" s="1196"/>
      <c r="Z832" s="1196"/>
    </row>
    <row r="833" spans="1:26" ht="12.75" customHeight="1">
      <c r="A833" s="1196"/>
      <c r="B833" s="1196"/>
      <c r="C833" s="1196"/>
      <c r="D833" s="1196"/>
      <c r="E833" s="1196"/>
      <c r="F833" s="1196"/>
      <c r="G833" s="1196"/>
      <c r="H833" s="1196"/>
      <c r="I833" s="1196"/>
      <c r="J833" s="1196"/>
      <c r="K833" s="1196"/>
      <c r="L833" s="1196"/>
      <c r="M833" s="1196"/>
      <c r="N833" s="1196"/>
      <c r="O833" s="1196"/>
      <c r="P833" s="1196"/>
      <c r="Q833" s="1196"/>
      <c r="R833" s="1196"/>
      <c r="S833" s="1196"/>
      <c r="T833" s="1196"/>
      <c r="U833" s="1196"/>
      <c r="V833" s="1196"/>
      <c r="W833" s="1196"/>
      <c r="X833" s="1196"/>
      <c r="Y833" s="1196"/>
      <c r="Z833" s="1196"/>
    </row>
    <row r="834" spans="1:26" ht="12.75" customHeight="1">
      <c r="A834" s="1196"/>
      <c r="B834" s="1196"/>
      <c r="C834" s="1196"/>
      <c r="D834" s="1196"/>
      <c r="E834" s="1196"/>
      <c r="F834" s="1196"/>
      <c r="G834" s="1196"/>
      <c r="H834" s="1196"/>
      <c r="I834" s="1196"/>
      <c r="J834" s="1196"/>
      <c r="K834" s="1196"/>
      <c r="L834" s="1196"/>
      <c r="M834" s="1196"/>
      <c r="N834" s="1196"/>
      <c r="O834" s="1196"/>
      <c r="P834" s="1196"/>
      <c r="Q834" s="1196"/>
      <c r="R834" s="1196"/>
      <c r="S834" s="1196"/>
      <c r="T834" s="1196"/>
      <c r="U834" s="1196"/>
      <c r="V834" s="1196"/>
      <c r="W834" s="1196"/>
      <c r="X834" s="1196"/>
      <c r="Y834" s="1196"/>
      <c r="Z834" s="1196"/>
    </row>
    <row r="835" spans="1:26" ht="12.75" customHeight="1">
      <c r="A835" s="1196"/>
      <c r="B835" s="1196"/>
      <c r="C835" s="1196"/>
      <c r="D835" s="1196"/>
      <c r="E835" s="1196"/>
      <c r="F835" s="1196"/>
      <c r="G835" s="1196"/>
      <c r="H835" s="1196"/>
      <c r="I835" s="1196"/>
      <c r="J835" s="1196"/>
      <c r="K835" s="1196"/>
      <c r="L835" s="1196"/>
      <c r="M835" s="1196"/>
      <c r="N835" s="1196"/>
      <c r="O835" s="1196"/>
      <c r="P835" s="1196"/>
      <c r="Q835" s="1196"/>
      <c r="R835" s="1196"/>
      <c r="S835" s="1196"/>
      <c r="T835" s="1196"/>
      <c r="U835" s="1196"/>
      <c r="V835" s="1196"/>
      <c r="W835" s="1196"/>
      <c r="X835" s="1196"/>
      <c r="Y835" s="1196"/>
      <c r="Z835" s="1196"/>
    </row>
    <row r="836" spans="1:26" ht="12.75" customHeight="1">
      <c r="A836" s="1196"/>
      <c r="B836" s="1196"/>
      <c r="C836" s="1196"/>
      <c r="D836" s="1196"/>
      <c r="E836" s="1196"/>
      <c r="F836" s="1196"/>
      <c r="G836" s="1196"/>
      <c r="H836" s="1196"/>
      <c r="I836" s="1196"/>
      <c r="J836" s="1196"/>
      <c r="K836" s="1196"/>
      <c r="L836" s="1196"/>
      <c r="M836" s="1196"/>
      <c r="N836" s="1196"/>
      <c r="O836" s="1196"/>
      <c r="P836" s="1196"/>
      <c r="Q836" s="1196"/>
      <c r="R836" s="1196"/>
      <c r="S836" s="1196"/>
      <c r="T836" s="1196"/>
      <c r="U836" s="1196"/>
      <c r="V836" s="1196"/>
      <c r="W836" s="1196"/>
      <c r="X836" s="1196"/>
      <c r="Y836" s="1196"/>
      <c r="Z836" s="1196"/>
    </row>
    <row r="837" spans="1:26" ht="12.75" customHeight="1">
      <c r="A837" s="1196"/>
      <c r="B837" s="1196"/>
      <c r="C837" s="1196"/>
      <c r="D837" s="1196"/>
      <c r="E837" s="1196"/>
      <c r="F837" s="1196"/>
      <c r="G837" s="1196"/>
      <c r="H837" s="1196"/>
      <c r="I837" s="1196"/>
      <c r="J837" s="1196"/>
      <c r="K837" s="1196"/>
      <c r="L837" s="1196"/>
      <c r="M837" s="1196"/>
      <c r="N837" s="1196"/>
      <c r="O837" s="1196"/>
      <c r="P837" s="1196"/>
      <c r="Q837" s="1196"/>
      <c r="R837" s="1196"/>
      <c r="S837" s="1196"/>
      <c r="T837" s="1196"/>
      <c r="U837" s="1196"/>
      <c r="V837" s="1196"/>
      <c r="W837" s="1196"/>
      <c r="X837" s="1196"/>
      <c r="Y837" s="1196"/>
      <c r="Z837" s="1196"/>
    </row>
    <row r="838" spans="1:26" ht="12.75" customHeight="1">
      <c r="A838" s="1196"/>
      <c r="B838" s="1196"/>
      <c r="C838" s="1196"/>
      <c r="D838" s="1196"/>
      <c r="E838" s="1196"/>
      <c r="F838" s="1196"/>
      <c r="G838" s="1196"/>
      <c r="H838" s="1196"/>
      <c r="I838" s="1196"/>
      <c r="J838" s="1196"/>
      <c r="K838" s="1196"/>
      <c r="L838" s="1196"/>
      <c r="M838" s="1196"/>
      <c r="N838" s="1196"/>
      <c r="O838" s="1196"/>
      <c r="P838" s="1196"/>
      <c r="Q838" s="1196"/>
      <c r="R838" s="1196"/>
      <c r="S838" s="1196"/>
      <c r="T838" s="1196"/>
      <c r="U838" s="1196"/>
      <c r="V838" s="1196"/>
      <c r="W838" s="1196"/>
      <c r="X838" s="1196"/>
      <c r="Y838" s="1196"/>
      <c r="Z838" s="1196"/>
    </row>
    <row r="839" spans="1:26" ht="12.75" customHeight="1">
      <c r="A839" s="1196"/>
      <c r="B839" s="1196"/>
      <c r="C839" s="1196"/>
      <c r="D839" s="1196"/>
      <c r="E839" s="1196"/>
      <c r="F839" s="1196"/>
      <c r="G839" s="1196"/>
      <c r="H839" s="1196"/>
      <c r="I839" s="1196"/>
      <c r="J839" s="1196"/>
      <c r="K839" s="1196"/>
      <c r="L839" s="1196"/>
      <c r="M839" s="1196"/>
      <c r="N839" s="1196"/>
      <c r="O839" s="1196"/>
      <c r="P839" s="1196"/>
      <c r="Q839" s="1196"/>
      <c r="R839" s="1196"/>
      <c r="S839" s="1196"/>
      <c r="T839" s="1196"/>
      <c r="U839" s="1196"/>
      <c r="V839" s="1196"/>
      <c r="W839" s="1196"/>
      <c r="X839" s="1196"/>
      <c r="Y839" s="1196"/>
      <c r="Z839" s="1196"/>
    </row>
    <row r="840" spans="1:26" ht="12.75" customHeight="1">
      <c r="A840" s="1196"/>
      <c r="B840" s="1196"/>
      <c r="C840" s="1196"/>
      <c r="D840" s="1196"/>
      <c r="E840" s="1196"/>
      <c r="F840" s="1196"/>
      <c r="G840" s="1196"/>
      <c r="H840" s="1196"/>
      <c r="I840" s="1196"/>
      <c r="J840" s="1196"/>
      <c r="K840" s="1196"/>
      <c r="L840" s="1196"/>
      <c r="M840" s="1196"/>
      <c r="N840" s="1196"/>
      <c r="O840" s="1196"/>
      <c r="P840" s="1196"/>
      <c r="Q840" s="1196"/>
      <c r="R840" s="1196"/>
      <c r="S840" s="1196"/>
      <c r="T840" s="1196"/>
      <c r="U840" s="1196"/>
      <c r="V840" s="1196"/>
      <c r="W840" s="1196"/>
      <c r="X840" s="1196"/>
      <c r="Y840" s="1196"/>
      <c r="Z840" s="1196"/>
    </row>
    <row r="841" spans="1:26" ht="12.75" customHeight="1">
      <c r="A841" s="1196"/>
      <c r="B841" s="1196"/>
      <c r="C841" s="1196"/>
      <c r="D841" s="1196"/>
      <c r="E841" s="1196"/>
      <c r="F841" s="1196"/>
      <c r="G841" s="1196"/>
      <c r="H841" s="1196"/>
      <c r="I841" s="1196"/>
      <c r="J841" s="1196"/>
      <c r="K841" s="1196"/>
      <c r="L841" s="1196"/>
      <c r="M841" s="1196"/>
      <c r="N841" s="1196"/>
      <c r="O841" s="1196"/>
      <c r="P841" s="1196"/>
      <c r="Q841" s="1196"/>
      <c r="R841" s="1196"/>
      <c r="S841" s="1196"/>
      <c r="T841" s="1196"/>
      <c r="U841" s="1196"/>
      <c r="V841" s="1196"/>
      <c r="W841" s="1196"/>
      <c r="X841" s="1196"/>
      <c r="Y841" s="1196"/>
      <c r="Z841" s="1196"/>
    </row>
    <row r="842" spans="1:26" ht="12.75" customHeight="1">
      <c r="A842" s="1196"/>
      <c r="B842" s="1196"/>
      <c r="C842" s="1196"/>
      <c r="D842" s="1196"/>
      <c r="E842" s="1196"/>
      <c r="F842" s="1196"/>
      <c r="G842" s="1196"/>
      <c r="H842" s="1196"/>
      <c r="I842" s="1196"/>
      <c r="J842" s="1196"/>
      <c r="K842" s="1196"/>
      <c r="L842" s="1196"/>
      <c r="M842" s="1196"/>
      <c r="N842" s="1196"/>
      <c r="O842" s="1196"/>
      <c r="P842" s="1196"/>
      <c r="Q842" s="1196"/>
      <c r="R842" s="1196"/>
      <c r="S842" s="1196"/>
      <c r="T842" s="1196"/>
      <c r="U842" s="1196"/>
      <c r="V842" s="1196"/>
      <c r="W842" s="1196"/>
      <c r="X842" s="1196"/>
      <c r="Y842" s="1196"/>
      <c r="Z842" s="1196"/>
    </row>
    <row r="843" spans="1:26" ht="12.75" customHeight="1">
      <c r="A843" s="1196"/>
      <c r="B843" s="1196"/>
      <c r="C843" s="1196"/>
      <c r="D843" s="1196"/>
      <c r="E843" s="1196"/>
      <c r="F843" s="1196"/>
      <c r="G843" s="1196"/>
      <c r="H843" s="1196"/>
      <c r="I843" s="1196"/>
      <c r="J843" s="1196"/>
      <c r="K843" s="1196"/>
      <c r="L843" s="1196"/>
      <c r="M843" s="1196"/>
      <c r="N843" s="1196"/>
      <c r="O843" s="1196"/>
      <c r="P843" s="1196"/>
      <c r="Q843" s="1196"/>
      <c r="R843" s="1196"/>
      <c r="S843" s="1196"/>
      <c r="T843" s="1196"/>
      <c r="U843" s="1196"/>
      <c r="V843" s="1196"/>
      <c r="W843" s="1196"/>
      <c r="X843" s="1196"/>
      <c r="Y843" s="1196"/>
      <c r="Z843" s="1196"/>
    </row>
    <row r="844" spans="1:26" ht="12.75" customHeight="1">
      <c r="A844" s="1196"/>
      <c r="B844" s="1196"/>
      <c r="C844" s="1196"/>
      <c r="D844" s="1196"/>
      <c r="E844" s="1196"/>
      <c r="F844" s="1196"/>
      <c r="G844" s="1196"/>
      <c r="H844" s="1196"/>
      <c r="I844" s="1196"/>
      <c r="J844" s="1196"/>
      <c r="K844" s="1196"/>
      <c r="L844" s="1196"/>
      <c r="M844" s="1196"/>
      <c r="N844" s="1196"/>
      <c r="O844" s="1196"/>
      <c r="P844" s="1196"/>
      <c r="Q844" s="1196"/>
      <c r="R844" s="1196"/>
      <c r="S844" s="1196"/>
      <c r="T844" s="1196"/>
      <c r="U844" s="1196"/>
      <c r="V844" s="1196"/>
      <c r="W844" s="1196"/>
      <c r="X844" s="1196"/>
      <c r="Y844" s="1196"/>
      <c r="Z844" s="1196"/>
    </row>
    <row r="845" spans="1:26" ht="12.75" customHeight="1">
      <c r="A845" s="1196"/>
      <c r="B845" s="1196"/>
      <c r="C845" s="1196"/>
      <c r="D845" s="1196"/>
      <c r="E845" s="1196"/>
      <c r="F845" s="1196"/>
      <c r="G845" s="1196"/>
      <c r="H845" s="1196"/>
      <c r="I845" s="1196"/>
      <c r="J845" s="1196"/>
      <c r="K845" s="1196"/>
      <c r="L845" s="1196"/>
      <c r="M845" s="1196"/>
      <c r="N845" s="1196"/>
      <c r="O845" s="1196"/>
      <c r="P845" s="1196"/>
      <c r="Q845" s="1196"/>
      <c r="R845" s="1196"/>
      <c r="S845" s="1196"/>
      <c r="T845" s="1196"/>
      <c r="U845" s="1196"/>
      <c r="V845" s="1196"/>
      <c r="W845" s="1196"/>
      <c r="X845" s="1196"/>
      <c r="Y845" s="1196"/>
      <c r="Z845" s="1196"/>
    </row>
    <row r="846" spans="1:26" ht="12.75" customHeight="1">
      <c r="A846" s="1196"/>
      <c r="B846" s="1196"/>
      <c r="C846" s="1196"/>
      <c r="D846" s="1196"/>
      <c r="E846" s="1196"/>
      <c r="F846" s="1196"/>
      <c r="G846" s="1196"/>
      <c r="H846" s="1196"/>
      <c r="I846" s="1196"/>
      <c r="J846" s="1196"/>
      <c r="K846" s="1196"/>
      <c r="L846" s="1196"/>
      <c r="M846" s="1196"/>
      <c r="N846" s="1196"/>
      <c r="O846" s="1196"/>
      <c r="P846" s="1196"/>
      <c r="Q846" s="1196"/>
      <c r="R846" s="1196"/>
      <c r="S846" s="1196"/>
      <c r="T846" s="1196"/>
      <c r="U846" s="1196"/>
      <c r="V846" s="1196"/>
      <c r="W846" s="1196"/>
      <c r="X846" s="1196"/>
      <c r="Y846" s="1196"/>
      <c r="Z846" s="1196"/>
    </row>
    <row r="847" spans="1:26" ht="12.75" customHeight="1">
      <c r="A847" s="1196"/>
      <c r="B847" s="1196"/>
      <c r="C847" s="1196"/>
      <c r="D847" s="1196"/>
      <c r="E847" s="1196"/>
      <c r="F847" s="1196"/>
      <c r="G847" s="1196"/>
      <c r="H847" s="1196"/>
      <c r="I847" s="1196"/>
      <c r="J847" s="1196"/>
      <c r="K847" s="1196"/>
      <c r="L847" s="1196"/>
      <c r="M847" s="1196"/>
      <c r="N847" s="1196"/>
      <c r="O847" s="1196"/>
      <c r="P847" s="1196"/>
      <c r="Q847" s="1196"/>
      <c r="R847" s="1196"/>
      <c r="S847" s="1196"/>
      <c r="T847" s="1196"/>
      <c r="U847" s="1196"/>
      <c r="V847" s="1196"/>
      <c r="W847" s="1196"/>
      <c r="X847" s="1196"/>
      <c r="Y847" s="1196"/>
      <c r="Z847" s="1196"/>
    </row>
    <row r="848" spans="1:26" ht="12.75" customHeight="1">
      <c r="A848" s="1196"/>
      <c r="B848" s="1196"/>
      <c r="C848" s="1196"/>
      <c r="D848" s="1196"/>
      <c r="E848" s="1196"/>
      <c r="F848" s="1196"/>
      <c r="G848" s="1196"/>
      <c r="H848" s="1196"/>
      <c r="I848" s="1196"/>
      <c r="J848" s="1196"/>
      <c r="K848" s="1196"/>
      <c r="L848" s="1196"/>
      <c r="M848" s="1196"/>
      <c r="N848" s="1196"/>
      <c r="O848" s="1196"/>
      <c r="P848" s="1196"/>
      <c r="Q848" s="1196"/>
      <c r="R848" s="1196"/>
      <c r="S848" s="1196"/>
      <c r="T848" s="1196"/>
      <c r="U848" s="1196"/>
      <c r="V848" s="1196"/>
      <c r="W848" s="1196"/>
      <c r="X848" s="1196"/>
      <c r="Y848" s="1196"/>
      <c r="Z848" s="1196"/>
    </row>
    <row r="849" spans="1:26" ht="12.75" customHeight="1">
      <c r="A849" s="1196"/>
      <c r="B849" s="1196"/>
      <c r="C849" s="1196"/>
      <c r="D849" s="1196"/>
      <c r="E849" s="1196"/>
      <c r="F849" s="1196"/>
      <c r="G849" s="1196"/>
      <c r="H849" s="1196"/>
      <c r="I849" s="1196"/>
      <c r="J849" s="1196"/>
      <c r="K849" s="1196"/>
      <c r="L849" s="1196"/>
      <c r="M849" s="1196"/>
      <c r="N849" s="1196"/>
      <c r="O849" s="1196"/>
      <c r="P849" s="1196"/>
      <c r="Q849" s="1196"/>
      <c r="R849" s="1196"/>
      <c r="S849" s="1196"/>
      <c r="T849" s="1196"/>
      <c r="U849" s="1196"/>
      <c r="V849" s="1196"/>
      <c r="W849" s="1196"/>
      <c r="X849" s="1196"/>
      <c r="Y849" s="1196"/>
      <c r="Z849" s="1196"/>
    </row>
    <row r="850" spans="1:26" ht="12.75" customHeight="1">
      <c r="A850" s="1196"/>
      <c r="B850" s="1196"/>
      <c r="C850" s="1196"/>
      <c r="D850" s="1196"/>
      <c r="E850" s="1196"/>
      <c r="F850" s="1196"/>
      <c r="G850" s="1196"/>
      <c r="H850" s="1196"/>
      <c r="I850" s="1196"/>
      <c r="J850" s="1196"/>
      <c r="K850" s="1196"/>
      <c r="L850" s="1196"/>
      <c r="M850" s="1196"/>
      <c r="N850" s="1196"/>
      <c r="O850" s="1196"/>
      <c r="P850" s="1196"/>
      <c r="Q850" s="1196"/>
      <c r="R850" s="1196"/>
      <c r="S850" s="1196"/>
      <c r="T850" s="1196"/>
      <c r="U850" s="1196"/>
      <c r="V850" s="1196"/>
      <c r="W850" s="1196"/>
      <c r="X850" s="1196"/>
      <c r="Y850" s="1196"/>
      <c r="Z850" s="1196"/>
    </row>
    <row r="851" spans="1:26" ht="12.75" customHeight="1">
      <c r="A851" s="1196"/>
      <c r="B851" s="1196"/>
      <c r="C851" s="1196"/>
      <c r="D851" s="1196"/>
      <c r="E851" s="1196"/>
      <c r="F851" s="1196"/>
      <c r="G851" s="1196"/>
      <c r="H851" s="1196"/>
      <c r="I851" s="1196"/>
      <c r="J851" s="1196"/>
      <c r="K851" s="1196"/>
      <c r="L851" s="1196"/>
      <c r="M851" s="1196"/>
      <c r="N851" s="1196"/>
      <c r="O851" s="1196"/>
      <c r="P851" s="1196"/>
      <c r="Q851" s="1196"/>
      <c r="R851" s="1196"/>
      <c r="S851" s="1196"/>
      <c r="T851" s="1196"/>
      <c r="U851" s="1196"/>
      <c r="V851" s="1196"/>
      <c r="W851" s="1196"/>
      <c r="X851" s="1196"/>
      <c r="Y851" s="1196"/>
      <c r="Z851" s="1196"/>
    </row>
    <row r="852" spans="1:26" ht="12.75" customHeight="1">
      <c r="A852" s="1196"/>
      <c r="B852" s="1196"/>
      <c r="C852" s="1196"/>
      <c r="D852" s="1196"/>
      <c r="E852" s="1196"/>
      <c r="F852" s="1196"/>
      <c r="G852" s="1196"/>
      <c r="H852" s="1196"/>
      <c r="I852" s="1196"/>
      <c r="J852" s="1196"/>
      <c r="K852" s="1196"/>
      <c r="L852" s="1196"/>
      <c r="M852" s="1196"/>
      <c r="N852" s="1196"/>
      <c r="O852" s="1196"/>
      <c r="P852" s="1196"/>
      <c r="Q852" s="1196"/>
      <c r="R852" s="1196"/>
      <c r="S852" s="1196"/>
      <c r="T852" s="1196"/>
      <c r="U852" s="1196"/>
      <c r="V852" s="1196"/>
      <c r="W852" s="1196"/>
      <c r="X852" s="1196"/>
      <c r="Y852" s="1196"/>
      <c r="Z852" s="1196"/>
    </row>
    <row r="853" spans="1:26" ht="12.75" customHeight="1">
      <c r="A853" s="1196"/>
      <c r="B853" s="1196"/>
      <c r="C853" s="1196"/>
      <c r="D853" s="1196"/>
      <c r="E853" s="1196"/>
      <c r="F853" s="1196"/>
      <c r="G853" s="1196"/>
      <c r="H853" s="1196"/>
      <c r="I853" s="1196"/>
      <c r="J853" s="1196"/>
      <c r="K853" s="1196"/>
      <c r="L853" s="1196"/>
      <c r="M853" s="1196"/>
      <c r="N853" s="1196"/>
      <c r="O853" s="1196"/>
      <c r="P853" s="1196"/>
      <c r="Q853" s="1196"/>
      <c r="R853" s="1196"/>
      <c r="S853" s="1196"/>
      <c r="T853" s="1196"/>
      <c r="U853" s="1196"/>
      <c r="V853" s="1196"/>
      <c r="W853" s="1196"/>
      <c r="X853" s="1196"/>
      <c r="Y853" s="1196"/>
      <c r="Z853" s="1196"/>
    </row>
    <row r="854" spans="1:26" ht="12.75" customHeight="1">
      <c r="A854" s="1196"/>
      <c r="B854" s="1196"/>
      <c r="C854" s="1196"/>
      <c r="D854" s="1196"/>
      <c r="E854" s="1196"/>
      <c r="F854" s="1196"/>
      <c r="G854" s="1196"/>
      <c r="H854" s="1196"/>
      <c r="I854" s="1196"/>
      <c r="J854" s="1196"/>
      <c r="K854" s="1196"/>
      <c r="L854" s="1196"/>
      <c r="M854" s="1196"/>
      <c r="N854" s="1196"/>
      <c r="O854" s="1196"/>
      <c r="P854" s="1196"/>
      <c r="Q854" s="1196"/>
      <c r="R854" s="1196"/>
      <c r="S854" s="1196"/>
      <c r="T854" s="1196"/>
      <c r="U854" s="1196"/>
      <c r="V854" s="1196"/>
      <c r="W854" s="1196"/>
      <c r="X854" s="1196"/>
      <c r="Y854" s="1196"/>
      <c r="Z854" s="1196"/>
    </row>
    <row r="855" spans="1:26" ht="12.75" customHeight="1">
      <c r="A855" s="1196"/>
      <c r="B855" s="1196"/>
      <c r="C855" s="1196"/>
      <c r="D855" s="1196"/>
      <c r="E855" s="1196"/>
      <c r="F855" s="1196"/>
      <c r="G855" s="1196"/>
      <c r="H855" s="1196"/>
      <c r="I855" s="1196"/>
      <c r="J855" s="1196"/>
      <c r="K855" s="1196"/>
      <c r="L855" s="1196"/>
      <c r="M855" s="1196"/>
      <c r="N855" s="1196"/>
      <c r="O855" s="1196"/>
      <c r="P855" s="1196"/>
      <c r="Q855" s="1196"/>
      <c r="R855" s="1196"/>
      <c r="S855" s="1196"/>
      <c r="T855" s="1196"/>
      <c r="U855" s="1196"/>
      <c r="V855" s="1196"/>
      <c r="W855" s="1196"/>
      <c r="X855" s="1196"/>
      <c r="Y855" s="1196"/>
      <c r="Z855" s="1196"/>
    </row>
    <row r="856" spans="1:26" ht="12.75" customHeight="1">
      <c r="A856" s="1196"/>
      <c r="B856" s="1196"/>
      <c r="C856" s="1196"/>
      <c r="D856" s="1196"/>
      <c r="E856" s="1196"/>
      <c r="F856" s="1196"/>
      <c r="G856" s="1196"/>
      <c r="H856" s="1196"/>
      <c r="I856" s="1196"/>
      <c r="J856" s="1196"/>
      <c r="K856" s="1196"/>
      <c r="L856" s="1196"/>
      <c r="M856" s="1196"/>
      <c r="N856" s="1196"/>
      <c r="O856" s="1196"/>
      <c r="P856" s="1196"/>
      <c r="Q856" s="1196"/>
      <c r="R856" s="1196"/>
      <c r="S856" s="1196"/>
      <c r="T856" s="1196"/>
      <c r="U856" s="1196"/>
      <c r="V856" s="1196"/>
      <c r="W856" s="1196"/>
      <c r="X856" s="1196"/>
      <c r="Y856" s="1196"/>
      <c r="Z856" s="1196"/>
    </row>
    <row r="857" spans="1:26" ht="12.75" customHeight="1">
      <c r="A857" s="1196"/>
      <c r="B857" s="1196"/>
      <c r="C857" s="1196"/>
      <c r="D857" s="1196"/>
      <c r="E857" s="1196"/>
      <c r="F857" s="1196"/>
      <c r="G857" s="1196"/>
      <c r="H857" s="1196"/>
      <c r="I857" s="1196"/>
      <c r="J857" s="1196"/>
      <c r="K857" s="1196"/>
      <c r="L857" s="1196"/>
      <c r="M857" s="1196"/>
      <c r="N857" s="1196"/>
      <c r="O857" s="1196"/>
      <c r="P857" s="1196"/>
      <c r="Q857" s="1196"/>
      <c r="R857" s="1196"/>
      <c r="S857" s="1196"/>
      <c r="T857" s="1196"/>
      <c r="U857" s="1196"/>
      <c r="V857" s="1196"/>
      <c r="W857" s="1196"/>
      <c r="X857" s="1196"/>
      <c r="Y857" s="1196"/>
      <c r="Z857" s="1196"/>
    </row>
    <row r="858" spans="1:26" ht="12.75" customHeight="1">
      <c r="A858" s="1196"/>
      <c r="B858" s="1196"/>
      <c r="C858" s="1196"/>
      <c r="D858" s="1196"/>
      <c r="E858" s="1196"/>
      <c r="F858" s="1196"/>
      <c r="G858" s="1196"/>
      <c r="H858" s="1196"/>
      <c r="I858" s="1196"/>
      <c r="J858" s="1196"/>
      <c r="K858" s="1196"/>
      <c r="L858" s="1196"/>
      <c r="M858" s="1196"/>
      <c r="N858" s="1196"/>
      <c r="O858" s="1196"/>
      <c r="P858" s="1196"/>
      <c r="Q858" s="1196"/>
      <c r="R858" s="1196"/>
      <c r="S858" s="1196"/>
      <c r="T858" s="1196"/>
      <c r="U858" s="1196"/>
      <c r="V858" s="1196"/>
      <c r="W858" s="1196"/>
      <c r="X858" s="1196"/>
      <c r="Y858" s="1196"/>
      <c r="Z858" s="1196"/>
    </row>
    <row r="859" spans="1:26" ht="12.75" customHeight="1">
      <c r="A859" s="1196"/>
      <c r="B859" s="1196"/>
      <c r="C859" s="1196"/>
      <c r="D859" s="1196"/>
      <c r="E859" s="1196"/>
      <c r="F859" s="1196"/>
      <c r="G859" s="1196"/>
      <c r="H859" s="1196"/>
      <c r="I859" s="1196"/>
      <c r="J859" s="1196"/>
      <c r="K859" s="1196"/>
      <c r="L859" s="1196"/>
      <c r="M859" s="1196"/>
      <c r="N859" s="1196"/>
      <c r="O859" s="1196"/>
      <c r="P859" s="1196"/>
      <c r="Q859" s="1196"/>
      <c r="R859" s="1196"/>
      <c r="S859" s="1196"/>
      <c r="T859" s="1196"/>
      <c r="U859" s="1196"/>
      <c r="V859" s="1196"/>
      <c r="W859" s="1196"/>
      <c r="X859" s="1196"/>
      <c r="Y859" s="1196"/>
      <c r="Z859" s="1196"/>
    </row>
    <row r="860" spans="1:26" ht="12.75" customHeight="1">
      <c r="A860" s="1196"/>
      <c r="B860" s="1196"/>
      <c r="C860" s="1196"/>
      <c r="D860" s="1196"/>
      <c r="E860" s="1196"/>
      <c r="F860" s="1196"/>
      <c r="G860" s="1196"/>
      <c r="H860" s="1196"/>
      <c r="I860" s="1196"/>
      <c r="J860" s="1196"/>
      <c r="K860" s="1196"/>
      <c r="L860" s="1196"/>
      <c r="M860" s="1196"/>
      <c r="N860" s="1196"/>
      <c r="O860" s="1196"/>
      <c r="P860" s="1196"/>
      <c r="Q860" s="1196"/>
      <c r="R860" s="1196"/>
      <c r="S860" s="1196"/>
      <c r="T860" s="1196"/>
      <c r="U860" s="1196"/>
      <c r="V860" s="1196"/>
      <c r="W860" s="1196"/>
      <c r="X860" s="1196"/>
      <c r="Y860" s="1196"/>
      <c r="Z860" s="1196"/>
    </row>
    <row r="861" spans="1:26" ht="12.75" customHeight="1">
      <c r="A861" s="1196"/>
      <c r="B861" s="1196"/>
      <c r="C861" s="1196"/>
      <c r="D861" s="1196"/>
      <c r="E861" s="1196"/>
      <c r="F861" s="1196"/>
      <c r="G861" s="1196"/>
      <c r="H861" s="1196"/>
      <c r="I861" s="1196"/>
      <c r="J861" s="1196"/>
      <c r="K861" s="1196"/>
      <c r="L861" s="1196"/>
      <c r="M861" s="1196"/>
      <c r="N861" s="1196"/>
      <c r="O861" s="1196"/>
      <c r="P861" s="1196"/>
      <c r="Q861" s="1196"/>
      <c r="R861" s="1196"/>
      <c r="S861" s="1196"/>
      <c r="T861" s="1196"/>
      <c r="U861" s="1196"/>
      <c r="V861" s="1196"/>
      <c r="W861" s="1196"/>
      <c r="X861" s="1196"/>
      <c r="Y861" s="1196"/>
      <c r="Z861" s="1196"/>
    </row>
    <row r="862" spans="1:26" ht="12.75" customHeight="1">
      <c r="A862" s="1196"/>
      <c r="B862" s="1196"/>
      <c r="C862" s="1196"/>
      <c r="D862" s="1196"/>
      <c r="E862" s="1196"/>
      <c r="F862" s="1196"/>
      <c r="G862" s="1196"/>
      <c r="H862" s="1196"/>
      <c r="I862" s="1196"/>
      <c r="J862" s="1196"/>
      <c r="K862" s="1196"/>
      <c r="L862" s="1196"/>
      <c r="M862" s="1196"/>
      <c r="N862" s="1196"/>
      <c r="O862" s="1196"/>
      <c r="P862" s="1196"/>
      <c r="Q862" s="1196"/>
      <c r="R862" s="1196"/>
      <c r="S862" s="1196"/>
      <c r="T862" s="1196"/>
      <c r="U862" s="1196"/>
      <c r="V862" s="1196"/>
      <c r="W862" s="1196"/>
      <c r="X862" s="1196"/>
      <c r="Y862" s="1196"/>
      <c r="Z862" s="1196"/>
    </row>
    <row r="863" spans="1:26" ht="12.75" customHeight="1">
      <c r="A863" s="1196"/>
      <c r="B863" s="1196"/>
      <c r="C863" s="1196"/>
      <c r="D863" s="1196"/>
      <c r="E863" s="1196"/>
      <c r="F863" s="1196"/>
      <c r="G863" s="1196"/>
      <c r="H863" s="1196"/>
      <c r="I863" s="1196"/>
      <c r="J863" s="1196"/>
      <c r="K863" s="1196"/>
      <c r="L863" s="1196"/>
      <c r="M863" s="1196"/>
      <c r="N863" s="1196"/>
      <c r="O863" s="1196"/>
      <c r="P863" s="1196"/>
      <c r="Q863" s="1196"/>
      <c r="R863" s="1196"/>
      <c r="S863" s="1196"/>
      <c r="T863" s="1196"/>
      <c r="U863" s="1196"/>
      <c r="V863" s="1196"/>
      <c r="W863" s="1196"/>
      <c r="X863" s="1196"/>
      <c r="Y863" s="1196"/>
      <c r="Z863" s="1196"/>
    </row>
    <row r="864" spans="1:26" ht="12.75" customHeight="1">
      <c r="A864" s="1196"/>
      <c r="B864" s="1196"/>
      <c r="C864" s="1196"/>
      <c r="D864" s="1196"/>
      <c r="E864" s="1196"/>
      <c r="F864" s="1196"/>
      <c r="G864" s="1196"/>
      <c r="H864" s="1196"/>
      <c r="I864" s="1196"/>
      <c r="J864" s="1196"/>
      <c r="K864" s="1196"/>
      <c r="L864" s="1196"/>
      <c r="M864" s="1196"/>
      <c r="N864" s="1196"/>
      <c r="O864" s="1196"/>
      <c r="P864" s="1196"/>
      <c r="Q864" s="1196"/>
      <c r="R864" s="1196"/>
      <c r="S864" s="1196"/>
      <c r="T864" s="1196"/>
      <c r="U864" s="1196"/>
      <c r="V864" s="1196"/>
      <c r="W864" s="1196"/>
      <c r="X864" s="1196"/>
      <c r="Y864" s="1196"/>
      <c r="Z864" s="1196"/>
    </row>
    <row r="865" spans="1:26" ht="12.75" customHeight="1">
      <c r="A865" s="1196"/>
      <c r="B865" s="1196"/>
      <c r="C865" s="1196"/>
      <c r="D865" s="1196"/>
      <c r="E865" s="1196"/>
      <c r="F865" s="1196"/>
      <c r="G865" s="1196"/>
      <c r="H865" s="1196"/>
      <c r="I865" s="1196"/>
      <c r="J865" s="1196"/>
      <c r="K865" s="1196"/>
      <c r="L865" s="1196"/>
      <c r="M865" s="1196"/>
      <c r="N865" s="1196"/>
      <c r="O865" s="1196"/>
      <c r="P865" s="1196"/>
      <c r="Q865" s="1196"/>
      <c r="R865" s="1196"/>
      <c r="S865" s="1196"/>
      <c r="T865" s="1196"/>
      <c r="U865" s="1196"/>
      <c r="V865" s="1196"/>
      <c r="W865" s="1196"/>
      <c r="X865" s="1196"/>
      <c r="Y865" s="1196"/>
      <c r="Z865" s="1196"/>
    </row>
    <row r="866" spans="1:26" ht="12.75" customHeight="1">
      <c r="A866" s="1196"/>
      <c r="B866" s="1196"/>
      <c r="C866" s="1196"/>
      <c r="D866" s="1196"/>
      <c r="E866" s="1196"/>
      <c r="F866" s="1196"/>
      <c r="G866" s="1196"/>
      <c r="H866" s="1196"/>
      <c r="I866" s="1196"/>
      <c r="J866" s="1196"/>
      <c r="K866" s="1196"/>
      <c r="L866" s="1196"/>
      <c r="M866" s="1196"/>
      <c r="N866" s="1196"/>
      <c r="O866" s="1196"/>
      <c r="P866" s="1196"/>
      <c r="Q866" s="1196"/>
      <c r="R866" s="1196"/>
      <c r="S866" s="1196"/>
      <c r="T866" s="1196"/>
      <c r="U866" s="1196"/>
      <c r="V866" s="1196"/>
      <c r="W866" s="1196"/>
      <c r="X866" s="1196"/>
      <c r="Y866" s="1196"/>
      <c r="Z866" s="1196"/>
    </row>
    <row r="867" spans="1:26" ht="12.75" customHeight="1">
      <c r="A867" s="1196"/>
      <c r="B867" s="1196"/>
      <c r="C867" s="1196"/>
      <c r="D867" s="1196"/>
      <c r="E867" s="1196"/>
      <c r="F867" s="1196"/>
      <c r="G867" s="1196"/>
      <c r="H867" s="1196"/>
      <c r="I867" s="1196"/>
      <c r="J867" s="1196"/>
      <c r="K867" s="1196"/>
      <c r="L867" s="1196"/>
      <c r="M867" s="1196"/>
      <c r="N867" s="1196"/>
      <c r="O867" s="1196"/>
      <c r="P867" s="1196"/>
      <c r="Q867" s="1196"/>
      <c r="R867" s="1196"/>
      <c r="S867" s="1196"/>
      <c r="T867" s="1196"/>
      <c r="U867" s="1196"/>
      <c r="V867" s="1196"/>
      <c r="W867" s="1196"/>
      <c r="X867" s="1196"/>
      <c r="Y867" s="1196"/>
      <c r="Z867" s="1196"/>
    </row>
    <row r="868" spans="1:26" ht="12.75" customHeight="1">
      <c r="A868" s="1196"/>
      <c r="B868" s="1196"/>
      <c r="C868" s="1196"/>
      <c r="D868" s="1196"/>
      <c r="E868" s="1196"/>
      <c r="F868" s="1196"/>
      <c r="G868" s="1196"/>
      <c r="H868" s="1196"/>
      <c r="I868" s="1196"/>
      <c r="J868" s="1196"/>
      <c r="K868" s="1196"/>
      <c r="L868" s="1196"/>
      <c r="M868" s="1196"/>
      <c r="N868" s="1196"/>
      <c r="O868" s="1196"/>
      <c r="P868" s="1196"/>
      <c r="Q868" s="1196"/>
      <c r="R868" s="1196"/>
      <c r="S868" s="1196"/>
      <c r="T868" s="1196"/>
      <c r="U868" s="1196"/>
      <c r="V868" s="1196"/>
      <c r="W868" s="1196"/>
      <c r="X868" s="1196"/>
      <c r="Y868" s="1196"/>
      <c r="Z868" s="1196"/>
    </row>
    <row r="869" spans="1:26" ht="12.75" customHeight="1">
      <c r="A869" s="1196"/>
      <c r="B869" s="1196"/>
      <c r="C869" s="1196"/>
      <c r="D869" s="1196"/>
      <c r="E869" s="1196"/>
      <c r="F869" s="1196"/>
      <c r="G869" s="1196"/>
      <c r="H869" s="1196"/>
      <c r="I869" s="1196"/>
      <c r="J869" s="1196"/>
      <c r="K869" s="1196"/>
      <c r="L869" s="1196"/>
      <c r="M869" s="1196"/>
      <c r="N869" s="1196"/>
      <c r="O869" s="1196"/>
      <c r="P869" s="1196"/>
      <c r="Q869" s="1196"/>
      <c r="R869" s="1196"/>
      <c r="S869" s="1196"/>
      <c r="T869" s="1196"/>
      <c r="U869" s="1196"/>
      <c r="V869" s="1196"/>
      <c r="W869" s="1196"/>
      <c r="X869" s="1196"/>
      <c r="Y869" s="1196"/>
      <c r="Z869" s="1196"/>
    </row>
    <row r="870" spans="1:26" ht="12.75" customHeight="1">
      <c r="A870" s="1196"/>
      <c r="B870" s="1196"/>
      <c r="C870" s="1196"/>
      <c r="D870" s="1196"/>
      <c r="E870" s="1196"/>
      <c r="F870" s="1196"/>
      <c r="G870" s="1196"/>
      <c r="H870" s="1196"/>
      <c r="I870" s="1196"/>
      <c r="J870" s="1196"/>
      <c r="K870" s="1196"/>
      <c r="L870" s="1196"/>
      <c r="M870" s="1196"/>
      <c r="N870" s="1196"/>
      <c r="O870" s="1196"/>
      <c r="P870" s="1196"/>
      <c r="Q870" s="1196"/>
      <c r="R870" s="1196"/>
      <c r="S870" s="1196"/>
      <c r="T870" s="1196"/>
      <c r="U870" s="1196"/>
      <c r="V870" s="1196"/>
      <c r="W870" s="1196"/>
      <c r="X870" s="1196"/>
      <c r="Y870" s="1196"/>
      <c r="Z870" s="1196"/>
    </row>
    <row r="871" spans="1:26" ht="12.75" customHeight="1">
      <c r="A871" s="1196"/>
      <c r="B871" s="1196"/>
      <c r="C871" s="1196"/>
      <c r="D871" s="1196"/>
      <c r="E871" s="1196"/>
      <c r="F871" s="1196"/>
      <c r="G871" s="1196"/>
      <c r="H871" s="1196"/>
      <c r="I871" s="1196"/>
      <c r="J871" s="1196"/>
      <c r="K871" s="1196"/>
      <c r="L871" s="1196"/>
      <c r="M871" s="1196"/>
      <c r="N871" s="1196"/>
      <c r="O871" s="1196"/>
      <c r="P871" s="1196"/>
      <c r="Q871" s="1196"/>
      <c r="R871" s="1196"/>
      <c r="S871" s="1196"/>
      <c r="T871" s="1196"/>
      <c r="U871" s="1196"/>
      <c r="V871" s="1196"/>
      <c r="W871" s="1196"/>
      <c r="X871" s="1196"/>
      <c r="Y871" s="1196"/>
      <c r="Z871" s="1196"/>
    </row>
    <row r="872" spans="1:26" ht="12.75" customHeight="1">
      <c r="A872" s="1196"/>
      <c r="B872" s="1196"/>
      <c r="C872" s="1196"/>
      <c r="D872" s="1196"/>
      <c r="E872" s="1196"/>
      <c r="F872" s="1196"/>
      <c r="G872" s="1196"/>
      <c r="H872" s="1196"/>
      <c r="I872" s="1196"/>
      <c r="J872" s="1196"/>
      <c r="K872" s="1196"/>
      <c r="L872" s="1196"/>
      <c r="M872" s="1196"/>
      <c r="N872" s="1196"/>
      <c r="O872" s="1196"/>
      <c r="P872" s="1196"/>
      <c r="Q872" s="1196"/>
      <c r="R872" s="1196"/>
      <c r="S872" s="1196"/>
      <c r="T872" s="1196"/>
      <c r="U872" s="1196"/>
      <c r="V872" s="1196"/>
      <c r="W872" s="1196"/>
      <c r="X872" s="1196"/>
      <c r="Y872" s="1196"/>
      <c r="Z872" s="1196"/>
    </row>
    <row r="873" spans="1:26" ht="12.75" customHeight="1">
      <c r="A873" s="1196"/>
      <c r="B873" s="1196"/>
      <c r="C873" s="1196"/>
      <c r="D873" s="1196"/>
      <c r="E873" s="1196"/>
      <c r="F873" s="1196"/>
      <c r="G873" s="1196"/>
      <c r="H873" s="1196"/>
      <c r="I873" s="1196"/>
      <c r="J873" s="1196"/>
      <c r="K873" s="1196"/>
      <c r="L873" s="1196"/>
      <c r="M873" s="1196"/>
      <c r="N873" s="1196"/>
      <c r="O873" s="1196"/>
      <c r="P873" s="1196"/>
      <c r="Q873" s="1196"/>
      <c r="R873" s="1196"/>
      <c r="S873" s="1196"/>
      <c r="T873" s="1196"/>
      <c r="U873" s="1196"/>
      <c r="V873" s="1196"/>
      <c r="W873" s="1196"/>
      <c r="X873" s="1196"/>
      <c r="Y873" s="1196"/>
      <c r="Z873" s="1196"/>
    </row>
    <row r="874" spans="1:26" ht="12.75" customHeight="1">
      <c r="A874" s="1196"/>
      <c r="B874" s="1196"/>
      <c r="C874" s="1196"/>
      <c r="D874" s="1196"/>
      <c r="E874" s="1196"/>
      <c r="F874" s="1196"/>
      <c r="G874" s="1196"/>
      <c r="H874" s="1196"/>
      <c r="I874" s="1196"/>
      <c r="J874" s="1196"/>
      <c r="K874" s="1196"/>
      <c r="L874" s="1196"/>
      <c r="M874" s="1196"/>
      <c r="N874" s="1196"/>
      <c r="O874" s="1196"/>
      <c r="P874" s="1196"/>
      <c r="Q874" s="1196"/>
      <c r="R874" s="1196"/>
      <c r="S874" s="1196"/>
      <c r="T874" s="1196"/>
      <c r="U874" s="1196"/>
      <c r="V874" s="1196"/>
      <c r="W874" s="1196"/>
      <c r="X874" s="1196"/>
      <c r="Y874" s="1196"/>
      <c r="Z874" s="1196"/>
    </row>
    <row r="875" spans="1:26" ht="12.75" customHeight="1">
      <c r="A875" s="1196"/>
      <c r="B875" s="1196"/>
      <c r="C875" s="1196"/>
      <c r="D875" s="1196"/>
      <c r="E875" s="1196"/>
      <c r="F875" s="1196"/>
      <c r="G875" s="1196"/>
      <c r="H875" s="1196"/>
      <c r="I875" s="1196"/>
      <c r="J875" s="1196"/>
      <c r="K875" s="1196"/>
      <c r="L875" s="1196"/>
      <c r="M875" s="1196"/>
      <c r="N875" s="1196"/>
      <c r="O875" s="1196"/>
      <c r="P875" s="1196"/>
      <c r="Q875" s="1196"/>
      <c r="R875" s="1196"/>
      <c r="S875" s="1196"/>
      <c r="T875" s="1196"/>
      <c r="U875" s="1196"/>
      <c r="V875" s="1196"/>
      <c r="W875" s="1196"/>
      <c r="X875" s="1196"/>
      <c r="Y875" s="1196"/>
      <c r="Z875" s="1196"/>
    </row>
    <row r="876" spans="1:26" ht="12.75" customHeight="1">
      <c r="A876" s="1196"/>
      <c r="B876" s="1196"/>
      <c r="C876" s="1196"/>
      <c r="D876" s="1196"/>
      <c r="E876" s="1196"/>
      <c r="F876" s="1196"/>
      <c r="G876" s="1196"/>
      <c r="H876" s="1196"/>
      <c r="I876" s="1196"/>
      <c r="J876" s="1196"/>
      <c r="K876" s="1196"/>
      <c r="L876" s="1196"/>
      <c r="M876" s="1196"/>
      <c r="N876" s="1196"/>
      <c r="O876" s="1196"/>
      <c r="P876" s="1196"/>
      <c r="Q876" s="1196"/>
      <c r="R876" s="1196"/>
      <c r="S876" s="1196"/>
      <c r="T876" s="1196"/>
      <c r="U876" s="1196"/>
      <c r="V876" s="1196"/>
      <c r="W876" s="1196"/>
      <c r="X876" s="1196"/>
      <c r="Y876" s="1196"/>
      <c r="Z876" s="1196"/>
    </row>
    <row r="877" spans="1:26" ht="12.75" customHeight="1">
      <c r="A877" s="1196"/>
      <c r="B877" s="1196"/>
      <c r="C877" s="1196"/>
      <c r="D877" s="1196"/>
      <c r="E877" s="1196"/>
      <c r="F877" s="1196"/>
      <c r="G877" s="1196"/>
      <c r="H877" s="1196"/>
      <c r="I877" s="1196"/>
      <c r="J877" s="1196"/>
      <c r="K877" s="1196"/>
      <c r="L877" s="1196"/>
      <c r="M877" s="1196"/>
      <c r="N877" s="1196"/>
      <c r="O877" s="1196"/>
      <c r="P877" s="1196"/>
      <c r="Q877" s="1196"/>
      <c r="R877" s="1196"/>
      <c r="S877" s="1196"/>
      <c r="T877" s="1196"/>
      <c r="U877" s="1196"/>
      <c r="V877" s="1196"/>
      <c r="W877" s="1196"/>
      <c r="X877" s="1196"/>
      <c r="Y877" s="1196"/>
      <c r="Z877" s="1196"/>
    </row>
    <row r="878" spans="1:26" ht="12.75" customHeight="1">
      <c r="A878" s="1196"/>
      <c r="B878" s="1196"/>
      <c r="C878" s="1196"/>
      <c r="D878" s="1196"/>
      <c r="E878" s="1196"/>
      <c r="F878" s="1196"/>
      <c r="G878" s="1196"/>
      <c r="H878" s="1196"/>
      <c r="I878" s="1196"/>
      <c r="J878" s="1196"/>
      <c r="K878" s="1196"/>
      <c r="L878" s="1196"/>
      <c r="M878" s="1196"/>
      <c r="N878" s="1196"/>
      <c r="O878" s="1196"/>
      <c r="P878" s="1196"/>
      <c r="Q878" s="1196"/>
      <c r="R878" s="1196"/>
      <c r="S878" s="1196"/>
      <c r="T878" s="1196"/>
      <c r="U878" s="1196"/>
      <c r="V878" s="1196"/>
      <c r="W878" s="1196"/>
      <c r="X878" s="1196"/>
      <c r="Y878" s="1196"/>
      <c r="Z878" s="1196"/>
    </row>
    <row r="879" spans="1:26" ht="12.75" customHeight="1">
      <c r="A879" s="1196"/>
      <c r="B879" s="1196"/>
      <c r="C879" s="1196"/>
      <c r="D879" s="1196"/>
      <c r="E879" s="1196"/>
      <c r="F879" s="1196"/>
      <c r="G879" s="1196"/>
      <c r="H879" s="1196"/>
      <c r="I879" s="1196"/>
      <c r="J879" s="1196"/>
      <c r="K879" s="1196"/>
      <c r="L879" s="1196"/>
      <c r="M879" s="1196"/>
      <c r="N879" s="1196"/>
      <c r="O879" s="1196"/>
      <c r="P879" s="1196"/>
      <c r="Q879" s="1196"/>
      <c r="R879" s="1196"/>
      <c r="S879" s="1196"/>
      <c r="T879" s="1196"/>
      <c r="U879" s="1196"/>
      <c r="V879" s="1196"/>
      <c r="W879" s="1196"/>
      <c r="X879" s="1196"/>
      <c r="Y879" s="1196"/>
      <c r="Z879" s="1196"/>
    </row>
    <row r="880" spans="1:26" ht="12.75" customHeight="1">
      <c r="A880" s="1196"/>
      <c r="B880" s="1196"/>
      <c r="C880" s="1196"/>
      <c r="D880" s="1196"/>
      <c r="E880" s="1196"/>
      <c r="F880" s="1196"/>
      <c r="G880" s="1196"/>
      <c r="H880" s="1196"/>
      <c r="I880" s="1196"/>
      <c r="J880" s="1196"/>
      <c r="K880" s="1196"/>
      <c r="L880" s="1196"/>
      <c r="M880" s="1196"/>
      <c r="N880" s="1196"/>
      <c r="O880" s="1196"/>
      <c r="P880" s="1196"/>
      <c r="Q880" s="1196"/>
      <c r="R880" s="1196"/>
      <c r="S880" s="1196"/>
      <c r="T880" s="1196"/>
      <c r="U880" s="1196"/>
      <c r="V880" s="1196"/>
      <c r="W880" s="1196"/>
      <c r="X880" s="1196"/>
      <c r="Y880" s="1196"/>
      <c r="Z880" s="1196"/>
    </row>
    <row r="881" spans="1:26" ht="12.75" customHeight="1">
      <c r="A881" s="1196"/>
      <c r="B881" s="1196"/>
      <c r="C881" s="1196"/>
      <c r="D881" s="1196"/>
      <c r="E881" s="1196"/>
      <c r="F881" s="1196"/>
      <c r="G881" s="1196"/>
      <c r="H881" s="1196"/>
      <c r="I881" s="1196"/>
      <c r="J881" s="1196"/>
      <c r="K881" s="1196"/>
      <c r="L881" s="1196"/>
      <c r="M881" s="1196"/>
      <c r="N881" s="1196"/>
      <c r="O881" s="1196"/>
      <c r="P881" s="1196"/>
      <c r="Q881" s="1196"/>
      <c r="R881" s="1196"/>
      <c r="S881" s="1196"/>
      <c r="T881" s="1196"/>
      <c r="U881" s="1196"/>
      <c r="V881" s="1196"/>
      <c r="W881" s="1196"/>
      <c r="X881" s="1196"/>
      <c r="Y881" s="1196"/>
      <c r="Z881" s="1196"/>
    </row>
    <row r="882" spans="1:26" ht="12.75" customHeight="1">
      <c r="A882" s="1196"/>
      <c r="B882" s="1196"/>
      <c r="C882" s="1196"/>
      <c r="D882" s="1196"/>
      <c r="E882" s="1196"/>
      <c r="F882" s="1196"/>
      <c r="G882" s="1196"/>
      <c r="H882" s="1196"/>
      <c r="I882" s="1196"/>
      <c r="J882" s="1196"/>
      <c r="K882" s="1196"/>
      <c r="L882" s="1196"/>
      <c r="M882" s="1196"/>
      <c r="N882" s="1196"/>
      <c r="O882" s="1196"/>
      <c r="P882" s="1196"/>
      <c r="Q882" s="1196"/>
      <c r="R882" s="1196"/>
      <c r="S882" s="1196"/>
      <c r="T882" s="1196"/>
      <c r="U882" s="1196"/>
      <c r="V882" s="1196"/>
      <c r="W882" s="1196"/>
      <c r="X882" s="1196"/>
      <c r="Y882" s="1196"/>
      <c r="Z882" s="1196"/>
    </row>
    <row r="883" spans="1:26" ht="12.75" customHeight="1">
      <c r="A883" s="1196"/>
      <c r="B883" s="1196"/>
      <c r="C883" s="1196"/>
      <c r="D883" s="1196"/>
      <c r="E883" s="1196"/>
      <c r="F883" s="1196"/>
      <c r="G883" s="1196"/>
      <c r="H883" s="1196"/>
      <c r="I883" s="1196"/>
      <c r="J883" s="1196"/>
      <c r="K883" s="1196"/>
      <c r="L883" s="1196"/>
      <c r="M883" s="1196"/>
      <c r="N883" s="1196"/>
      <c r="O883" s="1196"/>
      <c r="P883" s="1196"/>
      <c r="Q883" s="1196"/>
      <c r="R883" s="1196"/>
      <c r="S883" s="1196"/>
      <c r="T883" s="1196"/>
      <c r="U883" s="1196"/>
      <c r="V883" s="1196"/>
      <c r="W883" s="1196"/>
      <c r="X883" s="1196"/>
      <c r="Y883" s="1196"/>
      <c r="Z883" s="1196"/>
    </row>
    <row r="884" spans="1:26" ht="12.75" customHeight="1">
      <c r="A884" s="1196"/>
      <c r="B884" s="1196"/>
      <c r="C884" s="1196"/>
      <c r="D884" s="1196"/>
      <c r="E884" s="1196"/>
      <c r="F884" s="1196"/>
      <c r="G884" s="1196"/>
      <c r="H884" s="1196"/>
      <c r="I884" s="1196"/>
      <c r="J884" s="1196"/>
      <c r="K884" s="1196"/>
      <c r="L884" s="1196"/>
      <c r="M884" s="1196"/>
      <c r="N884" s="1196"/>
      <c r="O884" s="1196"/>
      <c r="P884" s="1196"/>
      <c r="Q884" s="1196"/>
      <c r="R884" s="1196"/>
      <c r="S884" s="1196"/>
      <c r="T884" s="1196"/>
      <c r="U884" s="1196"/>
      <c r="V884" s="1196"/>
      <c r="W884" s="1196"/>
      <c r="X884" s="1196"/>
      <c r="Y884" s="1196"/>
      <c r="Z884" s="1196"/>
    </row>
    <row r="885" spans="1:26" ht="12.75" customHeight="1">
      <c r="A885" s="1196"/>
      <c r="B885" s="1196"/>
      <c r="C885" s="1196"/>
      <c r="D885" s="1196"/>
      <c r="E885" s="1196"/>
      <c r="F885" s="1196"/>
      <c r="G885" s="1196"/>
      <c r="H885" s="1196"/>
      <c r="I885" s="1196"/>
      <c r="J885" s="1196"/>
      <c r="K885" s="1196"/>
      <c r="L885" s="1196"/>
      <c r="M885" s="1196"/>
      <c r="N885" s="1196"/>
      <c r="O885" s="1196"/>
      <c r="P885" s="1196"/>
      <c r="Q885" s="1196"/>
      <c r="R885" s="1196"/>
      <c r="S885" s="1196"/>
      <c r="T885" s="1196"/>
      <c r="U885" s="1196"/>
      <c r="V885" s="1196"/>
      <c r="W885" s="1196"/>
      <c r="X885" s="1196"/>
      <c r="Y885" s="1196"/>
      <c r="Z885" s="1196"/>
    </row>
    <row r="886" spans="1:26" ht="12.75" customHeight="1">
      <c r="A886" s="1196"/>
      <c r="B886" s="1196"/>
      <c r="C886" s="1196"/>
      <c r="D886" s="1196"/>
      <c r="E886" s="1196"/>
      <c r="F886" s="1196"/>
      <c r="G886" s="1196"/>
      <c r="H886" s="1196"/>
      <c r="I886" s="1196"/>
      <c r="J886" s="1196"/>
      <c r="K886" s="1196"/>
      <c r="L886" s="1196"/>
      <c r="M886" s="1196"/>
      <c r="N886" s="1196"/>
      <c r="O886" s="1196"/>
      <c r="P886" s="1196"/>
      <c r="Q886" s="1196"/>
      <c r="R886" s="1196"/>
      <c r="S886" s="1196"/>
      <c r="T886" s="1196"/>
      <c r="U886" s="1196"/>
      <c r="V886" s="1196"/>
      <c r="W886" s="1196"/>
      <c r="X886" s="1196"/>
      <c r="Y886" s="1196"/>
      <c r="Z886" s="1196"/>
    </row>
    <row r="887" spans="1:26" ht="12.75" customHeight="1">
      <c r="A887" s="1196"/>
      <c r="B887" s="1196"/>
      <c r="C887" s="1196"/>
      <c r="D887" s="1196"/>
      <c r="E887" s="1196"/>
      <c r="F887" s="1196"/>
      <c r="G887" s="1196"/>
      <c r="H887" s="1196"/>
      <c r="I887" s="1196"/>
      <c r="J887" s="1196"/>
      <c r="K887" s="1196"/>
      <c r="L887" s="1196"/>
      <c r="M887" s="1196"/>
      <c r="N887" s="1196"/>
      <c r="O887" s="1196"/>
      <c r="P887" s="1196"/>
      <c r="Q887" s="1196"/>
      <c r="R887" s="1196"/>
      <c r="S887" s="1196"/>
      <c r="T887" s="1196"/>
      <c r="U887" s="1196"/>
      <c r="V887" s="1196"/>
      <c r="W887" s="1196"/>
      <c r="X887" s="1196"/>
      <c r="Y887" s="1196"/>
      <c r="Z887" s="1196"/>
    </row>
    <row r="888" spans="1:26" ht="12.75" customHeight="1">
      <c r="A888" s="1196"/>
      <c r="B888" s="1196"/>
      <c r="C888" s="1196"/>
      <c r="D888" s="1196"/>
      <c r="E888" s="1196"/>
      <c r="F888" s="1196"/>
      <c r="G888" s="1196"/>
      <c r="H888" s="1196"/>
      <c r="I888" s="1196"/>
      <c r="J888" s="1196"/>
      <c r="K888" s="1196"/>
      <c r="L888" s="1196"/>
      <c r="M888" s="1196"/>
      <c r="N888" s="1196"/>
      <c r="O888" s="1196"/>
      <c r="P888" s="1196"/>
      <c r="Q888" s="1196"/>
      <c r="R888" s="1196"/>
      <c r="S888" s="1196"/>
      <c r="T888" s="1196"/>
      <c r="U888" s="1196"/>
      <c r="V888" s="1196"/>
      <c r="W888" s="1196"/>
      <c r="X888" s="1196"/>
      <c r="Y888" s="1196"/>
      <c r="Z888" s="1196"/>
    </row>
    <row r="889" spans="1:26" ht="12.75" customHeight="1">
      <c r="A889" s="1196"/>
      <c r="B889" s="1196"/>
      <c r="C889" s="1196"/>
      <c r="D889" s="1196"/>
      <c r="E889" s="1196"/>
      <c r="F889" s="1196"/>
      <c r="G889" s="1196"/>
      <c r="H889" s="1196"/>
      <c r="I889" s="1196"/>
      <c r="J889" s="1196"/>
      <c r="K889" s="1196"/>
      <c r="L889" s="1196"/>
      <c r="M889" s="1196"/>
      <c r="N889" s="1196"/>
      <c r="O889" s="1196"/>
      <c r="P889" s="1196"/>
      <c r="Q889" s="1196"/>
      <c r="R889" s="1196"/>
      <c r="S889" s="1196"/>
      <c r="T889" s="1196"/>
      <c r="U889" s="1196"/>
      <c r="V889" s="1196"/>
      <c r="W889" s="1196"/>
      <c r="X889" s="1196"/>
      <c r="Y889" s="1196"/>
      <c r="Z889" s="1196"/>
    </row>
    <row r="890" spans="1:26" ht="12.75" customHeight="1">
      <c r="A890" s="1196"/>
      <c r="B890" s="1196"/>
      <c r="C890" s="1196"/>
      <c r="D890" s="1196"/>
      <c r="E890" s="1196"/>
      <c r="F890" s="1196"/>
      <c r="G890" s="1196"/>
      <c r="H890" s="1196"/>
      <c r="I890" s="1196"/>
      <c r="J890" s="1196"/>
      <c r="K890" s="1196"/>
      <c r="L890" s="1196"/>
      <c r="M890" s="1196"/>
      <c r="N890" s="1196"/>
      <c r="O890" s="1196"/>
      <c r="P890" s="1196"/>
      <c r="Q890" s="1196"/>
      <c r="R890" s="1196"/>
      <c r="S890" s="1196"/>
      <c r="T890" s="1196"/>
      <c r="U890" s="1196"/>
      <c r="V890" s="1196"/>
      <c r="W890" s="1196"/>
      <c r="X890" s="1196"/>
      <c r="Y890" s="1196"/>
      <c r="Z890" s="1196"/>
    </row>
    <row r="891" spans="1:26" ht="12.75" customHeight="1">
      <c r="A891" s="1196"/>
      <c r="B891" s="1196"/>
      <c r="C891" s="1196"/>
      <c r="D891" s="1196"/>
      <c r="E891" s="1196"/>
      <c r="F891" s="1196"/>
      <c r="G891" s="1196"/>
      <c r="H891" s="1196"/>
      <c r="I891" s="1196"/>
      <c r="J891" s="1196"/>
      <c r="K891" s="1196"/>
      <c r="L891" s="1196"/>
      <c r="M891" s="1196"/>
      <c r="N891" s="1196"/>
      <c r="O891" s="1196"/>
      <c r="P891" s="1196"/>
      <c r="Q891" s="1196"/>
      <c r="R891" s="1196"/>
      <c r="S891" s="1196"/>
      <c r="T891" s="1196"/>
      <c r="U891" s="1196"/>
      <c r="V891" s="1196"/>
      <c r="W891" s="1196"/>
      <c r="X891" s="1196"/>
      <c r="Y891" s="1196"/>
      <c r="Z891" s="1196"/>
    </row>
    <row r="892" spans="1:26" ht="12.75" customHeight="1">
      <c r="A892" s="1196"/>
      <c r="B892" s="1196"/>
      <c r="C892" s="1196"/>
      <c r="D892" s="1196"/>
      <c r="E892" s="1196"/>
      <c r="F892" s="1196"/>
      <c r="G892" s="1196"/>
      <c r="H892" s="1196"/>
      <c r="I892" s="1196"/>
      <c r="J892" s="1196"/>
      <c r="K892" s="1196"/>
      <c r="L892" s="1196"/>
      <c r="M892" s="1196"/>
      <c r="N892" s="1196"/>
      <c r="O892" s="1196"/>
      <c r="P892" s="1196"/>
      <c r="Q892" s="1196"/>
      <c r="R892" s="1196"/>
      <c r="S892" s="1196"/>
      <c r="T892" s="1196"/>
      <c r="U892" s="1196"/>
      <c r="V892" s="1196"/>
      <c r="W892" s="1196"/>
      <c r="X892" s="1196"/>
      <c r="Y892" s="1196"/>
      <c r="Z892" s="1196"/>
    </row>
    <row r="893" spans="1:26" ht="12.75" customHeight="1">
      <c r="A893" s="1196"/>
      <c r="B893" s="1196"/>
      <c r="C893" s="1196"/>
      <c r="D893" s="1196"/>
      <c r="E893" s="1196"/>
      <c r="F893" s="1196"/>
      <c r="G893" s="1196"/>
      <c r="H893" s="1196"/>
      <c r="I893" s="1196"/>
      <c r="J893" s="1196"/>
      <c r="K893" s="1196"/>
      <c r="L893" s="1196"/>
      <c r="M893" s="1196"/>
      <c r="N893" s="1196"/>
      <c r="O893" s="1196"/>
      <c r="P893" s="1196"/>
      <c r="Q893" s="1196"/>
      <c r="R893" s="1196"/>
      <c r="S893" s="1196"/>
      <c r="T893" s="1196"/>
      <c r="U893" s="1196"/>
      <c r="V893" s="1196"/>
      <c r="W893" s="1196"/>
      <c r="X893" s="1196"/>
      <c r="Y893" s="1196"/>
      <c r="Z893" s="1196"/>
    </row>
    <row r="894" spans="1:26" ht="12.75" customHeight="1">
      <c r="A894" s="1196"/>
      <c r="B894" s="1196"/>
      <c r="C894" s="1196"/>
      <c r="D894" s="1196"/>
      <c r="E894" s="1196"/>
      <c r="F894" s="1196"/>
      <c r="G894" s="1196"/>
      <c r="H894" s="1196"/>
      <c r="I894" s="1196"/>
      <c r="J894" s="1196"/>
      <c r="K894" s="1196"/>
      <c r="L894" s="1196"/>
      <c r="M894" s="1196"/>
      <c r="N894" s="1196"/>
      <c r="O894" s="1196"/>
      <c r="P894" s="1196"/>
      <c r="Q894" s="1196"/>
      <c r="R894" s="1196"/>
      <c r="S894" s="1196"/>
      <c r="T894" s="1196"/>
      <c r="U894" s="1196"/>
      <c r="V894" s="1196"/>
      <c r="W894" s="1196"/>
      <c r="X894" s="1196"/>
      <c r="Y894" s="1196"/>
      <c r="Z894" s="1196"/>
    </row>
    <row r="895" spans="1:26" ht="12.75" customHeight="1">
      <c r="A895" s="1196"/>
      <c r="B895" s="1196"/>
      <c r="C895" s="1196"/>
      <c r="D895" s="1196"/>
      <c r="E895" s="1196"/>
      <c r="F895" s="1196"/>
      <c r="G895" s="1196"/>
      <c r="H895" s="1196"/>
      <c r="I895" s="1196"/>
      <c r="J895" s="1196"/>
      <c r="K895" s="1196"/>
      <c r="L895" s="1196"/>
      <c r="M895" s="1196"/>
      <c r="N895" s="1196"/>
      <c r="O895" s="1196"/>
      <c r="P895" s="1196"/>
      <c r="Q895" s="1196"/>
      <c r="R895" s="1196"/>
      <c r="S895" s="1196"/>
      <c r="T895" s="1196"/>
      <c r="U895" s="1196"/>
      <c r="V895" s="1196"/>
      <c r="W895" s="1196"/>
      <c r="X895" s="1196"/>
      <c r="Y895" s="1196"/>
      <c r="Z895" s="1196"/>
    </row>
    <row r="896" spans="1:26" ht="12.75" customHeight="1">
      <c r="A896" s="1196"/>
      <c r="B896" s="1196"/>
      <c r="C896" s="1196"/>
      <c r="D896" s="1196"/>
      <c r="E896" s="1196"/>
      <c r="F896" s="1196"/>
      <c r="G896" s="1196"/>
      <c r="H896" s="1196"/>
      <c r="I896" s="1196"/>
      <c r="J896" s="1196"/>
      <c r="K896" s="1196"/>
      <c r="L896" s="1196"/>
      <c r="M896" s="1196"/>
      <c r="N896" s="1196"/>
      <c r="O896" s="1196"/>
      <c r="P896" s="1196"/>
      <c r="Q896" s="1196"/>
      <c r="R896" s="1196"/>
      <c r="S896" s="1196"/>
      <c r="T896" s="1196"/>
      <c r="U896" s="1196"/>
      <c r="V896" s="1196"/>
      <c r="W896" s="1196"/>
      <c r="X896" s="1196"/>
      <c r="Y896" s="1196"/>
      <c r="Z896" s="1196"/>
    </row>
    <row r="897" spans="1:26" ht="12.75" customHeight="1">
      <c r="A897" s="1196"/>
      <c r="B897" s="1196"/>
      <c r="C897" s="1196"/>
      <c r="D897" s="1196"/>
      <c r="E897" s="1196"/>
      <c r="F897" s="1196"/>
      <c r="G897" s="1196"/>
      <c r="H897" s="1196"/>
      <c r="I897" s="1196"/>
      <c r="J897" s="1196"/>
      <c r="K897" s="1196"/>
      <c r="L897" s="1196"/>
      <c r="M897" s="1196"/>
      <c r="N897" s="1196"/>
      <c r="O897" s="1196"/>
      <c r="P897" s="1196"/>
      <c r="Q897" s="1196"/>
      <c r="R897" s="1196"/>
      <c r="S897" s="1196"/>
      <c r="T897" s="1196"/>
      <c r="U897" s="1196"/>
      <c r="V897" s="1196"/>
      <c r="W897" s="1196"/>
      <c r="X897" s="1196"/>
      <c r="Y897" s="1196"/>
      <c r="Z897" s="1196"/>
    </row>
    <row r="898" spans="1:26" ht="12.75" customHeight="1">
      <c r="A898" s="1196"/>
      <c r="B898" s="1196"/>
      <c r="C898" s="1196"/>
      <c r="D898" s="1196"/>
      <c r="E898" s="1196"/>
      <c r="F898" s="1196"/>
      <c r="G898" s="1196"/>
      <c r="H898" s="1196"/>
      <c r="I898" s="1196"/>
      <c r="J898" s="1196"/>
      <c r="K898" s="1196"/>
      <c r="L898" s="1196"/>
      <c r="M898" s="1196"/>
      <c r="N898" s="1196"/>
      <c r="O898" s="1196"/>
      <c r="P898" s="1196"/>
      <c r="Q898" s="1196"/>
      <c r="R898" s="1196"/>
      <c r="S898" s="1196"/>
      <c r="T898" s="1196"/>
      <c r="U898" s="1196"/>
      <c r="V898" s="1196"/>
      <c r="W898" s="1196"/>
      <c r="X898" s="1196"/>
      <c r="Y898" s="1196"/>
      <c r="Z898" s="1196"/>
    </row>
    <row r="899" spans="1:26" ht="12.75" customHeight="1">
      <c r="A899" s="1196"/>
      <c r="B899" s="1196"/>
      <c r="C899" s="1196"/>
      <c r="D899" s="1196"/>
      <c r="E899" s="1196"/>
      <c r="F899" s="1196"/>
      <c r="G899" s="1196"/>
      <c r="H899" s="1196"/>
      <c r="I899" s="1196"/>
      <c r="J899" s="1196"/>
      <c r="K899" s="1196"/>
      <c r="L899" s="1196"/>
      <c r="M899" s="1196"/>
      <c r="N899" s="1196"/>
      <c r="O899" s="1196"/>
      <c r="P899" s="1196"/>
      <c r="Q899" s="1196"/>
      <c r="R899" s="1196"/>
      <c r="S899" s="1196"/>
      <c r="T899" s="1196"/>
      <c r="U899" s="1196"/>
      <c r="V899" s="1196"/>
      <c r="W899" s="1196"/>
      <c r="X899" s="1196"/>
      <c r="Y899" s="1196"/>
      <c r="Z899" s="1196"/>
    </row>
    <row r="900" spans="1:26" ht="12.75" customHeight="1">
      <c r="A900" s="1196"/>
      <c r="B900" s="1196"/>
      <c r="C900" s="1196"/>
      <c r="D900" s="1196"/>
      <c r="E900" s="1196"/>
      <c r="F900" s="1196"/>
      <c r="G900" s="1196"/>
      <c r="H900" s="1196"/>
      <c r="I900" s="1196"/>
      <c r="J900" s="1196"/>
      <c r="K900" s="1196"/>
      <c r="L900" s="1196"/>
      <c r="M900" s="1196"/>
      <c r="N900" s="1196"/>
      <c r="O900" s="1196"/>
      <c r="P900" s="1196"/>
      <c r="Q900" s="1196"/>
      <c r="R900" s="1196"/>
      <c r="S900" s="1196"/>
      <c r="T900" s="1196"/>
      <c r="U900" s="1196"/>
      <c r="V900" s="1196"/>
      <c r="W900" s="1196"/>
      <c r="X900" s="1196"/>
      <c r="Y900" s="1196"/>
      <c r="Z900" s="1196"/>
    </row>
    <row r="901" spans="1:26" ht="12.75" customHeight="1">
      <c r="A901" s="1196"/>
      <c r="B901" s="1196"/>
      <c r="C901" s="1196"/>
      <c r="D901" s="1196"/>
      <c r="E901" s="1196"/>
      <c r="F901" s="1196"/>
      <c r="G901" s="1196"/>
      <c r="H901" s="1196"/>
      <c r="I901" s="1196"/>
      <c r="J901" s="1196"/>
      <c r="K901" s="1196"/>
      <c r="L901" s="1196"/>
      <c r="M901" s="1196"/>
      <c r="N901" s="1196"/>
      <c r="O901" s="1196"/>
      <c r="P901" s="1196"/>
      <c r="Q901" s="1196"/>
      <c r="R901" s="1196"/>
      <c r="S901" s="1196"/>
      <c r="T901" s="1196"/>
      <c r="U901" s="1196"/>
      <c r="V901" s="1196"/>
      <c r="W901" s="1196"/>
      <c r="X901" s="1196"/>
      <c r="Y901" s="1196"/>
      <c r="Z901" s="1196"/>
    </row>
    <row r="902" spans="1:26" ht="12.75" customHeight="1">
      <c r="A902" s="1196"/>
      <c r="B902" s="1196"/>
      <c r="C902" s="1196"/>
      <c r="D902" s="1196"/>
      <c r="E902" s="1196"/>
      <c r="F902" s="1196"/>
      <c r="G902" s="1196"/>
      <c r="H902" s="1196"/>
      <c r="I902" s="1196"/>
      <c r="J902" s="1196"/>
      <c r="K902" s="1196"/>
      <c r="L902" s="1196"/>
      <c r="M902" s="1196"/>
      <c r="N902" s="1196"/>
      <c r="O902" s="1196"/>
      <c r="P902" s="1196"/>
      <c r="Q902" s="1196"/>
      <c r="R902" s="1196"/>
      <c r="S902" s="1196"/>
      <c r="T902" s="1196"/>
      <c r="U902" s="1196"/>
      <c r="V902" s="1196"/>
      <c r="W902" s="1196"/>
      <c r="X902" s="1196"/>
      <c r="Y902" s="1196"/>
      <c r="Z902" s="1196"/>
    </row>
    <row r="903" spans="1:26" ht="12.75" customHeight="1">
      <c r="A903" s="1196"/>
      <c r="B903" s="1196"/>
      <c r="C903" s="1196"/>
      <c r="D903" s="1196"/>
      <c r="E903" s="1196"/>
      <c r="F903" s="1196"/>
      <c r="G903" s="1196"/>
      <c r="H903" s="1196"/>
      <c r="I903" s="1196"/>
      <c r="J903" s="1196"/>
      <c r="K903" s="1196"/>
      <c r="L903" s="1196"/>
      <c r="M903" s="1196"/>
      <c r="N903" s="1196"/>
      <c r="O903" s="1196"/>
      <c r="P903" s="1196"/>
      <c r="Q903" s="1196"/>
      <c r="R903" s="1196"/>
      <c r="S903" s="1196"/>
      <c r="T903" s="1196"/>
      <c r="U903" s="1196"/>
      <c r="V903" s="1196"/>
      <c r="W903" s="1196"/>
      <c r="X903" s="1196"/>
      <c r="Y903" s="1196"/>
      <c r="Z903" s="1196"/>
    </row>
    <row r="904" spans="1:26" ht="12.75" customHeight="1">
      <c r="A904" s="1196"/>
      <c r="B904" s="1196"/>
      <c r="C904" s="1196"/>
      <c r="D904" s="1196"/>
      <c r="E904" s="1196"/>
      <c r="F904" s="1196"/>
      <c r="G904" s="1196"/>
      <c r="H904" s="1196"/>
      <c r="I904" s="1196"/>
      <c r="J904" s="1196"/>
      <c r="K904" s="1196"/>
      <c r="L904" s="1196"/>
      <c r="M904" s="1196"/>
      <c r="N904" s="1196"/>
      <c r="O904" s="1196"/>
      <c r="P904" s="1196"/>
      <c r="Q904" s="1196"/>
      <c r="R904" s="1196"/>
      <c r="S904" s="1196"/>
      <c r="T904" s="1196"/>
      <c r="U904" s="1196"/>
      <c r="V904" s="1196"/>
      <c r="W904" s="1196"/>
      <c r="X904" s="1196"/>
      <c r="Y904" s="1196"/>
      <c r="Z904" s="1196"/>
    </row>
    <row r="905" spans="1:26" ht="12.75" customHeight="1">
      <c r="A905" s="1196"/>
      <c r="B905" s="1196"/>
      <c r="C905" s="1196"/>
      <c r="D905" s="1196"/>
      <c r="E905" s="1196"/>
      <c r="F905" s="1196"/>
      <c r="G905" s="1196"/>
      <c r="H905" s="1196"/>
      <c r="I905" s="1196"/>
      <c r="J905" s="1196"/>
      <c r="K905" s="1196"/>
      <c r="L905" s="1196"/>
      <c r="M905" s="1196"/>
      <c r="N905" s="1196"/>
      <c r="O905" s="1196"/>
      <c r="P905" s="1196"/>
      <c r="Q905" s="1196"/>
      <c r="R905" s="1196"/>
      <c r="S905" s="1196"/>
      <c r="T905" s="1196"/>
      <c r="U905" s="1196"/>
      <c r="V905" s="1196"/>
      <c r="W905" s="1196"/>
      <c r="X905" s="1196"/>
      <c r="Y905" s="1196"/>
      <c r="Z905" s="1196"/>
    </row>
    <row r="906" spans="1:26" ht="12.75" customHeight="1">
      <c r="A906" s="1196"/>
      <c r="B906" s="1196"/>
      <c r="C906" s="1196"/>
      <c r="D906" s="1196"/>
      <c r="E906" s="1196"/>
      <c r="F906" s="1196"/>
      <c r="G906" s="1196"/>
      <c r="H906" s="1196"/>
      <c r="I906" s="1196"/>
      <c r="J906" s="1196"/>
      <c r="K906" s="1196"/>
      <c r="L906" s="1196"/>
      <c r="M906" s="1196"/>
      <c r="N906" s="1196"/>
      <c r="O906" s="1196"/>
      <c r="P906" s="1196"/>
      <c r="Q906" s="1196"/>
      <c r="R906" s="1196"/>
      <c r="S906" s="1196"/>
      <c r="T906" s="1196"/>
      <c r="U906" s="1196"/>
      <c r="V906" s="1196"/>
      <c r="W906" s="1196"/>
      <c r="X906" s="1196"/>
      <c r="Y906" s="1196"/>
      <c r="Z906" s="1196"/>
    </row>
    <row r="907" spans="1:26" ht="12.75" customHeight="1">
      <c r="A907" s="1196"/>
      <c r="B907" s="1196"/>
      <c r="C907" s="1196"/>
      <c r="D907" s="1196"/>
      <c r="E907" s="1196"/>
      <c r="F907" s="1196"/>
      <c r="G907" s="1196"/>
      <c r="H907" s="1196"/>
      <c r="I907" s="1196"/>
      <c r="J907" s="1196"/>
      <c r="K907" s="1196"/>
      <c r="L907" s="1196"/>
      <c r="M907" s="1196"/>
      <c r="N907" s="1196"/>
      <c r="O907" s="1196"/>
      <c r="P907" s="1196"/>
      <c r="Q907" s="1196"/>
      <c r="R907" s="1196"/>
      <c r="S907" s="1196"/>
      <c r="T907" s="1196"/>
      <c r="U907" s="1196"/>
      <c r="V907" s="1196"/>
      <c r="W907" s="1196"/>
      <c r="X907" s="1196"/>
      <c r="Y907" s="1196"/>
      <c r="Z907" s="1196"/>
    </row>
    <row r="908" spans="1:26" ht="12.75" customHeight="1">
      <c r="A908" s="1196"/>
      <c r="B908" s="1196"/>
      <c r="C908" s="1196"/>
      <c r="D908" s="1196"/>
      <c r="E908" s="1196"/>
      <c r="F908" s="1196"/>
      <c r="G908" s="1196"/>
      <c r="H908" s="1196"/>
      <c r="I908" s="1196"/>
      <c r="J908" s="1196"/>
      <c r="K908" s="1196"/>
      <c r="L908" s="1196"/>
      <c r="M908" s="1196"/>
      <c r="N908" s="1196"/>
      <c r="O908" s="1196"/>
      <c r="P908" s="1196"/>
      <c r="Q908" s="1196"/>
      <c r="R908" s="1196"/>
      <c r="S908" s="1196"/>
      <c r="T908" s="1196"/>
      <c r="U908" s="1196"/>
      <c r="V908" s="1196"/>
      <c r="W908" s="1196"/>
      <c r="X908" s="1196"/>
      <c r="Y908" s="1196"/>
      <c r="Z908" s="1196"/>
    </row>
    <row r="909" spans="1:26" ht="12.75" customHeight="1">
      <c r="A909" s="1196"/>
      <c r="B909" s="1196"/>
      <c r="C909" s="1196"/>
      <c r="D909" s="1196"/>
      <c r="E909" s="1196"/>
      <c r="F909" s="1196"/>
      <c r="G909" s="1196"/>
      <c r="H909" s="1196"/>
      <c r="I909" s="1196"/>
      <c r="J909" s="1196"/>
      <c r="K909" s="1196"/>
      <c r="L909" s="1196"/>
      <c r="M909" s="1196"/>
      <c r="N909" s="1196"/>
      <c r="O909" s="1196"/>
      <c r="P909" s="1196"/>
      <c r="Q909" s="1196"/>
      <c r="R909" s="1196"/>
      <c r="S909" s="1196"/>
      <c r="T909" s="1196"/>
      <c r="U909" s="1196"/>
      <c r="V909" s="1196"/>
      <c r="W909" s="1196"/>
      <c r="X909" s="1196"/>
      <c r="Y909" s="1196"/>
      <c r="Z909" s="1196"/>
    </row>
    <row r="910" spans="1:26" ht="12.75" customHeight="1">
      <c r="A910" s="1196"/>
      <c r="B910" s="1196"/>
      <c r="C910" s="1196"/>
      <c r="D910" s="1196"/>
      <c r="E910" s="1196"/>
      <c r="F910" s="1196"/>
      <c r="G910" s="1196"/>
      <c r="H910" s="1196"/>
      <c r="I910" s="1196"/>
      <c r="J910" s="1196"/>
      <c r="K910" s="1196"/>
      <c r="L910" s="1196"/>
      <c r="M910" s="1196"/>
      <c r="N910" s="1196"/>
      <c r="O910" s="1196"/>
      <c r="P910" s="1196"/>
      <c r="Q910" s="1196"/>
      <c r="R910" s="1196"/>
      <c r="S910" s="1196"/>
      <c r="T910" s="1196"/>
      <c r="U910" s="1196"/>
      <c r="V910" s="1196"/>
      <c r="W910" s="1196"/>
      <c r="X910" s="1196"/>
      <c r="Y910" s="1196"/>
      <c r="Z910" s="1196"/>
    </row>
    <row r="911" spans="1:26" ht="12.75" customHeight="1">
      <c r="A911" s="1196"/>
      <c r="B911" s="1196"/>
      <c r="C911" s="1196"/>
      <c r="D911" s="1196"/>
      <c r="E911" s="1196"/>
      <c r="F911" s="1196"/>
      <c r="G911" s="1196"/>
      <c r="H911" s="1196"/>
      <c r="I911" s="1196"/>
      <c r="J911" s="1196"/>
      <c r="K911" s="1196"/>
      <c r="L911" s="1196"/>
      <c r="M911" s="1196"/>
      <c r="N911" s="1196"/>
      <c r="O911" s="1196"/>
      <c r="P911" s="1196"/>
      <c r="Q911" s="1196"/>
      <c r="R911" s="1196"/>
      <c r="S911" s="1196"/>
      <c r="T911" s="1196"/>
      <c r="U911" s="1196"/>
      <c r="V911" s="1196"/>
      <c r="W911" s="1196"/>
      <c r="X911" s="1196"/>
      <c r="Y911" s="1196"/>
      <c r="Z911" s="1196"/>
    </row>
    <row r="912" spans="1:26" ht="12.75" customHeight="1">
      <c r="A912" s="1196"/>
      <c r="B912" s="1196"/>
      <c r="C912" s="1196"/>
      <c r="D912" s="1196"/>
      <c r="E912" s="1196"/>
      <c r="F912" s="1196"/>
      <c r="G912" s="1196"/>
      <c r="H912" s="1196"/>
      <c r="I912" s="1196"/>
      <c r="J912" s="1196"/>
      <c r="K912" s="1196"/>
      <c r="L912" s="1196"/>
      <c r="M912" s="1196"/>
      <c r="N912" s="1196"/>
      <c r="O912" s="1196"/>
      <c r="P912" s="1196"/>
      <c r="Q912" s="1196"/>
      <c r="R912" s="1196"/>
      <c r="S912" s="1196"/>
      <c r="T912" s="1196"/>
      <c r="U912" s="1196"/>
      <c r="V912" s="1196"/>
      <c r="W912" s="1196"/>
      <c r="X912" s="1196"/>
      <c r="Y912" s="1196"/>
      <c r="Z912" s="1196"/>
    </row>
    <row r="913" spans="1:26" ht="12.75" customHeight="1">
      <c r="A913" s="1196"/>
      <c r="B913" s="1196"/>
      <c r="C913" s="1196"/>
      <c r="D913" s="1196"/>
      <c r="E913" s="1196"/>
      <c r="F913" s="1196"/>
      <c r="G913" s="1196"/>
      <c r="H913" s="1196"/>
      <c r="I913" s="1196"/>
      <c r="J913" s="1196"/>
      <c r="K913" s="1196"/>
      <c r="L913" s="1196"/>
      <c r="M913" s="1196"/>
      <c r="N913" s="1196"/>
      <c r="O913" s="1196"/>
      <c r="P913" s="1196"/>
      <c r="Q913" s="1196"/>
      <c r="R913" s="1196"/>
      <c r="S913" s="1196"/>
      <c r="T913" s="1196"/>
      <c r="U913" s="1196"/>
      <c r="V913" s="1196"/>
      <c r="W913" s="1196"/>
      <c r="X913" s="1196"/>
      <c r="Y913" s="1196"/>
      <c r="Z913" s="1196"/>
    </row>
    <row r="914" spans="1:26" ht="12.75" customHeight="1">
      <c r="A914" s="1196"/>
      <c r="B914" s="1196"/>
      <c r="C914" s="1196"/>
      <c r="D914" s="1196"/>
      <c r="E914" s="1196"/>
      <c r="F914" s="1196"/>
      <c r="G914" s="1196"/>
      <c r="H914" s="1196"/>
      <c r="I914" s="1196"/>
      <c r="J914" s="1196"/>
      <c r="K914" s="1196"/>
      <c r="L914" s="1196"/>
      <c r="M914" s="1196"/>
      <c r="N914" s="1196"/>
      <c r="O914" s="1196"/>
      <c r="P914" s="1196"/>
      <c r="Q914" s="1196"/>
      <c r="R914" s="1196"/>
      <c r="S914" s="1196"/>
      <c r="T914" s="1196"/>
      <c r="U914" s="1196"/>
      <c r="V914" s="1196"/>
      <c r="W914" s="1196"/>
      <c r="X914" s="1196"/>
      <c r="Y914" s="1196"/>
      <c r="Z914" s="1196"/>
    </row>
    <row r="915" spans="1:26" ht="12.75" customHeight="1">
      <c r="A915" s="1196"/>
      <c r="B915" s="1196"/>
      <c r="C915" s="1196"/>
      <c r="D915" s="1196"/>
      <c r="E915" s="1196"/>
      <c r="F915" s="1196"/>
      <c r="G915" s="1196"/>
      <c r="H915" s="1196"/>
      <c r="I915" s="1196"/>
      <c r="J915" s="1196"/>
      <c r="K915" s="1196"/>
      <c r="L915" s="1196"/>
      <c r="M915" s="1196"/>
      <c r="N915" s="1196"/>
      <c r="O915" s="1196"/>
      <c r="P915" s="1196"/>
      <c r="Q915" s="1196"/>
      <c r="R915" s="1196"/>
      <c r="S915" s="1196"/>
      <c r="T915" s="1196"/>
      <c r="U915" s="1196"/>
      <c r="V915" s="1196"/>
      <c r="W915" s="1196"/>
      <c r="X915" s="1196"/>
      <c r="Y915" s="1196"/>
      <c r="Z915" s="1196"/>
    </row>
    <row r="916" spans="1:26" ht="12.75" customHeight="1">
      <c r="A916" s="1196"/>
      <c r="B916" s="1196"/>
      <c r="C916" s="1196"/>
      <c r="D916" s="1196"/>
      <c r="E916" s="1196"/>
      <c r="F916" s="1196"/>
      <c r="G916" s="1196"/>
      <c r="H916" s="1196"/>
      <c r="I916" s="1196"/>
      <c r="J916" s="1196"/>
      <c r="K916" s="1196"/>
      <c r="L916" s="1196"/>
      <c r="M916" s="1196"/>
      <c r="N916" s="1196"/>
      <c r="O916" s="1196"/>
      <c r="P916" s="1196"/>
      <c r="Q916" s="1196"/>
      <c r="R916" s="1196"/>
      <c r="S916" s="1196"/>
      <c r="T916" s="1196"/>
      <c r="U916" s="1196"/>
      <c r="V916" s="1196"/>
      <c r="W916" s="1196"/>
      <c r="X916" s="1196"/>
      <c r="Y916" s="1196"/>
      <c r="Z916" s="1196"/>
    </row>
    <row r="917" spans="1:26" ht="12.75" customHeight="1">
      <c r="A917" s="1196"/>
      <c r="B917" s="1196"/>
      <c r="C917" s="1196"/>
      <c r="D917" s="1196"/>
      <c r="E917" s="1196"/>
      <c r="F917" s="1196"/>
      <c r="G917" s="1196"/>
      <c r="H917" s="1196"/>
      <c r="I917" s="1196"/>
      <c r="J917" s="1196"/>
      <c r="K917" s="1196"/>
      <c r="L917" s="1196"/>
      <c r="M917" s="1196"/>
      <c r="N917" s="1196"/>
      <c r="O917" s="1196"/>
      <c r="P917" s="1196"/>
      <c r="Q917" s="1196"/>
      <c r="R917" s="1196"/>
      <c r="S917" s="1196"/>
      <c r="T917" s="1196"/>
      <c r="U917" s="1196"/>
      <c r="V917" s="1196"/>
      <c r="W917" s="1196"/>
      <c r="X917" s="1196"/>
      <c r="Y917" s="1196"/>
      <c r="Z917" s="1196"/>
    </row>
    <row r="918" spans="1:26" ht="12.75" customHeight="1">
      <c r="A918" s="1196"/>
      <c r="B918" s="1196"/>
      <c r="C918" s="1196"/>
      <c r="D918" s="1196"/>
      <c r="E918" s="1196"/>
      <c r="F918" s="1196"/>
      <c r="G918" s="1196"/>
      <c r="H918" s="1196"/>
      <c r="I918" s="1196"/>
      <c r="J918" s="1196"/>
      <c r="K918" s="1196"/>
      <c r="L918" s="1196"/>
      <c r="M918" s="1196"/>
      <c r="N918" s="1196"/>
      <c r="O918" s="1196"/>
      <c r="P918" s="1196"/>
      <c r="Q918" s="1196"/>
      <c r="R918" s="1196"/>
      <c r="S918" s="1196"/>
      <c r="T918" s="1196"/>
      <c r="U918" s="1196"/>
      <c r="V918" s="1196"/>
      <c r="W918" s="1196"/>
      <c r="X918" s="1196"/>
      <c r="Y918" s="1196"/>
      <c r="Z918" s="1196"/>
    </row>
    <row r="919" spans="1:26" ht="12.75" customHeight="1">
      <c r="A919" s="1196"/>
      <c r="B919" s="1196"/>
      <c r="C919" s="1196"/>
      <c r="D919" s="1196"/>
      <c r="E919" s="1196"/>
      <c r="F919" s="1196"/>
      <c r="G919" s="1196"/>
      <c r="H919" s="1196"/>
      <c r="I919" s="1196"/>
      <c r="J919" s="1196"/>
      <c r="K919" s="1196"/>
      <c r="L919" s="1196"/>
      <c r="M919" s="1196"/>
      <c r="N919" s="1196"/>
      <c r="O919" s="1196"/>
      <c r="P919" s="1196"/>
      <c r="Q919" s="1196"/>
      <c r="R919" s="1196"/>
      <c r="S919" s="1196"/>
      <c r="T919" s="1196"/>
      <c r="U919" s="1196"/>
      <c r="V919" s="1196"/>
      <c r="W919" s="1196"/>
      <c r="X919" s="1196"/>
      <c r="Y919" s="1196"/>
      <c r="Z919" s="1196"/>
    </row>
    <row r="920" spans="1:26" ht="12.75" customHeight="1">
      <c r="A920" s="1196"/>
      <c r="B920" s="1196"/>
      <c r="C920" s="1196"/>
      <c r="D920" s="1196"/>
      <c r="E920" s="1196"/>
      <c r="F920" s="1196"/>
      <c r="G920" s="1196"/>
      <c r="H920" s="1196"/>
      <c r="I920" s="1196"/>
      <c r="J920" s="1196"/>
      <c r="K920" s="1196"/>
      <c r="L920" s="1196"/>
      <c r="M920" s="1196"/>
      <c r="N920" s="1196"/>
      <c r="O920" s="1196"/>
      <c r="P920" s="1196"/>
      <c r="Q920" s="1196"/>
      <c r="R920" s="1196"/>
      <c r="S920" s="1196"/>
      <c r="T920" s="1196"/>
      <c r="U920" s="1196"/>
      <c r="V920" s="1196"/>
      <c r="W920" s="1196"/>
      <c r="X920" s="1196"/>
      <c r="Y920" s="1196"/>
      <c r="Z920" s="1196"/>
    </row>
    <row r="921" spans="1:26" ht="12.75" customHeight="1">
      <c r="A921" s="1196"/>
      <c r="B921" s="1196"/>
      <c r="C921" s="1196"/>
      <c r="D921" s="1196"/>
      <c r="E921" s="1196"/>
      <c r="F921" s="1196"/>
      <c r="G921" s="1196"/>
      <c r="H921" s="1196"/>
      <c r="I921" s="1196"/>
      <c r="J921" s="1196"/>
      <c r="K921" s="1196"/>
      <c r="L921" s="1196"/>
      <c r="M921" s="1196"/>
      <c r="N921" s="1196"/>
      <c r="O921" s="1196"/>
      <c r="P921" s="1196"/>
      <c r="Q921" s="1196"/>
      <c r="R921" s="1196"/>
      <c r="S921" s="1196"/>
      <c r="T921" s="1196"/>
      <c r="U921" s="1196"/>
      <c r="V921" s="1196"/>
      <c r="W921" s="1196"/>
      <c r="X921" s="1196"/>
      <c r="Y921" s="1196"/>
      <c r="Z921" s="1196"/>
    </row>
    <row r="922" spans="1:26" ht="12.75" customHeight="1">
      <c r="A922" s="1196"/>
      <c r="B922" s="1196"/>
      <c r="C922" s="1196"/>
      <c r="D922" s="1196"/>
      <c r="E922" s="1196"/>
      <c r="F922" s="1196"/>
      <c r="G922" s="1196"/>
      <c r="H922" s="1196"/>
      <c r="I922" s="1196"/>
      <c r="J922" s="1196"/>
      <c r="K922" s="1196"/>
      <c r="L922" s="1196"/>
      <c r="M922" s="1196"/>
      <c r="N922" s="1196"/>
      <c r="O922" s="1196"/>
      <c r="P922" s="1196"/>
      <c r="Q922" s="1196"/>
      <c r="R922" s="1196"/>
      <c r="S922" s="1196"/>
      <c r="T922" s="1196"/>
      <c r="U922" s="1196"/>
      <c r="V922" s="1196"/>
      <c r="W922" s="1196"/>
      <c r="X922" s="1196"/>
      <c r="Y922" s="1196"/>
      <c r="Z922" s="1196"/>
    </row>
    <row r="923" spans="1:26" ht="12.75" customHeight="1">
      <c r="A923" s="1196"/>
      <c r="B923" s="1196"/>
      <c r="C923" s="1196"/>
      <c r="D923" s="1196"/>
      <c r="E923" s="1196"/>
      <c r="F923" s="1196"/>
      <c r="G923" s="1196"/>
      <c r="H923" s="1196"/>
      <c r="I923" s="1196"/>
      <c r="J923" s="1196"/>
      <c r="K923" s="1196"/>
      <c r="L923" s="1196"/>
      <c r="M923" s="1196"/>
      <c r="N923" s="1196"/>
      <c r="O923" s="1196"/>
      <c r="P923" s="1196"/>
      <c r="Q923" s="1196"/>
      <c r="R923" s="1196"/>
      <c r="S923" s="1196"/>
      <c r="T923" s="1196"/>
      <c r="U923" s="1196"/>
      <c r="V923" s="1196"/>
      <c r="W923" s="1196"/>
      <c r="X923" s="1196"/>
      <c r="Y923" s="1196"/>
      <c r="Z923" s="1196"/>
    </row>
    <row r="924" spans="1:26" ht="12.75" customHeight="1">
      <c r="A924" s="1196"/>
      <c r="B924" s="1196"/>
      <c r="C924" s="1196"/>
      <c r="D924" s="1196"/>
      <c r="E924" s="1196"/>
      <c r="F924" s="1196"/>
      <c r="G924" s="1196"/>
      <c r="H924" s="1196"/>
      <c r="I924" s="1196"/>
      <c r="J924" s="1196"/>
      <c r="K924" s="1196"/>
      <c r="L924" s="1196"/>
      <c r="M924" s="1196"/>
      <c r="N924" s="1196"/>
      <c r="O924" s="1196"/>
      <c r="P924" s="1196"/>
      <c r="Q924" s="1196"/>
      <c r="R924" s="1196"/>
      <c r="S924" s="1196"/>
      <c r="T924" s="1196"/>
      <c r="U924" s="1196"/>
      <c r="V924" s="1196"/>
      <c r="W924" s="1196"/>
      <c r="X924" s="1196"/>
      <c r="Y924" s="1196"/>
      <c r="Z924" s="1196"/>
    </row>
    <row r="925" spans="1:26" ht="12.75" customHeight="1">
      <c r="A925" s="1196"/>
      <c r="B925" s="1196"/>
      <c r="C925" s="1196"/>
      <c r="D925" s="1196"/>
      <c r="E925" s="1196"/>
      <c r="F925" s="1196"/>
      <c r="G925" s="1196"/>
      <c r="H925" s="1196"/>
      <c r="I925" s="1196"/>
      <c r="J925" s="1196"/>
      <c r="K925" s="1196"/>
      <c r="L925" s="1196"/>
      <c r="M925" s="1196"/>
      <c r="N925" s="1196"/>
      <c r="O925" s="1196"/>
      <c r="P925" s="1196"/>
      <c r="Q925" s="1196"/>
      <c r="R925" s="1196"/>
      <c r="S925" s="1196"/>
      <c r="T925" s="1196"/>
      <c r="U925" s="1196"/>
      <c r="V925" s="1196"/>
      <c r="W925" s="1196"/>
      <c r="X925" s="1196"/>
      <c r="Y925" s="1196"/>
      <c r="Z925" s="1196"/>
    </row>
    <row r="926" spans="1:26" ht="12.75" customHeight="1">
      <c r="A926" s="1196"/>
      <c r="B926" s="1196"/>
      <c r="C926" s="1196"/>
      <c r="D926" s="1196"/>
      <c r="E926" s="1196"/>
      <c r="F926" s="1196"/>
      <c r="G926" s="1196"/>
      <c r="H926" s="1196"/>
      <c r="I926" s="1196"/>
      <c r="J926" s="1196"/>
      <c r="K926" s="1196"/>
      <c r="L926" s="1196"/>
      <c r="M926" s="1196"/>
      <c r="N926" s="1196"/>
      <c r="O926" s="1196"/>
      <c r="P926" s="1196"/>
      <c r="Q926" s="1196"/>
      <c r="R926" s="1196"/>
      <c r="S926" s="1196"/>
      <c r="T926" s="1196"/>
      <c r="U926" s="1196"/>
      <c r="V926" s="1196"/>
      <c r="W926" s="1196"/>
      <c r="X926" s="1196"/>
      <c r="Y926" s="1196"/>
      <c r="Z926" s="1196"/>
    </row>
    <row r="927" spans="1:26" ht="12.75" customHeight="1">
      <c r="A927" s="1196"/>
      <c r="B927" s="1196"/>
      <c r="C927" s="1196"/>
      <c r="D927" s="1196"/>
      <c r="E927" s="1196"/>
      <c r="F927" s="1196"/>
      <c r="G927" s="1196"/>
      <c r="H927" s="1196"/>
      <c r="I927" s="1196"/>
      <c r="J927" s="1196"/>
      <c r="K927" s="1196"/>
      <c r="L927" s="1196"/>
      <c r="M927" s="1196"/>
      <c r="N927" s="1196"/>
      <c r="O927" s="1196"/>
      <c r="P927" s="1196"/>
      <c r="Q927" s="1196"/>
      <c r="R927" s="1196"/>
      <c r="S927" s="1196"/>
      <c r="T927" s="1196"/>
      <c r="U927" s="1196"/>
      <c r="V927" s="1196"/>
      <c r="W927" s="1196"/>
      <c r="X927" s="1196"/>
      <c r="Y927" s="1196"/>
      <c r="Z927" s="1196"/>
    </row>
    <row r="928" spans="1:26" ht="12.75" customHeight="1">
      <c r="A928" s="1196"/>
      <c r="B928" s="1196"/>
      <c r="C928" s="1196"/>
      <c r="D928" s="1196"/>
      <c r="E928" s="1196"/>
      <c r="F928" s="1196"/>
      <c r="G928" s="1196"/>
      <c r="H928" s="1196"/>
      <c r="I928" s="1196"/>
      <c r="J928" s="1196"/>
      <c r="K928" s="1196"/>
      <c r="L928" s="1196"/>
      <c r="M928" s="1196"/>
      <c r="N928" s="1196"/>
      <c r="O928" s="1196"/>
      <c r="P928" s="1196"/>
      <c r="Q928" s="1196"/>
      <c r="R928" s="1196"/>
      <c r="S928" s="1196"/>
      <c r="T928" s="1196"/>
      <c r="U928" s="1196"/>
      <c r="V928" s="1196"/>
      <c r="W928" s="1196"/>
      <c r="X928" s="1196"/>
      <c r="Y928" s="1196"/>
      <c r="Z928" s="1196"/>
    </row>
    <row r="929" spans="1:26" ht="12.75" customHeight="1">
      <c r="A929" s="1196"/>
      <c r="B929" s="1196"/>
      <c r="C929" s="1196"/>
      <c r="D929" s="1196"/>
      <c r="E929" s="1196"/>
      <c r="F929" s="1196"/>
      <c r="G929" s="1196"/>
      <c r="H929" s="1196"/>
      <c r="I929" s="1196"/>
      <c r="J929" s="1196"/>
      <c r="K929" s="1196"/>
      <c r="L929" s="1196"/>
      <c r="M929" s="1196"/>
      <c r="N929" s="1196"/>
      <c r="O929" s="1196"/>
      <c r="P929" s="1196"/>
      <c r="Q929" s="1196"/>
      <c r="R929" s="1196"/>
      <c r="S929" s="1196"/>
      <c r="T929" s="1196"/>
      <c r="U929" s="1196"/>
      <c r="V929" s="1196"/>
      <c r="W929" s="1196"/>
      <c r="X929" s="1196"/>
      <c r="Y929" s="1196"/>
      <c r="Z929" s="1196"/>
    </row>
    <row r="930" spans="1:26" ht="12.75" customHeight="1">
      <c r="A930" s="1196"/>
      <c r="B930" s="1196"/>
      <c r="C930" s="1196"/>
      <c r="D930" s="1196"/>
      <c r="E930" s="1196"/>
      <c r="F930" s="1196"/>
      <c r="G930" s="1196"/>
      <c r="H930" s="1196"/>
      <c r="I930" s="1196"/>
      <c r="J930" s="1196"/>
      <c r="K930" s="1196"/>
      <c r="L930" s="1196"/>
      <c r="M930" s="1196"/>
      <c r="N930" s="1196"/>
      <c r="O930" s="1196"/>
      <c r="P930" s="1196"/>
      <c r="Q930" s="1196"/>
      <c r="R930" s="1196"/>
      <c r="S930" s="1196"/>
      <c r="T930" s="1196"/>
      <c r="U930" s="1196"/>
      <c r="V930" s="1196"/>
      <c r="W930" s="1196"/>
      <c r="X930" s="1196"/>
      <c r="Y930" s="1196"/>
      <c r="Z930" s="1196"/>
    </row>
    <row r="931" spans="1:26" ht="12.75" customHeight="1">
      <c r="A931" s="1196"/>
      <c r="B931" s="1196"/>
      <c r="C931" s="1196"/>
      <c r="D931" s="1196"/>
      <c r="E931" s="1196"/>
      <c r="F931" s="1196"/>
      <c r="G931" s="1196"/>
      <c r="H931" s="1196"/>
      <c r="I931" s="1196"/>
      <c r="J931" s="1196"/>
      <c r="K931" s="1196"/>
      <c r="L931" s="1196"/>
      <c r="M931" s="1196"/>
      <c r="N931" s="1196"/>
      <c r="O931" s="1196"/>
      <c r="P931" s="1196"/>
      <c r="Q931" s="1196"/>
      <c r="R931" s="1196"/>
      <c r="S931" s="1196"/>
      <c r="T931" s="1196"/>
      <c r="U931" s="1196"/>
      <c r="V931" s="1196"/>
      <c r="W931" s="1196"/>
      <c r="X931" s="1196"/>
      <c r="Y931" s="1196"/>
      <c r="Z931" s="1196"/>
    </row>
    <row r="932" spans="1:26" ht="12.75" customHeight="1">
      <c r="A932" s="1196"/>
      <c r="B932" s="1196"/>
      <c r="C932" s="1196"/>
      <c r="D932" s="1196"/>
      <c r="E932" s="1196"/>
      <c r="F932" s="1196"/>
      <c r="G932" s="1196"/>
      <c r="H932" s="1196"/>
      <c r="I932" s="1196"/>
      <c r="J932" s="1196"/>
      <c r="K932" s="1196"/>
      <c r="L932" s="1196"/>
      <c r="M932" s="1196"/>
      <c r="N932" s="1196"/>
      <c r="O932" s="1196"/>
      <c r="P932" s="1196"/>
      <c r="Q932" s="1196"/>
      <c r="R932" s="1196"/>
      <c r="S932" s="1196"/>
      <c r="T932" s="1196"/>
      <c r="U932" s="1196"/>
      <c r="V932" s="1196"/>
      <c r="W932" s="1196"/>
      <c r="X932" s="1196"/>
      <c r="Y932" s="1196"/>
      <c r="Z932" s="1196"/>
    </row>
    <row r="933" spans="1:26" ht="12.75" customHeight="1">
      <c r="A933" s="1196"/>
      <c r="B933" s="1196"/>
      <c r="C933" s="1196"/>
      <c r="D933" s="1196"/>
      <c r="E933" s="1196"/>
      <c r="F933" s="1196"/>
      <c r="G933" s="1196"/>
      <c r="H933" s="1196"/>
      <c r="I933" s="1196"/>
      <c r="J933" s="1196"/>
      <c r="K933" s="1196"/>
      <c r="L933" s="1196"/>
      <c r="M933" s="1196"/>
      <c r="N933" s="1196"/>
      <c r="O933" s="1196"/>
      <c r="P933" s="1196"/>
      <c r="Q933" s="1196"/>
      <c r="R933" s="1196"/>
      <c r="S933" s="1196"/>
      <c r="T933" s="1196"/>
      <c r="U933" s="1196"/>
      <c r="V933" s="1196"/>
      <c r="W933" s="1196"/>
      <c r="X933" s="1196"/>
      <c r="Y933" s="1196"/>
      <c r="Z933" s="1196"/>
    </row>
    <row r="934" spans="1:26" ht="12.75" customHeight="1">
      <c r="A934" s="1196"/>
      <c r="B934" s="1196"/>
      <c r="C934" s="1196"/>
      <c r="D934" s="1196"/>
      <c r="E934" s="1196"/>
      <c r="F934" s="1196"/>
      <c r="G934" s="1196"/>
      <c r="H934" s="1196"/>
      <c r="I934" s="1196"/>
      <c r="J934" s="1196"/>
      <c r="K934" s="1196"/>
      <c r="L934" s="1196"/>
      <c r="M934" s="1196"/>
      <c r="N934" s="1196"/>
      <c r="O934" s="1196"/>
      <c r="P934" s="1196"/>
      <c r="Q934" s="1196"/>
      <c r="R934" s="1196"/>
      <c r="S934" s="1196"/>
      <c r="T934" s="1196"/>
      <c r="U934" s="1196"/>
      <c r="V934" s="1196"/>
      <c r="W934" s="1196"/>
      <c r="X934" s="1196"/>
      <c r="Y934" s="1196"/>
      <c r="Z934" s="1196"/>
    </row>
    <row r="935" spans="1:26" ht="12.75" customHeight="1">
      <c r="A935" s="1196"/>
      <c r="B935" s="1196"/>
      <c r="C935" s="1196"/>
      <c r="D935" s="1196"/>
      <c r="E935" s="1196"/>
      <c r="F935" s="1196"/>
      <c r="G935" s="1196"/>
      <c r="H935" s="1196"/>
      <c r="I935" s="1196"/>
      <c r="J935" s="1196"/>
      <c r="K935" s="1196"/>
      <c r="L935" s="1196"/>
      <c r="M935" s="1196"/>
      <c r="N935" s="1196"/>
      <c r="O935" s="1196"/>
      <c r="P935" s="1196"/>
      <c r="Q935" s="1196"/>
      <c r="R935" s="1196"/>
      <c r="S935" s="1196"/>
      <c r="T935" s="1196"/>
      <c r="U935" s="1196"/>
      <c r="V935" s="1196"/>
      <c r="W935" s="1196"/>
      <c r="X935" s="1196"/>
      <c r="Y935" s="1196"/>
      <c r="Z935" s="1196"/>
    </row>
    <row r="936" spans="1:26" ht="12.75" customHeight="1">
      <c r="A936" s="1196"/>
      <c r="B936" s="1196"/>
      <c r="C936" s="1196"/>
      <c r="D936" s="1196"/>
      <c r="E936" s="1196"/>
      <c r="F936" s="1196"/>
      <c r="G936" s="1196"/>
      <c r="H936" s="1196"/>
      <c r="I936" s="1196"/>
      <c r="J936" s="1196"/>
      <c r="K936" s="1196"/>
      <c r="L936" s="1196"/>
      <c r="M936" s="1196"/>
      <c r="N936" s="1196"/>
      <c r="O936" s="1196"/>
      <c r="P936" s="1196"/>
      <c r="Q936" s="1196"/>
      <c r="R936" s="1196"/>
      <c r="S936" s="1196"/>
      <c r="T936" s="1196"/>
      <c r="U936" s="1196"/>
      <c r="V936" s="1196"/>
      <c r="W936" s="1196"/>
      <c r="X936" s="1196"/>
      <c r="Y936" s="1196"/>
      <c r="Z936" s="1196"/>
    </row>
    <row r="937" spans="1:26" ht="12.75" customHeight="1">
      <c r="A937" s="1196"/>
      <c r="B937" s="1196"/>
      <c r="C937" s="1196"/>
      <c r="D937" s="1196"/>
      <c r="E937" s="1196"/>
      <c r="F937" s="1196"/>
      <c r="G937" s="1196"/>
      <c r="H937" s="1196"/>
      <c r="I937" s="1196"/>
      <c r="J937" s="1196"/>
      <c r="K937" s="1196"/>
      <c r="L937" s="1196"/>
      <c r="M937" s="1196"/>
      <c r="N937" s="1196"/>
      <c r="O937" s="1196"/>
      <c r="P937" s="1196"/>
      <c r="Q937" s="1196"/>
      <c r="R937" s="1196"/>
      <c r="S937" s="1196"/>
      <c r="T937" s="1196"/>
      <c r="U937" s="1196"/>
      <c r="V937" s="1196"/>
      <c r="W937" s="1196"/>
      <c r="X937" s="1196"/>
      <c r="Y937" s="1196"/>
      <c r="Z937" s="1196"/>
    </row>
    <row r="938" spans="1:26" ht="12.75" customHeight="1">
      <c r="A938" s="1196"/>
      <c r="B938" s="1196"/>
      <c r="C938" s="1196"/>
      <c r="D938" s="1196"/>
      <c r="E938" s="1196"/>
      <c r="F938" s="1196"/>
      <c r="G938" s="1196"/>
      <c r="H938" s="1196"/>
      <c r="I938" s="1196"/>
      <c r="J938" s="1196"/>
      <c r="K938" s="1196"/>
      <c r="L938" s="1196"/>
      <c r="M938" s="1196"/>
      <c r="N938" s="1196"/>
      <c r="O938" s="1196"/>
      <c r="P938" s="1196"/>
      <c r="Q938" s="1196"/>
      <c r="R938" s="1196"/>
      <c r="S938" s="1196"/>
      <c r="T938" s="1196"/>
      <c r="U938" s="1196"/>
      <c r="V938" s="1196"/>
      <c r="W938" s="1196"/>
      <c r="X938" s="1196"/>
      <c r="Y938" s="1196"/>
      <c r="Z938" s="1196"/>
    </row>
    <row r="939" spans="1:26" ht="12.75" customHeight="1">
      <c r="A939" s="1196"/>
      <c r="B939" s="1196"/>
      <c r="C939" s="1196"/>
      <c r="D939" s="1196"/>
      <c r="E939" s="1196"/>
      <c r="F939" s="1196"/>
      <c r="G939" s="1196"/>
      <c r="H939" s="1196"/>
      <c r="I939" s="1196"/>
      <c r="J939" s="1196"/>
      <c r="K939" s="1196"/>
      <c r="L939" s="1196"/>
      <c r="M939" s="1196"/>
      <c r="N939" s="1196"/>
      <c r="O939" s="1196"/>
      <c r="P939" s="1196"/>
      <c r="Q939" s="1196"/>
      <c r="R939" s="1196"/>
      <c r="S939" s="1196"/>
      <c r="T939" s="1196"/>
      <c r="U939" s="1196"/>
      <c r="V939" s="1196"/>
      <c r="W939" s="1196"/>
      <c r="X939" s="1196"/>
      <c r="Y939" s="1196"/>
      <c r="Z939" s="1196"/>
    </row>
    <row r="940" spans="1:26" ht="12.75" customHeight="1">
      <c r="A940" s="1196"/>
      <c r="B940" s="1196"/>
      <c r="C940" s="1196"/>
      <c r="D940" s="1196"/>
      <c r="E940" s="1196"/>
      <c r="F940" s="1196"/>
      <c r="G940" s="1196"/>
      <c r="H940" s="1196"/>
      <c r="I940" s="1196"/>
      <c r="J940" s="1196"/>
      <c r="K940" s="1196"/>
      <c r="L940" s="1196"/>
      <c r="M940" s="1196"/>
      <c r="N940" s="1196"/>
      <c r="O940" s="1196"/>
      <c r="P940" s="1196"/>
      <c r="Q940" s="1196"/>
      <c r="R940" s="1196"/>
      <c r="S940" s="1196"/>
      <c r="T940" s="1196"/>
      <c r="U940" s="1196"/>
      <c r="V940" s="1196"/>
      <c r="W940" s="1196"/>
      <c r="X940" s="1196"/>
      <c r="Y940" s="1196"/>
      <c r="Z940" s="1196"/>
    </row>
    <row r="941" spans="1:26" ht="12.75" customHeight="1">
      <c r="A941" s="1196"/>
      <c r="B941" s="1196"/>
      <c r="C941" s="1196"/>
      <c r="D941" s="1196"/>
      <c r="E941" s="1196"/>
      <c r="F941" s="1196"/>
      <c r="G941" s="1196"/>
      <c r="H941" s="1196"/>
      <c r="I941" s="1196"/>
      <c r="J941" s="1196"/>
      <c r="K941" s="1196"/>
      <c r="L941" s="1196"/>
      <c r="M941" s="1196"/>
      <c r="N941" s="1196"/>
      <c r="O941" s="1196"/>
      <c r="P941" s="1196"/>
      <c r="Q941" s="1196"/>
      <c r="R941" s="1196"/>
      <c r="S941" s="1196"/>
      <c r="T941" s="1196"/>
      <c r="U941" s="1196"/>
      <c r="V941" s="1196"/>
      <c r="W941" s="1196"/>
      <c r="X941" s="1196"/>
      <c r="Y941" s="1196"/>
      <c r="Z941" s="1196"/>
    </row>
    <row r="942" spans="1:26" ht="12.75" customHeight="1">
      <c r="A942" s="1196"/>
      <c r="B942" s="1196"/>
      <c r="C942" s="1196"/>
      <c r="D942" s="1196"/>
      <c r="E942" s="1196"/>
      <c r="F942" s="1196"/>
      <c r="G942" s="1196"/>
      <c r="H942" s="1196"/>
      <c r="I942" s="1196"/>
      <c r="J942" s="1196"/>
      <c r="K942" s="1196"/>
      <c r="L942" s="1196"/>
      <c r="M942" s="1196"/>
      <c r="N942" s="1196"/>
      <c r="O942" s="1196"/>
      <c r="P942" s="1196"/>
      <c r="Q942" s="1196"/>
      <c r="R942" s="1196"/>
      <c r="S942" s="1196"/>
      <c r="T942" s="1196"/>
      <c r="U942" s="1196"/>
      <c r="V942" s="1196"/>
      <c r="W942" s="1196"/>
      <c r="X942" s="1196"/>
      <c r="Y942" s="1196"/>
      <c r="Z942" s="1196"/>
    </row>
    <row r="943" spans="1:26" ht="12.75" customHeight="1">
      <c r="A943" s="1196"/>
      <c r="B943" s="1196"/>
      <c r="C943" s="1196"/>
      <c r="D943" s="1196"/>
      <c r="E943" s="1196"/>
      <c r="F943" s="1196"/>
      <c r="G943" s="1196"/>
      <c r="H943" s="1196"/>
      <c r="I943" s="1196"/>
      <c r="J943" s="1196"/>
      <c r="K943" s="1196"/>
      <c r="L943" s="1196"/>
      <c r="M943" s="1196"/>
      <c r="N943" s="1196"/>
      <c r="O943" s="1196"/>
      <c r="P943" s="1196"/>
      <c r="Q943" s="1196"/>
      <c r="R943" s="1196"/>
      <c r="S943" s="1196"/>
      <c r="T943" s="1196"/>
      <c r="U943" s="1196"/>
      <c r="V943" s="1196"/>
      <c r="W943" s="1196"/>
      <c r="X943" s="1196"/>
      <c r="Y943" s="1196"/>
      <c r="Z943" s="1196"/>
    </row>
    <row r="944" spans="1:26" ht="12.75" customHeight="1">
      <c r="A944" s="1196"/>
      <c r="B944" s="1196"/>
      <c r="C944" s="1196"/>
      <c r="D944" s="1196"/>
      <c r="E944" s="1196"/>
      <c r="F944" s="1196"/>
      <c r="G944" s="1196"/>
      <c r="H944" s="1196"/>
      <c r="I944" s="1196"/>
      <c r="J944" s="1196"/>
      <c r="K944" s="1196"/>
      <c r="L944" s="1196"/>
      <c r="M944" s="1196"/>
      <c r="N944" s="1196"/>
      <c r="O944" s="1196"/>
      <c r="P944" s="1196"/>
      <c r="Q944" s="1196"/>
      <c r="R944" s="1196"/>
      <c r="S944" s="1196"/>
      <c r="T944" s="1196"/>
      <c r="U944" s="1196"/>
      <c r="V944" s="1196"/>
      <c r="W944" s="1196"/>
      <c r="X944" s="1196"/>
      <c r="Y944" s="1196"/>
      <c r="Z944" s="1196"/>
    </row>
    <row r="945" spans="1:26" ht="12.75" customHeight="1">
      <c r="A945" s="1196"/>
      <c r="B945" s="1196"/>
      <c r="C945" s="1196"/>
      <c r="D945" s="1196"/>
      <c r="E945" s="1196"/>
      <c r="F945" s="1196"/>
      <c r="G945" s="1196"/>
      <c r="H945" s="1196"/>
      <c r="I945" s="1196"/>
      <c r="J945" s="1196"/>
      <c r="K945" s="1196"/>
      <c r="L945" s="1196"/>
      <c r="M945" s="1196"/>
      <c r="N945" s="1196"/>
      <c r="O945" s="1196"/>
      <c r="P945" s="1196"/>
      <c r="Q945" s="1196"/>
      <c r="R945" s="1196"/>
      <c r="S945" s="1196"/>
      <c r="T945" s="1196"/>
      <c r="U945" s="1196"/>
      <c r="V945" s="1196"/>
      <c r="W945" s="1196"/>
      <c r="X945" s="1196"/>
      <c r="Y945" s="1196"/>
      <c r="Z945" s="1196"/>
    </row>
    <row r="946" spans="1:26" ht="12.75" customHeight="1">
      <c r="A946" s="1196"/>
      <c r="B946" s="1196"/>
      <c r="C946" s="1196"/>
      <c r="D946" s="1196"/>
      <c r="E946" s="1196"/>
      <c r="F946" s="1196"/>
      <c r="G946" s="1196"/>
      <c r="H946" s="1196"/>
      <c r="I946" s="1196"/>
      <c r="J946" s="1196"/>
      <c r="K946" s="1196"/>
      <c r="L946" s="1196"/>
      <c r="M946" s="1196"/>
      <c r="N946" s="1196"/>
      <c r="O946" s="1196"/>
      <c r="P946" s="1196"/>
      <c r="Q946" s="1196"/>
      <c r="R946" s="1196"/>
      <c r="S946" s="1196"/>
      <c r="T946" s="1196"/>
      <c r="U946" s="1196"/>
      <c r="V946" s="1196"/>
      <c r="W946" s="1196"/>
      <c r="X946" s="1196"/>
      <c r="Y946" s="1196"/>
      <c r="Z946" s="1196"/>
    </row>
    <row r="947" spans="1:26" ht="12.75" customHeight="1">
      <c r="A947" s="1196"/>
      <c r="B947" s="1196"/>
      <c r="C947" s="1196"/>
      <c r="D947" s="1196"/>
      <c r="E947" s="1196"/>
      <c r="F947" s="1196"/>
      <c r="G947" s="1196"/>
      <c r="H947" s="1196"/>
      <c r="I947" s="1196"/>
      <c r="J947" s="1196"/>
      <c r="K947" s="1196"/>
      <c r="L947" s="1196"/>
      <c r="M947" s="1196"/>
      <c r="N947" s="1196"/>
      <c r="O947" s="1196"/>
      <c r="P947" s="1196"/>
      <c r="Q947" s="1196"/>
      <c r="R947" s="1196"/>
      <c r="S947" s="1196"/>
      <c r="T947" s="1196"/>
      <c r="U947" s="1196"/>
      <c r="V947" s="1196"/>
      <c r="W947" s="1196"/>
      <c r="X947" s="1196"/>
      <c r="Y947" s="1196"/>
      <c r="Z947" s="1196"/>
    </row>
    <row r="948" spans="1:26" ht="12.75" customHeight="1">
      <c r="A948" s="1196"/>
      <c r="B948" s="1196"/>
      <c r="C948" s="1196"/>
      <c r="D948" s="1196"/>
      <c r="E948" s="1196"/>
      <c r="F948" s="1196"/>
      <c r="G948" s="1196"/>
      <c r="H948" s="1196"/>
      <c r="I948" s="1196"/>
      <c r="J948" s="1196"/>
      <c r="K948" s="1196"/>
      <c r="L948" s="1196"/>
      <c r="M948" s="1196"/>
      <c r="N948" s="1196"/>
      <c r="O948" s="1196"/>
      <c r="P948" s="1196"/>
      <c r="Q948" s="1196"/>
      <c r="R948" s="1196"/>
      <c r="S948" s="1196"/>
      <c r="T948" s="1196"/>
      <c r="U948" s="1196"/>
      <c r="V948" s="1196"/>
      <c r="W948" s="1196"/>
      <c r="X948" s="1196"/>
      <c r="Y948" s="1196"/>
      <c r="Z948" s="1196"/>
    </row>
    <row r="949" spans="1:26" ht="12.75" customHeight="1">
      <c r="A949" s="1196"/>
      <c r="B949" s="1196"/>
      <c r="C949" s="1196"/>
      <c r="D949" s="1196"/>
      <c r="E949" s="1196"/>
      <c r="F949" s="1196"/>
      <c r="G949" s="1196"/>
      <c r="H949" s="1196"/>
      <c r="I949" s="1196"/>
      <c r="J949" s="1196"/>
      <c r="K949" s="1196"/>
      <c r="L949" s="1196"/>
      <c r="M949" s="1196"/>
      <c r="N949" s="1196"/>
      <c r="O949" s="1196"/>
      <c r="P949" s="1196"/>
      <c r="Q949" s="1196"/>
      <c r="R949" s="1196"/>
      <c r="S949" s="1196"/>
      <c r="T949" s="1196"/>
      <c r="U949" s="1196"/>
      <c r="V949" s="1196"/>
      <c r="W949" s="1196"/>
      <c r="X949" s="1196"/>
      <c r="Y949" s="1196"/>
      <c r="Z949" s="1196"/>
    </row>
    <row r="950" spans="1:26" ht="12.75" customHeight="1">
      <c r="A950" s="1196"/>
      <c r="B950" s="1196"/>
      <c r="C950" s="1196"/>
      <c r="D950" s="1196"/>
      <c r="E950" s="1196"/>
      <c r="F950" s="1196"/>
      <c r="G950" s="1196"/>
      <c r="H950" s="1196"/>
      <c r="I950" s="1196"/>
      <c r="J950" s="1196"/>
      <c r="K950" s="1196"/>
      <c r="L950" s="1196"/>
      <c r="M950" s="1196"/>
      <c r="N950" s="1196"/>
      <c r="O950" s="1196"/>
      <c r="P950" s="1196"/>
      <c r="Q950" s="1196"/>
      <c r="R950" s="1196"/>
      <c r="S950" s="1196"/>
      <c r="T950" s="1196"/>
      <c r="U950" s="1196"/>
      <c r="V950" s="1196"/>
      <c r="W950" s="1196"/>
      <c r="X950" s="1196"/>
      <c r="Y950" s="1196"/>
      <c r="Z950" s="1196"/>
    </row>
    <row r="951" spans="1:26" ht="12.75" customHeight="1">
      <c r="A951" s="1196"/>
      <c r="B951" s="1196"/>
      <c r="C951" s="1196"/>
      <c r="D951" s="1196"/>
      <c r="E951" s="1196"/>
      <c r="F951" s="1196"/>
      <c r="G951" s="1196"/>
      <c r="H951" s="1196"/>
      <c r="I951" s="1196"/>
      <c r="J951" s="1196"/>
      <c r="K951" s="1196"/>
      <c r="L951" s="1196"/>
      <c r="M951" s="1196"/>
      <c r="N951" s="1196"/>
      <c r="O951" s="1196"/>
      <c r="P951" s="1196"/>
      <c r="Q951" s="1196"/>
      <c r="R951" s="1196"/>
      <c r="S951" s="1196"/>
      <c r="T951" s="1196"/>
      <c r="U951" s="1196"/>
      <c r="V951" s="1196"/>
      <c r="W951" s="1196"/>
      <c r="X951" s="1196"/>
      <c r="Y951" s="1196"/>
      <c r="Z951" s="1196"/>
    </row>
    <row r="952" spans="1:26" ht="12.75" customHeight="1">
      <c r="A952" s="1196"/>
      <c r="B952" s="1196"/>
      <c r="C952" s="1196"/>
      <c r="D952" s="1196"/>
      <c r="E952" s="1196"/>
      <c r="F952" s="1196"/>
      <c r="G952" s="1196"/>
      <c r="H952" s="1196"/>
      <c r="I952" s="1196"/>
      <c r="J952" s="1196"/>
      <c r="K952" s="1196"/>
      <c r="L952" s="1196"/>
      <c r="M952" s="1196"/>
      <c r="N952" s="1196"/>
      <c r="O952" s="1196"/>
      <c r="P952" s="1196"/>
      <c r="Q952" s="1196"/>
      <c r="R952" s="1196"/>
      <c r="S952" s="1196"/>
      <c r="T952" s="1196"/>
      <c r="U952" s="1196"/>
      <c r="V952" s="1196"/>
      <c r="W952" s="1196"/>
      <c r="X952" s="1196"/>
      <c r="Y952" s="1196"/>
      <c r="Z952" s="1196"/>
    </row>
    <row r="953" spans="1:26" ht="12.75" customHeight="1">
      <c r="A953" s="1196"/>
      <c r="B953" s="1196"/>
      <c r="C953" s="1196"/>
      <c r="D953" s="1196"/>
      <c r="E953" s="1196"/>
      <c r="F953" s="1196"/>
      <c r="G953" s="1196"/>
      <c r="H953" s="1196"/>
      <c r="I953" s="1196"/>
      <c r="J953" s="1196"/>
      <c r="K953" s="1196"/>
      <c r="L953" s="1196"/>
      <c r="M953" s="1196"/>
      <c r="N953" s="1196"/>
      <c r="O953" s="1196"/>
      <c r="P953" s="1196"/>
      <c r="Q953" s="1196"/>
      <c r="R953" s="1196"/>
      <c r="S953" s="1196"/>
      <c r="T953" s="1196"/>
      <c r="U953" s="1196"/>
      <c r="V953" s="1196"/>
      <c r="W953" s="1196"/>
      <c r="X953" s="1196"/>
      <c r="Y953" s="1196"/>
      <c r="Z953" s="1196"/>
    </row>
    <row r="954" spans="1:26" ht="12.75" customHeight="1">
      <c r="A954" s="1196"/>
      <c r="B954" s="1196"/>
      <c r="C954" s="1196"/>
      <c r="D954" s="1196"/>
      <c r="E954" s="1196"/>
      <c r="F954" s="1196"/>
      <c r="G954" s="1196"/>
      <c r="H954" s="1196"/>
      <c r="I954" s="1196"/>
      <c r="J954" s="1196"/>
      <c r="K954" s="1196"/>
      <c r="L954" s="1196"/>
      <c r="M954" s="1196"/>
      <c r="N954" s="1196"/>
      <c r="O954" s="1196"/>
      <c r="P954" s="1196"/>
      <c r="Q954" s="1196"/>
      <c r="R954" s="1196"/>
      <c r="S954" s="1196"/>
      <c r="T954" s="1196"/>
      <c r="U954" s="1196"/>
      <c r="V954" s="1196"/>
      <c r="W954" s="1196"/>
      <c r="X954" s="1196"/>
      <c r="Y954" s="1196"/>
      <c r="Z954" s="1196"/>
    </row>
    <row r="955" spans="1:26" ht="12.75" customHeight="1">
      <c r="A955" s="1196"/>
      <c r="B955" s="1196"/>
      <c r="C955" s="1196"/>
      <c r="D955" s="1196"/>
      <c r="E955" s="1196"/>
      <c r="F955" s="1196"/>
      <c r="G955" s="1196"/>
      <c r="H955" s="1196"/>
      <c r="I955" s="1196"/>
      <c r="J955" s="1196"/>
      <c r="K955" s="1196"/>
      <c r="L955" s="1196"/>
      <c r="M955" s="1196"/>
      <c r="N955" s="1196"/>
      <c r="O955" s="1196"/>
      <c r="P955" s="1196"/>
      <c r="Q955" s="1196"/>
      <c r="R955" s="1196"/>
      <c r="S955" s="1196"/>
      <c r="T955" s="1196"/>
      <c r="U955" s="1196"/>
      <c r="V955" s="1196"/>
      <c r="W955" s="1196"/>
      <c r="X955" s="1196"/>
      <c r="Y955" s="1196"/>
      <c r="Z955" s="1196"/>
    </row>
    <row r="956" spans="1:26" ht="12.75" customHeight="1">
      <c r="A956" s="1196"/>
      <c r="B956" s="1196"/>
      <c r="C956" s="1196"/>
      <c r="D956" s="1196"/>
      <c r="E956" s="1196"/>
      <c r="F956" s="1196"/>
      <c r="G956" s="1196"/>
      <c r="H956" s="1196"/>
      <c r="I956" s="1196"/>
      <c r="J956" s="1196"/>
      <c r="K956" s="1196"/>
      <c r="L956" s="1196"/>
      <c r="M956" s="1196"/>
      <c r="N956" s="1196"/>
      <c r="O956" s="1196"/>
      <c r="P956" s="1196"/>
      <c r="Q956" s="1196"/>
      <c r="R956" s="1196"/>
      <c r="S956" s="1196"/>
      <c r="T956" s="1196"/>
      <c r="U956" s="1196"/>
      <c r="V956" s="1196"/>
      <c r="W956" s="1196"/>
      <c r="X956" s="1196"/>
      <c r="Y956" s="1196"/>
      <c r="Z956" s="1196"/>
    </row>
    <row r="957" spans="1:26" ht="12.75" customHeight="1">
      <c r="A957" s="1196"/>
      <c r="B957" s="1196"/>
      <c r="C957" s="1196"/>
      <c r="D957" s="1196"/>
      <c r="E957" s="1196"/>
      <c r="F957" s="1196"/>
      <c r="G957" s="1196"/>
      <c r="H957" s="1196"/>
      <c r="I957" s="1196"/>
      <c r="J957" s="1196"/>
      <c r="K957" s="1196"/>
      <c r="L957" s="1196"/>
      <c r="M957" s="1196"/>
      <c r="N957" s="1196"/>
      <c r="O957" s="1196"/>
      <c r="P957" s="1196"/>
      <c r="Q957" s="1196"/>
      <c r="R957" s="1196"/>
      <c r="S957" s="1196"/>
      <c r="T957" s="1196"/>
      <c r="U957" s="1196"/>
      <c r="V957" s="1196"/>
      <c r="W957" s="1196"/>
      <c r="X957" s="1196"/>
      <c r="Y957" s="1196"/>
      <c r="Z957" s="1196"/>
    </row>
    <row r="958" spans="1:26" ht="12.75" customHeight="1">
      <c r="A958" s="1196"/>
      <c r="B958" s="1196"/>
      <c r="C958" s="1196"/>
      <c r="D958" s="1196"/>
      <c r="E958" s="1196"/>
      <c r="F958" s="1196"/>
      <c r="G958" s="1196"/>
      <c r="H958" s="1196"/>
      <c r="I958" s="1196"/>
      <c r="J958" s="1196"/>
      <c r="K958" s="1196"/>
      <c r="L958" s="1196"/>
      <c r="M958" s="1196"/>
      <c r="N958" s="1196"/>
      <c r="O958" s="1196"/>
      <c r="P958" s="1196"/>
      <c r="Q958" s="1196"/>
      <c r="R958" s="1196"/>
      <c r="S958" s="1196"/>
      <c r="T958" s="1196"/>
      <c r="U958" s="1196"/>
      <c r="V958" s="1196"/>
      <c r="W958" s="1196"/>
      <c r="X958" s="1196"/>
      <c r="Y958" s="1196"/>
      <c r="Z958" s="1196"/>
    </row>
    <row r="959" spans="1:26" ht="12.75" customHeight="1">
      <c r="A959" s="1196"/>
      <c r="B959" s="1196"/>
      <c r="C959" s="1196"/>
      <c r="D959" s="1196"/>
      <c r="E959" s="1196"/>
      <c r="F959" s="1196"/>
      <c r="G959" s="1196"/>
      <c r="H959" s="1196"/>
      <c r="I959" s="1196"/>
      <c r="J959" s="1196"/>
      <c r="K959" s="1196"/>
      <c r="L959" s="1196"/>
      <c r="M959" s="1196"/>
      <c r="N959" s="1196"/>
      <c r="O959" s="1196"/>
      <c r="P959" s="1196"/>
      <c r="Q959" s="1196"/>
      <c r="R959" s="1196"/>
      <c r="S959" s="1196"/>
      <c r="T959" s="1196"/>
      <c r="U959" s="1196"/>
      <c r="V959" s="1196"/>
      <c r="W959" s="1196"/>
      <c r="X959" s="1196"/>
      <c r="Y959" s="1196"/>
      <c r="Z959" s="1196"/>
    </row>
    <row r="960" spans="1:26" ht="12.75" customHeight="1">
      <c r="A960" s="1196"/>
      <c r="B960" s="1196"/>
      <c r="C960" s="1196"/>
      <c r="D960" s="1196"/>
      <c r="E960" s="1196"/>
      <c r="F960" s="1196"/>
      <c r="G960" s="1196"/>
      <c r="H960" s="1196"/>
      <c r="I960" s="1196"/>
      <c r="J960" s="1196"/>
      <c r="K960" s="1196"/>
      <c r="L960" s="1196"/>
      <c r="M960" s="1196"/>
      <c r="N960" s="1196"/>
      <c r="O960" s="1196"/>
      <c r="P960" s="1196"/>
      <c r="Q960" s="1196"/>
      <c r="R960" s="1196"/>
      <c r="S960" s="1196"/>
      <c r="T960" s="1196"/>
      <c r="U960" s="1196"/>
      <c r="V960" s="1196"/>
      <c r="W960" s="1196"/>
      <c r="X960" s="1196"/>
      <c r="Y960" s="1196"/>
      <c r="Z960" s="1196"/>
    </row>
    <row r="961" spans="1:26" ht="12.75" customHeight="1">
      <c r="A961" s="1196"/>
      <c r="B961" s="1196"/>
      <c r="C961" s="1196"/>
      <c r="D961" s="1196"/>
      <c r="E961" s="1196"/>
      <c r="F961" s="1196"/>
      <c r="G961" s="1196"/>
      <c r="H961" s="1196"/>
      <c r="I961" s="1196"/>
      <c r="J961" s="1196"/>
      <c r="K961" s="1196"/>
      <c r="L961" s="1196"/>
      <c r="M961" s="1196"/>
      <c r="N961" s="1196"/>
      <c r="O961" s="1196"/>
      <c r="P961" s="1196"/>
      <c r="Q961" s="1196"/>
      <c r="R961" s="1196"/>
      <c r="S961" s="1196"/>
      <c r="T961" s="1196"/>
      <c r="U961" s="1196"/>
      <c r="V961" s="1196"/>
      <c r="W961" s="1196"/>
      <c r="X961" s="1196"/>
      <c r="Y961" s="1196"/>
      <c r="Z961" s="1196"/>
    </row>
    <row r="962" spans="1:26" ht="12.75" customHeight="1">
      <c r="A962" s="1196"/>
      <c r="B962" s="1196"/>
      <c r="C962" s="1196"/>
      <c r="D962" s="1196"/>
      <c r="E962" s="1196"/>
      <c r="F962" s="1196"/>
      <c r="G962" s="1196"/>
      <c r="H962" s="1196"/>
      <c r="I962" s="1196"/>
      <c r="J962" s="1196"/>
      <c r="K962" s="1196"/>
      <c r="L962" s="1196"/>
      <c r="M962" s="1196"/>
      <c r="N962" s="1196"/>
      <c r="O962" s="1196"/>
      <c r="P962" s="1196"/>
      <c r="Q962" s="1196"/>
      <c r="R962" s="1196"/>
      <c r="S962" s="1196"/>
      <c r="T962" s="1196"/>
      <c r="U962" s="1196"/>
      <c r="V962" s="1196"/>
      <c r="W962" s="1196"/>
      <c r="X962" s="1196"/>
      <c r="Y962" s="1196"/>
      <c r="Z962" s="1196"/>
    </row>
    <row r="963" spans="1:26" ht="12.75" customHeight="1">
      <c r="A963" s="1196"/>
      <c r="B963" s="1196"/>
      <c r="C963" s="1196"/>
      <c r="D963" s="1196"/>
      <c r="E963" s="1196"/>
      <c r="F963" s="1196"/>
      <c r="G963" s="1196"/>
      <c r="H963" s="1196"/>
      <c r="I963" s="1196"/>
      <c r="J963" s="1196"/>
      <c r="K963" s="1196"/>
      <c r="L963" s="1196"/>
      <c r="M963" s="1196"/>
      <c r="N963" s="1196"/>
      <c r="O963" s="1196"/>
      <c r="P963" s="1196"/>
      <c r="Q963" s="1196"/>
      <c r="R963" s="1196"/>
      <c r="S963" s="1196"/>
      <c r="T963" s="1196"/>
      <c r="U963" s="1196"/>
      <c r="V963" s="1196"/>
      <c r="W963" s="1196"/>
      <c r="X963" s="1196"/>
      <c r="Y963" s="1196"/>
      <c r="Z963" s="1196"/>
    </row>
    <row r="964" spans="1:26" ht="12.75" customHeight="1">
      <c r="A964" s="1196"/>
      <c r="B964" s="1196"/>
      <c r="C964" s="1196"/>
      <c r="D964" s="1196"/>
      <c r="E964" s="1196"/>
      <c r="F964" s="1196"/>
      <c r="G964" s="1196"/>
      <c r="H964" s="1196"/>
      <c r="I964" s="1196"/>
      <c r="J964" s="1196"/>
      <c r="K964" s="1196"/>
      <c r="L964" s="1196"/>
      <c r="M964" s="1196"/>
      <c r="N964" s="1196"/>
      <c r="O964" s="1196"/>
      <c r="P964" s="1196"/>
      <c r="Q964" s="1196"/>
      <c r="R964" s="1196"/>
      <c r="S964" s="1196"/>
      <c r="T964" s="1196"/>
      <c r="U964" s="1196"/>
      <c r="V964" s="1196"/>
      <c r="W964" s="1196"/>
      <c r="X964" s="1196"/>
      <c r="Y964" s="1196"/>
      <c r="Z964" s="1196"/>
    </row>
    <row r="965" spans="1:26" ht="12.75" customHeight="1">
      <c r="A965" s="1196"/>
      <c r="B965" s="1196"/>
      <c r="C965" s="1196"/>
      <c r="D965" s="1196"/>
      <c r="E965" s="1196"/>
      <c r="F965" s="1196"/>
      <c r="G965" s="1196"/>
      <c r="H965" s="1196"/>
      <c r="I965" s="1196"/>
      <c r="J965" s="1196"/>
      <c r="K965" s="1196"/>
      <c r="L965" s="1196"/>
      <c r="M965" s="1196"/>
      <c r="N965" s="1196"/>
      <c r="O965" s="1196"/>
      <c r="P965" s="1196"/>
      <c r="Q965" s="1196"/>
      <c r="R965" s="1196"/>
      <c r="S965" s="1196"/>
      <c r="T965" s="1196"/>
      <c r="U965" s="1196"/>
      <c r="V965" s="1196"/>
      <c r="W965" s="1196"/>
      <c r="X965" s="1196"/>
      <c r="Y965" s="1196"/>
      <c r="Z965" s="1196"/>
    </row>
    <row r="966" spans="1:26" ht="12.75" customHeight="1">
      <c r="A966" s="1196"/>
      <c r="B966" s="1196"/>
      <c r="C966" s="1196"/>
      <c r="D966" s="1196"/>
      <c r="E966" s="1196"/>
      <c r="F966" s="1196"/>
      <c r="G966" s="1196"/>
      <c r="H966" s="1196"/>
      <c r="I966" s="1196"/>
      <c r="J966" s="1196"/>
      <c r="K966" s="1196"/>
      <c r="L966" s="1196"/>
      <c r="M966" s="1196"/>
      <c r="N966" s="1196"/>
      <c r="O966" s="1196"/>
      <c r="P966" s="1196"/>
      <c r="Q966" s="1196"/>
      <c r="R966" s="1196"/>
      <c r="S966" s="1196"/>
      <c r="T966" s="1196"/>
      <c r="U966" s="1196"/>
      <c r="V966" s="1196"/>
      <c r="W966" s="1196"/>
      <c r="X966" s="1196"/>
      <c r="Y966" s="1196"/>
      <c r="Z966" s="1196"/>
    </row>
    <row r="967" spans="1:26" ht="12.75" customHeight="1">
      <c r="A967" s="1196"/>
      <c r="B967" s="1196"/>
      <c r="C967" s="1196"/>
      <c r="D967" s="1196"/>
      <c r="E967" s="1196"/>
      <c r="F967" s="1196"/>
      <c r="G967" s="1196"/>
      <c r="H967" s="1196"/>
      <c r="I967" s="1196"/>
      <c r="J967" s="1196"/>
      <c r="K967" s="1196"/>
      <c r="L967" s="1196"/>
      <c r="M967" s="1196"/>
      <c r="N967" s="1196"/>
      <c r="O967" s="1196"/>
      <c r="P967" s="1196"/>
      <c r="Q967" s="1196"/>
      <c r="R967" s="1196"/>
      <c r="S967" s="1196"/>
      <c r="T967" s="1196"/>
      <c r="U967" s="1196"/>
      <c r="V967" s="1196"/>
      <c r="W967" s="1196"/>
      <c r="X967" s="1196"/>
      <c r="Y967" s="1196"/>
      <c r="Z967" s="1196"/>
    </row>
    <row r="968" spans="1:26" ht="12.75" customHeight="1">
      <c r="A968" s="1196"/>
      <c r="B968" s="1196"/>
      <c r="C968" s="1196"/>
      <c r="D968" s="1196"/>
      <c r="E968" s="1196"/>
      <c r="F968" s="1196"/>
      <c r="G968" s="1196"/>
      <c r="H968" s="1196"/>
      <c r="I968" s="1196"/>
      <c r="J968" s="1196"/>
      <c r="K968" s="1196"/>
      <c r="L968" s="1196"/>
      <c r="M968" s="1196"/>
      <c r="N968" s="1196"/>
      <c r="O968" s="1196"/>
      <c r="P968" s="1196"/>
      <c r="Q968" s="1196"/>
      <c r="R968" s="1196"/>
      <c r="S968" s="1196"/>
      <c r="T968" s="1196"/>
      <c r="U968" s="1196"/>
      <c r="V968" s="1196"/>
      <c r="W968" s="1196"/>
      <c r="X968" s="1196"/>
      <c r="Y968" s="1196"/>
      <c r="Z968" s="1196"/>
    </row>
    <row r="969" spans="1:26" ht="12.75" customHeight="1">
      <c r="A969" s="1196"/>
      <c r="B969" s="1196"/>
      <c r="C969" s="1196"/>
      <c r="D969" s="1196"/>
      <c r="E969" s="1196"/>
      <c r="F969" s="1196"/>
      <c r="G969" s="1196"/>
      <c r="H969" s="1196"/>
      <c r="I969" s="1196"/>
      <c r="J969" s="1196"/>
      <c r="K969" s="1196"/>
      <c r="L969" s="1196"/>
      <c r="M969" s="1196"/>
      <c r="N969" s="1196"/>
      <c r="O969" s="1196"/>
      <c r="P969" s="1196"/>
      <c r="Q969" s="1196"/>
      <c r="R969" s="1196"/>
      <c r="S969" s="1196"/>
      <c r="T969" s="1196"/>
      <c r="U969" s="1196"/>
      <c r="V969" s="1196"/>
      <c r="W969" s="1196"/>
      <c r="X969" s="1196"/>
      <c r="Y969" s="1196"/>
      <c r="Z969" s="1196"/>
    </row>
    <row r="970" spans="1:26" ht="12.75" customHeight="1">
      <c r="A970" s="1196"/>
      <c r="B970" s="1196"/>
      <c r="C970" s="1196"/>
      <c r="D970" s="1196"/>
      <c r="E970" s="1196"/>
      <c r="F970" s="1196"/>
      <c r="G970" s="1196"/>
      <c r="H970" s="1196"/>
      <c r="I970" s="1196"/>
      <c r="J970" s="1196"/>
      <c r="K970" s="1196"/>
      <c r="L970" s="1196"/>
      <c r="M970" s="1196"/>
      <c r="N970" s="1196"/>
      <c r="O970" s="1196"/>
      <c r="P970" s="1196"/>
      <c r="Q970" s="1196"/>
      <c r="R970" s="1196"/>
      <c r="S970" s="1196"/>
      <c r="T970" s="1196"/>
      <c r="U970" s="1196"/>
      <c r="V970" s="1196"/>
      <c r="W970" s="1196"/>
      <c r="X970" s="1196"/>
      <c r="Y970" s="1196"/>
      <c r="Z970" s="1196"/>
    </row>
    <row r="971" spans="1:26" ht="12.75" customHeight="1">
      <c r="A971" s="1196"/>
      <c r="B971" s="1196"/>
      <c r="C971" s="1196"/>
      <c r="D971" s="1196"/>
      <c r="E971" s="1196"/>
      <c r="F971" s="1196"/>
      <c r="G971" s="1196"/>
      <c r="H971" s="1196"/>
      <c r="I971" s="1196"/>
      <c r="J971" s="1196"/>
      <c r="K971" s="1196"/>
      <c r="L971" s="1196"/>
      <c r="M971" s="1196"/>
      <c r="N971" s="1196"/>
      <c r="O971" s="1196"/>
      <c r="P971" s="1196"/>
      <c r="Q971" s="1196"/>
      <c r="R971" s="1196"/>
      <c r="S971" s="1196"/>
      <c r="T971" s="1196"/>
      <c r="U971" s="1196"/>
      <c r="V971" s="1196"/>
      <c r="W971" s="1196"/>
      <c r="X971" s="1196"/>
      <c r="Y971" s="1196"/>
      <c r="Z971" s="1196"/>
    </row>
    <row r="972" spans="1:26" ht="12.75" customHeight="1">
      <c r="A972" s="1196"/>
      <c r="B972" s="1196"/>
      <c r="C972" s="1196"/>
      <c r="D972" s="1196"/>
      <c r="E972" s="1196"/>
      <c r="F972" s="1196"/>
      <c r="G972" s="1196"/>
      <c r="H972" s="1196"/>
      <c r="I972" s="1196"/>
      <c r="J972" s="1196"/>
      <c r="K972" s="1196"/>
      <c r="L972" s="1196"/>
      <c r="M972" s="1196"/>
      <c r="N972" s="1196"/>
      <c r="O972" s="1196"/>
      <c r="P972" s="1196"/>
      <c r="Q972" s="1196"/>
      <c r="R972" s="1196"/>
      <c r="S972" s="1196"/>
      <c r="T972" s="1196"/>
      <c r="U972" s="1196"/>
      <c r="V972" s="1196"/>
      <c r="W972" s="1196"/>
      <c r="X972" s="1196"/>
      <c r="Y972" s="1196"/>
      <c r="Z972" s="1196"/>
    </row>
    <row r="973" spans="1:26" ht="12.75" customHeight="1">
      <c r="A973" s="1196"/>
      <c r="B973" s="1196"/>
      <c r="C973" s="1196"/>
      <c r="D973" s="1196"/>
      <c r="E973" s="1196"/>
      <c r="F973" s="1196"/>
      <c r="G973" s="1196"/>
      <c r="H973" s="1196"/>
      <c r="I973" s="1196"/>
      <c r="J973" s="1196"/>
      <c r="K973" s="1196"/>
      <c r="L973" s="1196"/>
      <c r="M973" s="1196"/>
      <c r="N973" s="1196"/>
      <c r="O973" s="1196"/>
      <c r="P973" s="1196"/>
      <c r="Q973" s="1196"/>
      <c r="R973" s="1196"/>
      <c r="S973" s="1196"/>
      <c r="T973" s="1196"/>
      <c r="U973" s="1196"/>
      <c r="V973" s="1196"/>
      <c r="W973" s="1196"/>
      <c r="X973" s="1196"/>
      <c r="Y973" s="1196"/>
      <c r="Z973" s="1196"/>
    </row>
    <row r="974" spans="1:26" ht="12.75" customHeight="1">
      <c r="A974" s="1196"/>
      <c r="B974" s="1196"/>
      <c r="C974" s="1196"/>
      <c r="D974" s="1196"/>
      <c r="E974" s="1196"/>
      <c r="F974" s="1196"/>
      <c r="G974" s="1196"/>
      <c r="H974" s="1196"/>
      <c r="I974" s="1196"/>
      <c r="J974" s="1196"/>
      <c r="K974" s="1196"/>
      <c r="L974" s="1196"/>
      <c r="M974" s="1196"/>
      <c r="N974" s="1196"/>
      <c r="O974" s="1196"/>
      <c r="P974" s="1196"/>
      <c r="Q974" s="1196"/>
      <c r="R974" s="1196"/>
      <c r="S974" s="1196"/>
      <c r="T974" s="1196"/>
      <c r="U974" s="1196"/>
      <c r="V974" s="1196"/>
      <c r="W974" s="1196"/>
      <c r="X974" s="1196"/>
      <c r="Y974" s="1196"/>
      <c r="Z974" s="1196"/>
    </row>
    <row r="975" spans="1:26" ht="12.75" customHeight="1">
      <c r="A975" s="1196"/>
      <c r="B975" s="1196"/>
      <c r="C975" s="1196"/>
      <c r="D975" s="1196"/>
      <c r="E975" s="1196"/>
      <c r="F975" s="1196"/>
      <c r="G975" s="1196"/>
      <c r="H975" s="1196"/>
      <c r="I975" s="1196"/>
      <c r="J975" s="1196"/>
      <c r="K975" s="1196"/>
      <c r="L975" s="1196"/>
      <c r="M975" s="1196"/>
      <c r="N975" s="1196"/>
      <c r="O975" s="1196"/>
      <c r="P975" s="1196"/>
      <c r="Q975" s="1196"/>
      <c r="R975" s="1196"/>
      <c r="S975" s="1196"/>
      <c r="T975" s="1196"/>
      <c r="U975" s="1196"/>
      <c r="V975" s="1196"/>
      <c r="W975" s="1196"/>
      <c r="X975" s="1196"/>
      <c r="Y975" s="1196"/>
      <c r="Z975" s="1196"/>
    </row>
    <row r="976" spans="1:26" ht="12.75" customHeight="1">
      <c r="A976" s="1196"/>
      <c r="B976" s="1196"/>
      <c r="C976" s="1196"/>
      <c r="D976" s="1196"/>
      <c r="E976" s="1196"/>
      <c r="F976" s="1196"/>
      <c r="G976" s="1196"/>
      <c r="H976" s="1196"/>
      <c r="I976" s="1196"/>
      <c r="J976" s="1196"/>
      <c r="K976" s="1196"/>
      <c r="L976" s="1196"/>
      <c r="M976" s="1196"/>
      <c r="N976" s="1196"/>
      <c r="O976" s="1196"/>
      <c r="P976" s="1196"/>
      <c r="Q976" s="1196"/>
      <c r="R976" s="1196"/>
      <c r="S976" s="1196"/>
      <c r="T976" s="1196"/>
      <c r="U976" s="1196"/>
      <c r="V976" s="1196"/>
      <c r="W976" s="1196"/>
      <c r="X976" s="1196"/>
      <c r="Y976" s="1196"/>
      <c r="Z976" s="1196"/>
    </row>
    <row r="977" spans="1:26" ht="12.75" customHeight="1">
      <c r="A977" s="1196"/>
      <c r="B977" s="1196"/>
      <c r="C977" s="1196"/>
      <c r="D977" s="1196"/>
      <c r="E977" s="1196"/>
      <c r="F977" s="1196"/>
      <c r="G977" s="1196"/>
      <c r="H977" s="1196"/>
      <c r="I977" s="1196"/>
      <c r="J977" s="1196"/>
      <c r="K977" s="1196"/>
      <c r="L977" s="1196"/>
      <c r="M977" s="1196"/>
      <c r="N977" s="1196"/>
      <c r="O977" s="1196"/>
      <c r="P977" s="1196"/>
      <c r="Q977" s="1196"/>
      <c r="R977" s="1196"/>
      <c r="S977" s="1196"/>
      <c r="T977" s="1196"/>
      <c r="U977" s="1196"/>
      <c r="V977" s="1196"/>
      <c r="W977" s="1196"/>
      <c r="X977" s="1196"/>
      <c r="Y977" s="1196"/>
      <c r="Z977" s="1196"/>
    </row>
    <row r="978" spans="1:26" ht="12.75" customHeight="1">
      <c r="A978" s="1196"/>
      <c r="B978" s="1196"/>
      <c r="C978" s="1196"/>
      <c r="D978" s="1196"/>
      <c r="E978" s="1196"/>
      <c r="F978" s="1196"/>
      <c r="G978" s="1196"/>
      <c r="H978" s="1196"/>
      <c r="I978" s="1196"/>
      <c r="J978" s="1196"/>
      <c r="K978" s="1196"/>
      <c r="L978" s="1196"/>
      <c r="M978" s="1196"/>
      <c r="N978" s="1196"/>
      <c r="O978" s="1196"/>
      <c r="P978" s="1196"/>
      <c r="Q978" s="1196"/>
      <c r="R978" s="1196"/>
      <c r="S978" s="1196"/>
      <c r="T978" s="1196"/>
      <c r="U978" s="1196"/>
      <c r="V978" s="1196"/>
      <c r="W978" s="1196"/>
      <c r="X978" s="1196"/>
      <c r="Y978" s="1196"/>
      <c r="Z978" s="1196"/>
    </row>
    <row r="979" spans="1:26" ht="12.75" customHeight="1">
      <c r="A979" s="1196"/>
      <c r="B979" s="1196"/>
      <c r="C979" s="1196"/>
      <c r="D979" s="1196"/>
      <c r="E979" s="1196"/>
      <c r="F979" s="1196"/>
      <c r="G979" s="1196"/>
      <c r="H979" s="1196"/>
      <c r="I979" s="1196"/>
      <c r="J979" s="1196"/>
      <c r="K979" s="1196"/>
      <c r="L979" s="1196"/>
      <c r="M979" s="1196"/>
      <c r="N979" s="1196"/>
      <c r="O979" s="1196"/>
      <c r="P979" s="1196"/>
      <c r="Q979" s="1196"/>
      <c r="R979" s="1196"/>
      <c r="S979" s="1196"/>
      <c r="T979" s="1196"/>
      <c r="U979" s="1196"/>
      <c r="V979" s="1196"/>
      <c r="W979" s="1196"/>
      <c r="X979" s="1196"/>
      <c r="Y979" s="1196"/>
      <c r="Z979" s="1196"/>
    </row>
    <row r="980" spans="1:26" ht="12.75" customHeight="1">
      <c r="A980" s="1196"/>
      <c r="B980" s="1196"/>
      <c r="C980" s="1196"/>
      <c r="D980" s="1196"/>
      <c r="E980" s="1196"/>
      <c r="F980" s="1196"/>
      <c r="G980" s="1196"/>
      <c r="H980" s="1196"/>
      <c r="I980" s="1196"/>
      <c r="J980" s="1196"/>
      <c r="K980" s="1196"/>
      <c r="L980" s="1196"/>
      <c r="M980" s="1196"/>
      <c r="N980" s="1196"/>
      <c r="O980" s="1196"/>
      <c r="P980" s="1196"/>
      <c r="Q980" s="1196"/>
      <c r="R980" s="1196"/>
      <c r="S980" s="1196"/>
      <c r="T980" s="1196"/>
      <c r="U980" s="1196"/>
      <c r="V980" s="1196"/>
      <c r="W980" s="1196"/>
      <c r="X980" s="1196"/>
      <c r="Y980" s="1196"/>
      <c r="Z980" s="1196"/>
    </row>
    <row r="981" spans="1:26" ht="12.75" customHeight="1">
      <c r="A981" s="1196"/>
      <c r="B981" s="1196"/>
      <c r="C981" s="1196"/>
      <c r="D981" s="1196"/>
      <c r="E981" s="1196"/>
      <c r="F981" s="1196"/>
      <c r="G981" s="1196"/>
      <c r="H981" s="1196"/>
      <c r="I981" s="1196"/>
      <c r="J981" s="1196"/>
      <c r="K981" s="1196"/>
      <c r="L981" s="1196"/>
      <c r="M981" s="1196"/>
      <c r="N981" s="1196"/>
      <c r="O981" s="1196"/>
      <c r="P981" s="1196"/>
      <c r="Q981" s="1196"/>
      <c r="R981" s="1196"/>
      <c r="S981" s="1196"/>
      <c r="T981" s="1196"/>
      <c r="U981" s="1196"/>
      <c r="V981" s="1196"/>
      <c r="W981" s="1196"/>
      <c r="X981" s="1196"/>
      <c r="Y981" s="1196"/>
      <c r="Z981" s="1196"/>
    </row>
    <row r="982" spans="1:26" ht="12.75" customHeight="1">
      <c r="A982" s="1196"/>
      <c r="B982" s="1196"/>
      <c r="C982" s="1196"/>
      <c r="D982" s="1196"/>
      <c r="E982" s="1196"/>
      <c r="F982" s="1196"/>
      <c r="G982" s="1196"/>
      <c r="H982" s="1196"/>
      <c r="I982" s="1196"/>
      <c r="J982" s="1196"/>
      <c r="K982" s="1196"/>
      <c r="L982" s="1196"/>
      <c r="M982" s="1196"/>
      <c r="N982" s="1196"/>
      <c r="O982" s="1196"/>
      <c r="P982" s="1196"/>
      <c r="Q982" s="1196"/>
      <c r="R982" s="1196"/>
      <c r="S982" s="1196"/>
      <c r="T982" s="1196"/>
      <c r="U982" s="1196"/>
      <c r="V982" s="1196"/>
      <c r="W982" s="1196"/>
      <c r="X982" s="1196"/>
      <c r="Y982" s="1196"/>
      <c r="Z982" s="1196"/>
    </row>
    <row r="983" spans="1:26" ht="12.75" customHeight="1">
      <c r="A983" s="1196"/>
      <c r="B983" s="1196"/>
      <c r="C983" s="1196"/>
      <c r="D983" s="1196"/>
      <c r="E983" s="1196"/>
      <c r="F983" s="1196"/>
      <c r="G983" s="1196"/>
      <c r="H983" s="1196"/>
      <c r="I983" s="1196"/>
      <c r="J983" s="1196"/>
      <c r="K983" s="1196"/>
      <c r="L983" s="1196"/>
      <c r="M983" s="1196"/>
      <c r="N983" s="1196"/>
      <c r="O983" s="1196"/>
      <c r="P983" s="1196"/>
      <c r="Q983" s="1196"/>
      <c r="R983" s="1196"/>
      <c r="S983" s="1196"/>
      <c r="T983" s="1196"/>
      <c r="U983" s="1196"/>
      <c r="V983" s="1196"/>
      <c r="W983" s="1196"/>
      <c r="X983" s="1196"/>
      <c r="Y983" s="1196"/>
      <c r="Z983" s="1196"/>
    </row>
    <row r="984" spans="1:26" ht="12.75" customHeight="1">
      <c r="A984" s="1196"/>
      <c r="B984" s="1196"/>
      <c r="C984" s="1196"/>
      <c r="D984" s="1196"/>
      <c r="E984" s="1196"/>
      <c r="F984" s="1196"/>
      <c r="G984" s="1196"/>
      <c r="H984" s="1196"/>
      <c r="I984" s="1196"/>
      <c r="J984" s="1196"/>
      <c r="K984" s="1196"/>
      <c r="L984" s="1196"/>
      <c r="M984" s="1196"/>
      <c r="N984" s="1196"/>
      <c r="O984" s="1196"/>
      <c r="P984" s="1196"/>
      <c r="Q984" s="1196"/>
      <c r="R984" s="1196"/>
      <c r="S984" s="1196"/>
      <c r="T984" s="1196"/>
      <c r="U984" s="1196"/>
      <c r="V984" s="1196"/>
      <c r="W984" s="1196"/>
      <c r="X984" s="1196"/>
      <c r="Y984" s="1196"/>
      <c r="Z984" s="1196"/>
    </row>
    <row r="985" spans="1:26" ht="12.75" customHeight="1">
      <c r="A985" s="1196"/>
      <c r="B985" s="1196"/>
      <c r="C985" s="1196"/>
      <c r="D985" s="1196"/>
      <c r="E985" s="1196"/>
      <c r="F985" s="1196"/>
      <c r="G985" s="1196"/>
      <c r="H985" s="1196"/>
      <c r="I985" s="1196"/>
      <c r="J985" s="1196"/>
      <c r="K985" s="1196"/>
      <c r="L985" s="1196"/>
      <c r="M985" s="1196"/>
      <c r="N985" s="1196"/>
      <c r="O985" s="1196"/>
      <c r="P985" s="1196"/>
      <c r="Q985" s="1196"/>
      <c r="R985" s="1196"/>
      <c r="S985" s="1196"/>
      <c r="T985" s="1196"/>
      <c r="U985" s="1196"/>
      <c r="V985" s="1196"/>
      <c r="W985" s="1196"/>
      <c r="X985" s="1196"/>
      <c r="Y985" s="1196"/>
      <c r="Z985" s="1196"/>
    </row>
    <row r="986" spans="1:26" ht="12.75" customHeight="1">
      <c r="A986" s="1196"/>
      <c r="B986" s="1196"/>
      <c r="C986" s="1196"/>
      <c r="D986" s="1196"/>
      <c r="E986" s="1196"/>
      <c r="F986" s="1196"/>
      <c r="G986" s="1196"/>
      <c r="H986" s="1196"/>
      <c r="I986" s="1196"/>
      <c r="J986" s="1196"/>
      <c r="K986" s="1196"/>
      <c r="L986" s="1196"/>
      <c r="M986" s="1196"/>
      <c r="N986" s="1196"/>
      <c r="O986" s="1196"/>
      <c r="P986" s="1196"/>
      <c r="Q986" s="1196"/>
      <c r="R986" s="1196"/>
      <c r="S986" s="1196"/>
      <c r="T986" s="1196"/>
      <c r="U986" s="1196"/>
      <c r="V986" s="1196"/>
      <c r="W986" s="1196"/>
      <c r="X986" s="1196"/>
      <c r="Y986" s="1196"/>
      <c r="Z986" s="1196"/>
    </row>
    <row r="987" spans="1:26" ht="12.75" customHeight="1">
      <c r="A987" s="1196"/>
      <c r="B987" s="1196"/>
      <c r="C987" s="1196"/>
      <c r="D987" s="1196"/>
      <c r="E987" s="1196"/>
      <c r="F987" s="1196"/>
      <c r="G987" s="1196"/>
      <c r="H987" s="1196"/>
      <c r="I987" s="1196"/>
      <c r="J987" s="1196"/>
      <c r="K987" s="1196"/>
      <c r="L987" s="1196"/>
      <c r="M987" s="1196"/>
      <c r="N987" s="1196"/>
      <c r="O987" s="1196"/>
      <c r="P987" s="1196"/>
      <c r="Q987" s="1196"/>
      <c r="R987" s="1196"/>
      <c r="S987" s="1196"/>
      <c r="T987" s="1196"/>
      <c r="U987" s="1196"/>
      <c r="V987" s="1196"/>
      <c r="W987" s="1196"/>
      <c r="X987" s="1196"/>
      <c r="Y987" s="1196"/>
      <c r="Z987" s="1196"/>
    </row>
    <row r="988" spans="1:26" ht="12.75" customHeight="1">
      <c r="A988" s="1196"/>
      <c r="B988" s="1196"/>
      <c r="C988" s="1196"/>
      <c r="D988" s="1196"/>
      <c r="E988" s="1196"/>
      <c r="F988" s="1196"/>
      <c r="G988" s="1196"/>
      <c r="H988" s="1196"/>
      <c r="I988" s="1196"/>
      <c r="J988" s="1196"/>
      <c r="K988" s="1196"/>
      <c r="L988" s="1196"/>
      <c r="M988" s="1196"/>
      <c r="N988" s="1196"/>
      <c r="O988" s="1196"/>
      <c r="P988" s="1196"/>
      <c r="Q988" s="1196"/>
      <c r="R988" s="1196"/>
      <c r="S988" s="1196"/>
      <c r="T988" s="1196"/>
      <c r="U988" s="1196"/>
      <c r="V988" s="1196"/>
      <c r="W988" s="1196"/>
      <c r="X988" s="1196"/>
      <c r="Y988" s="1196"/>
      <c r="Z988" s="1196"/>
    </row>
    <row r="989" spans="1:26" ht="12.75" customHeight="1">
      <c r="A989" s="1196"/>
      <c r="B989" s="1196"/>
      <c r="C989" s="1196"/>
      <c r="D989" s="1196"/>
      <c r="E989" s="1196"/>
      <c r="F989" s="1196"/>
      <c r="G989" s="1196"/>
      <c r="H989" s="1196"/>
      <c r="I989" s="1196"/>
      <c r="J989" s="1196"/>
      <c r="K989" s="1196"/>
      <c r="L989" s="1196"/>
      <c r="M989" s="1196"/>
      <c r="N989" s="1196"/>
      <c r="O989" s="1196"/>
      <c r="P989" s="1196"/>
      <c r="Q989" s="1196"/>
      <c r="R989" s="1196"/>
      <c r="S989" s="1196"/>
      <c r="T989" s="1196"/>
      <c r="U989" s="1196"/>
      <c r="V989" s="1196"/>
      <c r="W989" s="1196"/>
      <c r="X989" s="1196"/>
      <c r="Y989" s="1196"/>
      <c r="Z989" s="1196"/>
    </row>
    <row r="990" spans="1:26" ht="12.75" customHeight="1">
      <c r="A990" s="1196"/>
      <c r="B990" s="1196"/>
      <c r="C990" s="1196"/>
      <c r="D990" s="1196"/>
      <c r="E990" s="1196"/>
      <c r="F990" s="1196"/>
      <c r="G990" s="1196"/>
      <c r="H990" s="1196"/>
      <c r="I990" s="1196"/>
      <c r="J990" s="1196"/>
      <c r="K990" s="1196"/>
      <c r="L990" s="1196"/>
      <c r="M990" s="1196"/>
      <c r="N990" s="1196"/>
      <c r="O990" s="1196"/>
      <c r="P990" s="1196"/>
      <c r="Q990" s="1196"/>
      <c r="R990" s="1196"/>
      <c r="S990" s="1196"/>
      <c r="T990" s="1196"/>
      <c r="U990" s="1196"/>
      <c r="V990" s="1196"/>
      <c r="W990" s="1196"/>
      <c r="X990" s="1196"/>
      <c r="Y990" s="1196"/>
      <c r="Z990" s="1196"/>
    </row>
    <row r="991" spans="1:26" ht="12.75" customHeight="1">
      <c r="A991" s="1196"/>
      <c r="B991" s="1196"/>
      <c r="C991" s="1196"/>
      <c r="D991" s="1196"/>
      <c r="E991" s="1196"/>
      <c r="F991" s="1196"/>
      <c r="G991" s="1196"/>
      <c r="H991" s="1196"/>
      <c r="I991" s="1196"/>
      <c r="J991" s="1196"/>
      <c r="K991" s="1196"/>
      <c r="L991" s="1196"/>
      <c r="M991" s="1196"/>
      <c r="N991" s="1196"/>
      <c r="O991" s="1196"/>
      <c r="P991" s="1196"/>
      <c r="Q991" s="1196"/>
      <c r="R991" s="1196"/>
      <c r="S991" s="1196"/>
      <c r="T991" s="1196"/>
      <c r="U991" s="1196"/>
      <c r="V991" s="1196"/>
      <c r="W991" s="1196"/>
      <c r="X991" s="1196"/>
      <c r="Y991" s="1196"/>
      <c r="Z991" s="1196"/>
    </row>
    <row r="992" spans="1:26" ht="12.75" customHeight="1">
      <c r="A992" s="1196"/>
      <c r="B992" s="1196"/>
      <c r="C992" s="1196"/>
      <c r="D992" s="1196"/>
      <c r="E992" s="1196"/>
      <c r="F992" s="1196"/>
      <c r="G992" s="1196"/>
      <c r="H992" s="1196"/>
      <c r="I992" s="1196"/>
      <c r="J992" s="1196"/>
      <c r="K992" s="1196"/>
      <c r="L992" s="1196"/>
      <c r="M992" s="1196"/>
      <c r="N992" s="1196"/>
      <c r="O992" s="1196"/>
      <c r="P992" s="1196"/>
      <c r="Q992" s="1196"/>
      <c r="R992" s="1196"/>
      <c r="S992" s="1196"/>
      <c r="T992" s="1196"/>
      <c r="U992" s="1196"/>
      <c r="V992" s="1196"/>
      <c r="W992" s="1196"/>
      <c r="X992" s="1196"/>
      <c r="Y992" s="1196"/>
      <c r="Z992" s="1196"/>
    </row>
    <row r="993" spans="1:26" ht="12.75" customHeight="1">
      <c r="A993" s="1196"/>
      <c r="B993" s="1196"/>
      <c r="C993" s="1196"/>
      <c r="D993" s="1196"/>
      <c r="E993" s="1196"/>
      <c r="F993" s="1196"/>
      <c r="G993" s="1196"/>
      <c r="H993" s="1196"/>
      <c r="I993" s="1196"/>
      <c r="J993" s="1196"/>
      <c r="K993" s="1196"/>
      <c r="L993" s="1196"/>
      <c r="M993" s="1196"/>
      <c r="N993" s="1196"/>
      <c r="O993" s="1196"/>
      <c r="P993" s="1196"/>
      <c r="Q993" s="1196"/>
      <c r="R993" s="1196"/>
      <c r="S993" s="1196"/>
      <c r="T993" s="1196"/>
      <c r="U993" s="1196"/>
      <c r="V993" s="1196"/>
      <c r="W993" s="1196"/>
      <c r="X993" s="1196"/>
      <c r="Y993" s="1196"/>
      <c r="Z993" s="1196"/>
    </row>
    <row r="994" spans="1:26" ht="12.75" customHeight="1">
      <c r="A994" s="1196"/>
      <c r="B994" s="1196"/>
      <c r="C994" s="1196"/>
      <c r="D994" s="1196"/>
      <c r="E994" s="1196"/>
      <c r="F994" s="1196"/>
      <c r="G994" s="1196"/>
      <c r="H994" s="1196"/>
      <c r="I994" s="1196"/>
      <c r="J994" s="1196"/>
      <c r="K994" s="1196"/>
      <c r="L994" s="1196"/>
      <c r="M994" s="1196"/>
      <c r="N994" s="1196"/>
      <c r="O994" s="1196"/>
      <c r="P994" s="1196"/>
      <c r="Q994" s="1196"/>
      <c r="R994" s="1196"/>
      <c r="S994" s="1196"/>
      <c r="T994" s="1196"/>
      <c r="U994" s="1196"/>
      <c r="V994" s="1196"/>
      <c r="W994" s="1196"/>
      <c r="X994" s="1196"/>
      <c r="Y994" s="1196"/>
      <c r="Z994" s="1196"/>
    </row>
    <row r="995" spans="1:26" ht="12.75" customHeight="1">
      <c r="A995" s="1196"/>
      <c r="B995" s="1196"/>
      <c r="C995" s="1196"/>
      <c r="D995" s="1196"/>
      <c r="E995" s="1196"/>
      <c r="F995" s="1196"/>
      <c r="G995" s="1196"/>
      <c r="H995" s="1196"/>
      <c r="I995" s="1196"/>
      <c r="J995" s="1196"/>
      <c r="K995" s="1196"/>
      <c r="L995" s="1196"/>
      <c r="M995" s="1196"/>
      <c r="N995" s="1196"/>
      <c r="O995" s="1196"/>
      <c r="P995" s="1196"/>
      <c r="Q995" s="1196"/>
      <c r="R995" s="1196"/>
      <c r="S995" s="1196"/>
      <c r="T995" s="1196"/>
      <c r="U995" s="1196"/>
      <c r="V995" s="1196"/>
      <c r="W995" s="1196"/>
      <c r="X995" s="1196"/>
      <c r="Y995" s="1196"/>
      <c r="Z995" s="1196"/>
    </row>
    <row r="996" spans="1:26" ht="12.75" customHeight="1">
      <c r="A996" s="1196"/>
      <c r="B996" s="1196"/>
      <c r="C996" s="1196"/>
      <c r="D996" s="1196"/>
      <c r="E996" s="1196"/>
      <c r="F996" s="1196"/>
      <c r="G996" s="1196"/>
      <c r="H996" s="1196"/>
      <c r="I996" s="1196"/>
      <c r="J996" s="1196"/>
      <c r="K996" s="1196"/>
      <c r="L996" s="1196"/>
      <c r="M996" s="1196"/>
      <c r="N996" s="1196"/>
      <c r="O996" s="1196"/>
      <c r="P996" s="1196"/>
      <c r="Q996" s="1196"/>
      <c r="R996" s="1196"/>
      <c r="S996" s="1196"/>
      <c r="T996" s="1196"/>
      <c r="U996" s="1196"/>
      <c r="V996" s="1196"/>
      <c r="W996" s="1196"/>
      <c r="X996" s="1196"/>
      <c r="Y996" s="1196"/>
      <c r="Z996" s="1196"/>
    </row>
    <row r="997" spans="1:26" ht="12.75" customHeight="1">
      <c r="A997" s="1196"/>
      <c r="B997" s="1196"/>
      <c r="C997" s="1196"/>
      <c r="D997" s="1196"/>
      <c r="E997" s="1196"/>
      <c r="F997" s="1196"/>
      <c r="G997" s="1196"/>
      <c r="H997" s="1196"/>
      <c r="I997" s="1196"/>
      <c r="J997" s="1196"/>
      <c r="K997" s="1196"/>
      <c r="L997" s="1196"/>
      <c r="M997" s="1196"/>
      <c r="N997" s="1196"/>
      <c r="O997" s="1196"/>
      <c r="P997" s="1196"/>
      <c r="Q997" s="1196"/>
      <c r="R997" s="1196"/>
      <c r="S997" s="1196"/>
      <c r="T997" s="1196"/>
      <c r="U997" s="1196"/>
      <c r="V997" s="1196"/>
      <c r="W997" s="1196"/>
      <c r="X997" s="1196"/>
      <c r="Y997" s="1196"/>
      <c r="Z997" s="1196"/>
    </row>
    <row r="998" spans="1:26" ht="12.75" customHeight="1">
      <c r="A998" s="1196"/>
      <c r="B998" s="1196"/>
      <c r="C998" s="1196"/>
      <c r="D998" s="1196"/>
      <c r="E998" s="1196"/>
      <c r="F998" s="1196"/>
      <c r="G998" s="1196"/>
      <c r="H998" s="1196"/>
      <c r="I998" s="1196"/>
      <c r="J998" s="1196"/>
      <c r="K998" s="1196"/>
      <c r="L998" s="1196"/>
      <c r="M998" s="1196"/>
      <c r="N998" s="1196"/>
      <c r="O998" s="1196"/>
      <c r="P998" s="1196"/>
      <c r="Q998" s="1196"/>
      <c r="R998" s="1196"/>
      <c r="S998" s="1196"/>
      <c r="T998" s="1196"/>
      <c r="U998" s="1196"/>
      <c r="V998" s="1196"/>
      <c r="W998" s="1196"/>
      <c r="X998" s="1196"/>
      <c r="Y998" s="1196"/>
      <c r="Z998" s="1196"/>
    </row>
  </sheetData>
  <mergeCells count="13">
    <mergeCell ref="J22:L22"/>
    <mergeCell ref="A11:A12"/>
    <mergeCell ref="B11:B12"/>
    <mergeCell ref="C11:C12"/>
    <mergeCell ref="D11:F11"/>
    <mergeCell ref="G11:G12"/>
    <mergeCell ref="B1:L1"/>
    <mergeCell ref="B2:L2"/>
    <mergeCell ref="B4:L4"/>
    <mergeCell ref="B6:L6"/>
    <mergeCell ref="I11:K11"/>
    <mergeCell ref="H11:H12"/>
    <mergeCell ref="L11:L12"/>
  </mergeCells>
  <phoneticPr fontId="3" type="noConversion"/>
  <printOptions horizontalCentered="1" verticalCentered="1"/>
  <pageMargins left="0.23622047244094491" right="0.23622047244094491" top="0.98425196850393704" bottom="0.98425196850393704" header="0" footer="0"/>
  <pageSetup scale="50" orientation="landscape" r:id="rId1"/>
  <headerFooter alignWithMargins="0"/>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039"/>
  <sheetViews>
    <sheetView view="pageBreakPreview" zoomScale="120" zoomScaleNormal="160" zoomScaleSheetLayoutView="120" workbookViewId="0">
      <selection activeCell="D335" sqref="D335"/>
    </sheetView>
  </sheetViews>
  <sheetFormatPr baseColWidth="10" defaultColWidth="14.42578125" defaultRowHeight="15" customHeight="1"/>
  <cols>
    <col min="1" max="6" width="14.7109375" style="1041" customWidth="1"/>
    <col min="7" max="26" width="10" style="1041" customWidth="1"/>
    <col min="27" max="16384" width="14.42578125" style="1041"/>
  </cols>
  <sheetData>
    <row r="1" spans="1:6" ht="23.25" customHeight="1">
      <c r="A1" s="2107" t="s">
        <v>0</v>
      </c>
      <c r="B1" s="2060"/>
      <c r="C1" s="2060"/>
      <c r="D1" s="2060"/>
      <c r="E1" s="2060"/>
      <c r="F1" s="2060"/>
    </row>
    <row r="2" spans="1:6" ht="17.25" customHeight="1">
      <c r="A2" s="1291"/>
      <c r="B2" s="1291"/>
      <c r="C2" s="1291"/>
      <c r="D2" s="1291"/>
      <c r="E2" s="1291"/>
      <c r="F2" s="1291"/>
    </row>
    <row r="3" spans="1:6" ht="18" customHeight="1">
      <c r="A3" s="2108" t="s">
        <v>833</v>
      </c>
      <c r="B3" s="2060"/>
      <c r="C3" s="2060"/>
      <c r="D3" s="2060"/>
      <c r="E3" s="2060"/>
      <c r="F3" s="2060"/>
    </row>
    <row r="4" spans="1:6" ht="12.75" customHeight="1">
      <c r="B4" s="1036"/>
      <c r="C4" s="1292"/>
      <c r="D4" s="1292"/>
      <c r="E4" s="1059"/>
      <c r="F4" s="1059"/>
    </row>
    <row r="5" spans="1:6" ht="12.75" customHeight="1">
      <c r="B5" s="1058"/>
      <c r="C5" s="1293"/>
      <c r="D5" s="1292"/>
      <c r="E5" s="1059"/>
      <c r="F5" s="1059"/>
    </row>
    <row r="6" spans="1:6" ht="12.75" customHeight="1">
      <c r="B6" s="1036"/>
      <c r="C6" s="1292"/>
      <c r="D6" s="1292"/>
      <c r="E6" s="1059"/>
      <c r="F6" s="1059"/>
    </row>
    <row r="7" spans="1:6" ht="20.25" customHeight="1">
      <c r="A7" s="2357" t="s">
        <v>1323</v>
      </c>
      <c r="B7" s="2060"/>
      <c r="C7" s="2060"/>
      <c r="D7" s="2060"/>
      <c r="E7" s="2060"/>
      <c r="F7" s="2060"/>
    </row>
    <row r="8" spans="1:6" ht="12.75" customHeight="1">
      <c r="B8" s="1036"/>
      <c r="C8" s="1292"/>
      <c r="D8" s="1292"/>
      <c r="E8" s="1059"/>
      <c r="F8" s="1059"/>
    </row>
    <row r="9" spans="1:6" ht="12.75" customHeight="1">
      <c r="A9" s="1175" t="s">
        <v>147</v>
      </c>
      <c r="B9" s="1294"/>
      <c r="C9" s="1176" t="s">
        <v>1120</v>
      </c>
      <c r="D9" s="1176"/>
      <c r="E9" s="1176"/>
    </row>
    <row r="10" spans="1:6" ht="12.75" customHeight="1">
      <c r="A10" s="1175"/>
      <c r="B10" s="1294"/>
    </row>
    <row r="11" spans="1:6" ht="12.75" customHeight="1">
      <c r="A11" s="2356" t="str">
        <f>+'ACC. OCT'!H8</f>
        <v>TRIMESTRE EVALUADO:</v>
      </c>
      <c r="B11" s="2356"/>
      <c r="C11" s="2356"/>
      <c r="D11" s="1732" t="str">
        <f>+'ACC. OCT'!I8</f>
        <v>OCTUBRE - DICIEMBRE DEL 2020</v>
      </c>
      <c r="E11" s="1732"/>
      <c r="F11" s="1732"/>
    </row>
    <row r="12" spans="1:6" ht="13.5" customHeight="1" thickBot="1"/>
    <row r="13" spans="1:6" ht="12.75" customHeight="1">
      <c r="A13" s="1295"/>
      <c r="B13" s="1296"/>
      <c r="C13" s="1296"/>
      <c r="D13" s="1296"/>
      <c r="E13" s="1296"/>
      <c r="F13" s="1297"/>
    </row>
    <row r="14" spans="1:6" ht="12.75" customHeight="1">
      <c r="A14" s="1298"/>
      <c r="B14" s="1196"/>
      <c r="C14" s="1196"/>
      <c r="D14" s="1196"/>
      <c r="E14" s="1196"/>
      <c r="F14" s="1299"/>
    </row>
    <row r="15" spans="1:6" ht="12.75" customHeight="1">
      <c r="A15" s="1298"/>
      <c r="B15" s="1196"/>
      <c r="C15" s="1196"/>
      <c r="D15" s="1196"/>
      <c r="E15" s="1196"/>
      <c r="F15" s="1299"/>
    </row>
    <row r="16" spans="1:6" ht="12.75" customHeight="1">
      <c r="A16" s="1298"/>
      <c r="B16" s="1196"/>
      <c r="C16" s="1196"/>
      <c r="D16" s="1196"/>
      <c r="E16" s="1196"/>
      <c r="F16" s="1299"/>
    </row>
    <row r="17" spans="1:6" ht="12.75" customHeight="1">
      <c r="A17" s="1298"/>
      <c r="B17" s="1196"/>
      <c r="C17" s="1196"/>
      <c r="D17" s="1196"/>
      <c r="E17" s="1196"/>
      <c r="F17" s="1299"/>
    </row>
    <row r="18" spans="1:6" ht="12.75" customHeight="1">
      <c r="A18" s="1298"/>
      <c r="B18" s="1196"/>
      <c r="C18" s="1196"/>
      <c r="D18" s="1196"/>
      <c r="E18" s="1196"/>
      <c r="F18" s="1299"/>
    </row>
    <row r="19" spans="1:6" ht="12.75" customHeight="1">
      <c r="A19" s="1298"/>
      <c r="B19" s="1196"/>
      <c r="C19" s="1196"/>
      <c r="D19" s="1196"/>
      <c r="E19" s="1196"/>
      <c r="F19" s="1299"/>
    </row>
    <row r="20" spans="1:6" ht="12.75" customHeight="1">
      <c r="A20" s="1298"/>
      <c r="B20" s="1196"/>
      <c r="C20" s="1196"/>
      <c r="D20" s="1196"/>
      <c r="E20" s="1196"/>
      <c r="F20" s="1299"/>
    </row>
    <row r="21" spans="1:6" ht="12.75" customHeight="1">
      <c r="A21" s="1298"/>
      <c r="B21" s="1196"/>
      <c r="C21" s="1196"/>
      <c r="D21" s="1196"/>
      <c r="E21" s="1196"/>
      <c r="F21" s="1299"/>
    </row>
    <row r="22" spans="1:6" ht="12.75" customHeight="1">
      <c r="A22" s="1298"/>
      <c r="B22" s="1196"/>
      <c r="C22" s="1196"/>
      <c r="D22" s="1196"/>
      <c r="E22" s="1196"/>
      <c r="F22" s="1299"/>
    </row>
    <row r="23" spans="1:6" ht="12.75" customHeight="1">
      <c r="A23" s="1298"/>
      <c r="B23" s="1196"/>
      <c r="C23" s="1196"/>
      <c r="D23" s="1196"/>
      <c r="E23" s="1196"/>
      <c r="F23" s="1299"/>
    </row>
    <row r="24" spans="1:6" ht="12.75" customHeight="1">
      <c r="A24" s="1298"/>
      <c r="B24" s="1196"/>
      <c r="C24" s="1196"/>
      <c r="D24" s="1196"/>
      <c r="E24" s="1196"/>
      <c r="F24" s="1299"/>
    </row>
    <row r="25" spans="1:6" ht="12.75" customHeight="1">
      <c r="A25" s="1298"/>
      <c r="B25" s="1196"/>
      <c r="C25" s="1196"/>
      <c r="D25" s="1196"/>
      <c r="E25" s="1196"/>
      <c r="F25" s="1299"/>
    </row>
    <row r="26" spans="1:6" ht="12.75" customHeight="1">
      <c r="A26" s="1298"/>
      <c r="B26" s="1196"/>
      <c r="C26" s="1196"/>
      <c r="D26" s="1196"/>
      <c r="E26" s="1196"/>
      <c r="F26" s="1299"/>
    </row>
    <row r="27" spans="1:6" ht="12.75" customHeight="1">
      <c r="A27" s="2363" t="s">
        <v>1485</v>
      </c>
      <c r="B27" s="2364"/>
      <c r="C27" s="2364"/>
      <c r="D27" s="2369" t="s">
        <v>1486</v>
      </c>
      <c r="E27" s="2369"/>
      <c r="F27" s="2370"/>
    </row>
    <row r="28" spans="1:6" s="1527" customFormat="1" ht="12.75" customHeight="1">
      <c r="A28" s="2363"/>
      <c r="B28" s="2364"/>
      <c r="C28" s="2364"/>
      <c r="D28" s="2369"/>
      <c r="E28" s="2369"/>
      <c r="F28" s="2370"/>
    </row>
    <row r="29" spans="1:6" ht="12.75" customHeight="1">
      <c r="A29" s="1298"/>
      <c r="B29" s="1196"/>
      <c r="C29" s="1196"/>
      <c r="D29" s="1196"/>
      <c r="E29" s="1196"/>
      <c r="F29" s="1299"/>
    </row>
    <row r="30" spans="1:6" ht="12.75" customHeight="1">
      <c r="A30" s="1298"/>
      <c r="B30" s="1196"/>
      <c r="C30" s="1196"/>
      <c r="D30" s="1196"/>
      <c r="E30" s="1196"/>
      <c r="F30" s="1299"/>
    </row>
    <row r="31" spans="1:6" ht="12.75" customHeight="1">
      <c r="A31" s="1298"/>
      <c r="B31" s="1196"/>
      <c r="C31" s="1196"/>
      <c r="D31" s="1196"/>
      <c r="E31" s="1196"/>
      <c r="F31" s="1299"/>
    </row>
    <row r="32" spans="1:6" ht="12.75" customHeight="1">
      <c r="A32" s="1298"/>
      <c r="B32" s="1196"/>
      <c r="C32" s="1196"/>
      <c r="D32" s="1196"/>
      <c r="E32" s="1196"/>
      <c r="F32" s="1299"/>
    </row>
    <row r="33" spans="1:6" ht="12.75" customHeight="1">
      <c r="A33" s="1298"/>
      <c r="B33" s="1196"/>
      <c r="C33" s="1196"/>
      <c r="D33" s="1196"/>
      <c r="E33" s="1196"/>
      <c r="F33" s="1299"/>
    </row>
    <row r="34" spans="1:6" ht="12.75" customHeight="1">
      <c r="A34" s="1298"/>
      <c r="B34" s="1196"/>
      <c r="C34" s="1196"/>
      <c r="D34" s="1196"/>
      <c r="E34" s="1196"/>
      <c r="F34" s="1299"/>
    </row>
    <row r="35" spans="1:6" ht="12.75" customHeight="1">
      <c r="A35" s="1298"/>
      <c r="B35" s="1196"/>
      <c r="C35" s="1196"/>
      <c r="D35" s="1196"/>
      <c r="E35" s="1196"/>
      <c r="F35" s="1299"/>
    </row>
    <row r="36" spans="1:6" ht="12.75" customHeight="1">
      <c r="A36" s="1298"/>
      <c r="B36" s="1196"/>
      <c r="C36" s="1196"/>
      <c r="D36" s="1196"/>
      <c r="E36" s="1196"/>
      <c r="F36" s="1299"/>
    </row>
    <row r="37" spans="1:6" ht="12.75" customHeight="1">
      <c r="A37" s="1298"/>
      <c r="B37" s="1196"/>
      <c r="C37" s="1196"/>
      <c r="D37" s="1196"/>
      <c r="F37" s="1299"/>
    </row>
    <row r="38" spans="1:6" ht="12.75" customHeight="1">
      <c r="A38" s="1298"/>
      <c r="B38" s="1196"/>
      <c r="C38" s="1196"/>
      <c r="D38" s="1196"/>
      <c r="E38" s="1196"/>
      <c r="F38" s="1299"/>
    </row>
    <row r="39" spans="1:6" ht="12.75" customHeight="1">
      <c r="A39" s="1298"/>
      <c r="B39" s="1196"/>
      <c r="C39" s="1196"/>
      <c r="D39" s="1196"/>
      <c r="E39" s="1196"/>
      <c r="F39" s="1299"/>
    </row>
    <row r="40" spans="1:6" ht="12.75" customHeight="1">
      <c r="A40" s="1298"/>
      <c r="B40" s="1196"/>
      <c r="C40" s="1196"/>
      <c r="D40" s="1196"/>
      <c r="E40" s="1196"/>
      <c r="F40" s="1299"/>
    </row>
    <row r="41" spans="1:6" ht="12.75" customHeight="1">
      <c r="A41" s="1298"/>
      <c r="B41" s="1196"/>
      <c r="C41" s="1196"/>
      <c r="D41" s="1196"/>
      <c r="E41" s="1196"/>
      <c r="F41" s="1299"/>
    </row>
    <row r="42" spans="1:6" ht="12.75" customHeight="1">
      <c r="A42" s="1298"/>
      <c r="B42" s="1196"/>
      <c r="C42" s="1196"/>
      <c r="D42" s="1196"/>
      <c r="E42" s="1196"/>
      <c r="F42" s="1299"/>
    </row>
    <row r="43" spans="1:6" ht="12.75" customHeight="1">
      <c r="A43" s="2351" t="s">
        <v>1487</v>
      </c>
      <c r="B43" s="2352"/>
      <c r="C43" s="2352"/>
      <c r="D43" s="2354" t="s">
        <v>1488</v>
      </c>
      <c r="E43" s="2354"/>
      <c r="F43" s="2355"/>
    </row>
    <row r="44" spans="1:6" ht="12.75" customHeight="1">
      <c r="A44" s="2351"/>
      <c r="B44" s="2352"/>
      <c r="C44" s="2352"/>
      <c r="D44" s="2354"/>
      <c r="E44" s="2354"/>
      <c r="F44" s="2355"/>
    </row>
    <row r="45" spans="1:6" ht="12.75" customHeight="1">
      <c r="A45" s="1298"/>
      <c r="B45" s="1196"/>
      <c r="C45" s="1196"/>
      <c r="D45" s="1196"/>
      <c r="E45" s="1196"/>
      <c r="F45" s="1299"/>
    </row>
    <row r="46" spans="1:6" ht="12.75" customHeight="1">
      <c r="A46" s="1298"/>
      <c r="B46" s="1196"/>
      <c r="C46" s="1196"/>
      <c r="D46" s="1196"/>
      <c r="E46" s="1196"/>
      <c r="F46" s="1299"/>
    </row>
    <row r="47" spans="1:6" ht="12.75" customHeight="1">
      <c r="A47" s="1298"/>
      <c r="B47" s="1196"/>
      <c r="C47" s="1196"/>
      <c r="D47" s="1196"/>
      <c r="E47" s="1196"/>
      <c r="F47" s="1299"/>
    </row>
    <row r="48" spans="1:6" ht="12.75" customHeight="1">
      <c r="A48" s="1298"/>
      <c r="B48" s="1196"/>
      <c r="C48" s="1196"/>
      <c r="D48" s="1196"/>
      <c r="E48" s="1196"/>
      <c r="F48" s="1299"/>
    </row>
    <row r="49" spans="1:6" ht="12.75" customHeight="1">
      <c r="A49" s="1298"/>
      <c r="B49" s="1196"/>
      <c r="C49" s="1196"/>
      <c r="D49" s="1196"/>
      <c r="E49" s="1196"/>
      <c r="F49" s="1299"/>
    </row>
    <row r="50" spans="1:6" ht="12.75" customHeight="1">
      <c r="A50" s="1298"/>
      <c r="B50" s="1196"/>
      <c r="C50" s="1196"/>
      <c r="D50" s="1196"/>
      <c r="E50" s="1196"/>
      <c r="F50" s="1299"/>
    </row>
    <row r="51" spans="1:6" ht="12.75" customHeight="1">
      <c r="A51" s="1298"/>
      <c r="B51" s="1196"/>
      <c r="C51" s="1196"/>
      <c r="D51" s="1196"/>
      <c r="E51" s="1196"/>
      <c r="F51" s="1299"/>
    </row>
    <row r="52" spans="1:6" ht="12.75" customHeight="1">
      <c r="A52" s="1298"/>
      <c r="B52" s="1196"/>
      <c r="C52" s="1196"/>
      <c r="D52" s="1196"/>
      <c r="E52" s="1196"/>
      <c r="F52" s="1299"/>
    </row>
    <row r="53" spans="1:6" ht="12.75" customHeight="1">
      <c r="A53" s="1298"/>
      <c r="B53" s="1196"/>
      <c r="C53" s="1196"/>
      <c r="D53" s="1196"/>
      <c r="E53" s="1196"/>
      <c r="F53" s="1299"/>
    </row>
    <row r="54" spans="1:6" ht="12.75" customHeight="1">
      <c r="A54" s="1298"/>
      <c r="B54" s="1196"/>
      <c r="C54" s="1196"/>
      <c r="D54" s="1196"/>
      <c r="E54" s="1196"/>
      <c r="F54" s="1299"/>
    </row>
    <row r="55" spans="1:6" ht="12.75" customHeight="1">
      <c r="A55" s="1298"/>
      <c r="B55" s="1196"/>
      <c r="C55" s="1196"/>
      <c r="D55" s="1196"/>
      <c r="E55" s="1196"/>
      <c r="F55" s="1299"/>
    </row>
    <row r="56" spans="1:6" ht="12.75" customHeight="1">
      <c r="A56" s="1298"/>
      <c r="B56" s="1196"/>
      <c r="C56" s="1196"/>
      <c r="D56" s="1196"/>
      <c r="E56" s="1196"/>
      <c r="F56" s="1299"/>
    </row>
    <row r="57" spans="1:6" ht="12.75" customHeight="1">
      <c r="A57" s="1298"/>
      <c r="B57" s="1196"/>
      <c r="C57" s="1196"/>
      <c r="D57" s="1196"/>
      <c r="E57" s="1196"/>
      <c r="F57" s="1299"/>
    </row>
    <row r="58" spans="1:6" ht="12.75" customHeight="1">
      <c r="A58" s="1298"/>
      <c r="B58" s="1196"/>
      <c r="C58" s="1196"/>
      <c r="D58" s="1196"/>
      <c r="E58" s="1196"/>
      <c r="F58" s="1299"/>
    </row>
    <row r="59" spans="1:6" ht="12.75" customHeight="1">
      <c r="A59" s="2351" t="s">
        <v>1490</v>
      </c>
      <c r="B59" s="2352"/>
      <c r="C59" s="2352"/>
      <c r="D59" s="2360" t="s">
        <v>1489</v>
      </c>
      <c r="E59" s="2360"/>
      <c r="F59" s="2361"/>
    </row>
    <row r="60" spans="1:6" ht="12.75" customHeight="1">
      <c r="A60" s="2351"/>
      <c r="B60" s="2352"/>
      <c r="C60" s="2352"/>
      <c r="D60" s="2360"/>
      <c r="E60" s="2360"/>
      <c r="F60" s="2361"/>
    </row>
    <row r="61" spans="1:6" ht="12.75" customHeight="1">
      <c r="A61" s="1298"/>
      <c r="B61" s="1196"/>
      <c r="C61" s="1196"/>
      <c r="D61" s="1196"/>
      <c r="E61" s="1196"/>
      <c r="F61" s="1299"/>
    </row>
    <row r="62" spans="1:6" ht="12.75" customHeight="1">
      <c r="A62" s="1298"/>
      <c r="B62" s="1196"/>
      <c r="C62" s="1196"/>
      <c r="D62" s="1196"/>
      <c r="E62" s="1196"/>
      <c r="F62" s="1299"/>
    </row>
    <row r="63" spans="1:6" ht="12.75" customHeight="1">
      <c r="A63" s="1298"/>
      <c r="B63" s="1196"/>
      <c r="C63" s="1196"/>
      <c r="D63" s="1196"/>
      <c r="E63" s="1196"/>
      <c r="F63" s="1299"/>
    </row>
    <row r="64" spans="1:6" ht="12.75" customHeight="1">
      <c r="A64" s="1298"/>
      <c r="B64" s="1196"/>
      <c r="C64" s="1196"/>
      <c r="D64" s="1196"/>
      <c r="E64" s="1196"/>
      <c r="F64" s="1299"/>
    </row>
    <row r="65" spans="1:6" ht="12.75" customHeight="1">
      <c r="A65" s="1298"/>
      <c r="B65" s="1196"/>
      <c r="C65" s="1196"/>
      <c r="D65" s="1196"/>
      <c r="E65" s="1196"/>
      <c r="F65" s="1299"/>
    </row>
    <row r="66" spans="1:6" ht="12.75" customHeight="1">
      <c r="A66" s="1298"/>
      <c r="B66" s="1196"/>
      <c r="C66" s="1196"/>
      <c r="D66" s="1196"/>
      <c r="E66" s="1196"/>
      <c r="F66" s="1299"/>
    </row>
    <row r="67" spans="1:6" ht="12.75" customHeight="1">
      <c r="A67" s="1298"/>
      <c r="B67" s="1196"/>
      <c r="C67" s="1196"/>
      <c r="D67" s="1196"/>
      <c r="E67" s="1196"/>
      <c r="F67" s="1299"/>
    </row>
    <row r="68" spans="1:6" ht="12.75" customHeight="1">
      <c r="A68" s="1298"/>
      <c r="B68" s="1196"/>
      <c r="C68" s="1196"/>
      <c r="D68" s="1196"/>
      <c r="E68" s="1196"/>
      <c r="F68" s="1299"/>
    </row>
    <row r="69" spans="1:6" ht="12.75" customHeight="1">
      <c r="A69" s="1298"/>
      <c r="B69" s="1196"/>
      <c r="C69" s="1196"/>
      <c r="D69" s="1196"/>
      <c r="E69" s="1196"/>
      <c r="F69" s="1299"/>
    </row>
    <row r="70" spans="1:6" ht="12.75" customHeight="1">
      <c r="A70" s="1298"/>
      <c r="B70" s="1196"/>
      <c r="C70" s="1196"/>
      <c r="D70" s="1196"/>
      <c r="E70" s="1196"/>
      <c r="F70" s="1299"/>
    </row>
    <row r="71" spans="1:6" ht="12.75" customHeight="1">
      <c r="A71" s="1298"/>
      <c r="B71" s="1196"/>
      <c r="C71" s="1196"/>
      <c r="D71" s="1196"/>
      <c r="E71" s="1196"/>
      <c r="F71" s="1299"/>
    </row>
    <row r="72" spans="1:6" ht="12.75" customHeight="1">
      <c r="A72" s="1298"/>
      <c r="B72" s="1196"/>
      <c r="C72" s="1196"/>
      <c r="D72" s="1196"/>
      <c r="E72" s="1196"/>
      <c r="F72" s="1299"/>
    </row>
    <row r="73" spans="1:6" ht="12.75" customHeight="1">
      <c r="A73" s="1298"/>
      <c r="B73" s="1196"/>
      <c r="C73" s="1196"/>
      <c r="D73" s="1196"/>
      <c r="E73" s="1196"/>
      <c r="F73" s="1299"/>
    </row>
    <row r="74" spans="1:6" ht="12.75" customHeight="1">
      <c r="A74" s="1298"/>
      <c r="B74" s="1196"/>
      <c r="C74" s="1196"/>
      <c r="D74" s="1196"/>
      <c r="E74" s="1196"/>
      <c r="F74" s="1299"/>
    </row>
    <row r="75" spans="1:6" ht="12.75" customHeight="1">
      <c r="A75" s="2351" t="s">
        <v>1491</v>
      </c>
      <c r="B75" s="2352"/>
      <c r="C75" s="2352"/>
      <c r="D75" s="2354" t="s">
        <v>1492</v>
      </c>
      <c r="E75" s="2354"/>
      <c r="F75" s="2355"/>
    </row>
    <row r="76" spans="1:6" ht="12.75" customHeight="1">
      <c r="A76" s="2351"/>
      <c r="B76" s="2352"/>
      <c r="C76" s="2352"/>
      <c r="D76" s="2354"/>
      <c r="E76" s="2354"/>
      <c r="F76" s="2355"/>
    </row>
    <row r="77" spans="1:6" ht="12.75" customHeight="1">
      <c r="A77" s="1298"/>
      <c r="B77" s="1196"/>
      <c r="C77" s="1196"/>
      <c r="D77" s="1196"/>
      <c r="E77" s="1196"/>
      <c r="F77" s="1299"/>
    </row>
    <row r="78" spans="1:6" ht="12.75" customHeight="1">
      <c r="A78" s="1298"/>
      <c r="B78" s="1196"/>
      <c r="C78" s="1196"/>
      <c r="D78" s="1196"/>
      <c r="E78" s="1196"/>
      <c r="F78" s="1299"/>
    </row>
    <row r="79" spans="1:6" ht="12.75" customHeight="1">
      <c r="A79" s="1298"/>
      <c r="B79" s="1196"/>
      <c r="C79" s="1196"/>
      <c r="D79" s="1196"/>
      <c r="E79" s="1196"/>
      <c r="F79" s="1299"/>
    </row>
    <row r="80" spans="1:6" ht="12.75" customHeight="1">
      <c r="A80" s="1298"/>
      <c r="B80" s="1196"/>
      <c r="C80" s="1196"/>
      <c r="D80" s="1196"/>
      <c r="E80" s="1196"/>
      <c r="F80" s="1299"/>
    </row>
    <row r="81" spans="1:6" ht="12.75" customHeight="1">
      <c r="A81" s="1298"/>
      <c r="B81" s="1196"/>
      <c r="C81" s="1196"/>
      <c r="D81" s="1196"/>
      <c r="E81" s="1196"/>
      <c r="F81" s="1299"/>
    </row>
    <row r="82" spans="1:6" ht="12.75" customHeight="1">
      <c r="A82" s="1298"/>
      <c r="B82" s="1196"/>
      <c r="C82" s="1196"/>
      <c r="D82" s="1196"/>
      <c r="E82" s="1196"/>
      <c r="F82" s="1299"/>
    </row>
    <row r="83" spans="1:6" ht="12.75" customHeight="1">
      <c r="A83" s="1298"/>
      <c r="B83" s="1196"/>
      <c r="C83" s="1196"/>
      <c r="D83" s="1196"/>
      <c r="E83" s="1196"/>
      <c r="F83" s="1299"/>
    </row>
    <row r="84" spans="1:6" ht="12.75" customHeight="1">
      <c r="A84" s="1298"/>
      <c r="B84" s="1196"/>
      <c r="C84" s="1196"/>
      <c r="D84" s="1196"/>
      <c r="E84" s="1196"/>
      <c r="F84" s="1299"/>
    </row>
    <row r="85" spans="1:6" ht="12.75" customHeight="1">
      <c r="A85" s="1298"/>
      <c r="B85" s="1196"/>
      <c r="C85" s="1196"/>
      <c r="D85" s="1196"/>
      <c r="E85" s="1196"/>
      <c r="F85" s="1299"/>
    </row>
    <row r="86" spans="1:6" ht="12.75" customHeight="1">
      <c r="A86" s="1298"/>
      <c r="B86" s="1196"/>
      <c r="C86" s="1196"/>
      <c r="D86" s="1196"/>
      <c r="E86" s="1196"/>
      <c r="F86" s="1299"/>
    </row>
    <row r="87" spans="1:6" ht="12.75" customHeight="1">
      <c r="A87" s="1298"/>
      <c r="B87" s="1196"/>
      <c r="C87" s="1196"/>
      <c r="D87" s="1196"/>
      <c r="E87" s="1196"/>
      <c r="F87" s="1299"/>
    </row>
    <row r="88" spans="1:6" ht="12.75" customHeight="1">
      <c r="A88" s="1298"/>
      <c r="B88" s="1196"/>
      <c r="C88" s="1196"/>
      <c r="D88" s="1196"/>
      <c r="E88" s="1196"/>
      <c r="F88" s="1299"/>
    </row>
    <row r="89" spans="1:6" ht="12.75" customHeight="1">
      <c r="A89" s="1298"/>
      <c r="B89" s="1196"/>
      <c r="C89" s="1196"/>
      <c r="D89" s="1196"/>
      <c r="E89" s="1196"/>
      <c r="F89" s="1299"/>
    </row>
    <row r="90" spans="1:6" ht="12.75" customHeight="1">
      <c r="A90" s="1298"/>
      <c r="B90" s="1196"/>
      <c r="C90" s="1196"/>
      <c r="D90" s="1196"/>
      <c r="E90" s="1196"/>
      <c r="F90" s="1299"/>
    </row>
    <row r="91" spans="1:6" ht="12.75" customHeight="1">
      <c r="A91" s="1298"/>
      <c r="B91" s="1196"/>
      <c r="C91" s="1196"/>
      <c r="D91" s="1196"/>
      <c r="E91" s="1196"/>
      <c r="F91" s="1299"/>
    </row>
    <row r="92" spans="1:6" ht="12.75" customHeight="1">
      <c r="A92" s="2351" t="s">
        <v>1493</v>
      </c>
      <c r="B92" s="2352"/>
      <c r="C92" s="2352"/>
      <c r="D92" s="2354" t="s">
        <v>1494</v>
      </c>
      <c r="E92" s="2354"/>
      <c r="F92" s="2355"/>
    </row>
    <row r="93" spans="1:6" ht="12.75" customHeight="1">
      <c r="A93" s="2351"/>
      <c r="B93" s="2352"/>
      <c r="C93" s="2352"/>
      <c r="D93" s="2354"/>
      <c r="E93" s="2354"/>
      <c r="F93" s="2355"/>
    </row>
    <row r="94" spans="1:6" ht="12.75" customHeight="1">
      <c r="A94" s="1298"/>
      <c r="B94" s="1196"/>
      <c r="C94" s="1196"/>
      <c r="D94" s="1196"/>
      <c r="E94" s="1196"/>
      <c r="F94" s="1299"/>
    </row>
    <row r="95" spans="1:6" ht="12.75" customHeight="1">
      <c r="A95" s="1298"/>
      <c r="B95" s="1196"/>
      <c r="C95" s="1196"/>
      <c r="D95" s="1196"/>
      <c r="E95" s="1196"/>
      <c r="F95" s="1299"/>
    </row>
    <row r="96" spans="1:6" ht="12.75" customHeight="1">
      <c r="A96" s="1298"/>
      <c r="B96" s="1196"/>
      <c r="C96" s="1196"/>
      <c r="D96" s="1196"/>
      <c r="E96" s="1196"/>
      <c r="F96" s="1299"/>
    </row>
    <row r="97" spans="1:6" ht="12.75" customHeight="1">
      <c r="A97" s="1298"/>
      <c r="B97" s="1196"/>
      <c r="C97" s="1196"/>
      <c r="D97" s="1196"/>
      <c r="E97" s="1196"/>
      <c r="F97" s="1299"/>
    </row>
    <row r="98" spans="1:6" ht="12.75" customHeight="1">
      <c r="A98" s="1298"/>
      <c r="B98" s="1196"/>
      <c r="C98" s="1196"/>
      <c r="D98" s="1196"/>
      <c r="E98" s="1196"/>
      <c r="F98" s="1299"/>
    </row>
    <row r="99" spans="1:6" ht="12.75" customHeight="1">
      <c r="A99" s="1298"/>
      <c r="B99" s="1196"/>
      <c r="C99" s="1196"/>
      <c r="D99" s="1196"/>
      <c r="E99" s="1196"/>
      <c r="F99" s="1299"/>
    </row>
    <row r="100" spans="1:6" ht="12.75" customHeight="1">
      <c r="A100" s="1298"/>
      <c r="B100" s="1196"/>
      <c r="C100" s="1196"/>
      <c r="D100" s="1196"/>
      <c r="E100" s="1196"/>
      <c r="F100" s="1299"/>
    </row>
    <row r="101" spans="1:6" ht="12.75" customHeight="1">
      <c r="A101" s="1298"/>
      <c r="B101" s="1196"/>
      <c r="C101" s="1196"/>
      <c r="D101" s="1196"/>
      <c r="E101" s="1196"/>
      <c r="F101" s="1299"/>
    </row>
    <row r="102" spans="1:6" ht="12.75" customHeight="1">
      <c r="A102" s="1298"/>
      <c r="B102" s="1196"/>
      <c r="C102" s="1196"/>
      <c r="D102" s="1196"/>
      <c r="E102" s="1196"/>
      <c r="F102" s="1299"/>
    </row>
    <row r="103" spans="1:6" ht="12.75" customHeight="1">
      <c r="A103" s="1298"/>
      <c r="B103" s="1196"/>
      <c r="C103" s="1196"/>
      <c r="D103" s="1196"/>
      <c r="E103" s="1196"/>
      <c r="F103" s="1299"/>
    </row>
    <row r="104" spans="1:6" ht="12.75" customHeight="1">
      <c r="A104" s="1298"/>
      <c r="B104" s="1196"/>
      <c r="C104" s="1196"/>
      <c r="D104" s="1196"/>
      <c r="E104" s="1196"/>
      <c r="F104" s="1299"/>
    </row>
    <row r="105" spans="1:6" ht="12.75" customHeight="1">
      <c r="A105" s="1298"/>
      <c r="B105" s="1196"/>
      <c r="C105" s="1196"/>
      <c r="D105" s="1196"/>
      <c r="E105" s="1196"/>
      <c r="F105" s="1299"/>
    </row>
    <row r="106" spans="1:6" ht="12.75" customHeight="1">
      <c r="A106" s="1298"/>
      <c r="B106" s="1196"/>
      <c r="C106" s="1196"/>
      <c r="D106" s="1196"/>
      <c r="E106" s="1196"/>
      <c r="F106" s="1299"/>
    </row>
    <row r="107" spans="1:6" ht="12.75" customHeight="1">
      <c r="A107" s="1298"/>
      <c r="B107" s="1196"/>
      <c r="C107" s="1196"/>
      <c r="D107" s="1196"/>
      <c r="E107" s="1196"/>
      <c r="F107" s="1299"/>
    </row>
    <row r="108" spans="1:6" ht="12.75" customHeight="1">
      <c r="A108" s="2351" t="s">
        <v>1495</v>
      </c>
      <c r="B108" s="2352"/>
      <c r="C108" s="2352"/>
      <c r="D108" s="2352" t="s">
        <v>1496</v>
      </c>
      <c r="E108" s="2352"/>
      <c r="F108" s="2352"/>
    </row>
    <row r="109" spans="1:6" ht="12.75" customHeight="1">
      <c r="A109" s="2351"/>
      <c r="B109" s="2352"/>
      <c r="C109" s="2352"/>
      <c r="D109" s="2352"/>
      <c r="E109" s="2352"/>
      <c r="F109" s="2352"/>
    </row>
    <row r="110" spans="1:6" ht="12.75" customHeight="1">
      <c r="A110" s="1298"/>
      <c r="B110" s="1196"/>
      <c r="C110" s="1196"/>
      <c r="D110" s="1196"/>
      <c r="E110" s="1196"/>
      <c r="F110" s="1299"/>
    </row>
    <row r="111" spans="1:6" ht="12.75" customHeight="1">
      <c r="A111" s="1298"/>
      <c r="B111" s="1196"/>
      <c r="C111" s="1196"/>
      <c r="D111" s="1196"/>
      <c r="E111" s="1196"/>
      <c r="F111" s="1299"/>
    </row>
    <row r="112" spans="1:6" ht="12.75" customHeight="1">
      <c r="A112" s="1298"/>
      <c r="B112" s="1196"/>
      <c r="C112" s="1196"/>
      <c r="D112" s="1196"/>
      <c r="E112" s="1196"/>
      <c r="F112" s="1299"/>
    </row>
    <row r="113" spans="1:6" ht="12.75" customHeight="1">
      <c r="A113" s="1298"/>
      <c r="B113" s="1196"/>
      <c r="C113" s="1196"/>
      <c r="D113" s="1196"/>
      <c r="E113" s="1196"/>
      <c r="F113" s="1299"/>
    </row>
    <row r="114" spans="1:6" ht="12.75" customHeight="1">
      <c r="A114" s="1298"/>
      <c r="B114" s="1196"/>
      <c r="C114" s="1196"/>
      <c r="D114" s="1196"/>
      <c r="E114" s="1196"/>
      <c r="F114" s="1299"/>
    </row>
    <row r="115" spans="1:6" ht="12.75" customHeight="1">
      <c r="A115" s="1298"/>
      <c r="B115" s="1196"/>
      <c r="C115" s="1196"/>
      <c r="D115" s="1196"/>
      <c r="E115" s="1196"/>
      <c r="F115" s="1299"/>
    </row>
    <row r="116" spans="1:6" ht="12.75" customHeight="1">
      <c r="A116" s="1298"/>
      <c r="B116" s="1196"/>
      <c r="C116" s="1196"/>
      <c r="D116" s="1196"/>
      <c r="E116" s="1196"/>
      <c r="F116" s="1299"/>
    </row>
    <row r="117" spans="1:6" ht="12.75" customHeight="1">
      <c r="A117" s="1298"/>
      <c r="B117" s="1196"/>
      <c r="C117" s="1196"/>
      <c r="D117" s="1196"/>
      <c r="E117" s="1196"/>
      <c r="F117" s="1299"/>
    </row>
    <row r="118" spans="1:6" ht="12.75" customHeight="1">
      <c r="A118" s="1298"/>
      <c r="B118" s="1196"/>
      <c r="C118" s="1196"/>
      <c r="D118" s="1196"/>
      <c r="E118" s="1196"/>
      <c r="F118" s="1299"/>
    </row>
    <row r="119" spans="1:6" ht="12.75" customHeight="1">
      <c r="A119" s="1298"/>
      <c r="B119" s="1196"/>
      <c r="C119" s="1196"/>
      <c r="D119" s="1196"/>
      <c r="E119" s="1196"/>
      <c r="F119" s="1299"/>
    </row>
    <row r="120" spans="1:6" ht="12.75" customHeight="1">
      <c r="A120" s="1298"/>
      <c r="B120" s="1196"/>
      <c r="C120" s="1196"/>
      <c r="D120" s="1196"/>
      <c r="E120" s="1196"/>
      <c r="F120" s="1299"/>
    </row>
    <row r="121" spans="1:6" ht="12.75" customHeight="1">
      <c r="A121" s="1298"/>
      <c r="B121" s="1196"/>
      <c r="C121" s="1196"/>
      <c r="D121" s="1196"/>
      <c r="E121" s="1196"/>
      <c r="F121" s="1299"/>
    </row>
    <row r="122" spans="1:6" ht="12.75" customHeight="1">
      <c r="A122" s="1298"/>
      <c r="B122" s="1196"/>
      <c r="C122" s="1196"/>
      <c r="D122" s="1196"/>
      <c r="E122" s="1196"/>
      <c r="F122" s="1299"/>
    </row>
    <row r="123" spans="1:6" ht="12.75" customHeight="1">
      <c r="A123" s="1298"/>
      <c r="B123" s="1196"/>
      <c r="C123" s="1196"/>
      <c r="D123" s="1196"/>
      <c r="E123" s="1196"/>
      <c r="F123" s="1299"/>
    </row>
    <row r="124" spans="1:6" ht="12.75" customHeight="1">
      <c r="A124" s="2351" t="s">
        <v>1497</v>
      </c>
      <c r="B124" s="2352"/>
      <c r="C124" s="2352"/>
      <c r="D124" s="2354" t="s">
        <v>1498</v>
      </c>
      <c r="E124" s="2354"/>
      <c r="F124" s="2355"/>
    </row>
    <row r="125" spans="1:6" ht="12.75" customHeight="1">
      <c r="A125" s="2351"/>
      <c r="B125" s="2352"/>
      <c r="C125" s="2352"/>
      <c r="D125" s="2354"/>
      <c r="E125" s="2354"/>
      <c r="F125" s="2355"/>
    </row>
    <row r="126" spans="1:6" ht="12.75" customHeight="1">
      <c r="A126" s="1298"/>
      <c r="B126" s="1196"/>
      <c r="C126" s="1196"/>
      <c r="D126" s="1196"/>
      <c r="E126" s="1196"/>
      <c r="F126" s="1299"/>
    </row>
    <row r="127" spans="1:6" ht="12.75" customHeight="1">
      <c r="A127" s="1298"/>
      <c r="B127" s="1196"/>
      <c r="C127" s="1196"/>
      <c r="D127" s="1196"/>
      <c r="E127" s="1196"/>
      <c r="F127" s="1299"/>
    </row>
    <row r="128" spans="1:6" ht="12.75" customHeight="1">
      <c r="A128" s="1298"/>
      <c r="B128" s="1196"/>
      <c r="C128" s="1196"/>
      <c r="D128" s="1196"/>
      <c r="E128" s="1196"/>
      <c r="F128" s="1299"/>
    </row>
    <row r="129" spans="1:6" ht="12.75" customHeight="1">
      <c r="A129" s="1298"/>
      <c r="B129" s="1196"/>
      <c r="C129" s="1196"/>
      <c r="D129" s="1196"/>
      <c r="E129" s="1196"/>
      <c r="F129" s="1299"/>
    </row>
    <row r="130" spans="1:6" ht="12.75" customHeight="1">
      <c r="A130" s="1298"/>
      <c r="B130" s="1196"/>
      <c r="C130" s="1196"/>
      <c r="D130" s="1196"/>
      <c r="E130" s="1196"/>
      <c r="F130" s="1299"/>
    </row>
    <row r="131" spans="1:6" ht="12.75" customHeight="1">
      <c r="A131" s="1298"/>
      <c r="B131" s="1196"/>
      <c r="C131" s="1196"/>
      <c r="D131" s="1196"/>
      <c r="E131" s="1196"/>
      <c r="F131" s="1299"/>
    </row>
    <row r="132" spans="1:6" ht="12.75" customHeight="1">
      <c r="A132" s="1298"/>
      <c r="B132" s="1196"/>
      <c r="C132" s="1196"/>
      <c r="D132" s="1196"/>
      <c r="E132" s="1196"/>
      <c r="F132" s="1299"/>
    </row>
    <row r="133" spans="1:6" ht="12.75" customHeight="1">
      <c r="A133" s="1298"/>
      <c r="B133" s="1196"/>
      <c r="C133" s="1196"/>
      <c r="D133" s="1196"/>
      <c r="E133" s="1196"/>
      <c r="F133" s="1299"/>
    </row>
    <row r="134" spans="1:6" ht="12.75" customHeight="1">
      <c r="A134" s="1298"/>
      <c r="B134" s="1196"/>
      <c r="C134" s="1196"/>
      <c r="D134" s="1196"/>
      <c r="E134" s="1196"/>
      <c r="F134" s="1299"/>
    </row>
    <row r="135" spans="1:6" ht="12.75" customHeight="1">
      <c r="A135" s="1298"/>
      <c r="B135" s="1196"/>
      <c r="C135" s="1196"/>
      <c r="D135" s="1196"/>
      <c r="E135" s="1196"/>
      <c r="F135" s="1299"/>
    </row>
    <row r="136" spans="1:6" ht="12.75" customHeight="1">
      <c r="A136" s="1298"/>
      <c r="B136" s="1196"/>
      <c r="C136" s="1196"/>
      <c r="D136" s="1196"/>
      <c r="E136" s="1196"/>
      <c r="F136" s="1299"/>
    </row>
    <row r="137" spans="1:6" ht="12.75" customHeight="1">
      <c r="A137" s="1298"/>
      <c r="B137" s="1196"/>
      <c r="C137" s="1196"/>
      <c r="D137" s="1196"/>
      <c r="E137" s="1196"/>
      <c r="F137" s="1299"/>
    </row>
    <row r="138" spans="1:6" ht="12.75" customHeight="1">
      <c r="A138" s="1298"/>
      <c r="B138" s="1196"/>
      <c r="C138" s="1196"/>
      <c r="D138" s="1196"/>
      <c r="E138" s="1196"/>
      <c r="F138" s="1299"/>
    </row>
    <row r="139" spans="1:6" ht="12.75" customHeight="1">
      <c r="A139" s="1298"/>
      <c r="B139" s="1196"/>
      <c r="C139" s="1196"/>
      <c r="D139" s="1196"/>
      <c r="E139" s="1196"/>
      <c r="F139" s="1299"/>
    </row>
    <row r="140" spans="1:6" ht="12.75" customHeight="1">
      <c r="A140" s="2358" t="s">
        <v>1499</v>
      </c>
      <c r="B140" s="2359"/>
      <c r="C140" s="2359"/>
      <c r="D140" s="2360" t="s">
        <v>1500</v>
      </c>
      <c r="E140" s="2360"/>
      <c r="F140" s="2361"/>
    </row>
    <row r="141" spans="1:6" s="1527" customFormat="1" ht="12.75" customHeight="1">
      <c r="A141" s="2358"/>
      <c r="B141" s="2359"/>
      <c r="C141" s="2359"/>
      <c r="D141" s="2360"/>
      <c r="E141" s="2360"/>
      <c r="F141" s="2361"/>
    </row>
    <row r="142" spans="1:6" ht="12.75" customHeight="1">
      <c r="A142" s="1298"/>
      <c r="B142" s="1196"/>
      <c r="C142" s="1196"/>
      <c r="D142" s="1196"/>
      <c r="E142" s="1196"/>
      <c r="F142" s="1299"/>
    </row>
    <row r="143" spans="1:6" ht="12.75" customHeight="1">
      <c r="A143" s="1298"/>
      <c r="B143" s="1196"/>
      <c r="C143" s="1196"/>
      <c r="D143" s="1196"/>
      <c r="E143" s="1196"/>
      <c r="F143" s="1299"/>
    </row>
    <row r="144" spans="1:6" ht="12.75" customHeight="1">
      <c r="A144" s="1298"/>
      <c r="B144" s="1196"/>
      <c r="C144" s="1196"/>
      <c r="D144" s="1196"/>
      <c r="E144" s="1196"/>
      <c r="F144" s="1299"/>
    </row>
    <row r="145" spans="1:6" ht="12.75" customHeight="1">
      <c r="A145" s="1298"/>
      <c r="B145" s="1196"/>
      <c r="C145" s="1196"/>
      <c r="D145" s="1196"/>
      <c r="E145" s="1196"/>
      <c r="F145" s="1299"/>
    </row>
    <row r="146" spans="1:6" ht="12.75" customHeight="1">
      <c r="A146" s="1298"/>
      <c r="B146" s="1196"/>
      <c r="C146" s="1196"/>
      <c r="D146" s="1196"/>
      <c r="E146" s="1196"/>
      <c r="F146" s="1299"/>
    </row>
    <row r="147" spans="1:6" ht="12.75" customHeight="1">
      <c r="A147" s="1298"/>
      <c r="B147" s="1196"/>
      <c r="C147" s="1196"/>
      <c r="D147" s="1196"/>
      <c r="E147" s="1196"/>
      <c r="F147" s="1299"/>
    </row>
    <row r="148" spans="1:6" ht="12.75" customHeight="1">
      <c r="A148" s="1298"/>
      <c r="B148" s="1196"/>
      <c r="C148" s="1196"/>
      <c r="D148" s="1196"/>
      <c r="E148" s="1196"/>
      <c r="F148" s="1299"/>
    </row>
    <row r="149" spans="1:6" ht="12.75" customHeight="1">
      <c r="A149" s="1298"/>
      <c r="B149" s="1196"/>
      <c r="C149" s="1196"/>
      <c r="D149" s="1196"/>
      <c r="E149" s="1196"/>
      <c r="F149" s="1299"/>
    </row>
    <row r="150" spans="1:6" ht="12.75" customHeight="1">
      <c r="A150" s="1298"/>
      <c r="B150" s="1196"/>
      <c r="C150" s="1196"/>
      <c r="D150" s="1196"/>
      <c r="E150" s="1196"/>
      <c r="F150" s="1299"/>
    </row>
    <row r="151" spans="1:6" ht="12.75" customHeight="1">
      <c r="A151" s="1298"/>
      <c r="B151" s="1196"/>
      <c r="C151" s="1196"/>
      <c r="D151" s="1196"/>
      <c r="E151" s="1196"/>
      <c r="F151" s="1299"/>
    </row>
    <row r="152" spans="1:6" ht="12.75" customHeight="1">
      <c r="A152" s="1298"/>
      <c r="B152" s="1196"/>
      <c r="C152" s="1196"/>
      <c r="D152" s="1196"/>
      <c r="E152" s="1196"/>
      <c r="F152" s="1299"/>
    </row>
    <row r="153" spans="1:6" ht="12.75" customHeight="1">
      <c r="A153" s="1298"/>
      <c r="B153" s="1196"/>
      <c r="C153" s="1196"/>
      <c r="D153" s="1196"/>
      <c r="E153" s="1196"/>
      <c r="F153" s="1299"/>
    </row>
    <row r="154" spans="1:6" ht="12.75" customHeight="1">
      <c r="A154" s="1298"/>
      <c r="B154" s="1196"/>
      <c r="C154" s="1196"/>
      <c r="D154" s="1196"/>
      <c r="E154" s="1196"/>
      <c r="F154" s="1299"/>
    </row>
    <row r="155" spans="1:6" ht="12.75" customHeight="1">
      <c r="A155" s="1298"/>
      <c r="B155" s="1196"/>
      <c r="C155" s="1196"/>
      <c r="D155" s="1196"/>
      <c r="E155" s="1196"/>
      <c r="F155" s="1299"/>
    </row>
    <row r="156" spans="1:6" ht="12.75" customHeight="1">
      <c r="A156" s="1298"/>
      <c r="B156" s="1196"/>
      <c r="C156" s="1196"/>
      <c r="D156" s="1196"/>
      <c r="E156" s="1196"/>
      <c r="F156" s="1299"/>
    </row>
    <row r="157" spans="1:6" ht="12.75" customHeight="1">
      <c r="A157" s="2351" t="s">
        <v>1501</v>
      </c>
      <c r="B157" s="2352"/>
      <c r="C157" s="2352"/>
      <c r="D157" s="2354" t="s">
        <v>1501</v>
      </c>
      <c r="E157" s="2354"/>
      <c r="F157" s="2355"/>
    </row>
    <row r="158" spans="1:6" ht="12.75" customHeight="1">
      <c r="A158" s="2351"/>
      <c r="B158" s="2352"/>
      <c r="C158" s="2352"/>
      <c r="D158" s="2354"/>
      <c r="E158" s="2354"/>
      <c r="F158" s="2355"/>
    </row>
    <row r="159" spans="1:6" ht="12.75" customHeight="1">
      <c r="A159" s="1298"/>
      <c r="B159" s="1196"/>
      <c r="C159" s="1196"/>
      <c r="D159" s="1196"/>
      <c r="E159" s="1196"/>
      <c r="F159" s="1299"/>
    </row>
    <row r="160" spans="1:6" ht="12.75" customHeight="1">
      <c r="A160" s="1298"/>
      <c r="B160" s="1196"/>
      <c r="C160" s="1196"/>
      <c r="D160" s="1196"/>
      <c r="E160" s="1196"/>
      <c r="F160" s="1299"/>
    </row>
    <row r="161" spans="1:6" ht="12.75" customHeight="1">
      <c r="A161" s="1298"/>
      <c r="B161" s="1196"/>
      <c r="C161" s="1196"/>
      <c r="D161" s="1196"/>
      <c r="E161" s="1196"/>
      <c r="F161" s="1299"/>
    </row>
    <row r="162" spans="1:6" ht="12.75" customHeight="1">
      <c r="A162" s="1298"/>
      <c r="B162" s="1196"/>
      <c r="C162" s="1196"/>
      <c r="D162" s="1196"/>
      <c r="E162" s="1196"/>
      <c r="F162" s="1299"/>
    </row>
    <row r="163" spans="1:6" ht="12.75" customHeight="1">
      <c r="A163" s="1298"/>
      <c r="B163" s="1196"/>
      <c r="C163" s="1196"/>
      <c r="D163" s="1196"/>
      <c r="E163" s="1196"/>
      <c r="F163" s="1299"/>
    </row>
    <row r="164" spans="1:6" ht="12.75" customHeight="1">
      <c r="A164" s="1298"/>
      <c r="B164" s="1196"/>
      <c r="C164" s="1196"/>
      <c r="D164" s="1196"/>
      <c r="E164" s="1196"/>
      <c r="F164" s="1299"/>
    </row>
    <row r="165" spans="1:6" ht="12.75" customHeight="1">
      <c r="A165" s="1298"/>
      <c r="B165" s="1196"/>
      <c r="C165" s="1196"/>
      <c r="D165" s="1196"/>
      <c r="E165" s="1196"/>
      <c r="F165" s="1299"/>
    </row>
    <row r="166" spans="1:6" ht="12.75" customHeight="1">
      <c r="A166" s="1298"/>
      <c r="B166" s="1196"/>
      <c r="C166" s="1196"/>
      <c r="D166" s="1196"/>
      <c r="E166" s="1196"/>
      <c r="F166" s="1299"/>
    </row>
    <row r="167" spans="1:6" ht="12.75" customHeight="1">
      <c r="A167" s="1298"/>
      <c r="B167" s="1196"/>
      <c r="C167" s="1196"/>
      <c r="D167" s="1196"/>
      <c r="E167" s="1196"/>
      <c r="F167" s="1299"/>
    </row>
    <row r="168" spans="1:6" ht="12.75" customHeight="1">
      <c r="A168" s="1298"/>
      <c r="B168" s="1196"/>
      <c r="C168" s="1196"/>
      <c r="D168" s="1196"/>
      <c r="E168" s="1196"/>
      <c r="F168" s="1299"/>
    </row>
    <row r="169" spans="1:6" ht="12.75" customHeight="1">
      <c r="A169" s="1298"/>
      <c r="B169" s="1196"/>
      <c r="C169" s="1196"/>
      <c r="D169" s="1196"/>
      <c r="E169" s="1196"/>
      <c r="F169" s="1299"/>
    </row>
    <row r="170" spans="1:6" ht="12.75" customHeight="1">
      <c r="A170" s="1298"/>
      <c r="B170" s="1196"/>
      <c r="C170" s="1196"/>
      <c r="D170" s="1196"/>
      <c r="E170" s="1196"/>
      <c r="F170" s="1299"/>
    </row>
    <row r="171" spans="1:6" ht="12.75" customHeight="1">
      <c r="A171" s="1298"/>
      <c r="B171" s="1196"/>
      <c r="C171" s="1196"/>
      <c r="D171" s="1196"/>
      <c r="E171" s="1196"/>
      <c r="F171" s="1299"/>
    </row>
    <row r="172" spans="1:6" ht="12.75" customHeight="1">
      <c r="A172" s="1298"/>
      <c r="B172" s="1196"/>
      <c r="C172" s="1196"/>
      <c r="D172" s="1196"/>
      <c r="E172" s="1196"/>
      <c r="F172" s="1299"/>
    </row>
    <row r="173" spans="1:6" ht="12.75" customHeight="1">
      <c r="A173" s="2358" t="s">
        <v>1502</v>
      </c>
      <c r="B173" s="2359"/>
      <c r="C173" s="2359"/>
      <c r="D173" s="2360" t="s">
        <v>1503</v>
      </c>
      <c r="E173" s="2360"/>
      <c r="F173" s="2361"/>
    </row>
    <row r="174" spans="1:6" ht="12.75" customHeight="1">
      <c r="A174" s="2358"/>
      <c r="B174" s="2359"/>
      <c r="C174" s="2359"/>
      <c r="D174" s="2360"/>
      <c r="E174" s="2360"/>
      <c r="F174" s="2361"/>
    </row>
    <row r="175" spans="1:6" ht="12.75" customHeight="1">
      <c r="A175" s="1298"/>
      <c r="B175" s="1196"/>
      <c r="C175" s="1196"/>
      <c r="D175" s="1196"/>
      <c r="E175" s="1196"/>
      <c r="F175" s="1299"/>
    </row>
    <row r="176" spans="1:6" ht="12.75" customHeight="1">
      <c r="A176" s="1298"/>
      <c r="B176" s="1196"/>
      <c r="C176" s="1196"/>
      <c r="D176" s="1196"/>
      <c r="E176" s="1196"/>
      <c r="F176" s="1299"/>
    </row>
    <row r="177" spans="1:6" ht="12.75" customHeight="1">
      <c r="A177" s="1298"/>
      <c r="B177" s="1196"/>
      <c r="C177" s="1196"/>
      <c r="D177" s="1196"/>
      <c r="E177" s="1196"/>
      <c r="F177" s="1299"/>
    </row>
    <row r="178" spans="1:6" ht="12.75" customHeight="1">
      <c r="A178" s="1298"/>
      <c r="B178" s="1196"/>
      <c r="C178" s="1196"/>
      <c r="D178" s="1196"/>
      <c r="E178" s="1196"/>
      <c r="F178" s="1299"/>
    </row>
    <row r="179" spans="1:6" ht="12.75" customHeight="1">
      <c r="A179" s="1298"/>
      <c r="B179" s="1196"/>
      <c r="C179" s="1196"/>
      <c r="D179" s="1196"/>
      <c r="E179" s="1196"/>
      <c r="F179" s="1299"/>
    </row>
    <row r="180" spans="1:6" ht="12.75" customHeight="1">
      <c r="A180" s="1298"/>
      <c r="B180" s="1196"/>
      <c r="C180" s="1196"/>
      <c r="D180" s="1196"/>
      <c r="E180" s="1196"/>
      <c r="F180" s="1299"/>
    </row>
    <row r="181" spans="1:6" ht="12.75" customHeight="1">
      <c r="A181" s="1298"/>
      <c r="B181" s="1196"/>
      <c r="C181" s="1196"/>
      <c r="D181" s="1196"/>
      <c r="E181" s="1196"/>
      <c r="F181" s="1299"/>
    </row>
    <row r="182" spans="1:6" ht="12.75" customHeight="1">
      <c r="A182" s="1298"/>
      <c r="B182" s="1196"/>
      <c r="C182" s="1196"/>
      <c r="D182" s="1196"/>
      <c r="E182" s="1196"/>
      <c r="F182" s="1299"/>
    </row>
    <row r="183" spans="1:6" ht="12.75" customHeight="1">
      <c r="A183" s="1298"/>
      <c r="B183" s="1196"/>
      <c r="C183" s="1196"/>
      <c r="D183" s="1196"/>
      <c r="E183" s="1196"/>
      <c r="F183" s="1299"/>
    </row>
    <row r="184" spans="1:6" ht="12.75" customHeight="1">
      <c r="A184" s="1298"/>
      <c r="B184" s="1196"/>
      <c r="C184" s="1196"/>
      <c r="D184" s="1196"/>
      <c r="E184" s="1196"/>
      <c r="F184" s="1299"/>
    </row>
    <row r="185" spans="1:6" ht="12.75" customHeight="1">
      <c r="A185" s="1298"/>
      <c r="B185" s="1196"/>
      <c r="C185" s="1196"/>
      <c r="D185" s="1196"/>
      <c r="E185" s="1196"/>
      <c r="F185" s="1299"/>
    </row>
    <row r="186" spans="1:6" ht="12.75" customHeight="1">
      <c r="A186" s="1298"/>
      <c r="B186" s="1196"/>
      <c r="C186" s="1196"/>
      <c r="D186" s="1196"/>
      <c r="E186" s="1196"/>
      <c r="F186" s="1299"/>
    </row>
    <row r="187" spans="1:6" ht="12.75" customHeight="1">
      <c r="A187" s="1298"/>
      <c r="B187" s="1196"/>
      <c r="C187" s="1196"/>
      <c r="D187" s="1196"/>
      <c r="E187" s="1196"/>
      <c r="F187" s="1299"/>
    </row>
    <row r="188" spans="1:6" ht="12.75" customHeight="1">
      <c r="A188" s="1298"/>
      <c r="B188" s="1196"/>
      <c r="C188" s="1196"/>
      <c r="D188" s="1196"/>
      <c r="E188" s="1196"/>
      <c r="F188" s="1299"/>
    </row>
    <row r="189" spans="1:6" ht="12.75" customHeight="1">
      <c r="A189" s="2351" t="s">
        <v>1504</v>
      </c>
      <c r="B189" s="2352"/>
      <c r="C189" s="2352"/>
      <c r="D189" s="2354" t="s">
        <v>1505</v>
      </c>
      <c r="E189" s="2354"/>
      <c r="F189" s="2355"/>
    </row>
    <row r="190" spans="1:6" ht="12.75" customHeight="1">
      <c r="A190" s="2351"/>
      <c r="B190" s="2352"/>
      <c r="C190" s="2352"/>
      <c r="D190" s="2354"/>
      <c r="E190" s="2354"/>
      <c r="F190" s="2355"/>
    </row>
    <row r="191" spans="1:6" ht="12.75" customHeight="1">
      <c r="A191" s="1298"/>
      <c r="B191" s="1196"/>
      <c r="C191" s="1196"/>
      <c r="D191" s="1196"/>
      <c r="E191" s="1196"/>
      <c r="F191" s="1299"/>
    </row>
    <row r="192" spans="1:6" ht="12.75" customHeight="1">
      <c r="A192" s="1298"/>
      <c r="B192" s="1196"/>
      <c r="C192" s="1196"/>
      <c r="D192" s="1196"/>
      <c r="E192" s="1196"/>
      <c r="F192" s="1299"/>
    </row>
    <row r="193" spans="1:6" ht="12.75" customHeight="1">
      <c r="A193" s="1298"/>
      <c r="B193" s="1196"/>
      <c r="C193" s="1196"/>
      <c r="D193" s="1196"/>
      <c r="E193" s="1196"/>
      <c r="F193" s="1299"/>
    </row>
    <row r="194" spans="1:6" ht="12.75" customHeight="1">
      <c r="A194" s="1298"/>
      <c r="B194" s="1196"/>
      <c r="C194" s="1196"/>
      <c r="D194" s="1196"/>
      <c r="E194" s="1196"/>
      <c r="F194" s="1299"/>
    </row>
    <row r="195" spans="1:6" ht="12.75" customHeight="1">
      <c r="A195" s="1298"/>
      <c r="B195" s="1196"/>
      <c r="C195" s="1196"/>
      <c r="D195" s="1196"/>
      <c r="E195" s="1196"/>
      <c r="F195" s="1299"/>
    </row>
    <row r="196" spans="1:6" ht="12.75" customHeight="1">
      <c r="A196" s="1298"/>
      <c r="B196" s="1196"/>
      <c r="C196" s="1196"/>
      <c r="D196" s="1196"/>
      <c r="E196" s="1196"/>
      <c r="F196" s="1299"/>
    </row>
    <row r="197" spans="1:6" ht="12.75" customHeight="1">
      <c r="A197" s="1298"/>
      <c r="B197" s="1196"/>
      <c r="C197" s="1196"/>
      <c r="D197" s="1196"/>
      <c r="E197" s="1196"/>
      <c r="F197" s="1299"/>
    </row>
    <row r="198" spans="1:6" ht="12.75" customHeight="1">
      <c r="A198" s="1298"/>
      <c r="B198" s="1196"/>
      <c r="C198" s="1196"/>
      <c r="D198" s="1196"/>
      <c r="E198" s="1196"/>
      <c r="F198" s="1299"/>
    </row>
    <row r="199" spans="1:6" ht="12.75" customHeight="1">
      <c r="A199" s="1298"/>
      <c r="B199" s="1196"/>
      <c r="C199" s="1196"/>
      <c r="D199" s="1196"/>
      <c r="E199" s="1196"/>
      <c r="F199" s="1299"/>
    </row>
    <row r="200" spans="1:6" ht="12.75" customHeight="1">
      <c r="A200" s="1298"/>
      <c r="B200" s="1196"/>
      <c r="C200" s="1196"/>
      <c r="D200" s="1196"/>
      <c r="E200" s="1196"/>
      <c r="F200" s="1299"/>
    </row>
    <row r="201" spans="1:6" ht="12.75" customHeight="1">
      <c r="A201" s="1298"/>
      <c r="B201" s="1196"/>
      <c r="C201" s="1196"/>
      <c r="D201" s="1196"/>
      <c r="E201" s="1196"/>
      <c r="F201" s="1299"/>
    </row>
    <row r="202" spans="1:6" ht="12.75" customHeight="1">
      <c r="A202" s="1298"/>
      <c r="B202" s="1196"/>
      <c r="C202" s="1196"/>
      <c r="D202" s="1196"/>
      <c r="E202" s="1196"/>
      <c r="F202" s="1299"/>
    </row>
    <row r="203" spans="1:6" s="1530" customFormat="1" ht="12.75" customHeight="1">
      <c r="A203" s="1298"/>
      <c r="B203" s="1332"/>
      <c r="C203" s="1332"/>
      <c r="D203" s="1332"/>
      <c r="E203" s="1332"/>
      <c r="F203" s="1299"/>
    </row>
    <row r="204" spans="1:6" ht="12.75" customHeight="1">
      <c r="A204" s="1298"/>
      <c r="B204" s="1196"/>
      <c r="C204" s="1196"/>
      <c r="D204" s="1196"/>
      <c r="E204" s="1196"/>
      <c r="F204" s="1299"/>
    </row>
    <row r="205" spans="1:6" ht="12.75" customHeight="1">
      <c r="A205" s="2363" t="s">
        <v>1506</v>
      </c>
      <c r="B205" s="2364"/>
      <c r="C205" s="2364"/>
      <c r="D205" s="2354" t="s">
        <v>1507</v>
      </c>
      <c r="E205" s="2354"/>
      <c r="F205" s="2355"/>
    </row>
    <row r="206" spans="1:6" ht="12.75" customHeight="1">
      <c r="A206" s="2363"/>
      <c r="B206" s="2364"/>
      <c r="C206" s="2364"/>
      <c r="D206" s="2354"/>
      <c r="E206" s="2354"/>
      <c r="F206" s="2355"/>
    </row>
    <row r="207" spans="1:6" ht="12.75" customHeight="1">
      <c r="A207" s="1298"/>
      <c r="B207" s="1196"/>
      <c r="C207" s="1196"/>
      <c r="D207" s="1196"/>
      <c r="E207" s="1196"/>
      <c r="F207" s="1299"/>
    </row>
    <row r="208" spans="1:6" ht="12.75" customHeight="1">
      <c r="A208" s="1298"/>
      <c r="B208" s="1196"/>
      <c r="C208" s="1196"/>
      <c r="D208" s="1196"/>
      <c r="E208" s="1196"/>
      <c r="F208" s="1299"/>
    </row>
    <row r="209" spans="1:6" ht="12.75" customHeight="1">
      <c r="A209" s="1298"/>
      <c r="B209" s="1196"/>
      <c r="C209" s="1196"/>
      <c r="D209" s="1196"/>
      <c r="E209" s="1196"/>
      <c r="F209" s="1299"/>
    </row>
    <row r="210" spans="1:6" ht="12.75" customHeight="1">
      <c r="A210" s="1298"/>
      <c r="B210" s="1196"/>
      <c r="C210" s="1196"/>
      <c r="D210" s="1196"/>
      <c r="E210" s="1196"/>
      <c r="F210" s="1299"/>
    </row>
    <row r="211" spans="1:6" ht="12.75" customHeight="1">
      <c r="A211" s="1298"/>
      <c r="B211" s="1196"/>
      <c r="C211" s="1196"/>
      <c r="D211" s="1196"/>
      <c r="E211" s="1196"/>
      <c r="F211" s="1299"/>
    </row>
    <row r="212" spans="1:6" ht="12.75" customHeight="1">
      <c r="A212" s="1298"/>
      <c r="B212" s="1196"/>
      <c r="C212" s="1196"/>
      <c r="D212" s="1196"/>
      <c r="E212" s="1196"/>
      <c r="F212" s="1299"/>
    </row>
    <row r="213" spans="1:6" ht="12.75" customHeight="1">
      <c r="A213" s="1298"/>
      <c r="B213" s="1196"/>
      <c r="C213" s="1196"/>
      <c r="D213" s="1196"/>
      <c r="E213" s="1196"/>
      <c r="F213" s="1299"/>
    </row>
    <row r="214" spans="1:6" ht="12.75" customHeight="1">
      <c r="A214" s="1298"/>
      <c r="B214" s="1196"/>
      <c r="C214" s="1196"/>
      <c r="D214" s="1196"/>
      <c r="E214" s="1196"/>
      <c r="F214" s="1299"/>
    </row>
    <row r="215" spans="1:6" ht="12.75" customHeight="1">
      <c r="A215" s="1298"/>
      <c r="B215" s="1196"/>
      <c r="C215" s="1196"/>
      <c r="D215" s="1196"/>
      <c r="E215" s="1196"/>
      <c r="F215" s="1299"/>
    </row>
    <row r="216" spans="1:6" ht="12.75" customHeight="1">
      <c r="A216" s="1298"/>
      <c r="B216" s="1196"/>
      <c r="C216" s="1196"/>
      <c r="D216" s="1196"/>
      <c r="E216" s="1196"/>
      <c r="F216" s="1299"/>
    </row>
    <row r="217" spans="1:6" ht="12.75" customHeight="1">
      <c r="A217" s="1298"/>
      <c r="B217" s="1196"/>
      <c r="C217" s="1196"/>
      <c r="D217" s="1196"/>
      <c r="E217" s="1196"/>
      <c r="F217" s="1299"/>
    </row>
    <row r="218" spans="1:6" ht="12.75" customHeight="1">
      <c r="A218" s="1298"/>
      <c r="B218" s="1196"/>
      <c r="C218" s="1196"/>
      <c r="D218" s="1196"/>
      <c r="E218" s="1196"/>
      <c r="F218" s="1299"/>
    </row>
    <row r="219" spans="1:6" ht="12.75" customHeight="1">
      <c r="A219" s="1298"/>
      <c r="B219" s="1196"/>
      <c r="C219" s="1196"/>
      <c r="D219" s="1196"/>
      <c r="E219" s="1196"/>
      <c r="F219" s="1299"/>
    </row>
    <row r="220" spans="1:6" ht="12.75" customHeight="1">
      <c r="A220" s="1298"/>
      <c r="B220" s="1196"/>
      <c r="C220" s="1196"/>
      <c r="D220" s="1196"/>
      <c r="E220" s="1196"/>
      <c r="F220" s="1299"/>
    </row>
    <row r="221" spans="1:6" ht="12.75" customHeight="1">
      <c r="A221" s="1298"/>
      <c r="B221" s="1196"/>
      <c r="C221" s="1196"/>
      <c r="D221" s="1196"/>
      <c r="E221" s="1196"/>
      <c r="F221" s="1299"/>
    </row>
    <row r="222" spans="1:6" ht="12.75" customHeight="1">
      <c r="A222" s="2365" t="s">
        <v>1508</v>
      </c>
      <c r="B222" s="2366"/>
      <c r="C222" s="2366"/>
      <c r="D222" s="2367" t="s">
        <v>1508</v>
      </c>
      <c r="E222" s="2367"/>
      <c r="F222" s="2368"/>
    </row>
    <row r="223" spans="1:6" ht="12.75" customHeight="1">
      <c r="A223" s="2365"/>
      <c r="B223" s="2366"/>
      <c r="C223" s="2366"/>
      <c r="D223" s="2367"/>
      <c r="E223" s="2367"/>
      <c r="F223" s="2368"/>
    </row>
    <row r="224" spans="1:6" ht="12.75" customHeight="1">
      <c r="A224" s="1298"/>
      <c r="B224" s="1196"/>
      <c r="C224" s="1196"/>
      <c r="D224" s="1196"/>
      <c r="E224" s="1196"/>
      <c r="F224" s="1299"/>
    </row>
    <row r="225" spans="1:6" ht="12.75" customHeight="1">
      <c r="A225" s="1298"/>
      <c r="B225" s="1196"/>
      <c r="C225" s="1196"/>
      <c r="D225" s="1196"/>
      <c r="E225" s="1196"/>
      <c r="F225" s="1299"/>
    </row>
    <row r="226" spans="1:6" ht="12.75" customHeight="1">
      <c r="A226" s="1298"/>
      <c r="B226" s="1196"/>
      <c r="C226" s="1196"/>
      <c r="D226" s="1196"/>
      <c r="E226" s="1196"/>
      <c r="F226" s="1299"/>
    </row>
    <row r="227" spans="1:6" ht="12.75" customHeight="1">
      <c r="A227" s="1298"/>
      <c r="B227" s="1196"/>
      <c r="C227" s="1196"/>
      <c r="D227" s="1196"/>
      <c r="E227" s="1196"/>
      <c r="F227" s="1299"/>
    </row>
    <row r="228" spans="1:6" ht="12.75" customHeight="1">
      <c r="A228" s="1298"/>
      <c r="B228" s="1196"/>
      <c r="C228" s="1196"/>
      <c r="D228" s="1196"/>
      <c r="E228" s="1196"/>
      <c r="F228" s="1299"/>
    </row>
    <row r="229" spans="1:6" ht="12.75" customHeight="1">
      <c r="A229" s="1298"/>
      <c r="B229" s="1196"/>
      <c r="C229" s="1196"/>
      <c r="D229" s="1196"/>
      <c r="E229" s="1196"/>
      <c r="F229" s="1299"/>
    </row>
    <row r="230" spans="1:6" ht="12.75" customHeight="1">
      <c r="A230" s="1298"/>
      <c r="B230" s="1196"/>
      <c r="C230" s="1196"/>
      <c r="D230" s="1196"/>
      <c r="E230" s="1196"/>
      <c r="F230" s="1299"/>
    </row>
    <row r="231" spans="1:6" ht="12.75" customHeight="1">
      <c r="A231" s="1298"/>
      <c r="B231" s="1196"/>
      <c r="C231" s="1196"/>
      <c r="D231" s="1196"/>
      <c r="E231" s="1196"/>
      <c r="F231" s="1299"/>
    </row>
    <row r="232" spans="1:6" ht="12.75" customHeight="1">
      <c r="A232" s="1298"/>
      <c r="B232" s="1196"/>
      <c r="C232" s="1196"/>
      <c r="D232" s="1196"/>
      <c r="E232" s="1196"/>
      <c r="F232" s="1299"/>
    </row>
    <row r="233" spans="1:6" ht="12.75" customHeight="1">
      <c r="A233" s="1298"/>
      <c r="B233" s="1196"/>
      <c r="C233" s="1196"/>
      <c r="D233" s="1196"/>
      <c r="E233" s="1196"/>
      <c r="F233" s="1299"/>
    </row>
    <row r="234" spans="1:6" ht="12.75" customHeight="1">
      <c r="A234" s="1298"/>
      <c r="B234" s="1196"/>
      <c r="C234" s="1196"/>
      <c r="D234" s="1196"/>
      <c r="E234" s="1196"/>
      <c r="F234" s="1299"/>
    </row>
    <row r="235" spans="1:6" ht="12.75" customHeight="1">
      <c r="A235" s="1298"/>
      <c r="B235" s="1196"/>
      <c r="C235" s="1196"/>
      <c r="D235" s="1196"/>
      <c r="E235" s="1196"/>
      <c r="F235" s="1299"/>
    </row>
    <row r="236" spans="1:6" s="1530" customFormat="1" ht="12.75" customHeight="1">
      <c r="A236" s="1298"/>
      <c r="B236" s="1332"/>
      <c r="C236" s="1332"/>
      <c r="D236" s="1332"/>
      <c r="E236" s="1332"/>
      <c r="F236" s="1299"/>
    </row>
    <row r="237" spans="1:6" ht="12.75" customHeight="1">
      <c r="A237" s="1298"/>
      <c r="B237" s="1196"/>
      <c r="C237" s="1196"/>
      <c r="D237" s="1196"/>
      <c r="E237" s="1196"/>
      <c r="F237" s="1299"/>
    </row>
    <row r="238" spans="1:6" ht="12.75" customHeight="1">
      <c r="A238" s="2358" t="s">
        <v>1509</v>
      </c>
      <c r="B238" s="2359"/>
      <c r="C238" s="2359"/>
      <c r="D238" s="2359" t="s">
        <v>1510</v>
      </c>
      <c r="E238" s="2359"/>
      <c r="F238" s="2362"/>
    </row>
    <row r="239" spans="1:6" ht="12.75" customHeight="1">
      <c r="A239" s="2358"/>
      <c r="B239" s="2359"/>
      <c r="C239" s="2359"/>
      <c r="D239" s="2359"/>
      <c r="E239" s="2359"/>
      <c r="F239" s="2362"/>
    </row>
    <row r="240" spans="1:6" ht="12.75" customHeight="1">
      <c r="A240" s="1298"/>
      <c r="B240" s="1196"/>
      <c r="C240" s="1196"/>
      <c r="D240" s="1196"/>
      <c r="E240" s="1196"/>
      <c r="F240" s="1299"/>
    </row>
    <row r="241" spans="1:6" ht="12.75" customHeight="1">
      <c r="A241" s="1298"/>
      <c r="B241" s="1196"/>
      <c r="C241" s="1196"/>
      <c r="D241" s="1196"/>
      <c r="E241" s="1196"/>
      <c r="F241" s="1299"/>
    </row>
    <row r="242" spans="1:6" ht="12.75" customHeight="1">
      <c r="A242" s="1298"/>
      <c r="B242" s="1196"/>
      <c r="C242" s="1196"/>
      <c r="D242" s="1196"/>
      <c r="E242" s="1196"/>
      <c r="F242" s="1299"/>
    </row>
    <row r="243" spans="1:6" ht="12.75" customHeight="1">
      <c r="A243" s="1298"/>
      <c r="B243" s="1196"/>
      <c r="C243" s="1196"/>
      <c r="D243" s="1196"/>
      <c r="E243" s="1196"/>
      <c r="F243" s="1299"/>
    </row>
    <row r="244" spans="1:6" ht="12.75" customHeight="1">
      <c r="A244" s="1298"/>
      <c r="B244" s="1196"/>
      <c r="C244" s="1196"/>
      <c r="D244" s="1196"/>
      <c r="E244" s="1196"/>
      <c r="F244" s="1299"/>
    </row>
    <row r="245" spans="1:6" ht="12.75" customHeight="1">
      <c r="A245" s="1298"/>
      <c r="B245" s="1196"/>
      <c r="C245" s="1196"/>
      <c r="D245" s="1196"/>
      <c r="E245" s="1196"/>
      <c r="F245" s="1299"/>
    </row>
    <row r="246" spans="1:6" ht="12.75" customHeight="1">
      <c r="A246" s="1298"/>
      <c r="B246" s="1196"/>
      <c r="C246" s="1196"/>
      <c r="D246" s="1196"/>
      <c r="E246" s="1196"/>
      <c r="F246" s="1299"/>
    </row>
    <row r="247" spans="1:6" ht="12.75" customHeight="1">
      <c r="A247" s="1298"/>
      <c r="B247" s="1196"/>
      <c r="C247" s="1196"/>
      <c r="D247" s="1196"/>
      <c r="E247" s="1196"/>
      <c r="F247" s="1299"/>
    </row>
    <row r="248" spans="1:6" ht="12.75" customHeight="1">
      <c r="A248" s="1298"/>
      <c r="B248" s="1196"/>
      <c r="C248" s="1196"/>
      <c r="D248" s="1196"/>
      <c r="E248" s="1196"/>
      <c r="F248" s="1299"/>
    </row>
    <row r="249" spans="1:6" ht="12.75" customHeight="1">
      <c r="A249" s="1298"/>
      <c r="B249" s="1196"/>
      <c r="C249" s="1196"/>
      <c r="D249" s="1196"/>
      <c r="E249" s="1196"/>
      <c r="F249" s="1299"/>
    </row>
    <row r="250" spans="1:6" ht="12.75" customHeight="1">
      <c r="A250" s="1298"/>
      <c r="B250" s="1196"/>
      <c r="C250" s="1196"/>
      <c r="D250" s="1196"/>
      <c r="E250" s="1196"/>
      <c r="F250" s="1299"/>
    </row>
    <row r="251" spans="1:6" ht="12.75" customHeight="1">
      <c r="A251" s="1298"/>
      <c r="B251" s="1196"/>
      <c r="C251" s="1196"/>
      <c r="D251" s="1196"/>
      <c r="E251" s="1196"/>
      <c r="F251" s="1299"/>
    </row>
    <row r="252" spans="1:6" ht="12.75" customHeight="1">
      <c r="A252" s="1298"/>
      <c r="B252" s="1196"/>
      <c r="C252" s="1196"/>
      <c r="D252" s="1196"/>
      <c r="E252" s="1196"/>
      <c r="F252" s="1299"/>
    </row>
    <row r="253" spans="1:6" ht="12.75" customHeight="1">
      <c r="A253" s="1298"/>
      <c r="B253" s="1196"/>
      <c r="C253" s="1196"/>
      <c r="D253" s="1196"/>
      <c r="E253" s="1196"/>
      <c r="F253" s="1299"/>
    </row>
    <row r="254" spans="1:6" ht="12.75" customHeight="1">
      <c r="A254" s="2351" t="s">
        <v>1511</v>
      </c>
      <c r="B254" s="2352"/>
      <c r="C254" s="2352"/>
      <c r="D254" s="2352" t="s">
        <v>1512</v>
      </c>
      <c r="E254" s="2352"/>
      <c r="F254" s="2353"/>
    </row>
    <row r="255" spans="1:6" ht="12.75" customHeight="1">
      <c r="A255" s="2351"/>
      <c r="B255" s="2352"/>
      <c r="C255" s="2352"/>
      <c r="D255" s="2352"/>
      <c r="E255" s="2352"/>
      <c r="F255" s="2353"/>
    </row>
    <row r="256" spans="1:6" ht="12.75" customHeight="1">
      <c r="A256" s="1298"/>
      <c r="B256" s="1196"/>
      <c r="C256" s="1196"/>
      <c r="D256" s="1196"/>
      <c r="E256" s="1196"/>
      <c r="F256" s="1299"/>
    </row>
    <row r="257" spans="1:6" ht="12.75" customHeight="1">
      <c r="A257" s="1298"/>
      <c r="B257" s="1196"/>
      <c r="C257" s="1196"/>
      <c r="D257" s="1196"/>
      <c r="E257" s="1196"/>
      <c r="F257" s="1299"/>
    </row>
    <row r="258" spans="1:6" ht="12.75" customHeight="1">
      <c r="A258" s="1298"/>
      <c r="B258" s="1196"/>
      <c r="C258" s="1196"/>
      <c r="D258" s="1196"/>
      <c r="E258" s="1196"/>
      <c r="F258" s="1299"/>
    </row>
    <row r="259" spans="1:6" ht="12.75" customHeight="1">
      <c r="A259" s="1298"/>
      <c r="B259" s="1196"/>
      <c r="C259" s="1196"/>
      <c r="D259" s="1196"/>
      <c r="E259" s="1196"/>
      <c r="F259" s="1299"/>
    </row>
    <row r="260" spans="1:6" ht="12.75" customHeight="1">
      <c r="A260" s="1298"/>
      <c r="B260" s="1196"/>
      <c r="C260" s="1196"/>
      <c r="D260" s="1196"/>
      <c r="E260" s="1196"/>
      <c r="F260" s="1299"/>
    </row>
    <row r="261" spans="1:6" ht="12.75" customHeight="1">
      <c r="A261" s="1298"/>
      <c r="B261" s="1196"/>
      <c r="C261" s="1196"/>
      <c r="D261" s="1196"/>
      <c r="E261" s="1196"/>
      <c r="F261" s="1299"/>
    </row>
    <row r="262" spans="1:6" ht="12.75" customHeight="1">
      <c r="A262" s="1298"/>
      <c r="B262" s="1196"/>
      <c r="C262" s="1196"/>
      <c r="D262" s="1196"/>
      <c r="E262" s="1196"/>
      <c r="F262" s="1299"/>
    </row>
    <row r="263" spans="1:6" ht="12.75" customHeight="1">
      <c r="A263" s="1298"/>
      <c r="B263" s="1196"/>
      <c r="C263" s="1196"/>
      <c r="D263" s="1196"/>
      <c r="E263" s="1196"/>
      <c r="F263" s="1299"/>
    </row>
    <row r="264" spans="1:6" ht="12.75" customHeight="1">
      <c r="A264" s="1298"/>
      <c r="B264" s="1196"/>
      <c r="C264" s="1196"/>
      <c r="D264" s="1196"/>
      <c r="E264" s="1196"/>
      <c r="F264" s="1299"/>
    </row>
    <row r="265" spans="1:6" ht="12.75" customHeight="1">
      <c r="A265" s="1298"/>
      <c r="B265" s="1196"/>
      <c r="C265" s="1196"/>
      <c r="D265" s="1196"/>
      <c r="E265" s="1196"/>
      <c r="F265" s="1299"/>
    </row>
    <row r="266" spans="1:6" ht="12.75" customHeight="1">
      <c r="A266" s="1298"/>
      <c r="B266" s="1196"/>
      <c r="C266" s="1196"/>
      <c r="D266" s="1196"/>
      <c r="E266" s="1196"/>
      <c r="F266" s="1299"/>
    </row>
    <row r="267" spans="1:6" ht="12.75" customHeight="1">
      <c r="A267" s="1298"/>
      <c r="B267" s="1196"/>
      <c r="C267" s="1196"/>
      <c r="D267" s="1196"/>
      <c r="E267" s="1196"/>
      <c r="F267" s="1299"/>
    </row>
    <row r="268" spans="1:6" ht="12.75" customHeight="1">
      <c r="A268" s="1298"/>
      <c r="B268" s="1196"/>
      <c r="C268" s="1196"/>
      <c r="D268" s="1196"/>
      <c r="E268" s="1196"/>
      <c r="F268" s="1299"/>
    </row>
    <row r="269" spans="1:6" ht="12.75" customHeight="1">
      <c r="A269" s="1298"/>
      <c r="B269" s="1196"/>
      <c r="C269" s="1196"/>
      <c r="D269" s="1196"/>
      <c r="E269" s="1196"/>
      <c r="F269" s="1299"/>
    </row>
    <row r="270" spans="1:6" ht="12.75" customHeight="1">
      <c r="A270" s="2351" t="s">
        <v>1513</v>
      </c>
      <c r="B270" s="2352"/>
      <c r="C270" s="2352"/>
      <c r="D270" s="2352" t="s">
        <v>1514</v>
      </c>
      <c r="E270" s="2352"/>
      <c r="F270" s="2353"/>
    </row>
    <row r="271" spans="1:6" ht="12.75" customHeight="1">
      <c r="A271" s="2351"/>
      <c r="B271" s="2352"/>
      <c r="C271" s="2352"/>
      <c r="D271" s="2352"/>
      <c r="E271" s="2352"/>
      <c r="F271" s="2353"/>
    </row>
    <row r="272" spans="1:6" ht="12.75" customHeight="1">
      <c r="A272" s="1298"/>
      <c r="B272" s="1196"/>
      <c r="C272" s="1196"/>
      <c r="D272" s="1196"/>
      <c r="E272" s="1196"/>
      <c r="F272" s="1299"/>
    </row>
    <row r="273" spans="1:6" ht="12.75" customHeight="1">
      <c r="A273" s="1298"/>
      <c r="B273" s="1196"/>
      <c r="C273" s="1196"/>
      <c r="D273" s="1196"/>
      <c r="E273" s="1196"/>
      <c r="F273" s="1299"/>
    </row>
    <row r="274" spans="1:6" ht="12.75" customHeight="1">
      <c r="A274" s="1298"/>
      <c r="B274" s="1196"/>
      <c r="C274" s="1196"/>
      <c r="D274" s="1196"/>
      <c r="E274" s="1196"/>
      <c r="F274" s="1299"/>
    </row>
    <row r="275" spans="1:6" ht="12.75" customHeight="1">
      <c r="A275" s="1298"/>
      <c r="B275" s="1196"/>
      <c r="C275" s="1196"/>
      <c r="D275" s="1196"/>
      <c r="E275" s="1196"/>
      <c r="F275" s="1299"/>
    </row>
    <row r="276" spans="1:6" ht="12.75" customHeight="1">
      <c r="A276" s="1298"/>
      <c r="B276" s="1196"/>
      <c r="C276" s="1196"/>
      <c r="D276" s="1196"/>
      <c r="E276" s="1196"/>
      <c r="F276" s="1299"/>
    </row>
    <row r="277" spans="1:6" ht="12.75" customHeight="1">
      <c r="A277" s="1298"/>
      <c r="B277" s="1196"/>
      <c r="C277" s="1196"/>
      <c r="D277" s="1196"/>
      <c r="E277" s="1196"/>
      <c r="F277" s="1299"/>
    </row>
    <row r="278" spans="1:6" ht="12.75" customHeight="1">
      <c r="A278" s="1298"/>
      <c r="B278" s="1196"/>
      <c r="C278" s="1196"/>
      <c r="D278" s="1196"/>
      <c r="E278" s="1196"/>
      <c r="F278" s="1299"/>
    </row>
    <row r="279" spans="1:6" ht="12.75" customHeight="1">
      <c r="A279" s="1298"/>
      <c r="B279" s="1196"/>
      <c r="C279" s="1196"/>
      <c r="D279" s="1196"/>
      <c r="E279" s="1196"/>
      <c r="F279" s="1299"/>
    </row>
    <row r="280" spans="1:6" s="1331" customFormat="1" ht="12.75" customHeight="1">
      <c r="A280" s="1298"/>
      <c r="B280" s="1332"/>
      <c r="C280" s="1332"/>
      <c r="D280" s="1332"/>
      <c r="E280" s="1332"/>
      <c r="F280" s="1299"/>
    </row>
    <row r="281" spans="1:6" s="1331" customFormat="1" ht="12.75" customHeight="1">
      <c r="A281" s="1298"/>
      <c r="B281" s="1332"/>
      <c r="C281" s="1332"/>
      <c r="D281" s="1332"/>
      <c r="E281" s="1332"/>
      <c r="F281" s="1299"/>
    </row>
    <row r="282" spans="1:6" s="1331" customFormat="1" ht="12.75" customHeight="1">
      <c r="A282" s="1298"/>
      <c r="B282" s="1332"/>
      <c r="C282" s="1332"/>
      <c r="D282" s="1332"/>
      <c r="E282" s="1332"/>
      <c r="F282" s="1299"/>
    </row>
    <row r="283" spans="1:6" s="1331" customFormat="1" ht="12.75" customHeight="1">
      <c r="A283" s="1298"/>
      <c r="B283" s="1332"/>
      <c r="C283" s="1332"/>
      <c r="D283" s="1332"/>
      <c r="E283" s="1332"/>
      <c r="F283" s="1299"/>
    </row>
    <row r="284" spans="1:6" s="1331" customFormat="1" ht="12.75" customHeight="1">
      <c r="A284" s="1298"/>
      <c r="B284" s="1332"/>
      <c r="C284" s="1332"/>
      <c r="D284" s="1332"/>
      <c r="E284" s="1332"/>
      <c r="F284" s="1299"/>
    </row>
    <row r="285" spans="1:6" s="1331" customFormat="1" ht="12.75" customHeight="1">
      <c r="A285" s="1298"/>
      <c r="B285" s="1332"/>
      <c r="C285" s="1332"/>
      <c r="D285" s="1332"/>
      <c r="E285" s="1332"/>
      <c r="F285" s="1299"/>
    </row>
    <row r="286" spans="1:6" s="1331" customFormat="1" ht="12.75" customHeight="1">
      <c r="A286" s="1298"/>
      <c r="B286" s="1332"/>
      <c r="C286" s="1332"/>
      <c r="D286" s="1332"/>
      <c r="E286" s="1332"/>
      <c r="F286" s="1299"/>
    </row>
    <row r="287" spans="1:6" s="1331" customFormat="1" ht="12.75" customHeight="1">
      <c r="A287" s="2351" t="s">
        <v>1515</v>
      </c>
      <c r="B287" s="2352"/>
      <c r="C287" s="2352"/>
      <c r="D287" s="2352" t="s">
        <v>1515</v>
      </c>
      <c r="E287" s="2352"/>
      <c r="F287" s="2353"/>
    </row>
    <row r="288" spans="1:6" s="1331" customFormat="1" ht="12.75" customHeight="1">
      <c r="A288" s="2351"/>
      <c r="B288" s="2352"/>
      <c r="C288" s="2352"/>
      <c r="D288" s="2352"/>
      <c r="E288" s="2352"/>
      <c r="F288" s="2353"/>
    </row>
    <row r="289" spans="1:6" s="1331" customFormat="1" ht="12.75" customHeight="1">
      <c r="A289" s="1298"/>
      <c r="B289" s="1332"/>
      <c r="C289" s="1332"/>
      <c r="D289" s="1332"/>
      <c r="E289" s="1332"/>
      <c r="F289" s="1299"/>
    </row>
    <row r="290" spans="1:6" s="1331" customFormat="1" ht="12.75" customHeight="1">
      <c r="A290" s="1298"/>
      <c r="B290" s="1332"/>
      <c r="C290" s="1332"/>
      <c r="D290" s="1332"/>
      <c r="E290" s="1332"/>
      <c r="F290" s="1299"/>
    </row>
    <row r="291" spans="1:6" s="1331" customFormat="1" ht="12.75" customHeight="1">
      <c r="A291" s="1298"/>
      <c r="B291" s="1332"/>
      <c r="C291" s="1332"/>
      <c r="D291" s="1332"/>
      <c r="E291" s="1332"/>
      <c r="F291" s="1299"/>
    </row>
    <row r="292" spans="1:6" s="1331" customFormat="1" ht="12.75" customHeight="1">
      <c r="A292" s="1298"/>
      <c r="B292" s="1332"/>
      <c r="C292" s="1332"/>
      <c r="D292" s="1332"/>
      <c r="E292" s="1332"/>
      <c r="F292" s="1299"/>
    </row>
    <row r="293" spans="1:6" s="1331" customFormat="1" ht="12.75" customHeight="1">
      <c r="A293" s="1298"/>
      <c r="B293" s="1332"/>
      <c r="C293" s="1332"/>
      <c r="D293" s="1332"/>
      <c r="E293" s="1332"/>
      <c r="F293" s="1299"/>
    </row>
    <row r="294" spans="1:6" s="1331" customFormat="1" ht="12.75" customHeight="1">
      <c r="A294" s="1298"/>
      <c r="B294" s="1332"/>
      <c r="C294" s="1332"/>
      <c r="D294" s="1332"/>
      <c r="E294" s="1332"/>
      <c r="F294" s="1299"/>
    </row>
    <row r="295" spans="1:6" s="1331" customFormat="1" ht="12.75" customHeight="1">
      <c r="A295" s="1298"/>
      <c r="B295" s="1332"/>
      <c r="C295" s="1332"/>
      <c r="D295" s="1332"/>
      <c r="E295" s="1332"/>
      <c r="F295" s="1299"/>
    </row>
    <row r="296" spans="1:6" s="1331" customFormat="1" ht="12.75" customHeight="1">
      <c r="A296" s="1298"/>
      <c r="B296" s="1332"/>
      <c r="C296" s="1332"/>
      <c r="D296" s="1332"/>
      <c r="E296" s="1332"/>
      <c r="F296" s="1299"/>
    </row>
    <row r="297" spans="1:6" s="1331" customFormat="1" ht="12.75" customHeight="1">
      <c r="A297" s="1298"/>
      <c r="B297" s="1332"/>
      <c r="C297" s="1332"/>
      <c r="D297" s="1332"/>
      <c r="E297" s="1332"/>
      <c r="F297" s="1299"/>
    </row>
    <row r="298" spans="1:6" s="1331" customFormat="1" ht="12.75" customHeight="1">
      <c r="A298" s="1298"/>
      <c r="B298" s="1332"/>
      <c r="C298" s="1332"/>
      <c r="D298" s="1332"/>
      <c r="E298" s="1332"/>
      <c r="F298" s="1299"/>
    </row>
    <row r="299" spans="1:6" s="1331" customFormat="1" ht="12.75" customHeight="1">
      <c r="A299" s="1298"/>
      <c r="B299" s="1332"/>
      <c r="C299" s="1332"/>
      <c r="D299" s="1332"/>
      <c r="E299" s="1332"/>
      <c r="F299" s="1299"/>
    </row>
    <row r="300" spans="1:6" s="1331" customFormat="1" ht="12.75" customHeight="1">
      <c r="A300" s="1298"/>
      <c r="B300" s="1332"/>
      <c r="C300" s="1332"/>
      <c r="D300" s="1332"/>
      <c r="E300" s="1332"/>
      <c r="F300" s="1299"/>
    </row>
    <row r="301" spans="1:6" s="1331" customFormat="1" ht="12.75" customHeight="1">
      <c r="A301" s="1298"/>
      <c r="B301" s="1332"/>
      <c r="C301" s="1332"/>
      <c r="D301" s="1332"/>
      <c r="E301" s="1332"/>
      <c r="F301" s="1299"/>
    </row>
    <row r="302" spans="1:6" s="1331" customFormat="1" ht="12.75" customHeight="1">
      <c r="A302" s="1298"/>
      <c r="B302" s="1332"/>
      <c r="C302" s="1332"/>
      <c r="D302" s="1332"/>
      <c r="E302" s="1332"/>
      <c r="F302" s="1299"/>
    </row>
    <row r="303" spans="1:6" s="1331" customFormat="1" ht="12.75" customHeight="1">
      <c r="A303" s="2351" t="s">
        <v>1516</v>
      </c>
      <c r="B303" s="2352"/>
      <c r="C303" s="2352"/>
      <c r="D303" s="2354" t="s">
        <v>1517</v>
      </c>
      <c r="E303" s="2354"/>
      <c r="F303" s="2355"/>
    </row>
    <row r="304" spans="1:6" s="1331" customFormat="1" ht="12.75" customHeight="1">
      <c r="A304" s="2351"/>
      <c r="B304" s="2352"/>
      <c r="C304" s="2352"/>
      <c r="D304" s="2354"/>
      <c r="E304" s="2354"/>
      <c r="F304" s="2355"/>
    </row>
    <row r="305" spans="1:6" s="1331" customFormat="1" ht="12.75" customHeight="1">
      <c r="A305" s="1298"/>
      <c r="B305" s="1332"/>
      <c r="C305" s="1332"/>
      <c r="D305" s="1332"/>
      <c r="E305" s="1332"/>
      <c r="F305" s="1299"/>
    </row>
    <row r="306" spans="1:6" ht="12.75" customHeight="1">
      <c r="A306" s="1298"/>
      <c r="B306" s="1196"/>
      <c r="C306" s="1196"/>
      <c r="D306" s="1196"/>
      <c r="E306" s="1196"/>
      <c r="F306" s="1299"/>
    </row>
    <row r="307" spans="1:6" ht="12.75" customHeight="1">
      <c r="A307" s="1298"/>
      <c r="B307" s="1196"/>
      <c r="C307" s="1196"/>
      <c r="D307" s="1196"/>
      <c r="E307" s="1196"/>
      <c r="F307" s="1299"/>
    </row>
    <row r="308" spans="1:6" ht="12.75" customHeight="1">
      <c r="A308" s="1298"/>
      <c r="B308" s="1196"/>
      <c r="C308" s="1196"/>
      <c r="D308" s="1196"/>
      <c r="E308" s="1196"/>
      <c r="F308" s="1299"/>
    </row>
    <row r="309" spans="1:6" ht="12.75" customHeight="1">
      <c r="A309" s="1298"/>
      <c r="B309" s="1196"/>
      <c r="C309" s="1196"/>
      <c r="D309" s="1196"/>
      <c r="E309" s="1196"/>
      <c r="F309" s="1299"/>
    </row>
    <row r="310" spans="1:6" s="1331" customFormat="1" ht="12.75" customHeight="1">
      <c r="A310" s="1298"/>
      <c r="B310" s="1332"/>
      <c r="C310" s="1332"/>
      <c r="D310" s="1332"/>
      <c r="E310" s="1332"/>
      <c r="F310" s="1299"/>
    </row>
    <row r="311" spans="1:6" s="1331" customFormat="1" ht="12.75" customHeight="1">
      <c r="A311" s="1298"/>
      <c r="B311" s="1332"/>
      <c r="C311" s="1332"/>
      <c r="D311" s="1332"/>
      <c r="E311" s="1332"/>
      <c r="F311" s="1299"/>
    </row>
    <row r="312" spans="1:6" s="1331" customFormat="1" ht="12.75" customHeight="1">
      <c r="A312" s="1298"/>
      <c r="B312" s="1332"/>
      <c r="C312" s="1332"/>
      <c r="D312" s="1332"/>
      <c r="E312" s="1332"/>
      <c r="F312" s="1299"/>
    </row>
    <row r="313" spans="1:6" s="1331" customFormat="1" ht="12.75" customHeight="1">
      <c r="A313" s="1298"/>
      <c r="B313" s="1332"/>
      <c r="C313" s="1332"/>
      <c r="D313" s="1332"/>
      <c r="E313" s="1332"/>
      <c r="F313" s="1299"/>
    </row>
    <row r="314" spans="1:6" s="1331" customFormat="1" ht="12.75" customHeight="1">
      <c r="A314" s="1298"/>
      <c r="B314" s="1332"/>
      <c r="C314" s="1332"/>
      <c r="D314" s="1332"/>
      <c r="E314" s="1332"/>
      <c r="F314" s="1299"/>
    </row>
    <row r="315" spans="1:6" s="1331" customFormat="1" ht="12.75" customHeight="1">
      <c r="A315" s="1298"/>
      <c r="B315" s="1332"/>
      <c r="C315" s="1332"/>
      <c r="D315" s="1332"/>
      <c r="E315" s="1332"/>
      <c r="F315" s="1299"/>
    </row>
    <row r="316" spans="1:6" s="1331" customFormat="1" ht="12.75" customHeight="1">
      <c r="A316" s="1298"/>
      <c r="B316" s="1332"/>
      <c r="C316" s="1332"/>
      <c r="D316" s="1332"/>
      <c r="E316" s="1332"/>
      <c r="F316" s="1299"/>
    </row>
    <row r="317" spans="1:6" s="1331" customFormat="1" ht="12.75" customHeight="1">
      <c r="A317" s="1298"/>
      <c r="B317" s="1332"/>
      <c r="C317" s="1332"/>
      <c r="D317" s="1332"/>
      <c r="E317" s="1332"/>
      <c r="F317" s="1299"/>
    </row>
    <row r="318" spans="1:6" s="1331" customFormat="1" ht="12.75" customHeight="1">
      <c r="A318" s="2351" t="s">
        <v>1518</v>
      </c>
      <c r="B318" s="2352"/>
      <c r="C318" s="2352"/>
      <c r="D318" s="2352" t="s">
        <v>1518</v>
      </c>
      <c r="E318" s="2352"/>
      <c r="F318" s="2353"/>
    </row>
    <row r="319" spans="1:6" s="1331" customFormat="1" ht="12.75" customHeight="1">
      <c r="A319" s="2351"/>
      <c r="B319" s="2352"/>
      <c r="C319" s="2352"/>
      <c r="D319" s="2352"/>
      <c r="E319" s="2352"/>
      <c r="F319" s="2353"/>
    </row>
    <row r="320" spans="1:6" s="1331" customFormat="1" ht="12.75" customHeight="1">
      <c r="A320" s="1298"/>
      <c r="B320" s="1332"/>
      <c r="C320" s="1332"/>
      <c r="D320" s="1332"/>
      <c r="E320" s="1332"/>
      <c r="F320" s="1299"/>
    </row>
    <row r="321" spans="1:6" s="1331" customFormat="1" ht="12.75" customHeight="1">
      <c r="A321" s="1298"/>
      <c r="B321" s="1332"/>
      <c r="C321" s="1332"/>
      <c r="D321" s="1332"/>
      <c r="E321" s="1332"/>
      <c r="F321" s="1299"/>
    </row>
    <row r="322" spans="1:6" s="1331" customFormat="1" ht="12.75" customHeight="1">
      <c r="A322" s="1298"/>
      <c r="B322" s="1332"/>
      <c r="C322" s="1332"/>
      <c r="D322" s="1332"/>
      <c r="E322" s="1332"/>
      <c r="F322" s="1299"/>
    </row>
    <row r="323" spans="1:6" s="1331" customFormat="1" ht="12.75" customHeight="1">
      <c r="A323" s="1298"/>
      <c r="B323" s="1332"/>
      <c r="C323" s="1332"/>
      <c r="D323" s="1332"/>
      <c r="E323" s="1332"/>
      <c r="F323" s="1299"/>
    </row>
    <row r="324" spans="1:6" s="1331" customFormat="1" ht="12.75" customHeight="1">
      <c r="A324" s="1298"/>
      <c r="B324" s="1332"/>
      <c r="C324" s="1332"/>
      <c r="D324" s="1332"/>
      <c r="E324" s="1332"/>
      <c r="F324" s="1299"/>
    </row>
    <row r="325" spans="1:6" s="1331" customFormat="1" ht="12.75" customHeight="1">
      <c r="A325" s="1298"/>
      <c r="B325" s="1332"/>
      <c r="C325" s="1332"/>
      <c r="D325" s="1332"/>
      <c r="E325" s="1332"/>
      <c r="F325" s="1299"/>
    </row>
    <row r="326" spans="1:6" s="1331" customFormat="1" ht="12.75" customHeight="1">
      <c r="A326" s="1298"/>
      <c r="B326" s="1332"/>
      <c r="C326" s="1332"/>
      <c r="D326" s="1332"/>
      <c r="E326" s="1332"/>
      <c r="F326" s="1299"/>
    </row>
    <row r="327" spans="1:6" s="1331" customFormat="1" ht="12.75" customHeight="1">
      <c r="A327" s="1298"/>
      <c r="B327" s="1332"/>
      <c r="C327" s="1332"/>
      <c r="D327" s="1332"/>
      <c r="E327" s="1332"/>
      <c r="F327" s="1299"/>
    </row>
    <row r="328" spans="1:6" s="1331" customFormat="1" ht="12.75" customHeight="1">
      <c r="A328" s="1298"/>
      <c r="B328" s="1332"/>
      <c r="C328" s="1332"/>
      <c r="D328" s="1332"/>
      <c r="E328" s="1332"/>
      <c r="F328" s="1299"/>
    </row>
    <row r="329" spans="1:6" s="1331" customFormat="1" ht="12.75" customHeight="1">
      <c r="A329" s="1298"/>
      <c r="B329" s="1332"/>
      <c r="C329" s="1332"/>
      <c r="D329" s="1332"/>
      <c r="E329" s="1332"/>
      <c r="F329" s="1299"/>
    </row>
    <row r="330" spans="1:6" ht="12.75" customHeight="1">
      <c r="A330" s="1298"/>
      <c r="B330" s="1196"/>
      <c r="C330" s="1196"/>
      <c r="D330" s="1196"/>
      <c r="E330" s="1196"/>
      <c r="F330" s="1299"/>
    </row>
    <row r="331" spans="1:6" ht="12.75" customHeight="1">
      <c r="A331" s="1298"/>
      <c r="B331" s="1196"/>
      <c r="C331" s="1196"/>
      <c r="D331" s="1196"/>
      <c r="E331" s="1196"/>
      <c r="F331" s="1299"/>
    </row>
    <row r="332" spans="1:6" ht="12.75" customHeight="1">
      <c r="A332" s="1298"/>
      <c r="B332" s="1196"/>
      <c r="C332" s="1196"/>
      <c r="D332" s="1196"/>
      <c r="E332" s="1196"/>
      <c r="F332" s="1299"/>
    </row>
    <row r="333" spans="1:6" ht="12.75" customHeight="1">
      <c r="A333" s="2351" t="s">
        <v>1519</v>
      </c>
      <c r="B333" s="2352"/>
      <c r="C333" s="2352"/>
      <c r="D333" s="2352" t="s">
        <v>1520</v>
      </c>
      <c r="E333" s="2352"/>
      <c r="F333" s="2353"/>
    </row>
    <row r="334" spans="1:6" ht="12.75" customHeight="1">
      <c r="A334" s="2351"/>
      <c r="B334" s="2352"/>
      <c r="C334" s="2352"/>
      <c r="D334" s="2352"/>
      <c r="E334" s="2352"/>
      <c r="F334" s="2353"/>
    </row>
    <row r="335" spans="1:6" ht="12.75" customHeight="1">
      <c r="A335" s="1298"/>
      <c r="B335" s="1196"/>
      <c r="C335" s="1196"/>
      <c r="D335" s="1196"/>
      <c r="E335" s="1196"/>
      <c r="F335" s="1299"/>
    </row>
    <row r="336" spans="1:6" ht="13.5" customHeight="1" thickBot="1">
      <c r="A336" s="1300"/>
      <c r="B336" s="1219"/>
      <c r="C336" s="1219"/>
      <c r="D336" s="1219"/>
      <c r="E336" s="1219"/>
      <c r="F336" s="1301"/>
    </row>
    <row r="337" spans="1:6" ht="12.75" customHeight="1"/>
    <row r="338" spans="1:6" ht="12.75" customHeight="1">
      <c r="A338" s="1188" t="s">
        <v>1324</v>
      </c>
    </row>
    <row r="339" spans="1:6" ht="12.75" customHeight="1">
      <c r="A339" s="1188" t="s">
        <v>1325</v>
      </c>
    </row>
    <row r="340" spans="1:6" ht="12.75" customHeight="1">
      <c r="A340" s="1302" t="s">
        <v>1326</v>
      </c>
      <c r="B340" s="1303"/>
      <c r="C340" s="1303"/>
      <c r="D340" s="1303"/>
      <c r="E340" s="1303"/>
      <c r="F340" s="1303"/>
    </row>
    <row r="341" spans="1:6" ht="12.75" customHeight="1"/>
    <row r="342" spans="1:6" ht="12.75" customHeight="1">
      <c r="D342" s="2102" t="s">
        <v>440</v>
      </c>
      <c r="E342" s="2060"/>
      <c r="F342" s="2060"/>
    </row>
    <row r="343" spans="1:6" ht="12.75" customHeight="1"/>
    <row r="344" spans="1:6" ht="12.75" customHeight="1"/>
    <row r="345" spans="1:6" ht="12.75" customHeight="1"/>
    <row r="346" spans="1:6" ht="12.75" customHeight="1"/>
    <row r="347" spans="1:6" ht="12.75" customHeight="1"/>
    <row r="348" spans="1:6" ht="12.75" customHeight="1"/>
    <row r="349" spans="1:6" ht="12.75" customHeight="1"/>
    <row r="350" spans="1:6" ht="12.75" customHeight="1"/>
    <row r="351" spans="1:6" ht="12.75" customHeight="1"/>
    <row r="352" spans="1:6"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row r="989" ht="12.75" customHeight="1"/>
    <row r="990" ht="12.75" customHeight="1"/>
    <row r="991" ht="12.75" customHeight="1"/>
    <row r="992" ht="12.75" customHeight="1"/>
    <row r="993" ht="12.75" customHeight="1"/>
    <row r="994" ht="12.75" customHeight="1"/>
    <row r="995" ht="12.75" customHeight="1"/>
    <row r="996" ht="12.75" customHeight="1"/>
    <row r="997" ht="12.75" customHeight="1"/>
    <row r="998" ht="12.75" customHeight="1"/>
    <row r="999" ht="12.75" customHeight="1"/>
    <row r="1000" ht="12.75" customHeight="1"/>
    <row r="1001" ht="12.75" customHeight="1"/>
    <row r="1002" ht="12.75" customHeight="1"/>
    <row r="1003" ht="12.75" customHeight="1"/>
    <row r="1004" ht="12.75" customHeight="1"/>
    <row r="1005" ht="12.75" customHeight="1"/>
    <row r="1006" ht="12.75" customHeight="1"/>
    <row r="1007" ht="12.75" customHeight="1"/>
    <row r="1008" ht="12.75" customHeight="1"/>
    <row r="1009" ht="12.75" customHeight="1"/>
    <row r="1010" ht="12.75" customHeight="1"/>
    <row r="1011" ht="12.75" customHeight="1"/>
    <row r="1012" ht="12.75" customHeight="1"/>
    <row r="1013" ht="12.75" customHeight="1"/>
    <row r="1014" ht="12.75" customHeight="1"/>
    <row r="1015" ht="12.75" customHeight="1"/>
    <row r="1016" ht="12.75" customHeight="1"/>
    <row r="1017" ht="12.75" customHeight="1"/>
    <row r="1018" ht="12.75" customHeight="1"/>
    <row r="1019" ht="12.75" customHeight="1"/>
    <row r="1020" ht="12.75" customHeight="1"/>
    <row r="1021" ht="12.75" customHeight="1"/>
    <row r="1022" ht="12.75" customHeight="1"/>
    <row r="1023" ht="12.75" customHeight="1"/>
    <row r="1024" ht="12.75" customHeight="1"/>
    <row r="1025" ht="12.75" customHeight="1"/>
    <row r="1026" ht="12.75" customHeight="1"/>
    <row r="1027" ht="12.75" customHeight="1"/>
    <row r="1028" ht="12.75" customHeight="1"/>
    <row r="1029" ht="12.75" customHeight="1"/>
    <row r="1030" ht="12.75" customHeight="1"/>
    <row r="1031" ht="12.75" customHeight="1"/>
    <row r="1032" ht="12.75" customHeight="1"/>
    <row r="1033" ht="12.75" customHeight="1"/>
    <row r="1034" ht="12.75" customHeight="1"/>
    <row r="1035" ht="12.75" customHeight="1"/>
    <row r="1036" ht="12.75" customHeight="1"/>
    <row r="1037" ht="12.75" customHeight="1"/>
    <row r="1038" ht="12.75" customHeight="1"/>
    <row r="1039" ht="12.75" customHeight="1"/>
  </sheetData>
  <mergeCells count="46">
    <mergeCell ref="A75:C76"/>
    <mergeCell ref="D75:F76"/>
    <mergeCell ref="A92:C93"/>
    <mergeCell ref="D92:F93"/>
    <mergeCell ref="A108:C109"/>
    <mergeCell ref="D108:F109"/>
    <mergeCell ref="A27:C28"/>
    <mergeCell ref="D27:F28"/>
    <mergeCell ref="A43:C44"/>
    <mergeCell ref="D43:F44"/>
    <mergeCell ref="A59:C60"/>
    <mergeCell ref="D59:F60"/>
    <mergeCell ref="A124:C125"/>
    <mergeCell ref="D124:F125"/>
    <mergeCell ref="A140:C141"/>
    <mergeCell ref="D140:F141"/>
    <mergeCell ref="A157:C158"/>
    <mergeCell ref="D157:F158"/>
    <mergeCell ref="A173:C174"/>
    <mergeCell ref="D173:F174"/>
    <mergeCell ref="A270:C271"/>
    <mergeCell ref="D270:F271"/>
    <mergeCell ref="A287:C288"/>
    <mergeCell ref="D287:F288"/>
    <mergeCell ref="D254:F255"/>
    <mergeCell ref="A238:C239"/>
    <mergeCell ref="D238:F239"/>
    <mergeCell ref="A254:C255"/>
    <mergeCell ref="A189:C190"/>
    <mergeCell ref="D189:F190"/>
    <mergeCell ref="A205:C206"/>
    <mergeCell ref="D205:F206"/>
    <mergeCell ref="A222:C223"/>
    <mergeCell ref="D222:F223"/>
    <mergeCell ref="A11:C11"/>
    <mergeCell ref="D11:F11"/>
    <mergeCell ref="A1:F1"/>
    <mergeCell ref="A3:F3"/>
    <mergeCell ref="A7:F7"/>
    <mergeCell ref="D342:F342"/>
    <mergeCell ref="A333:C334"/>
    <mergeCell ref="D333:F334"/>
    <mergeCell ref="D303:F304"/>
    <mergeCell ref="A303:C304"/>
    <mergeCell ref="A318:C319"/>
    <mergeCell ref="D318:F319"/>
  </mergeCells>
  <printOptions horizontalCentered="1"/>
  <pageMargins left="0.70866141732283472" right="0.70866141732283472" top="0.74803149606299213" bottom="0" header="0.31496062992125984" footer="0.31496062992125984"/>
  <pageSetup scale="71" fitToHeight="4" orientation="portrait" horizontalDpi="360" verticalDpi="360" r:id="rId1"/>
  <rowBreaks count="4" manualBreakCount="4">
    <brk id="77" max="5" man="1"/>
    <brk id="142" max="5" man="1"/>
    <brk id="207" max="5" man="1"/>
    <brk id="272" max="5" man="1"/>
  </rowBreaks>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180"/>
  <sheetViews>
    <sheetView view="pageBreakPreview" zoomScale="130" zoomScaleNormal="100" zoomScaleSheetLayoutView="130" workbookViewId="0">
      <selection activeCell="I167" sqref="I167"/>
    </sheetView>
  </sheetViews>
  <sheetFormatPr baseColWidth="10" defaultRowHeight="12.75"/>
  <cols>
    <col min="1" max="4" width="14.7109375" customWidth="1"/>
    <col min="5" max="5" width="16.7109375" customWidth="1"/>
    <col min="6" max="6" width="16.85546875" customWidth="1"/>
    <col min="7" max="7" width="17" customWidth="1"/>
  </cols>
  <sheetData>
    <row r="1" spans="1:7" ht="23.25">
      <c r="A1" s="1579" t="s">
        <v>0</v>
      </c>
      <c r="B1" s="1579"/>
      <c r="C1" s="1579"/>
      <c r="D1" s="1579"/>
      <c r="E1" s="1579"/>
      <c r="F1" s="1579"/>
      <c r="G1" s="1579"/>
    </row>
    <row r="2" spans="1:7" ht="17.25" customHeight="1">
      <c r="A2" s="171"/>
      <c r="B2" s="171"/>
      <c r="C2" s="171"/>
      <c r="D2" s="171"/>
      <c r="E2" s="171"/>
      <c r="F2" s="171"/>
      <c r="G2" s="171"/>
    </row>
    <row r="3" spans="1:7" ht="18">
      <c r="A3" s="1580" t="s">
        <v>833</v>
      </c>
      <c r="B3" s="1580"/>
      <c r="C3" s="1580"/>
      <c r="D3" s="1580"/>
      <c r="E3" s="1580"/>
      <c r="F3" s="1580"/>
      <c r="G3" s="1580"/>
    </row>
    <row r="4" spans="1:7">
      <c r="B4" s="37"/>
      <c r="C4" s="31"/>
      <c r="D4" s="31"/>
      <c r="E4" s="1"/>
      <c r="F4" s="1"/>
      <c r="G4" s="1"/>
    </row>
    <row r="5" spans="1:7">
      <c r="B5" s="41"/>
      <c r="C5" s="34"/>
      <c r="D5" s="31"/>
      <c r="E5" s="1"/>
      <c r="F5" s="1"/>
      <c r="G5" s="1"/>
    </row>
    <row r="6" spans="1:7">
      <c r="B6" s="37"/>
      <c r="C6" s="31"/>
      <c r="D6" s="31"/>
      <c r="E6" s="1"/>
      <c r="F6" s="1"/>
      <c r="G6" s="1"/>
    </row>
    <row r="7" spans="1:7" ht="20.25">
      <c r="A7" s="1571" t="s">
        <v>454</v>
      </c>
      <c r="B7" s="1571"/>
      <c r="C7" s="1571"/>
      <c r="D7" s="1571"/>
      <c r="E7" s="1571"/>
      <c r="F7" s="1571"/>
      <c r="G7" s="1571"/>
    </row>
    <row r="8" spans="1:7">
      <c r="B8" s="37"/>
      <c r="C8" s="31"/>
      <c r="D8" s="31"/>
      <c r="E8" s="1"/>
      <c r="F8" s="1"/>
      <c r="G8" s="1"/>
    </row>
    <row r="9" spans="1:7">
      <c r="A9" s="141" t="s">
        <v>147</v>
      </c>
      <c r="B9" s="32"/>
      <c r="C9" s="2045" t="str">
        <f>'CUMPLIMIENTO % '!C7</f>
        <v>LUIS GABRIEL IBARRA ANGEL</v>
      </c>
      <c r="D9" s="2045"/>
      <c r="E9" s="2045"/>
    </row>
    <row r="10" spans="1:7">
      <c r="A10" s="141"/>
      <c r="B10" s="32"/>
    </row>
    <row r="11" spans="1:7">
      <c r="A11" s="141" t="s">
        <v>409</v>
      </c>
      <c r="B11" s="141"/>
      <c r="C11" s="2371" t="str">
        <f>+'INTERVENTORIA DE CONTRATOS'!J8</f>
        <v>OCTUBRE - DICIEMBRE DEL 2020</v>
      </c>
      <c r="D11" s="2371"/>
      <c r="E11" s="2371"/>
      <c r="F11" s="141"/>
      <c r="G11" s="141"/>
    </row>
    <row r="12" spans="1:7" ht="13.5" thickBot="1"/>
    <row r="13" spans="1:7">
      <c r="A13" s="15"/>
      <c r="B13" s="16"/>
      <c r="C13" s="16"/>
      <c r="D13" s="16"/>
      <c r="E13" s="16"/>
      <c r="F13" s="16"/>
      <c r="G13" s="17"/>
    </row>
    <row r="14" spans="1:7">
      <c r="A14" s="9"/>
      <c r="G14" s="18"/>
    </row>
    <row r="15" spans="1:7">
      <c r="A15" s="9"/>
      <c r="G15" s="18"/>
    </row>
    <row r="16" spans="1:7">
      <c r="A16" s="9"/>
      <c r="G16" s="18"/>
    </row>
    <row r="17" spans="1:7">
      <c r="A17" s="9"/>
      <c r="G17" s="18"/>
    </row>
    <row r="18" spans="1:7">
      <c r="A18" s="9"/>
      <c r="G18" s="18"/>
    </row>
    <row r="19" spans="1:7">
      <c r="A19" s="9"/>
      <c r="G19" s="18"/>
    </row>
    <row r="20" spans="1:7">
      <c r="A20" s="9"/>
      <c r="G20" s="18"/>
    </row>
    <row r="21" spans="1:7">
      <c r="A21" s="9"/>
      <c r="G21" s="18"/>
    </row>
    <row r="22" spans="1:7">
      <c r="A22" s="9"/>
      <c r="G22" s="18"/>
    </row>
    <row r="23" spans="1:7">
      <c r="A23" s="9"/>
      <c r="G23" s="18"/>
    </row>
    <row r="24" spans="1:7">
      <c r="A24" s="9"/>
      <c r="G24" s="18"/>
    </row>
    <row r="25" spans="1:7">
      <c r="A25" s="9"/>
      <c r="G25" s="18"/>
    </row>
    <row r="26" spans="1:7">
      <c r="A26" s="9"/>
      <c r="G26" s="18"/>
    </row>
    <row r="27" spans="1:7">
      <c r="A27" s="9"/>
      <c r="G27" s="18"/>
    </row>
    <row r="28" spans="1:7">
      <c r="A28" s="9"/>
      <c r="G28" s="18"/>
    </row>
    <row r="29" spans="1:7">
      <c r="A29" s="9"/>
      <c r="G29" s="18"/>
    </row>
    <row r="30" spans="1:7">
      <c r="A30" s="9"/>
      <c r="G30" s="18"/>
    </row>
    <row r="31" spans="1:7">
      <c r="A31" s="9"/>
      <c r="G31" s="18"/>
    </row>
    <row r="32" spans="1:7">
      <c r="A32" s="9"/>
      <c r="G32" s="18"/>
    </row>
    <row r="33" spans="1:7">
      <c r="A33" s="9"/>
      <c r="G33" s="18"/>
    </row>
    <row r="34" spans="1:7">
      <c r="A34" s="9"/>
      <c r="G34" s="18"/>
    </row>
    <row r="35" spans="1:7">
      <c r="A35" s="9"/>
      <c r="G35" s="18"/>
    </row>
    <row r="36" spans="1:7">
      <c r="A36" s="9"/>
      <c r="G36" s="18"/>
    </row>
    <row r="37" spans="1:7">
      <c r="A37" s="9"/>
      <c r="G37" s="18"/>
    </row>
    <row r="38" spans="1:7">
      <c r="A38" s="9"/>
      <c r="G38" s="18"/>
    </row>
    <row r="39" spans="1:7">
      <c r="A39" s="9"/>
      <c r="G39" s="18"/>
    </row>
    <row r="40" spans="1:7">
      <c r="A40" s="9"/>
      <c r="G40" s="18"/>
    </row>
    <row r="41" spans="1:7">
      <c r="A41" s="9"/>
      <c r="G41" s="18"/>
    </row>
    <row r="42" spans="1:7">
      <c r="A42" s="9"/>
      <c r="G42" s="18"/>
    </row>
    <row r="43" spans="1:7">
      <c r="A43" s="9"/>
      <c r="G43" s="18"/>
    </row>
    <row r="44" spans="1:7">
      <c r="A44" s="9"/>
      <c r="G44" s="18"/>
    </row>
    <row r="45" spans="1:7">
      <c r="A45" s="9"/>
      <c r="G45" s="18"/>
    </row>
    <row r="46" spans="1:7">
      <c r="A46" s="9"/>
      <c r="G46" s="18"/>
    </row>
    <row r="47" spans="1:7">
      <c r="A47" s="9"/>
      <c r="G47" s="18"/>
    </row>
    <row r="48" spans="1:7">
      <c r="A48" s="9"/>
      <c r="G48" s="18"/>
    </row>
    <row r="49" spans="1:7">
      <c r="A49" s="9"/>
      <c r="G49" s="18"/>
    </row>
    <row r="50" spans="1:7">
      <c r="A50" s="9"/>
      <c r="G50" s="18"/>
    </row>
    <row r="51" spans="1:7">
      <c r="A51" s="9"/>
      <c r="G51" s="18"/>
    </row>
    <row r="52" spans="1:7">
      <c r="A52" s="9"/>
      <c r="G52" s="18"/>
    </row>
    <row r="53" spans="1:7">
      <c r="A53" s="9"/>
      <c r="G53" s="18"/>
    </row>
    <row r="54" spans="1:7">
      <c r="A54" s="9"/>
      <c r="G54" s="18"/>
    </row>
    <row r="55" spans="1:7">
      <c r="A55" s="9"/>
      <c r="G55" s="18"/>
    </row>
    <row r="56" spans="1:7">
      <c r="A56" s="9"/>
      <c r="G56" s="18"/>
    </row>
    <row r="57" spans="1:7">
      <c r="A57" s="9"/>
      <c r="G57" s="18"/>
    </row>
    <row r="58" spans="1:7">
      <c r="A58" s="9"/>
      <c r="G58" s="18"/>
    </row>
    <row r="59" spans="1:7">
      <c r="A59" s="9"/>
      <c r="G59" s="18"/>
    </row>
    <row r="60" spans="1:7">
      <c r="A60" s="9"/>
      <c r="G60" s="18"/>
    </row>
    <row r="61" spans="1:7">
      <c r="A61" s="9"/>
      <c r="B61" s="824"/>
      <c r="G61" s="18"/>
    </row>
    <row r="62" spans="1:7">
      <c r="A62" s="9"/>
      <c r="G62" s="18"/>
    </row>
    <row r="63" spans="1:7">
      <c r="A63" s="9"/>
      <c r="G63" s="18"/>
    </row>
    <row r="64" spans="1:7">
      <c r="A64" s="9"/>
      <c r="G64" s="18"/>
    </row>
    <row r="65" spans="1:7">
      <c r="A65" s="9"/>
      <c r="G65" s="18"/>
    </row>
    <row r="66" spans="1:7">
      <c r="A66" s="9"/>
      <c r="G66" s="18"/>
    </row>
    <row r="67" spans="1:7">
      <c r="A67" s="9"/>
      <c r="G67" s="18"/>
    </row>
    <row r="68" spans="1:7">
      <c r="A68" s="9"/>
      <c r="G68" s="18"/>
    </row>
    <row r="69" spans="1:7">
      <c r="A69" s="9"/>
      <c r="G69" s="18"/>
    </row>
    <row r="70" spans="1:7">
      <c r="A70" s="9"/>
      <c r="G70" s="18"/>
    </row>
    <row r="71" spans="1:7">
      <c r="A71" s="9"/>
      <c r="G71" s="18"/>
    </row>
    <row r="72" spans="1:7">
      <c r="A72" s="9"/>
      <c r="G72" s="18"/>
    </row>
    <row r="73" spans="1:7">
      <c r="A73" s="9"/>
      <c r="G73" s="18"/>
    </row>
    <row r="74" spans="1:7" s="1530" customFormat="1">
      <c r="A74" s="9"/>
      <c r="G74" s="18"/>
    </row>
    <row r="75" spans="1:7" s="1530" customFormat="1">
      <c r="A75" s="9"/>
      <c r="G75" s="18"/>
    </row>
    <row r="76" spans="1:7" s="1530" customFormat="1">
      <c r="A76" s="9"/>
      <c r="G76" s="18"/>
    </row>
    <row r="77" spans="1:7" s="1530" customFormat="1">
      <c r="A77" s="9"/>
      <c r="G77" s="18"/>
    </row>
    <row r="78" spans="1:7" s="1530" customFormat="1">
      <c r="A78" s="9"/>
      <c r="G78" s="18"/>
    </row>
    <row r="79" spans="1:7" s="1530" customFormat="1">
      <c r="A79" s="9"/>
      <c r="G79" s="18"/>
    </row>
    <row r="80" spans="1:7" s="1530" customFormat="1">
      <c r="A80" s="9"/>
      <c r="G80" s="18"/>
    </row>
    <row r="81" spans="1:7" s="1530" customFormat="1">
      <c r="A81" s="9"/>
      <c r="G81" s="18"/>
    </row>
    <row r="82" spans="1:7" s="1530" customFormat="1">
      <c r="A82" s="9"/>
      <c r="G82" s="18"/>
    </row>
    <row r="83" spans="1:7" s="1530" customFormat="1">
      <c r="A83" s="9"/>
      <c r="G83" s="18"/>
    </row>
    <row r="84" spans="1:7" s="1530" customFormat="1">
      <c r="A84" s="9"/>
      <c r="G84" s="18"/>
    </row>
    <row r="85" spans="1:7" s="1530" customFormat="1">
      <c r="A85" s="9"/>
      <c r="G85" s="18"/>
    </row>
    <row r="86" spans="1:7" s="1530" customFormat="1">
      <c r="A86" s="9"/>
      <c r="G86" s="18"/>
    </row>
    <row r="87" spans="1:7" s="1530" customFormat="1">
      <c r="A87" s="9"/>
      <c r="G87" s="18"/>
    </row>
    <row r="88" spans="1:7" s="1530" customFormat="1">
      <c r="A88" s="9"/>
      <c r="G88" s="18"/>
    </row>
    <row r="89" spans="1:7" s="1530" customFormat="1">
      <c r="A89" s="9"/>
      <c r="G89" s="18"/>
    </row>
    <row r="90" spans="1:7" s="1530" customFormat="1">
      <c r="A90" s="9"/>
      <c r="G90" s="18"/>
    </row>
    <row r="91" spans="1:7" s="1530" customFormat="1">
      <c r="A91" s="9"/>
      <c r="G91" s="18"/>
    </row>
    <row r="92" spans="1:7" s="1530" customFormat="1">
      <c r="A92" s="9"/>
      <c r="G92" s="18"/>
    </row>
    <row r="93" spans="1:7" s="1530" customFormat="1">
      <c r="A93" s="9"/>
      <c r="G93" s="18"/>
    </row>
    <row r="94" spans="1:7" s="1530" customFormat="1">
      <c r="A94" s="9"/>
      <c r="G94" s="18"/>
    </row>
    <row r="95" spans="1:7" s="1530" customFormat="1">
      <c r="A95" s="9"/>
      <c r="G95" s="18"/>
    </row>
    <row r="96" spans="1:7" s="1530" customFormat="1">
      <c r="A96" s="9"/>
      <c r="G96" s="18"/>
    </row>
    <row r="97" spans="1:7" s="1530" customFormat="1">
      <c r="A97" s="9"/>
      <c r="G97" s="18"/>
    </row>
    <row r="98" spans="1:7" s="1530" customFormat="1">
      <c r="A98" s="9"/>
      <c r="G98" s="18"/>
    </row>
    <row r="99" spans="1:7" s="1530" customFormat="1">
      <c r="A99" s="9"/>
      <c r="G99" s="18"/>
    </row>
    <row r="100" spans="1:7" s="1530" customFormat="1">
      <c r="A100" s="9"/>
      <c r="G100" s="18"/>
    </row>
    <row r="101" spans="1:7" s="1530" customFormat="1">
      <c r="A101" s="9"/>
      <c r="G101" s="18"/>
    </row>
    <row r="102" spans="1:7" s="1530" customFormat="1">
      <c r="A102" s="9"/>
      <c r="G102" s="18"/>
    </row>
    <row r="103" spans="1:7" s="1530" customFormat="1">
      <c r="A103" s="9"/>
      <c r="G103" s="18"/>
    </row>
    <row r="104" spans="1:7" s="1530" customFormat="1">
      <c r="A104" s="9"/>
      <c r="G104" s="18"/>
    </row>
    <row r="105" spans="1:7" s="1530" customFormat="1">
      <c r="A105" s="9"/>
      <c r="G105" s="18"/>
    </row>
    <row r="106" spans="1:7" s="1530" customFormat="1">
      <c r="A106" s="9"/>
      <c r="G106" s="18"/>
    </row>
    <row r="107" spans="1:7" s="1530" customFormat="1">
      <c r="A107" s="9"/>
      <c r="G107" s="18"/>
    </row>
    <row r="108" spans="1:7" s="1530" customFormat="1">
      <c r="A108" s="9"/>
      <c r="G108" s="18"/>
    </row>
    <row r="109" spans="1:7" s="1530" customFormat="1">
      <c r="A109" s="9"/>
      <c r="G109" s="18"/>
    </row>
    <row r="110" spans="1:7" s="1530" customFormat="1">
      <c r="A110" s="9"/>
      <c r="G110" s="18"/>
    </row>
    <row r="111" spans="1:7" s="1530" customFormat="1">
      <c r="A111" s="9"/>
      <c r="G111" s="18"/>
    </row>
    <row r="112" spans="1:7" s="1530" customFormat="1">
      <c r="A112" s="9"/>
      <c r="G112" s="18"/>
    </row>
    <row r="113" spans="1:7" s="1530" customFormat="1">
      <c r="A113" s="9"/>
      <c r="G113" s="18"/>
    </row>
    <row r="114" spans="1:7" s="1530" customFormat="1">
      <c r="A114" s="9"/>
      <c r="G114" s="18"/>
    </row>
    <row r="115" spans="1:7" s="1530" customFormat="1">
      <c r="A115" s="9"/>
      <c r="G115" s="18"/>
    </row>
    <row r="116" spans="1:7" s="1530" customFormat="1">
      <c r="A116" s="9"/>
      <c r="G116" s="18"/>
    </row>
    <row r="117" spans="1:7" s="1530" customFormat="1">
      <c r="A117" s="9"/>
      <c r="G117" s="18"/>
    </row>
    <row r="118" spans="1:7" s="1530" customFormat="1">
      <c r="A118" s="9"/>
      <c r="G118" s="18"/>
    </row>
    <row r="119" spans="1:7" s="1530" customFormat="1">
      <c r="A119" s="9"/>
      <c r="G119" s="18"/>
    </row>
    <row r="120" spans="1:7" s="1530" customFormat="1">
      <c r="A120" s="9"/>
      <c r="G120" s="18"/>
    </row>
    <row r="121" spans="1:7" s="1530" customFormat="1">
      <c r="A121" s="9"/>
      <c r="G121" s="18"/>
    </row>
    <row r="122" spans="1:7" s="1530" customFormat="1">
      <c r="A122" s="9"/>
      <c r="G122" s="18"/>
    </row>
    <row r="123" spans="1:7" s="1530" customFormat="1">
      <c r="A123" s="9"/>
      <c r="G123" s="18"/>
    </row>
    <row r="124" spans="1:7" s="1530" customFormat="1">
      <c r="A124" s="9"/>
      <c r="G124" s="18"/>
    </row>
    <row r="125" spans="1:7" s="1530" customFormat="1">
      <c r="A125" s="9"/>
      <c r="G125" s="18"/>
    </row>
    <row r="126" spans="1:7" s="1530" customFormat="1">
      <c r="A126" s="9"/>
      <c r="G126" s="18"/>
    </row>
    <row r="127" spans="1:7" s="1530" customFormat="1">
      <c r="A127" s="9"/>
      <c r="G127" s="18"/>
    </row>
    <row r="128" spans="1:7" s="1530" customFormat="1">
      <c r="A128" s="9"/>
      <c r="G128" s="18"/>
    </row>
    <row r="129" spans="1:7" s="1530" customFormat="1">
      <c r="A129" s="9"/>
      <c r="G129" s="18"/>
    </row>
    <row r="130" spans="1:7" s="1530" customFormat="1">
      <c r="A130" s="9"/>
      <c r="G130" s="18"/>
    </row>
    <row r="131" spans="1:7" s="1530" customFormat="1">
      <c r="A131" s="9"/>
      <c r="G131" s="18"/>
    </row>
    <row r="132" spans="1:7" s="1530" customFormat="1">
      <c r="A132" s="9"/>
      <c r="G132" s="18"/>
    </row>
    <row r="133" spans="1:7" s="1530" customFormat="1">
      <c r="A133" s="9"/>
      <c r="G133" s="18"/>
    </row>
    <row r="134" spans="1:7" s="1530" customFormat="1">
      <c r="A134" s="9"/>
      <c r="G134" s="18"/>
    </row>
    <row r="135" spans="1:7">
      <c r="A135" s="9"/>
      <c r="G135" s="18"/>
    </row>
    <row r="136" spans="1:7">
      <c r="A136" s="9"/>
      <c r="G136" s="18"/>
    </row>
    <row r="137" spans="1:7">
      <c r="A137" s="9"/>
      <c r="G137" s="18"/>
    </row>
    <row r="138" spans="1:7" s="1530" customFormat="1">
      <c r="A138" s="9"/>
      <c r="G138" s="18"/>
    </row>
    <row r="139" spans="1:7" s="1530" customFormat="1">
      <c r="A139" s="9"/>
      <c r="G139" s="18"/>
    </row>
    <row r="140" spans="1:7" s="1530" customFormat="1">
      <c r="A140" s="9"/>
      <c r="G140" s="18"/>
    </row>
    <row r="141" spans="1:7" s="1530" customFormat="1">
      <c r="A141" s="9"/>
      <c r="G141" s="18"/>
    </row>
    <row r="142" spans="1:7" s="1530" customFormat="1">
      <c r="A142" s="9"/>
      <c r="G142" s="18"/>
    </row>
    <row r="143" spans="1:7" s="1530" customFormat="1">
      <c r="A143" s="9"/>
      <c r="G143" s="18"/>
    </row>
    <row r="144" spans="1:7" s="1530" customFormat="1">
      <c r="A144" s="9"/>
      <c r="G144" s="18"/>
    </row>
    <row r="145" spans="1:7" s="1530" customFormat="1">
      <c r="A145" s="9"/>
      <c r="G145" s="18"/>
    </row>
    <row r="146" spans="1:7" s="1530" customFormat="1">
      <c r="A146" s="9"/>
      <c r="G146" s="18"/>
    </row>
    <row r="147" spans="1:7" s="1530" customFormat="1">
      <c r="A147" s="9"/>
      <c r="G147" s="18"/>
    </row>
    <row r="148" spans="1:7" s="1530" customFormat="1">
      <c r="A148" s="9"/>
      <c r="G148" s="18"/>
    </row>
    <row r="149" spans="1:7" s="1530" customFormat="1">
      <c r="A149" s="9"/>
      <c r="G149" s="18"/>
    </row>
    <row r="150" spans="1:7" s="1530" customFormat="1">
      <c r="A150" s="9"/>
      <c r="G150" s="18"/>
    </row>
    <row r="151" spans="1:7" s="1530" customFormat="1">
      <c r="A151" s="9"/>
      <c r="G151" s="18"/>
    </row>
    <row r="152" spans="1:7" s="1530" customFormat="1">
      <c r="A152" s="9"/>
      <c r="G152" s="18"/>
    </row>
    <row r="153" spans="1:7" s="1530" customFormat="1">
      <c r="A153" s="9"/>
      <c r="G153" s="18"/>
    </row>
    <row r="154" spans="1:7" s="1530" customFormat="1">
      <c r="A154" s="9"/>
      <c r="G154" s="18"/>
    </row>
    <row r="155" spans="1:7" s="1530" customFormat="1">
      <c r="A155" s="9"/>
      <c r="G155" s="18"/>
    </row>
    <row r="156" spans="1:7" s="1530" customFormat="1">
      <c r="A156" s="9"/>
      <c r="G156" s="18"/>
    </row>
    <row r="157" spans="1:7" s="1530" customFormat="1">
      <c r="A157" s="9"/>
      <c r="G157" s="18"/>
    </row>
    <row r="158" spans="1:7" s="1530" customFormat="1">
      <c r="A158" s="9"/>
      <c r="G158" s="18"/>
    </row>
    <row r="159" spans="1:7" s="1530" customFormat="1">
      <c r="A159" s="9"/>
      <c r="G159" s="18"/>
    </row>
    <row r="160" spans="1:7" s="1530" customFormat="1">
      <c r="A160" s="9"/>
      <c r="G160" s="18"/>
    </row>
    <row r="161" spans="1:7" s="1530" customFormat="1">
      <c r="A161" s="9"/>
      <c r="G161" s="18"/>
    </row>
    <row r="162" spans="1:7" s="1530" customFormat="1">
      <c r="A162" s="9"/>
      <c r="G162" s="18"/>
    </row>
    <row r="163" spans="1:7" s="1530" customFormat="1">
      <c r="A163" s="9"/>
      <c r="G163" s="18"/>
    </row>
    <row r="164" spans="1:7" s="1530" customFormat="1">
      <c r="A164" s="9"/>
      <c r="G164" s="18"/>
    </row>
    <row r="165" spans="1:7" s="1530" customFormat="1">
      <c r="A165" s="9"/>
      <c r="G165" s="18"/>
    </row>
    <row r="166" spans="1:7" s="1530" customFormat="1">
      <c r="A166" s="9"/>
      <c r="G166" s="18"/>
    </row>
    <row r="167" spans="1:7" s="1530" customFormat="1">
      <c r="A167" s="9"/>
      <c r="G167" s="18"/>
    </row>
    <row r="168" spans="1:7" s="1530" customFormat="1">
      <c r="A168" s="9"/>
      <c r="G168" s="18"/>
    </row>
    <row r="169" spans="1:7" s="1530" customFormat="1">
      <c r="A169" s="9"/>
      <c r="G169" s="18"/>
    </row>
    <row r="170" spans="1:7" s="1530" customFormat="1">
      <c r="A170" s="9"/>
      <c r="G170" s="18"/>
    </row>
    <row r="171" spans="1:7" s="1530" customFormat="1">
      <c r="A171" s="9"/>
      <c r="G171" s="18"/>
    </row>
    <row r="172" spans="1:7" s="1530" customFormat="1">
      <c r="A172" s="9"/>
      <c r="G172" s="18"/>
    </row>
    <row r="173" spans="1:7">
      <c r="A173" s="9"/>
      <c r="G173" s="18"/>
    </row>
    <row r="174" spans="1:7" ht="13.5" thickBot="1">
      <c r="A174" s="11"/>
      <c r="B174" s="19"/>
      <c r="C174" s="19"/>
      <c r="D174" s="19"/>
      <c r="E174" s="19"/>
      <c r="F174" s="19"/>
      <c r="G174" s="20"/>
    </row>
    <row r="177" spans="1:7">
      <c r="A177" s="55" t="s">
        <v>1132</v>
      </c>
    </row>
    <row r="178" spans="1:7">
      <c r="A178" s="1034" t="s">
        <v>410</v>
      </c>
      <c r="B178" s="1034"/>
      <c r="C178" s="1034"/>
      <c r="D178" s="1034"/>
      <c r="E178" s="1035"/>
      <c r="F178" s="1035"/>
    </row>
    <row r="180" spans="1:7">
      <c r="D180" s="1585" t="s">
        <v>440</v>
      </c>
      <c r="E180" s="2046"/>
      <c r="F180" s="2046"/>
      <c r="G180" s="2046"/>
    </row>
  </sheetData>
  <mergeCells count="6">
    <mergeCell ref="A1:G1"/>
    <mergeCell ref="A3:G3"/>
    <mergeCell ref="A7:G7"/>
    <mergeCell ref="D180:G180"/>
    <mergeCell ref="C11:E11"/>
    <mergeCell ref="C9:E9"/>
  </mergeCells>
  <phoneticPr fontId="3" type="noConversion"/>
  <hyperlinks>
    <hyperlink ref="D180" location="'TABLA DE CONTENIDO'!A1" display="'TABLA DE CONTENIDO'!A1"/>
    <hyperlink ref="D180:G180" location="'TABLA DE CONTENIDO'!A1" display="VOLVER A TABLA DE CONTENIDO"/>
  </hyperlinks>
  <printOptions horizontalCentered="1" verticalCentered="1"/>
  <pageMargins left="0.59055118110236227" right="0.47244094488188981" top="0.59055118110236227" bottom="0.98425196850393704" header="0" footer="0"/>
  <pageSetup scale="49" orientation="portrait" horizontalDpi="300" verticalDpi="300" r:id="rId1"/>
  <headerFooter alignWithMargins="0"/>
  <rowBreaks count="1" manualBreakCount="1">
    <brk id="72" max="6" man="1"/>
  </rowBreaks>
  <drawing r:id="rId2"/>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J46"/>
  <sheetViews>
    <sheetView view="pageBreakPreview" zoomScaleNormal="100" zoomScaleSheetLayoutView="100" workbookViewId="0">
      <selection activeCell="I35" sqref="I35"/>
    </sheetView>
  </sheetViews>
  <sheetFormatPr baseColWidth="10" defaultRowHeight="12.75"/>
  <cols>
    <col min="1" max="1" width="5" customWidth="1"/>
    <col min="5" max="5" width="27.28515625" customWidth="1"/>
    <col min="6" max="6" width="21.28515625" customWidth="1"/>
  </cols>
  <sheetData>
    <row r="1" spans="1:7" ht="23.25">
      <c r="A1" s="1579" t="s">
        <v>0</v>
      </c>
      <c r="B1" s="1579"/>
      <c r="C1" s="1579"/>
      <c r="D1" s="1579"/>
      <c r="E1" s="1579"/>
      <c r="F1" s="1579"/>
      <c r="G1" s="1579"/>
    </row>
    <row r="2" spans="1:7" ht="23.25">
      <c r="A2" s="171"/>
      <c r="B2" s="171"/>
      <c r="C2" s="171"/>
      <c r="D2" s="171"/>
      <c r="E2" s="171"/>
      <c r="F2" s="171"/>
    </row>
    <row r="3" spans="1:7" ht="18">
      <c r="A3" s="1580" t="s">
        <v>531</v>
      </c>
      <c r="B3" s="1580"/>
      <c r="C3" s="1580"/>
      <c r="D3" s="1580"/>
      <c r="E3" s="1580"/>
      <c r="F3" s="1580"/>
    </row>
    <row r="4" spans="1:7">
      <c r="B4" s="37"/>
      <c r="C4" s="31"/>
      <c r="D4" s="31"/>
      <c r="E4" s="1"/>
      <c r="F4" s="1"/>
    </row>
    <row r="5" spans="1:7" ht="20.25">
      <c r="A5" s="1571" t="s">
        <v>66</v>
      </c>
      <c r="B5" s="1571"/>
      <c r="C5" s="1571"/>
      <c r="D5" s="1571"/>
      <c r="E5" s="1571"/>
      <c r="F5" s="1571"/>
      <c r="G5" s="1571"/>
    </row>
    <row r="6" spans="1:7">
      <c r="A6" t="s">
        <v>54</v>
      </c>
      <c r="B6" s="37"/>
      <c r="C6" s="31"/>
      <c r="D6" s="31"/>
      <c r="E6" s="1"/>
      <c r="F6" s="1"/>
    </row>
    <row r="7" spans="1:7">
      <c r="A7" s="141" t="s">
        <v>147</v>
      </c>
      <c r="B7" s="32"/>
      <c r="D7" s="2374" t="str">
        <f>'CUMPLIMIENTO % '!C7</f>
        <v>LUIS GABRIEL IBARRA ANGEL</v>
      </c>
      <c r="E7" s="2374"/>
      <c r="F7" s="2374"/>
    </row>
    <row r="8" spans="1:7">
      <c r="A8" s="141"/>
      <c r="B8" s="32"/>
    </row>
    <row r="10" spans="1:7">
      <c r="A10" s="141" t="s">
        <v>409</v>
      </c>
      <c r="B10" s="141"/>
      <c r="C10" s="141"/>
      <c r="D10" s="2374" t="str">
        <f>PORTADA!C31</f>
        <v>OCTUBRE - DICIEMBRE DEL 2020</v>
      </c>
      <c r="E10" s="2374"/>
      <c r="F10" s="2374"/>
    </row>
    <row r="12" spans="1:7" ht="13.5" thickBot="1">
      <c r="A12" s="19"/>
      <c r="B12" s="19"/>
      <c r="C12" s="19"/>
      <c r="D12" s="19"/>
      <c r="E12" s="19"/>
      <c r="F12" s="19"/>
    </row>
    <row r="13" spans="1:7">
      <c r="A13" s="15"/>
      <c r="B13" s="16"/>
      <c r="C13" s="16"/>
      <c r="D13" s="16"/>
      <c r="E13" s="16"/>
      <c r="F13" s="16"/>
      <c r="G13" s="17"/>
    </row>
    <row r="14" spans="1:7" ht="42.75" customHeight="1">
      <c r="A14" s="819">
        <v>1</v>
      </c>
      <c r="B14" s="2377" t="s">
        <v>1521</v>
      </c>
      <c r="C14" s="2377"/>
      <c r="D14" s="2377"/>
      <c r="E14" s="2377"/>
      <c r="F14" s="2377"/>
      <c r="G14" s="2378"/>
    </row>
    <row r="15" spans="1:7">
      <c r="A15" s="9"/>
      <c r="B15" s="1019"/>
      <c r="C15" s="1019"/>
      <c r="D15" s="1019"/>
      <c r="E15" s="1019"/>
      <c r="F15" s="1019"/>
      <c r="G15" s="820"/>
    </row>
    <row r="16" spans="1:7" ht="41.25" customHeight="1">
      <c r="A16" s="819">
        <v>2</v>
      </c>
      <c r="B16" s="2379" t="s">
        <v>1522</v>
      </c>
      <c r="C16" s="2379"/>
      <c r="D16" s="2379"/>
      <c r="E16" s="2379"/>
      <c r="F16" s="2379"/>
      <c r="G16" s="2380"/>
    </row>
    <row r="17" spans="1:10">
      <c r="A17" s="9"/>
      <c r="B17" s="1019"/>
      <c r="C17" s="1019"/>
      <c r="D17" s="1019"/>
      <c r="E17" s="1019"/>
      <c r="F17" s="1019"/>
      <c r="G17" s="820"/>
    </row>
    <row r="18" spans="1:10" ht="44.25" customHeight="1">
      <c r="A18" s="819">
        <v>3</v>
      </c>
      <c r="B18" s="2372" t="s">
        <v>1523</v>
      </c>
      <c r="C18" s="2372"/>
      <c r="D18" s="2372"/>
      <c r="E18" s="2372"/>
      <c r="F18" s="2372"/>
      <c r="G18" s="2373"/>
    </row>
    <row r="19" spans="1:10">
      <c r="A19" s="9"/>
      <c r="B19" s="1019"/>
      <c r="C19" s="1019"/>
      <c r="D19" s="1019"/>
      <c r="E19" s="1019"/>
      <c r="F19" s="1019"/>
      <c r="G19" s="820"/>
    </row>
    <row r="20" spans="1:10" ht="51.75" customHeight="1">
      <c r="A20" s="819">
        <v>4</v>
      </c>
      <c r="B20" s="2372" t="s">
        <v>1524</v>
      </c>
      <c r="C20" s="2372"/>
      <c r="D20" s="2372"/>
      <c r="E20" s="2372"/>
      <c r="F20" s="2372"/>
      <c r="G20" s="2373"/>
    </row>
    <row r="21" spans="1:10">
      <c r="A21" s="9"/>
      <c r="B21" s="1019"/>
      <c r="C21" s="1019"/>
      <c r="D21" s="1019"/>
      <c r="E21" s="1019"/>
      <c r="F21" s="1019"/>
      <c r="G21" s="820"/>
    </row>
    <row r="22" spans="1:10" ht="51.75" customHeight="1">
      <c r="A22" s="819">
        <v>5</v>
      </c>
      <c r="B22" s="2372" t="s">
        <v>1525</v>
      </c>
      <c r="C22" s="2372"/>
      <c r="D22" s="2372"/>
      <c r="E22" s="2372"/>
      <c r="F22" s="2372"/>
      <c r="G22" s="2373"/>
    </row>
    <row r="23" spans="1:10">
      <c r="A23" s="9"/>
      <c r="B23" s="1019"/>
      <c r="C23" s="1019"/>
      <c r="D23" s="1019"/>
      <c r="E23" s="1019"/>
      <c r="F23" s="1019"/>
      <c r="G23" s="820"/>
    </row>
    <row r="24" spans="1:10" ht="69.75" customHeight="1">
      <c r="A24" s="819">
        <v>6</v>
      </c>
      <c r="B24" s="2372" t="s">
        <v>1366</v>
      </c>
      <c r="C24" s="2372"/>
      <c r="D24" s="2372"/>
      <c r="E24" s="2372"/>
      <c r="F24" s="2372"/>
      <c r="G24" s="2373"/>
    </row>
    <row r="25" spans="1:10">
      <c r="A25" s="9"/>
      <c r="B25" s="1020"/>
      <c r="C25" s="1019"/>
      <c r="D25" s="1019"/>
      <c r="E25" s="1019"/>
      <c r="F25" s="1019"/>
      <c r="G25" s="820"/>
      <c r="J25" s="51"/>
    </row>
    <row r="26" spans="1:10" ht="54.75" customHeight="1">
      <c r="A26" s="819">
        <v>7</v>
      </c>
      <c r="B26" s="2372" t="s">
        <v>1526</v>
      </c>
      <c r="C26" s="2372"/>
      <c r="D26" s="2372"/>
      <c r="E26" s="2372"/>
      <c r="F26" s="2372"/>
      <c r="G26" s="2373"/>
    </row>
    <row r="27" spans="1:10">
      <c r="A27" s="9"/>
      <c r="B27" s="1019"/>
      <c r="C27" s="1019"/>
      <c r="D27" s="1019"/>
      <c r="E27" s="1019"/>
      <c r="F27" s="1019"/>
      <c r="G27" s="820"/>
    </row>
    <row r="28" spans="1:10">
      <c r="A28" s="9"/>
      <c r="B28" s="1021"/>
      <c r="C28" s="1021"/>
      <c r="D28" s="1021"/>
      <c r="E28" s="1021"/>
      <c r="F28" s="1021"/>
      <c r="G28" s="1022"/>
    </row>
    <row r="29" spans="1:10" ht="46.5" customHeight="1">
      <c r="A29" s="819">
        <v>8</v>
      </c>
      <c r="B29" s="2372" t="s">
        <v>1330</v>
      </c>
      <c r="C29" s="2372"/>
      <c r="D29" s="2372"/>
      <c r="E29" s="2372"/>
      <c r="F29" s="2372"/>
      <c r="G29" s="2373"/>
    </row>
    <row r="30" spans="1:10">
      <c r="A30" s="9"/>
      <c r="B30" s="1021"/>
      <c r="C30" s="1021"/>
      <c r="D30" s="1021"/>
      <c r="E30" s="1021"/>
      <c r="F30" s="1021"/>
      <c r="G30" s="1022"/>
    </row>
    <row r="31" spans="1:10" ht="78.75" customHeight="1">
      <c r="A31" s="819">
        <v>9</v>
      </c>
      <c r="B31" s="2381" t="s">
        <v>1331</v>
      </c>
      <c r="C31" s="2381"/>
      <c r="D31" s="2381"/>
      <c r="E31" s="2381"/>
      <c r="F31" s="2381"/>
      <c r="G31" s="2382"/>
    </row>
    <row r="32" spans="1:10">
      <c r="A32" s="9"/>
      <c r="B32" s="1021"/>
      <c r="C32" s="1021"/>
      <c r="D32" s="1021"/>
      <c r="E32" s="1021"/>
      <c r="F32" s="1021"/>
      <c r="G32" s="1022"/>
    </row>
    <row r="33" spans="1:7" ht="60.75" customHeight="1">
      <c r="A33" s="819">
        <v>10</v>
      </c>
      <c r="B33" s="2383" t="s">
        <v>1527</v>
      </c>
      <c r="C33" s="2381"/>
      <c r="D33" s="2381"/>
      <c r="E33" s="2381"/>
      <c r="F33" s="2381"/>
      <c r="G33" s="2382"/>
    </row>
    <row r="34" spans="1:7">
      <c r="A34" s="819"/>
      <c r="B34" s="1023"/>
      <c r="C34" s="1023"/>
      <c r="D34" s="1023"/>
      <c r="E34" s="1023"/>
      <c r="F34" s="1023"/>
      <c r="G34" s="1018"/>
    </row>
    <row r="35" spans="1:7" ht="70.5" customHeight="1">
      <c r="A35" s="819">
        <v>11</v>
      </c>
      <c r="B35" s="2383" t="s">
        <v>1332</v>
      </c>
      <c r="C35" s="2381"/>
      <c r="D35" s="2381"/>
      <c r="E35" s="2381"/>
      <c r="F35" s="2381"/>
      <c r="G35" s="2382"/>
    </row>
    <row r="36" spans="1:7" s="962" customFormat="1" ht="12.75" customHeight="1">
      <c r="A36" s="819"/>
      <c r="B36" s="2383"/>
      <c r="C36" s="2383"/>
      <c r="D36" s="2383"/>
      <c r="E36" s="2383"/>
      <c r="F36" s="2383"/>
      <c r="G36" s="2384"/>
    </row>
    <row r="37" spans="1:7" s="962" customFormat="1" ht="12.75" customHeight="1">
      <c r="A37" s="819">
        <v>12</v>
      </c>
      <c r="B37" s="2383" t="s">
        <v>1102</v>
      </c>
      <c r="C37" s="2383"/>
      <c r="D37" s="2383"/>
      <c r="E37" s="2383"/>
      <c r="F37" s="2383"/>
      <c r="G37" s="2384"/>
    </row>
    <row r="38" spans="1:7" ht="25.5" customHeight="1">
      <c r="A38" s="819"/>
      <c r="B38" s="2383"/>
      <c r="C38" s="2383"/>
      <c r="D38" s="2383"/>
      <c r="E38" s="2383"/>
      <c r="F38" s="2383"/>
      <c r="G38" s="2384"/>
    </row>
    <row r="39" spans="1:7" ht="13.5" thickBot="1">
      <c r="A39" s="11"/>
      <c r="B39" s="19"/>
      <c r="C39" s="19"/>
      <c r="D39" s="19"/>
      <c r="E39" s="19"/>
      <c r="F39" s="2375" t="s">
        <v>440</v>
      </c>
      <c r="G39" s="2376"/>
    </row>
    <row r="40" spans="1:7">
      <c r="B40" s="2"/>
      <c r="C40" s="2"/>
      <c r="D40" s="2"/>
      <c r="E40" s="2"/>
      <c r="F40" s="2"/>
    </row>
    <row r="46" spans="1:7">
      <c r="D46" t="s">
        <v>54</v>
      </c>
    </row>
  </sheetData>
  <mergeCells count="19">
    <mergeCell ref="F39:G39"/>
    <mergeCell ref="B14:G14"/>
    <mergeCell ref="B16:G16"/>
    <mergeCell ref="B18:G18"/>
    <mergeCell ref="B20:G20"/>
    <mergeCell ref="B31:G31"/>
    <mergeCell ref="B33:G33"/>
    <mergeCell ref="B22:G22"/>
    <mergeCell ref="B26:G26"/>
    <mergeCell ref="B24:G24"/>
    <mergeCell ref="B35:G35"/>
    <mergeCell ref="B36:G36"/>
    <mergeCell ref="B37:G38"/>
    <mergeCell ref="A3:F3"/>
    <mergeCell ref="A1:G1"/>
    <mergeCell ref="A5:G5"/>
    <mergeCell ref="B29:G29"/>
    <mergeCell ref="D10:F10"/>
    <mergeCell ref="D7:F7"/>
  </mergeCells>
  <phoneticPr fontId="3" type="noConversion"/>
  <hyperlinks>
    <hyperlink ref="F39" location="'TABLA DE CONTENIDO'!A1" display="VOLVER A TABLA DE CONTENIDO"/>
  </hyperlinks>
  <printOptions horizontalCentered="1"/>
  <pageMargins left="0.51181102362204722" right="0.41" top="0.78740157480314965" bottom="0.98425196850393704" header="0.51181102362204722" footer="0.51181102362204722"/>
  <pageSetup scale="67" orientation="portrait" horizontalDpi="300" verticalDpi="300" r:id="rId1"/>
  <headerFooter alignWithMargins="0"/>
  <drawing r:id="rId2"/>
  <legacyDrawing r:id="rId3"/>
  <oleObjects>
    <mc:AlternateContent xmlns:mc="http://schemas.openxmlformats.org/markup-compatibility/2006">
      <mc:Choice Requires="x14">
        <oleObject progId="Word.Document.6" shapeId="13313" r:id="rId4">
          <objectPr defaultSize="0" autoLine="0" autoPict="0" r:id="rId5">
            <anchor moveWithCells="1">
              <from>
                <xdr:col>0</xdr:col>
                <xdr:colOff>0</xdr:colOff>
                <xdr:row>0</xdr:row>
                <xdr:rowOff>0</xdr:rowOff>
              </from>
              <to>
                <xdr:col>2</xdr:col>
                <xdr:colOff>38100</xdr:colOff>
                <xdr:row>3</xdr:row>
                <xdr:rowOff>114300</xdr:rowOff>
              </to>
            </anchor>
          </objectPr>
        </oleObject>
      </mc:Choice>
      <mc:Fallback>
        <oleObject progId="Word.Document.6" shapeId="13313" r:id="rId4"/>
      </mc:Fallback>
    </mc:AlternateContent>
  </oleObjects>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986"/>
  <sheetViews>
    <sheetView view="pageBreakPreview" topLeftCell="I1" zoomScaleNormal="50" zoomScaleSheetLayoutView="100" zoomScalePageLayoutView="70" workbookViewId="0">
      <selection activeCell="P153" sqref="P153"/>
    </sheetView>
  </sheetViews>
  <sheetFormatPr baseColWidth="10" defaultColWidth="14.42578125" defaultRowHeight="15" customHeight="1"/>
  <cols>
    <col min="1" max="1" width="5" style="1041" customWidth="1"/>
    <col min="2" max="2" width="10" style="1041" customWidth="1"/>
    <col min="3" max="3" width="10.85546875" style="1041" customWidth="1"/>
    <col min="4" max="4" width="10" style="1041" customWidth="1"/>
    <col min="5" max="5" width="22.85546875" style="1041" customWidth="1"/>
    <col min="6" max="6" width="21.28515625" style="1041" customWidth="1"/>
    <col min="7" max="7" width="12.28515625" style="1041" customWidth="1"/>
    <col min="8" max="8" width="6.85546875" style="1041" customWidth="1"/>
    <col min="9" max="9" width="13.5703125" style="1041" customWidth="1"/>
    <col min="10" max="10" width="13.140625" style="1041" customWidth="1"/>
    <col min="11" max="11" width="10" style="1041" customWidth="1"/>
    <col min="12" max="12" width="22.140625" style="1041" customWidth="1"/>
    <col min="13" max="13" width="23.85546875" style="1041" customWidth="1"/>
    <col min="14" max="14" width="10" style="1041" customWidth="1"/>
    <col min="15" max="15" width="15.140625" style="1041" customWidth="1"/>
    <col min="16" max="16" width="13.28515625" style="1041" customWidth="1"/>
    <col min="17" max="17" width="15.7109375" style="1041" customWidth="1"/>
    <col min="18" max="18" width="15.140625" style="1041" customWidth="1"/>
    <col min="19" max="19" width="16.140625" style="1041" customWidth="1"/>
    <col min="20" max="20" width="15.140625" style="1041" customWidth="1"/>
    <col min="21" max="21" width="14.28515625" style="1041" customWidth="1"/>
    <col min="22" max="26" width="10" style="1041" customWidth="1"/>
    <col min="27" max="16384" width="14.42578125" style="1041"/>
  </cols>
  <sheetData>
    <row r="1" spans="1:21" ht="23.25" customHeight="1">
      <c r="A1" s="2392" t="s">
        <v>0</v>
      </c>
      <c r="B1" s="2100"/>
      <c r="C1" s="2100"/>
      <c r="D1" s="2100"/>
      <c r="E1" s="2100"/>
      <c r="F1" s="2100"/>
      <c r="G1" s="2302"/>
      <c r="H1" s="2392" t="s">
        <v>0</v>
      </c>
      <c r="I1" s="2100"/>
      <c r="J1" s="2100"/>
      <c r="K1" s="2100"/>
      <c r="L1" s="2100"/>
      <c r="M1" s="2100"/>
      <c r="N1" s="2302"/>
      <c r="O1" s="2392" t="s">
        <v>0</v>
      </c>
      <c r="P1" s="2100"/>
      <c r="Q1" s="2100"/>
      <c r="R1" s="2100"/>
      <c r="S1" s="2100"/>
      <c r="T1" s="2100"/>
      <c r="U1" s="2302"/>
    </row>
    <row r="2" spans="1:21" ht="23.25" customHeight="1">
      <c r="A2" s="1304"/>
      <c r="B2" s="1291"/>
      <c r="C2" s="1291"/>
      <c r="D2" s="1291"/>
      <c r="E2" s="1291"/>
      <c r="F2" s="1291"/>
      <c r="G2" s="1299"/>
      <c r="H2" s="1304"/>
      <c r="I2" s="1291"/>
      <c r="J2" s="1291"/>
      <c r="K2" s="1291"/>
      <c r="L2" s="1291"/>
      <c r="M2" s="1291"/>
      <c r="N2" s="1299"/>
      <c r="O2" s="1304"/>
      <c r="P2" s="1291"/>
      <c r="Q2" s="1291"/>
      <c r="R2" s="1291"/>
      <c r="S2" s="1291"/>
      <c r="T2" s="1291"/>
      <c r="U2" s="1299"/>
    </row>
    <row r="3" spans="1:21" ht="18" customHeight="1">
      <c r="A3" s="2396" t="s">
        <v>833</v>
      </c>
      <c r="B3" s="2399"/>
      <c r="C3" s="2399"/>
      <c r="D3" s="2399"/>
      <c r="E3" s="2399"/>
      <c r="F3" s="2399"/>
      <c r="G3" s="2400"/>
      <c r="H3" s="2396" t="s">
        <v>833</v>
      </c>
      <c r="I3" s="2060"/>
      <c r="J3" s="2060"/>
      <c r="K3" s="2060"/>
      <c r="L3" s="2060"/>
      <c r="M3" s="2060"/>
      <c r="N3" s="1299"/>
      <c r="O3" s="2396" t="s">
        <v>833</v>
      </c>
      <c r="P3" s="2060"/>
      <c r="Q3" s="2060"/>
      <c r="R3" s="2060"/>
      <c r="S3" s="2060"/>
      <c r="T3" s="2060"/>
      <c r="U3" s="1299"/>
    </row>
    <row r="4" spans="1:21" ht="12.75" customHeight="1">
      <c r="A4" s="1298"/>
      <c r="B4" s="1036"/>
      <c r="C4" s="1292"/>
      <c r="D4" s="1292"/>
      <c r="E4" s="1059"/>
      <c r="F4" s="1059"/>
      <c r="G4" s="1299"/>
      <c r="H4" s="1298"/>
      <c r="I4" s="1036"/>
      <c r="J4" s="1292"/>
      <c r="K4" s="1292"/>
      <c r="L4" s="1059"/>
      <c r="M4" s="1059"/>
      <c r="N4" s="1299"/>
      <c r="O4" s="1298"/>
      <c r="P4" s="1036"/>
      <c r="Q4" s="1292"/>
      <c r="R4" s="1292"/>
      <c r="S4" s="1059"/>
      <c r="T4" s="1059"/>
      <c r="U4" s="1299"/>
    </row>
    <row r="5" spans="1:21" ht="20.25" customHeight="1">
      <c r="A5" s="2393" t="s">
        <v>1327</v>
      </c>
      <c r="B5" s="2394"/>
      <c r="C5" s="2394"/>
      <c r="D5" s="2394"/>
      <c r="E5" s="2394"/>
      <c r="F5" s="2394"/>
      <c r="G5" s="2395"/>
      <c r="H5" s="2393" t="s">
        <v>1327</v>
      </c>
      <c r="I5" s="2394"/>
      <c r="J5" s="2394"/>
      <c r="K5" s="2394"/>
      <c r="L5" s="2394"/>
      <c r="M5" s="2394"/>
      <c r="N5" s="2395"/>
      <c r="O5" s="2397" t="s">
        <v>1327</v>
      </c>
      <c r="P5" s="2060"/>
      <c r="Q5" s="2060"/>
      <c r="R5" s="2060"/>
      <c r="S5" s="2060"/>
      <c r="T5" s="2060"/>
      <c r="U5" s="2398"/>
    </row>
    <row r="6" spans="1:21" ht="12.75" customHeight="1">
      <c r="A6" s="1298" t="s">
        <v>54</v>
      </c>
      <c r="B6" s="1036"/>
      <c r="C6" s="1292"/>
      <c r="D6" s="1292"/>
      <c r="E6" s="1059"/>
      <c r="F6" s="1059"/>
      <c r="G6" s="1299"/>
      <c r="H6" s="1298" t="s">
        <v>54</v>
      </c>
      <c r="I6" s="1036"/>
      <c r="J6" s="1292"/>
      <c r="K6" s="1292"/>
      <c r="L6" s="1059"/>
      <c r="M6" s="1059"/>
      <c r="N6" s="1299"/>
      <c r="O6" s="1298" t="s">
        <v>54</v>
      </c>
      <c r="P6" s="1036"/>
      <c r="Q6" s="1292"/>
      <c r="R6" s="1292"/>
      <c r="S6" s="1059"/>
      <c r="T6" s="1059"/>
      <c r="U6" s="1299"/>
    </row>
    <row r="7" spans="1:21" ht="12.75" customHeight="1">
      <c r="A7" s="1305" t="s">
        <v>147</v>
      </c>
      <c r="B7" s="1294"/>
      <c r="C7" s="1196"/>
      <c r="D7" s="1176" t="s">
        <v>1120</v>
      </c>
      <c r="E7" s="1176"/>
      <c r="F7" s="1176"/>
      <c r="G7" s="1299"/>
      <c r="H7" s="1305" t="s">
        <v>147</v>
      </c>
      <c r="I7" s="1294"/>
      <c r="J7" s="1196"/>
      <c r="K7" s="1176" t="s">
        <v>1120</v>
      </c>
      <c r="L7" s="1176"/>
      <c r="M7" s="1176"/>
      <c r="N7" s="1299"/>
      <c r="O7" s="1305" t="s">
        <v>147</v>
      </c>
      <c r="P7" s="1294"/>
      <c r="Q7" s="1196"/>
      <c r="R7" s="1176" t="s">
        <v>1120</v>
      </c>
      <c r="S7" s="1176"/>
      <c r="T7" s="1176"/>
      <c r="U7" s="1299"/>
    </row>
    <row r="8" spans="1:21" ht="12.75" customHeight="1">
      <c r="A8" s="1305"/>
      <c r="B8" s="1294"/>
      <c r="C8" s="1196"/>
      <c r="D8" s="1196"/>
      <c r="E8" s="1196"/>
      <c r="F8" s="1196"/>
      <c r="G8" s="1299"/>
      <c r="H8" s="1305"/>
      <c r="I8" s="1294"/>
      <c r="J8" s="1196"/>
      <c r="K8" s="1196"/>
      <c r="L8" s="1196"/>
      <c r="M8" s="1196"/>
      <c r="N8" s="1299"/>
      <c r="O8" s="1305"/>
      <c r="P8" s="1294"/>
      <c r="Q8" s="1196"/>
      <c r="R8" s="1196"/>
      <c r="S8" s="1196"/>
      <c r="T8" s="1196"/>
      <c r="U8" s="1299"/>
    </row>
    <row r="9" spans="1:21" ht="12.75" customHeight="1">
      <c r="A9" s="1298"/>
      <c r="B9" s="1196"/>
      <c r="C9" s="1196"/>
      <c r="D9" s="1196"/>
      <c r="E9" s="1196"/>
      <c r="F9" s="1196"/>
      <c r="G9" s="1299"/>
      <c r="H9" s="1298"/>
      <c r="I9" s="1196"/>
      <c r="J9" s="1196"/>
      <c r="K9" s="1196"/>
      <c r="L9" s="1196"/>
      <c r="M9" s="1196"/>
      <c r="N9" s="1299"/>
      <c r="O9" s="1298"/>
      <c r="P9" s="1196"/>
      <c r="Q9" s="1196"/>
      <c r="R9" s="1196"/>
      <c r="S9" s="1196"/>
      <c r="T9" s="1196"/>
      <c r="U9" s="1299"/>
    </row>
    <row r="10" spans="1:21" ht="12.75" customHeight="1">
      <c r="A10" s="1443"/>
      <c r="B10" s="1444"/>
      <c r="C10" s="1444"/>
      <c r="D10" s="2391" t="str">
        <f>+COMENTARIOS!A10</f>
        <v>TRIMESTRE EVALUADO:</v>
      </c>
      <c r="E10" s="2391"/>
      <c r="F10" s="1330" t="str">
        <f>+COMENTARIOS!D10</f>
        <v>OCTUBRE - DICIEMBRE DEL 2020</v>
      </c>
      <c r="G10" s="1299"/>
      <c r="H10" s="1443"/>
      <c r="I10" s="1444"/>
      <c r="J10" s="1444"/>
      <c r="K10" s="1732" t="str">
        <f>+D10</f>
        <v>TRIMESTRE EVALUADO:</v>
      </c>
      <c r="L10" s="1732"/>
      <c r="M10" s="1444" t="str">
        <f>+F10</f>
        <v>OCTUBRE - DICIEMBRE DEL 2020</v>
      </c>
      <c r="N10" s="1299"/>
      <c r="O10" s="1443"/>
      <c r="P10" s="1444"/>
      <c r="Q10" s="1732" t="str">
        <f>+K10</f>
        <v>TRIMESTRE EVALUADO:</v>
      </c>
      <c r="R10" s="1732"/>
      <c r="S10" s="1444" t="str">
        <f>+M10</f>
        <v>OCTUBRE - DICIEMBRE DEL 2020</v>
      </c>
      <c r="T10" s="1444"/>
      <c r="U10" s="1299"/>
    </row>
    <row r="11" spans="1:21" ht="29.25" customHeight="1">
      <c r="A11" s="2401" t="s">
        <v>1529</v>
      </c>
      <c r="B11" s="2159"/>
      <c r="C11" s="2159"/>
      <c r="D11" s="2159"/>
      <c r="E11" s="2159"/>
      <c r="F11" s="2159"/>
      <c r="G11" s="2402"/>
      <c r="H11" s="2401" t="s">
        <v>1549</v>
      </c>
      <c r="I11" s="2159"/>
      <c r="J11" s="2159"/>
      <c r="K11" s="2159"/>
      <c r="L11" s="2159"/>
      <c r="M11" s="2159"/>
      <c r="N11" s="2402"/>
      <c r="O11" s="2406" t="s">
        <v>1579</v>
      </c>
      <c r="P11" s="1732"/>
      <c r="Q11" s="1732"/>
      <c r="R11" s="1732"/>
      <c r="S11" s="1732"/>
      <c r="T11" s="1732"/>
      <c r="U11" s="2407"/>
    </row>
    <row r="12" spans="1:21" ht="13.5" customHeight="1" thickBot="1">
      <c r="A12" s="2403"/>
      <c r="B12" s="2404"/>
      <c r="C12" s="2404"/>
      <c r="D12" s="2404"/>
      <c r="E12" s="2404"/>
      <c r="F12" s="2404"/>
      <c r="G12" s="2405"/>
      <c r="H12" s="2403"/>
      <c r="I12" s="2404"/>
      <c r="J12" s="2404"/>
      <c r="K12" s="2404"/>
      <c r="L12" s="2404"/>
      <c r="M12" s="2404"/>
      <c r="N12" s="2405"/>
      <c r="O12" s="2408"/>
      <c r="P12" s="2409"/>
      <c r="Q12" s="2409"/>
      <c r="R12" s="2409"/>
      <c r="S12" s="2409"/>
      <c r="T12" s="2409"/>
      <c r="U12" s="2410"/>
    </row>
    <row r="13" spans="1:21" ht="12.75" customHeight="1">
      <c r="A13" s="1298"/>
      <c r="B13" s="1196"/>
      <c r="C13" s="1196"/>
      <c r="D13" s="1196"/>
      <c r="E13" s="1296"/>
      <c r="F13" s="1296"/>
      <c r="G13" s="1297"/>
      <c r="H13" s="1298"/>
      <c r="I13" s="1196"/>
      <c r="J13" s="1196"/>
      <c r="K13" s="1196"/>
      <c r="L13" s="1296"/>
      <c r="M13" s="1296"/>
      <c r="N13" s="1297"/>
      <c r="O13" s="1298"/>
      <c r="P13" s="1196"/>
      <c r="Q13" s="1196"/>
      <c r="R13" s="1196"/>
      <c r="S13" s="1296"/>
      <c r="T13" s="1296"/>
      <c r="U13" s="1297"/>
    </row>
    <row r="14" spans="1:21" ht="18" customHeight="1">
      <c r="A14" s="1306" t="s">
        <v>834</v>
      </c>
      <c r="B14" s="1307"/>
      <c r="C14" s="1308"/>
      <c r="D14" s="1445" t="s">
        <v>1528</v>
      </c>
      <c r="E14" s="1446"/>
      <c r="F14" s="1424"/>
      <c r="G14" s="1299"/>
      <c r="H14" s="1306" t="s">
        <v>834</v>
      </c>
      <c r="I14" s="1307"/>
      <c r="J14" s="1308"/>
      <c r="K14" s="1445" t="s">
        <v>1548</v>
      </c>
      <c r="L14" s="1446"/>
      <c r="M14" s="1424"/>
      <c r="N14" s="1299"/>
      <c r="O14" s="1306" t="s">
        <v>834</v>
      </c>
      <c r="P14" s="1307"/>
      <c r="Q14" s="1308"/>
      <c r="R14" s="1309" t="s">
        <v>1584</v>
      </c>
      <c r="S14" s="1446"/>
      <c r="T14" s="1424"/>
      <c r="U14" s="1299"/>
    </row>
    <row r="15" spans="1:21" ht="12.75" customHeight="1">
      <c r="A15" s="1298"/>
      <c r="B15" s="1196"/>
      <c r="C15" s="1196"/>
      <c r="D15" s="1196"/>
      <c r="E15" s="1196"/>
      <c r="F15" s="1196"/>
      <c r="G15" s="1299"/>
      <c r="H15" s="1298"/>
      <c r="I15" s="1196"/>
      <c r="J15" s="1196"/>
      <c r="K15" s="1196"/>
      <c r="L15" s="1196"/>
      <c r="M15" s="1196"/>
      <c r="N15" s="1299"/>
      <c r="O15" s="1298"/>
      <c r="P15" s="1196"/>
      <c r="Q15" s="1196"/>
      <c r="R15" s="1196"/>
      <c r="S15" s="1196"/>
      <c r="T15" s="1196"/>
      <c r="U15" s="1299"/>
    </row>
    <row r="16" spans="1:21" ht="32.25" customHeight="1">
      <c r="A16" s="1447"/>
      <c r="B16" s="1449" t="s">
        <v>1328</v>
      </c>
      <c r="C16" s="1444"/>
      <c r="D16" s="1444"/>
      <c r="E16" s="1444"/>
      <c r="F16" s="1444"/>
      <c r="G16" s="1448"/>
      <c r="H16" s="1447"/>
      <c r="I16" s="1449" t="str">
        <f>+B16</f>
        <v>Resumen temas Tratados</v>
      </c>
      <c r="J16" s="1444"/>
      <c r="K16" s="1444"/>
      <c r="L16" s="1444"/>
      <c r="M16" s="1444"/>
      <c r="N16" s="1448"/>
      <c r="O16" s="2411"/>
      <c r="P16" s="2060"/>
      <c r="Q16" s="2060"/>
      <c r="R16" s="2060"/>
      <c r="S16" s="2060"/>
      <c r="T16" s="2060"/>
      <c r="U16" s="2398"/>
    </row>
    <row r="17" spans="1:21" ht="12.75" customHeight="1">
      <c r="A17" s="1298"/>
      <c r="B17" s="1196" t="s">
        <v>1530</v>
      </c>
      <c r="C17" s="1196"/>
      <c r="D17" s="1196"/>
      <c r="E17" s="1196"/>
      <c r="F17" s="1196"/>
      <c r="G17" s="1299"/>
      <c r="H17" s="1298"/>
      <c r="I17" s="1196" t="s">
        <v>1550</v>
      </c>
      <c r="J17" s="1196"/>
      <c r="K17" s="1196"/>
      <c r="L17" s="1196"/>
      <c r="M17" s="1196"/>
      <c r="N17" s="1299"/>
      <c r="O17" s="1298"/>
      <c r="P17" s="1177" t="s">
        <v>1328</v>
      </c>
      <c r="Q17" s="1196"/>
      <c r="R17" s="1196"/>
      <c r="S17" s="1196"/>
      <c r="T17" s="1196"/>
      <c r="U17" s="1299"/>
    </row>
    <row r="18" spans="1:21" ht="12.75" customHeight="1">
      <c r="A18" s="1298"/>
      <c r="B18" s="1196" t="s">
        <v>1531</v>
      </c>
      <c r="C18" s="1196"/>
      <c r="D18" s="1196"/>
      <c r="E18" s="1196"/>
      <c r="F18" s="1196"/>
      <c r="G18" s="1299"/>
      <c r="H18" s="1298"/>
      <c r="I18" s="1196" t="s">
        <v>1551</v>
      </c>
      <c r="J18" s="1196"/>
      <c r="K18" s="1196"/>
      <c r="L18" s="1196"/>
      <c r="M18" s="1196"/>
      <c r="N18" s="1299"/>
      <c r="O18" s="1298"/>
      <c r="P18" s="2385" t="s">
        <v>1568</v>
      </c>
      <c r="Q18" s="2385"/>
      <c r="R18" s="2385"/>
      <c r="S18" s="2385"/>
      <c r="T18" s="2385"/>
      <c r="U18" s="1299"/>
    </row>
    <row r="19" spans="1:21" ht="12.75" customHeight="1">
      <c r="A19" s="1298"/>
      <c r="B19" s="1196" t="s">
        <v>1532</v>
      </c>
      <c r="C19" s="1196"/>
      <c r="D19" s="1196"/>
      <c r="E19" s="1196"/>
      <c r="F19" s="1196"/>
      <c r="G19" s="1299"/>
      <c r="H19" s="1298"/>
      <c r="I19" s="1196" t="s">
        <v>1552</v>
      </c>
      <c r="J19" s="1196"/>
      <c r="K19" s="1196"/>
      <c r="L19" s="1196"/>
      <c r="M19" s="1196"/>
      <c r="N19" s="1299"/>
      <c r="O19" s="1298"/>
      <c r="P19" s="2385" t="s">
        <v>1569</v>
      </c>
      <c r="Q19" s="2385"/>
      <c r="R19" s="2385"/>
      <c r="S19" s="2385"/>
      <c r="T19" s="2385"/>
      <c r="U19" s="1299"/>
    </row>
    <row r="20" spans="1:21" ht="12.75" customHeight="1">
      <c r="A20" s="1298"/>
      <c r="B20" s="2386" t="s">
        <v>1533</v>
      </c>
      <c r="C20" s="2386"/>
      <c r="D20" s="2386"/>
      <c r="E20" s="2386"/>
      <c r="F20" s="2386"/>
      <c r="G20" s="2387"/>
      <c r="H20" s="1298"/>
      <c r="I20" s="1196" t="s">
        <v>1553</v>
      </c>
      <c r="J20" s="1196"/>
      <c r="K20" s="1196"/>
      <c r="L20" s="1196"/>
      <c r="M20" s="1196"/>
      <c r="N20" s="1299"/>
      <c r="O20" s="1298"/>
      <c r="P20" s="2385" t="s">
        <v>1570</v>
      </c>
      <c r="Q20" s="2385"/>
      <c r="R20" s="2385"/>
      <c r="S20" s="2385"/>
      <c r="T20" s="2385"/>
      <c r="U20" s="1299"/>
    </row>
    <row r="21" spans="1:21" ht="12.75" customHeight="1">
      <c r="A21" s="1310"/>
      <c r="B21" s="2386" t="s">
        <v>1534</v>
      </c>
      <c r="C21" s="2386"/>
      <c r="D21" s="2386"/>
      <c r="E21" s="2386"/>
      <c r="F21" s="2386"/>
      <c r="G21" s="2387"/>
      <c r="H21" s="1310"/>
      <c r="I21" s="2386" t="s">
        <v>1554</v>
      </c>
      <c r="J21" s="2386"/>
      <c r="K21" s="2386"/>
      <c r="L21" s="2386"/>
      <c r="M21" s="2386"/>
      <c r="N21" s="1311"/>
      <c r="O21" s="1310"/>
      <c r="P21" s="2385" t="s">
        <v>1571</v>
      </c>
      <c r="Q21" s="2385"/>
      <c r="R21" s="2385"/>
      <c r="S21" s="2385"/>
      <c r="T21" s="2385"/>
      <c r="U21" s="1311"/>
    </row>
    <row r="22" spans="1:21" ht="12.75" customHeight="1">
      <c r="A22" s="1310"/>
      <c r="B22" s="2386" t="s">
        <v>1535</v>
      </c>
      <c r="C22" s="2386"/>
      <c r="D22" s="2386"/>
      <c r="E22" s="2386"/>
      <c r="F22" s="2386"/>
      <c r="G22" s="2387"/>
      <c r="H22" s="1310"/>
      <c r="I22" s="2386" t="s">
        <v>1555</v>
      </c>
      <c r="J22" s="2386"/>
      <c r="K22" s="2386"/>
      <c r="L22" s="2386"/>
      <c r="M22" s="2386"/>
      <c r="N22" s="1311"/>
      <c r="O22" s="1310"/>
      <c r="P22" s="2385" t="s">
        <v>1572</v>
      </c>
      <c r="Q22" s="2385"/>
      <c r="R22" s="2385"/>
      <c r="S22" s="2385"/>
      <c r="T22" s="2385"/>
      <c r="U22" s="1311"/>
    </row>
    <row r="23" spans="1:21" s="1530" customFormat="1" ht="12.75" customHeight="1">
      <c r="A23" s="1310"/>
      <c r="B23" s="2386" t="s">
        <v>1536</v>
      </c>
      <c r="C23" s="2386"/>
      <c r="D23" s="2386"/>
      <c r="E23" s="2386"/>
      <c r="F23" s="2386"/>
      <c r="G23" s="2387"/>
      <c r="H23" s="1310"/>
      <c r="I23" s="2386" t="s">
        <v>1556</v>
      </c>
      <c r="J23" s="2386"/>
      <c r="K23" s="2386"/>
      <c r="L23" s="2386"/>
      <c r="M23" s="2386"/>
      <c r="N23" s="1311"/>
      <c r="O23" s="1310"/>
      <c r="P23" s="2385" t="s">
        <v>1573</v>
      </c>
      <c r="Q23" s="2385"/>
      <c r="R23" s="2385"/>
      <c r="S23" s="2385"/>
      <c r="T23" s="2385"/>
      <c r="U23" s="1311"/>
    </row>
    <row r="24" spans="1:21" s="1530" customFormat="1" ht="12.75" customHeight="1">
      <c r="A24" s="1310"/>
      <c r="B24" s="2386" t="s">
        <v>28</v>
      </c>
      <c r="C24" s="2386"/>
      <c r="D24" s="2386"/>
      <c r="E24" s="2386"/>
      <c r="F24" s="2386"/>
      <c r="G24" s="2387"/>
      <c r="H24" s="1310"/>
      <c r="I24" s="2386" t="s">
        <v>1557</v>
      </c>
      <c r="J24" s="2386"/>
      <c r="K24" s="2386"/>
      <c r="L24" s="2386"/>
      <c r="M24" s="2386"/>
      <c r="N24" s="1311"/>
      <c r="O24" s="1310"/>
      <c r="P24" s="2385" t="s">
        <v>1574</v>
      </c>
      <c r="Q24" s="2385"/>
      <c r="R24" s="2385"/>
      <c r="S24" s="2385"/>
      <c r="T24" s="2385"/>
      <c r="U24" s="1311"/>
    </row>
    <row r="25" spans="1:21" s="1530" customFormat="1" ht="12.75" customHeight="1">
      <c r="A25" s="1310"/>
      <c r="B25" s="2386" t="s">
        <v>1537</v>
      </c>
      <c r="C25" s="2386"/>
      <c r="D25" s="2386"/>
      <c r="E25" s="2386"/>
      <c r="F25" s="2386"/>
      <c r="G25" s="2387"/>
      <c r="H25" s="1310"/>
      <c r="I25" s="2386" t="s">
        <v>1558</v>
      </c>
      <c r="J25" s="2386"/>
      <c r="K25" s="2386"/>
      <c r="L25" s="2386"/>
      <c r="M25" s="2386"/>
      <c r="N25" s="1311"/>
      <c r="O25" s="1310"/>
      <c r="P25" s="2385" t="s">
        <v>1575</v>
      </c>
      <c r="Q25" s="2385"/>
      <c r="R25" s="2385"/>
      <c r="S25" s="2385"/>
      <c r="T25" s="2385"/>
      <c r="U25" s="1311"/>
    </row>
    <row r="26" spans="1:21" s="1530" customFormat="1" ht="12.75" customHeight="1">
      <c r="A26" s="1310"/>
      <c r="B26" s="2386" t="s">
        <v>1538</v>
      </c>
      <c r="C26" s="2386"/>
      <c r="D26" s="2386"/>
      <c r="E26" s="2386"/>
      <c r="F26" s="2386"/>
      <c r="G26" s="2387"/>
      <c r="H26" s="1310"/>
      <c r="I26" s="2386" t="s">
        <v>1559</v>
      </c>
      <c r="J26" s="2386"/>
      <c r="K26" s="2386"/>
      <c r="L26" s="2386"/>
      <c r="M26" s="2386"/>
      <c r="N26" s="1311"/>
      <c r="O26" s="1310"/>
      <c r="P26" s="2385" t="s">
        <v>1576</v>
      </c>
      <c r="Q26" s="2385"/>
      <c r="R26" s="2385"/>
      <c r="S26" s="2385"/>
      <c r="T26" s="2385"/>
      <c r="U26" s="1311"/>
    </row>
    <row r="27" spans="1:21" s="1530" customFormat="1" ht="12.75" customHeight="1">
      <c r="A27" s="1310"/>
      <c r="B27" s="2386" t="s">
        <v>1539</v>
      </c>
      <c r="C27" s="2386"/>
      <c r="D27" s="2386"/>
      <c r="E27" s="2386"/>
      <c r="F27" s="2386"/>
      <c r="G27" s="2387"/>
      <c r="H27" s="1310"/>
      <c r="I27" s="2386" t="s">
        <v>1560</v>
      </c>
      <c r="J27" s="2386"/>
      <c r="K27" s="2386"/>
      <c r="L27" s="2386"/>
      <c r="M27" s="2386"/>
      <c r="N27" s="1311"/>
      <c r="O27" s="1310"/>
      <c r="P27" s="2385" t="s">
        <v>1577</v>
      </c>
      <c r="Q27" s="2385"/>
      <c r="R27" s="2385"/>
      <c r="S27" s="2385"/>
      <c r="T27" s="2385"/>
      <c r="U27" s="1311"/>
    </row>
    <row r="28" spans="1:21" s="1530" customFormat="1" ht="12.75" customHeight="1">
      <c r="A28" s="1310"/>
      <c r="B28" s="2386" t="s">
        <v>1540</v>
      </c>
      <c r="C28" s="2386"/>
      <c r="D28" s="2386"/>
      <c r="E28" s="2386"/>
      <c r="F28" s="2386"/>
      <c r="G28" s="2387"/>
      <c r="H28" s="1310"/>
      <c r="I28" s="2386" t="s">
        <v>1561</v>
      </c>
      <c r="J28" s="2386"/>
      <c r="K28" s="2386"/>
      <c r="L28" s="2386"/>
      <c r="M28" s="2386"/>
      <c r="N28" s="1311"/>
      <c r="O28" s="1310"/>
      <c r="P28" s="2385" t="s">
        <v>1578</v>
      </c>
      <c r="Q28" s="2385"/>
      <c r="R28" s="2385"/>
      <c r="S28" s="2385"/>
      <c r="T28" s="2385"/>
      <c r="U28" s="1311"/>
    </row>
    <row r="29" spans="1:21" s="1530" customFormat="1" ht="12.75" customHeight="1">
      <c r="A29" s="1310"/>
      <c r="B29" s="2386" t="s">
        <v>1541</v>
      </c>
      <c r="C29" s="2386"/>
      <c r="D29" s="2386"/>
      <c r="E29" s="2386"/>
      <c r="F29" s="2386"/>
      <c r="G29" s="2387"/>
      <c r="H29" s="1310"/>
      <c r="I29" s="2386" t="s">
        <v>1562</v>
      </c>
      <c r="J29" s="2386"/>
      <c r="K29" s="2386"/>
      <c r="L29" s="2386"/>
      <c r="M29" s="2386"/>
      <c r="N29" s="1311"/>
      <c r="O29" s="1310"/>
      <c r="P29" s="2385"/>
      <c r="Q29" s="2385"/>
      <c r="R29" s="2385"/>
      <c r="S29" s="2385"/>
      <c r="T29" s="2385"/>
      <c r="U29" s="1311"/>
    </row>
    <row r="30" spans="1:21" s="1530" customFormat="1" ht="12.75" customHeight="1">
      <c r="A30" s="1310"/>
      <c r="B30" s="2386" t="s">
        <v>1542</v>
      </c>
      <c r="C30" s="2386"/>
      <c r="D30" s="2386"/>
      <c r="E30" s="2386"/>
      <c r="F30" s="2386"/>
      <c r="G30" s="2387"/>
      <c r="H30" s="1310"/>
      <c r="I30" s="2386" t="s">
        <v>1563</v>
      </c>
      <c r="J30" s="2386"/>
      <c r="K30" s="2386"/>
      <c r="L30" s="2386"/>
      <c r="M30" s="2386"/>
      <c r="N30" s="1311"/>
      <c r="O30" s="1310"/>
      <c r="P30" s="2385" t="s">
        <v>1329</v>
      </c>
      <c r="Q30" s="2385"/>
      <c r="R30" s="2385"/>
      <c r="S30" s="2385"/>
      <c r="T30" s="2385"/>
      <c r="U30" s="1311"/>
    </row>
    <row r="31" spans="1:21" ht="12.75" customHeight="1">
      <c r="A31" s="1298"/>
      <c r="B31" s="1196"/>
      <c r="C31" s="1196"/>
      <c r="D31" s="1196"/>
      <c r="E31" s="1196"/>
      <c r="F31" s="1196"/>
      <c r="G31" s="1299"/>
      <c r="H31" s="1298"/>
      <c r="I31" s="1196"/>
      <c r="J31" s="1196"/>
      <c r="K31" s="1196"/>
      <c r="L31" s="1196"/>
      <c r="M31" s="1196"/>
      <c r="N31" s="1299"/>
      <c r="O31" s="1298"/>
      <c r="P31" s="2385" t="s">
        <v>1580</v>
      </c>
      <c r="Q31" s="2385"/>
      <c r="R31" s="2385"/>
      <c r="S31" s="2385"/>
      <c r="T31" s="2385"/>
      <c r="U31" s="1299"/>
    </row>
    <row r="32" spans="1:21" ht="12.75" customHeight="1">
      <c r="A32" s="1298"/>
      <c r="B32" s="2389" t="s">
        <v>1329</v>
      </c>
      <c r="C32" s="2389"/>
      <c r="D32" s="2389"/>
      <c r="E32" s="2389"/>
      <c r="F32" s="2389"/>
      <c r="G32" s="2390"/>
      <c r="H32" s="1298"/>
      <c r="I32" s="2385" t="s">
        <v>1329</v>
      </c>
      <c r="J32" s="2385"/>
      <c r="K32" s="2385"/>
      <c r="L32" s="2385"/>
      <c r="M32" s="2385"/>
      <c r="N32" s="1299"/>
      <c r="O32" s="1298"/>
      <c r="P32" s="2385" t="s">
        <v>1581</v>
      </c>
      <c r="Q32" s="2385"/>
      <c r="R32" s="2385"/>
      <c r="S32" s="2385"/>
      <c r="T32" s="2385"/>
      <c r="U32" s="1299"/>
    </row>
    <row r="33" spans="1:21" ht="12.75" customHeight="1">
      <c r="A33" s="1298"/>
      <c r="B33" s="2389" t="s">
        <v>1543</v>
      </c>
      <c r="C33" s="2389"/>
      <c r="D33" s="2389"/>
      <c r="E33" s="2389"/>
      <c r="F33" s="2389"/>
      <c r="G33" s="2390"/>
      <c r="H33" s="1298"/>
      <c r="I33" s="2385" t="s">
        <v>1564</v>
      </c>
      <c r="J33" s="2385"/>
      <c r="K33" s="2385"/>
      <c r="L33" s="2385"/>
      <c r="M33" s="2385"/>
      <c r="N33" s="1299"/>
      <c r="O33" s="1298"/>
      <c r="P33" s="2385" t="s">
        <v>1582</v>
      </c>
      <c r="Q33" s="2385"/>
      <c r="R33" s="2385"/>
      <c r="S33" s="2385"/>
      <c r="T33" s="2385"/>
      <c r="U33" s="1299"/>
    </row>
    <row r="34" spans="1:21" ht="12.75" customHeight="1">
      <c r="A34" s="1298"/>
      <c r="B34" s="2389" t="s">
        <v>1544</v>
      </c>
      <c r="C34" s="2389"/>
      <c r="D34" s="2389"/>
      <c r="E34" s="2389"/>
      <c r="F34" s="2389"/>
      <c r="G34" s="2390"/>
      <c r="H34" s="1298"/>
      <c r="I34" s="2385" t="s">
        <v>1565</v>
      </c>
      <c r="J34" s="2385"/>
      <c r="K34" s="2385"/>
      <c r="L34" s="2385"/>
      <c r="M34" s="2385"/>
      <c r="N34" s="1299"/>
      <c r="O34" s="1298"/>
      <c r="P34" s="2385" t="s">
        <v>1583</v>
      </c>
      <c r="Q34" s="2385"/>
      <c r="R34" s="2385"/>
      <c r="S34" s="2385"/>
      <c r="T34" s="2385"/>
      <c r="U34" s="1299"/>
    </row>
    <row r="35" spans="1:21" ht="12.75" customHeight="1">
      <c r="A35" s="1298"/>
      <c r="B35" s="2389" t="s">
        <v>1545</v>
      </c>
      <c r="C35" s="2389"/>
      <c r="D35" s="2389"/>
      <c r="E35" s="2389"/>
      <c r="F35" s="2389"/>
      <c r="G35" s="2390"/>
      <c r="H35" s="1298"/>
      <c r="I35" s="2385" t="s">
        <v>1566</v>
      </c>
      <c r="J35" s="2385"/>
      <c r="K35" s="2385"/>
      <c r="L35" s="2385"/>
      <c r="M35" s="2385"/>
      <c r="N35" s="1299"/>
      <c r="O35" s="1298"/>
      <c r="P35" s="2068"/>
      <c r="Q35" s="2068"/>
      <c r="R35" s="2068"/>
      <c r="S35" s="2068"/>
      <c r="T35" s="2068"/>
      <c r="U35" s="1299"/>
    </row>
    <row r="36" spans="1:21" ht="12.75" customHeight="1">
      <c r="A36" s="1298"/>
      <c r="B36" s="2389" t="s">
        <v>1546</v>
      </c>
      <c r="C36" s="2389"/>
      <c r="D36" s="2389"/>
      <c r="E36" s="2389"/>
      <c r="F36" s="2389"/>
      <c r="G36" s="2390"/>
      <c r="H36" s="1298"/>
      <c r="I36" s="2385" t="s">
        <v>1567</v>
      </c>
      <c r="J36" s="2385"/>
      <c r="K36" s="2385"/>
      <c r="L36" s="2385"/>
      <c r="M36" s="2385"/>
      <c r="N36" s="1299"/>
      <c r="O36" s="1298"/>
      <c r="P36" s="2068"/>
      <c r="Q36" s="2068"/>
      <c r="R36" s="2068"/>
      <c r="S36" s="2068"/>
      <c r="T36" s="2068"/>
      <c r="U36" s="1299"/>
    </row>
    <row r="37" spans="1:21" ht="12.75" customHeight="1">
      <c r="A37" s="1298"/>
      <c r="B37" s="2389" t="s">
        <v>1547</v>
      </c>
      <c r="C37" s="2389"/>
      <c r="D37" s="2389"/>
      <c r="E37" s="2389"/>
      <c r="F37" s="2389"/>
      <c r="G37" s="2390"/>
      <c r="H37" s="1298"/>
      <c r="I37" s="2068"/>
      <c r="J37" s="2068"/>
      <c r="K37" s="2068"/>
      <c r="L37" s="2068"/>
      <c r="M37" s="2068"/>
      <c r="N37" s="1299"/>
      <c r="O37" s="1298"/>
      <c r="P37" s="1196"/>
      <c r="Q37" s="1196"/>
      <c r="R37" s="1196"/>
      <c r="S37" s="1196"/>
      <c r="T37" s="1196"/>
      <c r="U37" s="1299"/>
    </row>
    <row r="38" spans="1:21" ht="12.75" customHeight="1">
      <c r="A38" s="1298"/>
      <c r="B38" s="2389"/>
      <c r="C38" s="2389"/>
      <c r="D38" s="2389"/>
      <c r="E38" s="2389"/>
      <c r="F38" s="2389"/>
      <c r="G38" s="2390"/>
      <c r="H38" s="1298"/>
      <c r="I38" s="2068"/>
      <c r="J38" s="2068"/>
      <c r="K38" s="2068"/>
      <c r="L38" s="2068"/>
      <c r="M38" s="2068"/>
      <c r="N38" s="1299"/>
      <c r="O38" s="1298"/>
      <c r="P38" s="2385"/>
      <c r="Q38" s="2385"/>
      <c r="R38" s="2385"/>
      <c r="S38" s="2385"/>
      <c r="T38" s="2385"/>
      <c r="U38" s="2388"/>
    </row>
    <row r="39" spans="1:21" ht="12.75" customHeight="1">
      <c r="A39" s="1298"/>
      <c r="B39" s="1196"/>
      <c r="C39" s="1196"/>
      <c r="D39" s="1196"/>
      <c r="E39" s="1196"/>
      <c r="F39" s="1196"/>
      <c r="G39" s="1299"/>
      <c r="H39" s="1298"/>
      <c r="I39" s="1196"/>
      <c r="J39" s="1196"/>
      <c r="K39" s="1196"/>
      <c r="L39" s="1196"/>
      <c r="M39" s="1196"/>
      <c r="N39" s="1299"/>
      <c r="O39" s="1298"/>
      <c r="P39" s="1196"/>
      <c r="Q39" s="1196"/>
      <c r="R39" s="1196"/>
      <c r="S39" s="1196"/>
      <c r="T39" s="1196"/>
      <c r="U39" s="1299"/>
    </row>
    <row r="40" spans="1:21" ht="12.75" customHeight="1">
      <c r="A40" s="1298"/>
      <c r="B40" s="1196"/>
      <c r="C40" s="1196"/>
      <c r="D40" s="1196"/>
      <c r="E40" s="1196"/>
      <c r="F40" s="1196"/>
      <c r="G40" s="1299"/>
      <c r="H40" s="1298"/>
      <c r="I40" s="1196"/>
      <c r="J40" s="1196"/>
      <c r="K40" s="1196"/>
      <c r="L40" s="1196"/>
      <c r="M40" s="1196"/>
      <c r="N40" s="1299"/>
      <c r="O40" s="1298"/>
      <c r="P40" s="1196"/>
      <c r="Q40" s="1196"/>
      <c r="R40" s="1196"/>
      <c r="S40" s="1196"/>
      <c r="T40" s="1196"/>
      <c r="U40" s="1299"/>
    </row>
    <row r="41" spans="1:21" ht="12.75" customHeight="1">
      <c r="A41" s="1298"/>
      <c r="B41" s="1196"/>
      <c r="C41" s="1196"/>
      <c r="D41" s="1196"/>
      <c r="E41" s="1196"/>
      <c r="F41" s="1196"/>
      <c r="G41" s="1299"/>
      <c r="H41" s="1298"/>
      <c r="I41" s="1196"/>
      <c r="J41" s="1196"/>
      <c r="K41" s="1196"/>
      <c r="L41" s="1196"/>
      <c r="M41" s="1196"/>
      <c r="N41" s="1299"/>
      <c r="O41" s="1298"/>
      <c r="P41" s="1196"/>
      <c r="Q41" s="1196"/>
      <c r="R41" s="1196"/>
      <c r="S41" s="1196"/>
      <c r="T41" s="1196"/>
      <c r="U41" s="1299"/>
    </row>
    <row r="42" spans="1:21" ht="13.5" customHeight="1" thickBot="1">
      <c r="A42" s="1300"/>
      <c r="B42" s="1219"/>
      <c r="C42" s="1219"/>
      <c r="D42" s="1219"/>
      <c r="E42" s="1219"/>
      <c r="F42" s="1219"/>
      <c r="G42" s="1301"/>
      <c r="H42" s="1312"/>
      <c r="I42" s="1313"/>
      <c r="J42" s="1313"/>
      <c r="K42" s="1313"/>
      <c r="L42" s="1313"/>
      <c r="M42" s="1313"/>
      <c r="N42" s="1314"/>
      <c r="O42" s="1300"/>
      <c r="P42" s="1219"/>
      <c r="Q42" s="1219"/>
      <c r="R42" s="1219"/>
      <c r="S42" s="1219"/>
      <c r="T42" s="1219"/>
      <c r="U42" s="1301"/>
    </row>
    <row r="43" spans="1:21" ht="12.75" customHeight="1">
      <c r="A43" s="1298"/>
      <c r="B43" s="1196"/>
      <c r="C43" s="1196"/>
      <c r="D43" s="1196"/>
      <c r="E43" s="1196"/>
      <c r="F43" s="1196"/>
      <c r="G43" s="1315"/>
      <c r="H43" s="1298"/>
      <c r="I43" s="1196"/>
      <c r="J43" s="1196"/>
      <c r="K43" s="1196"/>
      <c r="L43" s="1196"/>
      <c r="M43" s="1196"/>
      <c r="N43" s="1299"/>
      <c r="O43" s="1316"/>
      <c r="P43" s="1196"/>
      <c r="Q43" s="1196"/>
      <c r="R43" s="1196"/>
      <c r="S43" s="1196"/>
      <c r="T43" s="1196"/>
      <c r="U43" s="1299"/>
    </row>
    <row r="44" spans="1:21" ht="12.75" customHeight="1">
      <c r="A44" s="1298"/>
      <c r="B44" s="1196"/>
      <c r="C44" s="1196"/>
      <c r="D44" s="1196"/>
      <c r="E44" s="1196"/>
      <c r="F44" s="1196"/>
      <c r="G44" s="1315"/>
      <c r="H44" s="1298"/>
      <c r="I44" s="1196"/>
      <c r="J44" s="1196"/>
      <c r="K44" s="1196"/>
      <c r="L44" s="1196"/>
      <c r="M44" s="1196"/>
      <c r="N44" s="1299"/>
      <c r="O44" s="1316"/>
      <c r="P44" s="1196"/>
      <c r="Q44" s="1196"/>
      <c r="R44" s="1196"/>
      <c r="S44" s="1196"/>
      <c r="T44" s="1196"/>
      <c r="U44" s="1299"/>
    </row>
    <row r="45" spans="1:21" ht="12.75" customHeight="1">
      <c r="A45" s="1298"/>
      <c r="B45" s="1196"/>
      <c r="C45" s="1196"/>
      <c r="D45" s="1196"/>
      <c r="E45" s="1196"/>
      <c r="F45" s="1196"/>
      <c r="G45" s="1315"/>
      <c r="H45" s="1298"/>
      <c r="I45" s="1196"/>
      <c r="J45" s="1196"/>
      <c r="K45" s="1196"/>
      <c r="L45" s="1196"/>
      <c r="M45" s="1196"/>
      <c r="N45" s="1299"/>
      <c r="O45" s="1316"/>
      <c r="P45" s="1196"/>
      <c r="Q45" s="1196"/>
      <c r="R45" s="1196"/>
      <c r="S45" s="1196"/>
      <c r="T45" s="1196"/>
      <c r="U45" s="1299"/>
    </row>
    <row r="46" spans="1:21" ht="12.75" customHeight="1">
      <c r="A46" s="1298"/>
      <c r="B46" s="1196"/>
      <c r="C46" s="1196"/>
      <c r="D46" s="1196"/>
      <c r="E46" s="1196"/>
      <c r="F46" s="1196"/>
      <c r="G46" s="1315"/>
      <c r="H46" s="1298"/>
      <c r="I46" s="1196"/>
      <c r="J46" s="1196"/>
      <c r="K46" s="1196"/>
      <c r="L46" s="1196"/>
      <c r="M46" s="1196"/>
      <c r="N46" s="1299"/>
      <c r="O46" s="1316"/>
      <c r="P46" s="1196"/>
      <c r="Q46" s="1196"/>
      <c r="R46" s="1196"/>
      <c r="S46" s="1196"/>
      <c r="T46" s="1196"/>
      <c r="U46" s="1299"/>
    </row>
    <row r="47" spans="1:21" ht="12.75" customHeight="1">
      <c r="A47" s="1298"/>
      <c r="B47" s="1196"/>
      <c r="C47" s="1196"/>
      <c r="D47" s="1196"/>
      <c r="E47" s="1196"/>
      <c r="F47" s="1196"/>
      <c r="G47" s="1315"/>
      <c r="H47" s="1298"/>
      <c r="I47" s="1196"/>
      <c r="J47" s="1196"/>
      <c r="K47" s="1196"/>
      <c r="L47" s="1196"/>
      <c r="M47" s="1196"/>
      <c r="N47" s="1299"/>
      <c r="O47" s="1316"/>
      <c r="P47" s="1196"/>
      <c r="Q47" s="1196"/>
      <c r="R47" s="1196"/>
      <c r="S47" s="1196"/>
      <c r="T47" s="1196"/>
      <c r="U47" s="1299"/>
    </row>
    <row r="48" spans="1:21" ht="12.75" customHeight="1">
      <c r="A48" s="1298"/>
      <c r="B48" s="1196"/>
      <c r="C48" s="1196"/>
      <c r="D48" s="1196"/>
      <c r="E48" s="1196"/>
      <c r="F48" s="1196"/>
      <c r="G48" s="1315"/>
      <c r="H48" s="1298"/>
      <c r="I48" s="1196"/>
      <c r="J48" s="1196"/>
      <c r="K48" s="1196"/>
      <c r="L48" s="1196"/>
      <c r="M48" s="1196"/>
      <c r="N48" s="1299"/>
      <c r="O48" s="1316"/>
      <c r="P48" s="1196"/>
      <c r="Q48" s="1196"/>
      <c r="R48" s="1196"/>
      <c r="S48" s="1196"/>
      <c r="T48" s="1196"/>
      <c r="U48" s="1299"/>
    </row>
    <row r="49" spans="1:21" ht="12.75" customHeight="1">
      <c r="A49" s="1298"/>
      <c r="B49" s="1196"/>
      <c r="C49" s="1196"/>
      <c r="D49" s="1196"/>
      <c r="E49" s="1196"/>
      <c r="F49" s="1196"/>
      <c r="G49" s="1315"/>
      <c r="H49" s="1298"/>
      <c r="I49" s="1196"/>
      <c r="J49" s="1196"/>
      <c r="K49" s="1196"/>
      <c r="L49" s="1196"/>
      <c r="M49" s="1196"/>
      <c r="N49" s="1299"/>
      <c r="O49" s="1316"/>
      <c r="P49" s="1196"/>
      <c r="Q49" s="1196"/>
      <c r="R49" s="1196"/>
      <c r="S49" s="1196"/>
      <c r="T49" s="1196"/>
      <c r="U49" s="1299"/>
    </row>
    <row r="50" spans="1:21" ht="12.75" customHeight="1">
      <c r="A50" s="1298"/>
      <c r="B50" s="1196"/>
      <c r="C50" s="1196"/>
      <c r="D50" s="1196"/>
      <c r="E50" s="1196"/>
      <c r="F50" s="1196"/>
      <c r="G50" s="1315"/>
      <c r="H50" s="1298"/>
      <c r="I50" s="1196"/>
      <c r="J50" s="1196"/>
      <c r="K50" s="1196"/>
      <c r="L50" s="1196"/>
      <c r="M50" s="1196"/>
      <c r="N50" s="1299"/>
      <c r="O50" s="1316"/>
      <c r="P50" s="1196"/>
      <c r="Q50" s="1196"/>
      <c r="R50" s="1196"/>
      <c r="S50" s="1196"/>
      <c r="T50" s="1196"/>
      <c r="U50" s="1299"/>
    </row>
    <row r="51" spans="1:21" ht="12.75" customHeight="1">
      <c r="A51" s="1298"/>
      <c r="B51" s="1196"/>
      <c r="C51" s="1196"/>
      <c r="D51" s="1196"/>
      <c r="E51" s="1196"/>
      <c r="F51" s="1196"/>
      <c r="G51" s="1315"/>
      <c r="H51" s="1298"/>
      <c r="I51" s="1196"/>
      <c r="J51" s="1196"/>
      <c r="K51" s="1196"/>
      <c r="L51" s="1196"/>
      <c r="M51" s="1196"/>
      <c r="N51" s="1299"/>
      <c r="O51" s="1316"/>
      <c r="P51" s="1196"/>
      <c r="Q51" s="1196"/>
      <c r="R51" s="1196"/>
      <c r="S51" s="1196"/>
      <c r="T51" s="1196"/>
      <c r="U51" s="1299"/>
    </row>
    <row r="52" spans="1:21" ht="12.75" customHeight="1">
      <c r="A52" s="1298"/>
      <c r="B52" s="1196"/>
      <c r="C52" s="1196"/>
      <c r="D52" s="1196"/>
      <c r="E52" s="1196"/>
      <c r="F52" s="1196"/>
      <c r="G52" s="1315"/>
      <c r="H52" s="1298"/>
      <c r="I52" s="1196"/>
      <c r="J52" s="1196"/>
      <c r="K52" s="1196"/>
      <c r="L52" s="1196"/>
      <c r="M52" s="1196"/>
      <c r="N52" s="1299"/>
      <c r="O52" s="1316"/>
      <c r="P52" s="1196"/>
      <c r="Q52" s="1196"/>
      <c r="R52" s="1196"/>
      <c r="S52" s="1196"/>
      <c r="T52" s="1196"/>
      <c r="U52" s="1299"/>
    </row>
    <row r="53" spans="1:21" ht="12.75" customHeight="1">
      <c r="A53" s="1298"/>
      <c r="B53" s="1196"/>
      <c r="C53" s="1196"/>
      <c r="D53" s="1196"/>
      <c r="E53" s="1196"/>
      <c r="F53" s="1196"/>
      <c r="G53" s="1315"/>
      <c r="H53" s="1298"/>
      <c r="I53" s="1196"/>
      <c r="J53" s="1196"/>
      <c r="K53" s="1196"/>
      <c r="L53" s="1196"/>
      <c r="M53" s="1196"/>
      <c r="N53" s="1299"/>
      <c r="O53" s="1316"/>
      <c r="P53" s="1196"/>
      <c r="Q53" s="1196"/>
      <c r="R53" s="1196"/>
      <c r="S53" s="1196"/>
      <c r="T53" s="1196"/>
      <c r="U53" s="1299"/>
    </row>
    <row r="54" spans="1:21" ht="12.75" customHeight="1">
      <c r="A54" s="1298"/>
      <c r="B54" s="1196"/>
      <c r="C54" s="1196"/>
      <c r="D54" s="1196"/>
      <c r="E54" s="1196"/>
      <c r="F54" s="1196"/>
      <c r="G54" s="1315"/>
      <c r="H54" s="1298"/>
      <c r="I54" s="1196"/>
      <c r="J54" s="1196"/>
      <c r="K54" s="1196"/>
      <c r="L54" s="1196"/>
      <c r="M54" s="1196"/>
      <c r="N54" s="1299"/>
      <c r="O54" s="1316"/>
      <c r="P54" s="1196"/>
      <c r="Q54" s="1196"/>
      <c r="R54" s="1196"/>
      <c r="S54" s="1196"/>
      <c r="T54" s="1196"/>
      <c r="U54" s="1299"/>
    </row>
    <row r="55" spans="1:21" ht="12.75" customHeight="1">
      <c r="A55" s="1298"/>
      <c r="B55" s="1196"/>
      <c r="C55" s="1196"/>
      <c r="D55" s="1196"/>
      <c r="E55" s="1196"/>
      <c r="F55" s="1196"/>
      <c r="G55" s="1315"/>
      <c r="H55" s="1298"/>
      <c r="I55" s="1196"/>
      <c r="J55" s="1196"/>
      <c r="K55" s="1196"/>
      <c r="L55" s="1196"/>
      <c r="M55" s="1196"/>
      <c r="N55" s="1299"/>
      <c r="O55" s="1316"/>
      <c r="P55" s="1196"/>
      <c r="Q55" s="1196"/>
      <c r="R55" s="1196"/>
      <c r="S55" s="1196"/>
      <c r="T55" s="1196"/>
      <c r="U55" s="1299"/>
    </row>
    <row r="56" spans="1:21" ht="12.75" customHeight="1">
      <c r="A56" s="1298"/>
      <c r="B56" s="1196"/>
      <c r="C56" s="1196"/>
      <c r="D56" s="1196"/>
      <c r="E56" s="1196"/>
      <c r="F56" s="1196"/>
      <c r="G56" s="1315"/>
      <c r="H56" s="1298"/>
      <c r="I56" s="1196"/>
      <c r="J56" s="1196"/>
      <c r="K56" s="1196"/>
      <c r="L56" s="1196"/>
      <c r="M56" s="1196"/>
      <c r="N56" s="1299"/>
      <c r="O56" s="1316"/>
      <c r="P56" s="1196"/>
      <c r="Q56" s="1196"/>
      <c r="R56" s="1196"/>
      <c r="S56" s="1196"/>
      <c r="T56" s="1196"/>
      <c r="U56" s="1299"/>
    </row>
    <row r="57" spans="1:21" ht="12.75" customHeight="1">
      <c r="A57" s="1298"/>
      <c r="B57" s="1196"/>
      <c r="C57" s="1196"/>
      <c r="D57" s="1196"/>
      <c r="E57" s="1196"/>
      <c r="F57" s="1196"/>
      <c r="G57" s="1315"/>
      <c r="H57" s="1298"/>
      <c r="I57" s="1196"/>
      <c r="J57" s="1196"/>
      <c r="K57" s="1196"/>
      <c r="L57" s="1196"/>
      <c r="M57" s="1196"/>
      <c r="N57" s="1299"/>
      <c r="O57" s="1316"/>
      <c r="P57" s="1196"/>
      <c r="Q57" s="1196"/>
      <c r="R57" s="1196"/>
      <c r="S57" s="1196"/>
      <c r="T57" s="1196"/>
      <c r="U57" s="1299"/>
    </row>
    <row r="58" spans="1:21" ht="12.75" customHeight="1">
      <c r="A58" s="1298"/>
      <c r="B58" s="1196"/>
      <c r="C58" s="1196"/>
      <c r="D58" s="1196"/>
      <c r="E58" s="1196"/>
      <c r="F58" s="1196"/>
      <c r="G58" s="1315"/>
      <c r="H58" s="1298"/>
      <c r="I58" s="1196"/>
      <c r="J58" s="1196"/>
      <c r="K58" s="1196"/>
      <c r="L58" s="1196"/>
      <c r="M58" s="1196"/>
      <c r="N58" s="1299"/>
      <c r="O58" s="1316"/>
      <c r="P58" s="1196"/>
      <c r="Q58" s="1196"/>
      <c r="R58" s="1196"/>
      <c r="S58" s="1196"/>
      <c r="T58" s="1196"/>
      <c r="U58" s="1299"/>
    </row>
    <row r="59" spans="1:21" ht="12.75" customHeight="1">
      <c r="A59" s="1298"/>
      <c r="B59" s="1196"/>
      <c r="C59" s="1196"/>
      <c r="D59" s="1196"/>
      <c r="E59" s="1196"/>
      <c r="F59" s="1196"/>
      <c r="G59" s="1315"/>
      <c r="H59" s="1298"/>
      <c r="I59" s="1196"/>
      <c r="J59" s="1196"/>
      <c r="K59" s="1196"/>
      <c r="L59" s="1196"/>
      <c r="M59" s="1196"/>
      <c r="N59" s="1299"/>
      <c r="O59" s="1316"/>
      <c r="P59" s="1196"/>
      <c r="Q59" s="1196"/>
      <c r="R59" s="1196"/>
      <c r="S59" s="1196"/>
      <c r="T59" s="1196"/>
      <c r="U59" s="1299"/>
    </row>
    <row r="60" spans="1:21" ht="12.75" customHeight="1">
      <c r="A60" s="1298"/>
      <c r="B60" s="1196"/>
      <c r="C60" s="1196"/>
      <c r="D60" s="1196"/>
      <c r="E60" s="1196"/>
      <c r="F60" s="1196"/>
      <c r="G60" s="1315"/>
      <c r="H60" s="1298"/>
      <c r="I60" s="1196"/>
      <c r="J60" s="1196"/>
      <c r="K60" s="1196"/>
      <c r="L60" s="1196"/>
      <c r="M60" s="1196"/>
      <c r="N60" s="1299"/>
      <c r="O60" s="1316"/>
      <c r="P60" s="1196"/>
      <c r="Q60" s="1196"/>
      <c r="R60" s="1196"/>
      <c r="S60" s="1196"/>
      <c r="T60" s="1196"/>
      <c r="U60" s="1299"/>
    </row>
    <row r="61" spans="1:21" ht="12.75" customHeight="1">
      <c r="A61" s="1298"/>
      <c r="B61" s="1196"/>
      <c r="C61" s="1196"/>
      <c r="D61" s="1196"/>
      <c r="E61" s="1196"/>
      <c r="F61" s="1196"/>
      <c r="G61" s="1315"/>
      <c r="H61" s="1298"/>
      <c r="I61" s="1196"/>
      <c r="J61" s="1196"/>
      <c r="K61" s="1196"/>
      <c r="L61" s="1196"/>
      <c r="M61" s="1196"/>
      <c r="N61" s="1299"/>
      <c r="O61" s="1316"/>
      <c r="P61" s="1196"/>
      <c r="Q61" s="1196"/>
      <c r="R61" s="1196"/>
      <c r="S61" s="1196"/>
      <c r="T61" s="1196"/>
      <c r="U61" s="1299"/>
    </row>
    <row r="62" spans="1:21" ht="12.75" customHeight="1">
      <c r="A62" s="1298"/>
      <c r="B62" s="1196"/>
      <c r="C62" s="1196"/>
      <c r="D62" s="1196"/>
      <c r="E62" s="1196"/>
      <c r="F62" s="1196"/>
      <c r="G62" s="1315"/>
      <c r="H62" s="1298"/>
      <c r="I62" s="1196"/>
      <c r="J62" s="1196"/>
      <c r="K62" s="1196"/>
      <c r="L62" s="1196"/>
      <c r="M62" s="1196"/>
      <c r="N62" s="1299"/>
      <c r="O62" s="1316"/>
      <c r="P62" s="1196"/>
      <c r="Q62" s="1196"/>
      <c r="R62" s="1196"/>
      <c r="S62" s="1196"/>
      <c r="T62" s="1196"/>
      <c r="U62" s="1299"/>
    </row>
    <row r="63" spans="1:21" ht="12.75" customHeight="1">
      <c r="A63" s="1298"/>
      <c r="B63" s="1196"/>
      <c r="C63" s="1196"/>
      <c r="D63" s="1196"/>
      <c r="E63" s="1196"/>
      <c r="F63" s="1196"/>
      <c r="G63" s="1315"/>
      <c r="H63" s="1298"/>
      <c r="I63" s="1196"/>
      <c r="J63" s="1196"/>
      <c r="K63" s="1196"/>
      <c r="L63" s="1196"/>
      <c r="M63" s="1196"/>
      <c r="N63" s="1299"/>
      <c r="O63" s="1316"/>
      <c r="P63" s="1196"/>
      <c r="Q63" s="1196"/>
      <c r="R63" s="1196"/>
      <c r="S63" s="1196"/>
      <c r="T63" s="1196"/>
      <c r="U63" s="1299"/>
    </row>
    <row r="64" spans="1:21" ht="12.75" customHeight="1">
      <c r="A64" s="1298"/>
      <c r="B64" s="1196"/>
      <c r="C64" s="1196"/>
      <c r="D64" s="1196"/>
      <c r="E64" s="1196"/>
      <c r="F64" s="1196"/>
      <c r="G64" s="1315"/>
      <c r="H64" s="1298"/>
      <c r="I64" s="1196"/>
      <c r="J64" s="1196"/>
      <c r="K64" s="1196"/>
      <c r="L64" s="1196"/>
      <c r="M64" s="1196"/>
      <c r="N64" s="1299"/>
      <c r="O64" s="1316"/>
      <c r="P64" s="1196"/>
      <c r="Q64" s="1196"/>
      <c r="R64" s="1196"/>
      <c r="S64" s="1196"/>
      <c r="T64" s="1196"/>
      <c r="U64" s="1299"/>
    </row>
    <row r="65" spans="1:21" ht="12.75" customHeight="1">
      <c r="A65" s="1298"/>
      <c r="B65" s="1196"/>
      <c r="C65" s="1196"/>
      <c r="D65" s="1196"/>
      <c r="E65" s="1196"/>
      <c r="F65" s="1196"/>
      <c r="G65" s="1315"/>
      <c r="H65" s="1298"/>
      <c r="I65" s="1196"/>
      <c r="J65" s="1196"/>
      <c r="K65" s="1196"/>
      <c r="L65" s="1196"/>
      <c r="M65" s="1196"/>
      <c r="N65" s="1299"/>
      <c r="O65" s="1316"/>
      <c r="P65" s="1196"/>
      <c r="Q65" s="1196"/>
      <c r="R65" s="1196"/>
      <c r="S65" s="1196"/>
      <c r="T65" s="1196"/>
      <c r="U65" s="1299"/>
    </row>
    <row r="66" spans="1:21" ht="12.75" customHeight="1">
      <c r="A66" s="1298"/>
      <c r="B66" s="1196"/>
      <c r="C66" s="1196"/>
      <c r="D66" s="1196"/>
      <c r="E66" s="1196"/>
      <c r="F66" s="1196"/>
      <c r="G66" s="1315"/>
      <c r="H66" s="1298"/>
      <c r="I66" s="1196"/>
      <c r="J66" s="1196"/>
      <c r="K66" s="1196"/>
      <c r="L66" s="1196"/>
      <c r="M66" s="1196"/>
      <c r="N66" s="1299"/>
      <c r="O66" s="1316"/>
      <c r="P66" s="1196"/>
      <c r="Q66" s="1196"/>
      <c r="R66" s="1196"/>
      <c r="S66" s="1196"/>
      <c r="T66" s="1196"/>
      <c r="U66" s="1299"/>
    </row>
    <row r="67" spans="1:21" ht="12.75" customHeight="1">
      <c r="A67" s="1298"/>
      <c r="B67" s="1196"/>
      <c r="C67" s="1196"/>
      <c r="D67" s="1196"/>
      <c r="E67" s="1196"/>
      <c r="F67" s="1196"/>
      <c r="G67" s="1315"/>
      <c r="H67" s="1298"/>
      <c r="I67" s="1196"/>
      <c r="J67" s="1196"/>
      <c r="K67" s="1196"/>
      <c r="L67" s="1196"/>
      <c r="M67" s="1196"/>
      <c r="N67" s="1299"/>
      <c r="O67" s="1316"/>
      <c r="P67" s="1196"/>
      <c r="Q67" s="1196"/>
      <c r="R67" s="1196"/>
      <c r="S67" s="1196"/>
      <c r="T67" s="1196"/>
      <c r="U67" s="1299"/>
    </row>
    <row r="68" spans="1:21" ht="12.75" customHeight="1">
      <c r="A68" s="1298"/>
      <c r="B68" s="1196"/>
      <c r="C68" s="1196"/>
      <c r="D68" s="1196"/>
      <c r="E68" s="1196"/>
      <c r="F68" s="1196"/>
      <c r="G68" s="1315"/>
      <c r="H68" s="1298"/>
      <c r="I68" s="1196"/>
      <c r="J68" s="1196"/>
      <c r="K68" s="1196"/>
      <c r="L68" s="1196"/>
      <c r="M68" s="1196"/>
      <c r="N68" s="1299"/>
      <c r="O68" s="1316"/>
      <c r="P68" s="1196"/>
      <c r="Q68" s="1196"/>
      <c r="R68" s="1196"/>
      <c r="S68" s="1196"/>
      <c r="T68" s="1196"/>
      <c r="U68" s="1299"/>
    </row>
    <row r="69" spans="1:21" ht="12.75" customHeight="1">
      <c r="A69" s="1298"/>
      <c r="B69" s="1196"/>
      <c r="C69" s="1196"/>
      <c r="D69" s="1196"/>
      <c r="E69" s="1196"/>
      <c r="F69" s="1196"/>
      <c r="G69" s="1315"/>
      <c r="H69" s="1298"/>
      <c r="I69" s="1196"/>
      <c r="J69" s="1196"/>
      <c r="K69" s="1196"/>
      <c r="L69" s="1196"/>
      <c r="M69" s="1196"/>
      <c r="N69" s="1299"/>
      <c r="O69" s="1316"/>
      <c r="P69" s="1196"/>
      <c r="Q69" s="1196"/>
      <c r="R69" s="1196"/>
      <c r="S69" s="1196"/>
      <c r="T69" s="1196"/>
      <c r="U69" s="1299"/>
    </row>
    <row r="70" spans="1:21" ht="12.75" customHeight="1">
      <c r="A70" s="1298"/>
      <c r="B70" s="1196"/>
      <c r="C70" s="1196"/>
      <c r="D70" s="1196"/>
      <c r="E70" s="1196"/>
      <c r="F70" s="1196"/>
      <c r="G70" s="1315"/>
      <c r="H70" s="1298"/>
      <c r="I70" s="1196"/>
      <c r="J70" s="1196"/>
      <c r="K70" s="1196"/>
      <c r="L70" s="1196"/>
      <c r="M70" s="1196"/>
      <c r="N70" s="1299"/>
      <c r="O70" s="1316"/>
      <c r="P70" s="1196"/>
      <c r="Q70" s="1196"/>
      <c r="R70" s="1196"/>
      <c r="S70" s="1196"/>
      <c r="T70" s="1196"/>
      <c r="U70" s="1299"/>
    </row>
    <row r="71" spans="1:21" ht="12.75" customHeight="1">
      <c r="A71" s="1298"/>
      <c r="B71" s="1196"/>
      <c r="C71" s="1196"/>
      <c r="D71" s="1196"/>
      <c r="E71" s="1196"/>
      <c r="F71" s="1196"/>
      <c r="G71" s="1315"/>
      <c r="H71" s="1298"/>
      <c r="I71" s="1196"/>
      <c r="J71" s="1196"/>
      <c r="K71" s="1196"/>
      <c r="L71" s="1196"/>
      <c r="M71" s="1196"/>
      <c r="N71" s="1299"/>
      <c r="O71" s="1316"/>
      <c r="P71" s="1196"/>
      <c r="Q71" s="1196"/>
      <c r="R71" s="1196"/>
      <c r="S71" s="1196"/>
      <c r="T71" s="1196"/>
      <c r="U71" s="1299"/>
    </row>
    <row r="72" spans="1:21" ht="12.75" customHeight="1">
      <c r="A72" s="1298"/>
      <c r="B72" s="1196"/>
      <c r="C72" s="1196"/>
      <c r="D72" s="1196"/>
      <c r="E72" s="1196"/>
      <c r="F72" s="1196"/>
      <c r="G72" s="1315"/>
      <c r="H72" s="1298"/>
      <c r="I72" s="1196"/>
      <c r="J72" s="1196"/>
      <c r="K72" s="1196"/>
      <c r="L72" s="1196"/>
      <c r="M72" s="1196"/>
      <c r="N72" s="1299"/>
      <c r="O72" s="1316"/>
      <c r="P72" s="1196"/>
      <c r="Q72" s="1196"/>
      <c r="R72" s="1196"/>
      <c r="S72" s="1196"/>
      <c r="T72" s="1196"/>
      <c r="U72" s="1299"/>
    </row>
    <row r="73" spans="1:21" ht="12.75" customHeight="1">
      <c r="A73" s="1298"/>
      <c r="B73" s="1196"/>
      <c r="C73" s="1196"/>
      <c r="D73" s="1196"/>
      <c r="E73" s="1196"/>
      <c r="F73" s="1196"/>
      <c r="G73" s="1315"/>
      <c r="H73" s="1298"/>
      <c r="I73" s="1196"/>
      <c r="J73" s="1196"/>
      <c r="K73" s="1196"/>
      <c r="L73" s="1196"/>
      <c r="M73" s="1196"/>
      <c r="N73" s="1299"/>
      <c r="O73" s="1316"/>
      <c r="P73" s="1196"/>
      <c r="Q73" s="1196"/>
      <c r="R73" s="1196"/>
      <c r="S73" s="1196"/>
      <c r="T73" s="1196"/>
      <c r="U73" s="1299"/>
    </row>
    <row r="74" spans="1:21" ht="12.75" customHeight="1">
      <c r="A74" s="1298"/>
      <c r="B74" s="1196"/>
      <c r="C74" s="1196"/>
      <c r="D74" s="1196"/>
      <c r="E74" s="1196"/>
      <c r="F74" s="1196"/>
      <c r="G74" s="1315"/>
      <c r="H74" s="1298"/>
      <c r="I74" s="1196"/>
      <c r="J74" s="1196"/>
      <c r="K74" s="1196"/>
      <c r="L74" s="1196"/>
      <c r="M74" s="1196"/>
      <c r="N74" s="1299"/>
      <c r="O74" s="1316"/>
      <c r="P74" s="1196"/>
      <c r="Q74" s="1196"/>
      <c r="R74" s="1196"/>
      <c r="S74" s="1196"/>
      <c r="T74" s="1196"/>
      <c r="U74" s="1299"/>
    </row>
    <row r="75" spans="1:21" ht="12.75" customHeight="1">
      <c r="A75" s="1298"/>
      <c r="B75" s="1196"/>
      <c r="C75" s="1196"/>
      <c r="D75" s="1196"/>
      <c r="E75" s="1196"/>
      <c r="F75" s="1196"/>
      <c r="G75" s="1315"/>
      <c r="H75" s="1298"/>
      <c r="I75" s="1196"/>
      <c r="J75" s="1196"/>
      <c r="K75" s="1196"/>
      <c r="L75" s="1196"/>
      <c r="M75" s="1196"/>
      <c r="N75" s="1299"/>
      <c r="O75" s="1316"/>
      <c r="P75" s="1196"/>
      <c r="Q75" s="1196"/>
      <c r="R75" s="1196"/>
      <c r="S75" s="1196"/>
      <c r="T75" s="1196"/>
      <c r="U75" s="1299"/>
    </row>
    <row r="76" spans="1:21" ht="12.75" customHeight="1">
      <c r="A76" s="1298"/>
      <c r="B76" s="1196"/>
      <c r="C76" s="1196"/>
      <c r="D76" s="1196"/>
      <c r="E76" s="1196"/>
      <c r="F76" s="1196"/>
      <c r="G76" s="1315"/>
      <c r="H76" s="1298"/>
      <c r="I76" s="1196"/>
      <c r="J76" s="1196"/>
      <c r="K76" s="1196"/>
      <c r="L76" s="1196"/>
      <c r="M76" s="1196"/>
      <c r="N76" s="1299"/>
      <c r="O76" s="1316"/>
      <c r="P76" s="1196"/>
      <c r="Q76" s="1196"/>
      <c r="R76" s="1196"/>
      <c r="S76" s="1196"/>
      <c r="T76" s="1196"/>
      <c r="U76" s="1299"/>
    </row>
    <row r="77" spans="1:21" ht="12.75" customHeight="1">
      <c r="A77" s="1298"/>
      <c r="B77" s="1196"/>
      <c r="C77" s="1196"/>
      <c r="D77" s="1196"/>
      <c r="E77" s="1196"/>
      <c r="F77" s="1196"/>
      <c r="G77" s="1315"/>
      <c r="H77" s="1298"/>
      <c r="I77" s="1196"/>
      <c r="J77" s="1196"/>
      <c r="K77" s="1196"/>
      <c r="L77" s="1196"/>
      <c r="M77" s="1196"/>
      <c r="N77" s="1299"/>
      <c r="O77" s="1316"/>
      <c r="P77" s="1196"/>
      <c r="Q77" s="1196"/>
      <c r="R77" s="1196"/>
      <c r="S77" s="1196"/>
      <c r="T77" s="1196"/>
      <c r="U77" s="1299"/>
    </row>
    <row r="78" spans="1:21" ht="12.75" customHeight="1">
      <c r="A78" s="1298"/>
      <c r="B78" s="1196"/>
      <c r="C78" s="1196"/>
      <c r="D78" s="1196"/>
      <c r="E78" s="1196"/>
      <c r="F78" s="1196"/>
      <c r="G78" s="1315"/>
      <c r="H78" s="1298"/>
      <c r="I78" s="1196"/>
      <c r="J78" s="1196"/>
      <c r="K78" s="1196"/>
      <c r="L78" s="1196"/>
      <c r="M78" s="1196"/>
      <c r="N78" s="1299"/>
      <c r="O78" s="1316"/>
      <c r="P78" s="1196"/>
      <c r="Q78" s="1196"/>
      <c r="R78" s="1196"/>
      <c r="S78" s="1196"/>
      <c r="T78" s="1196"/>
      <c r="U78" s="1299"/>
    </row>
    <row r="79" spans="1:21" ht="13.5" customHeight="1" thickBot="1">
      <c r="A79" s="1300"/>
      <c r="B79" s="1219"/>
      <c r="C79" s="1219"/>
      <c r="D79" s="1219"/>
      <c r="E79" s="1219"/>
      <c r="F79" s="1219"/>
      <c r="G79" s="1314"/>
      <c r="H79" s="1300"/>
      <c r="I79" s="1219"/>
      <c r="J79" s="1219"/>
      <c r="K79" s="1219"/>
      <c r="L79" s="1219"/>
      <c r="M79" s="1219"/>
      <c r="N79" s="1301"/>
      <c r="O79" s="1312"/>
      <c r="P79" s="1219"/>
      <c r="Q79" s="1219"/>
      <c r="R79" s="1219"/>
      <c r="S79" s="1219"/>
      <c r="T79" s="1219"/>
      <c r="U79" s="1301"/>
    </row>
    <row r="80" spans="1:21" ht="12.75" customHeight="1">
      <c r="A80" s="1298"/>
      <c r="B80" s="1196"/>
      <c r="C80" s="1196"/>
      <c r="D80" s="1196"/>
      <c r="E80" s="1196"/>
      <c r="F80" s="1196"/>
      <c r="G80" s="1299"/>
      <c r="H80" s="1298"/>
      <c r="I80" s="1196"/>
      <c r="J80" s="1196"/>
      <c r="K80" s="1196"/>
      <c r="L80" s="1196"/>
      <c r="M80" s="1196"/>
      <c r="N80" s="1299"/>
      <c r="O80" s="1298"/>
      <c r="P80" s="1196"/>
      <c r="Q80" s="1196"/>
      <c r="R80" s="1196"/>
      <c r="S80" s="1196"/>
      <c r="T80" s="1196"/>
      <c r="U80" s="1299"/>
    </row>
    <row r="81" spans="1:21" ht="12.75" customHeight="1">
      <c r="A81" s="1298"/>
      <c r="B81" s="1196"/>
      <c r="C81" s="1196"/>
      <c r="D81" s="1196"/>
      <c r="E81" s="1196"/>
      <c r="F81" s="1196"/>
      <c r="G81" s="1299"/>
      <c r="H81" s="1298"/>
      <c r="I81" s="1196"/>
      <c r="J81" s="1196"/>
      <c r="K81" s="1196"/>
      <c r="L81" s="1196"/>
      <c r="M81" s="1196"/>
      <c r="N81" s="1299"/>
      <c r="O81" s="1316"/>
      <c r="P81" s="51"/>
      <c r="Q81" s="51"/>
      <c r="R81" s="51"/>
      <c r="S81" s="51"/>
      <c r="T81" s="51"/>
      <c r="U81" s="1315"/>
    </row>
    <row r="82" spans="1:21" ht="12.75" customHeight="1">
      <c r="A82" s="1298"/>
      <c r="B82" s="1196"/>
      <c r="C82" s="1196"/>
      <c r="D82" s="1196"/>
      <c r="E82" s="1196"/>
      <c r="F82" s="1196"/>
      <c r="G82" s="1299"/>
      <c r="H82" s="1298"/>
      <c r="I82" s="1196"/>
      <c r="J82" s="1196"/>
      <c r="K82" s="1196"/>
      <c r="L82" s="1196"/>
      <c r="M82" s="1196"/>
      <c r="N82" s="1299"/>
      <c r="O82" s="1316"/>
      <c r="P82" s="51"/>
      <c r="Q82" s="51"/>
      <c r="R82" s="51"/>
      <c r="S82" s="51"/>
      <c r="T82" s="51"/>
      <c r="U82" s="1315"/>
    </row>
    <row r="83" spans="1:21" ht="12.75" customHeight="1">
      <c r="A83" s="1298"/>
      <c r="B83" s="1196"/>
      <c r="C83" s="1196"/>
      <c r="D83" s="1196"/>
      <c r="E83" s="1196"/>
      <c r="F83" s="1196"/>
      <c r="G83" s="1299"/>
      <c r="H83" s="1298"/>
      <c r="I83" s="1196"/>
      <c r="J83" s="1196"/>
      <c r="K83" s="1196"/>
      <c r="L83" s="1196"/>
      <c r="M83" s="1196"/>
      <c r="N83" s="1299"/>
      <c r="O83" s="1316"/>
      <c r="P83" s="51"/>
      <c r="Q83" s="51"/>
      <c r="R83" s="51"/>
      <c r="S83" s="51"/>
      <c r="T83" s="51"/>
      <c r="U83" s="1315"/>
    </row>
    <row r="84" spans="1:21" ht="12.75" customHeight="1">
      <c r="A84" s="1298"/>
      <c r="B84" s="1196"/>
      <c r="C84" s="1196"/>
      <c r="D84" s="1196"/>
      <c r="E84" s="1196"/>
      <c r="F84" s="1196"/>
      <c r="G84" s="1299"/>
      <c r="H84" s="1298"/>
      <c r="I84" s="1196"/>
      <c r="J84" s="1196"/>
      <c r="K84" s="1196"/>
      <c r="L84" s="1196"/>
      <c r="M84" s="1196"/>
      <c r="N84" s="1299"/>
      <c r="O84" s="1316"/>
      <c r="P84" s="51"/>
      <c r="Q84" s="51"/>
      <c r="R84" s="51"/>
      <c r="S84" s="51"/>
      <c r="T84" s="51"/>
      <c r="U84" s="1315"/>
    </row>
    <row r="85" spans="1:21" ht="12.75" customHeight="1">
      <c r="A85" s="1298"/>
      <c r="B85" s="1196"/>
      <c r="C85" s="1196"/>
      <c r="D85" s="1196"/>
      <c r="E85" s="1196"/>
      <c r="F85" s="1196"/>
      <c r="G85" s="1299"/>
      <c r="H85" s="1298"/>
      <c r="I85" s="1196"/>
      <c r="J85" s="1196"/>
      <c r="K85" s="1196"/>
      <c r="L85" s="1196"/>
      <c r="M85" s="1196"/>
      <c r="N85" s="1299"/>
      <c r="O85" s="1316"/>
      <c r="P85" s="51"/>
      <c r="Q85" s="51"/>
      <c r="R85" s="51"/>
      <c r="S85" s="51"/>
      <c r="T85" s="51"/>
      <c r="U85" s="1315"/>
    </row>
    <row r="86" spans="1:21" ht="12.75" customHeight="1">
      <c r="A86" s="1298"/>
      <c r="B86" s="1196"/>
      <c r="C86" s="1196"/>
      <c r="D86" s="1196"/>
      <c r="E86" s="1196"/>
      <c r="F86" s="1196"/>
      <c r="G86" s="1299"/>
      <c r="H86" s="1298"/>
      <c r="I86" s="1196"/>
      <c r="J86" s="1196"/>
      <c r="K86" s="1196"/>
      <c r="L86" s="1196"/>
      <c r="M86" s="1196"/>
      <c r="N86" s="1299"/>
      <c r="O86" s="1316"/>
      <c r="P86" s="51"/>
      <c r="Q86" s="51"/>
      <c r="R86" s="51"/>
      <c r="S86" s="51"/>
      <c r="T86" s="51"/>
      <c r="U86" s="1315"/>
    </row>
    <row r="87" spans="1:21" ht="12.75" customHeight="1">
      <c r="A87" s="1298"/>
      <c r="B87" s="1196"/>
      <c r="C87" s="1196"/>
      <c r="D87" s="1196"/>
      <c r="E87" s="1196"/>
      <c r="F87" s="1196"/>
      <c r="G87" s="1299"/>
      <c r="H87" s="1298"/>
      <c r="I87" s="1196"/>
      <c r="J87" s="1196"/>
      <c r="K87" s="1196"/>
      <c r="L87" s="1196"/>
      <c r="M87" s="1196"/>
      <c r="N87" s="1299"/>
      <c r="O87" s="1316"/>
      <c r="P87" s="51"/>
      <c r="Q87" s="51"/>
      <c r="R87" s="51"/>
      <c r="S87" s="51"/>
      <c r="T87" s="51"/>
      <c r="U87" s="1315"/>
    </row>
    <row r="88" spans="1:21" ht="12.75" customHeight="1">
      <c r="A88" s="1298"/>
      <c r="B88" s="1196"/>
      <c r="C88" s="1196"/>
      <c r="D88" s="1196"/>
      <c r="E88" s="1196"/>
      <c r="F88" s="1196"/>
      <c r="G88" s="1299"/>
      <c r="H88" s="1298"/>
      <c r="I88" s="1196"/>
      <c r="J88" s="1196"/>
      <c r="K88" s="1196"/>
      <c r="L88" s="1196"/>
      <c r="M88" s="1196"/>
      <c r="N88" s="1299"/>
      <c r="O88" s="1316"/>
      <c r="P88" s="51"/>
      <c r="Q88" s="51"/>
      <c r="R88" s="51"/>
      <c r="S88" s="51"/>
      <c r="T88" s="51"/>
      <c r="U88" s="1315"/>
    </row>
    <row r="89" spans="1:21" ht="12.75" customHeight="1">
      <c r="A89" s="1298"/>
      <c r="B89" s="1196"/>
      <c r="C89" s="1196"/>
      <c r="D89" s="1196"/>
      <c r="E89" s="1196"/>
      <c r="F89" s="1196"/>
      <c r="G89" s="1299"/>
      <c r="H89" s="1298"/>
      <c r="I89" s="1196"/>
      <c r="J89" s="1196"/>
      <c r="K89" s="1196"/>
      <c r="L89" s="1196"/>
      <c r="M89" s="1196"/>
      <c r="N89" s="1299"/>
      <c r="O89" s="1316"/>
      <c r="P89" s="51"/>
      <c r="Q89" s="51"/>
      <c r="R89" s="51"/>
      <c r="S89" s="51"/>
      <c r="T89" s="51"/>
      <c r="U89" s="1315"/>
    </row>
    <row r="90" spans="1:21" ht="12.75" customHeight="1">
      <c r="A90" s="1298"/>
      <c r="B90" s="1196"/>
      <c r="C90" s="1196"/>
      <c r="D90" s="1196"/>
      <c r="E90" s="1196"/>
      <c r="F90" s="1196"/>
      <c r="G90" s="1299"/>
      <c r="H90" s="1298"/>
      <c r="I90" s="1196"/>
      <c r="J90" s="1196"/>
      <c r="K90" s="1196"/>
      <c r="L90" s="1196"/>
      <c r="M90" s="1196"/>
      <c r="N90" s="1299"/>
      <c r="O90" s="1316"/>
      <c r="P90" s="51"/>
      <c r="Q90" s="51"/>
      <c r="R90" s="51"/>
      <c r="S90" s="51"/>
      <c r="T90" s="51"/>
      <c r="U90" s="1315"/>
    </row>
    <row r="91" spans="1:21" ht="12.75" customHeight="1">
      <c r="A91" s="1298"/>
      <c r="B91" s="1196"/>
      <c r="C91" s="1196"/>
      <c r="D91" s="1196"/>
      <c r="E91" s="1196"/>
      <c r="F91" s="1196"/>
      <c r="G91" s="1299"/>
      <c r="H91" s="1298"/>
      <c r="I91" s="1196"/>
      <c r="J91" s="1196"/>
      <c r="K91" s="1196"/>
      <c r="L91" s="1196"/>
      <c r="M91" s="1196"/>
      <c r="N91" s="1299"/>
      <c r="O91" s="1316"/>
      <c r="P91" s="51"/>
      <c r="Q91" s="51"/>
      <c r="R91" s="51"/>
      <c r="S91" s="51"/>
      <c r="T91" s="51"/>
      <c r="U91" s="1315"/>
    </row>
    <row r="92" spans="1:21" ht="12.75" customHeight="1">
      <c r="A92" s="1298"/>
      <c r="B92" s="1196"/>
      <c r="C92" s="1196"/>
      <c r="D92" s="1196"/>
      <c r="E92" s="1196"/>
      <c r="F92" s="1196"/>
      <c r="G92" s="1299"/>
      <c r="H92" s="1298"/>
      <c r="I92" s="1196"/>
      <c r="J92" s="1196"/>
      <c r="K92" s="1196"/>
      <c r="L92" s="1196"/>
      <c r="M92" s="1196"/>
      <c r="N92" s="1299"/>
      <c r="O92" s="1316"/>
      <c r="P92" s="51"/>
      <c r="Q92" s="51"/>
      <c r="R92" s="51"/>
      <c r="S92" s="51"/>
      <c r="T92" s="51"/>
      <c r="U92" s="1315"/>
    </row>
    <row r="93" spans="1:21" ht="12.75" customHeight="1">
      <c r="A93" s="1298"/>
      <c r="B93" s="1196"/>
      <c r="C93" s="1196"/>
      <c r="D93" s="1196"/>
      <c r="E93" s="1196"/>
      <c r="F93" s="1196"/>
      <c r="G93" s="1299"/>
      <c r="H93" s="1298"/>
      <c r="I93" s="1196"/>
      <c r="J93" s="1196"/>
      <c r="K93" s="1196"/>
      <c r="L93" s="1196"/>
      <c r="M93" s="1196"/>
      <c r="N93" s="1299"/>
      <c r="O93" s="1316"/>
      <c r="P93" s="51"/>
      <c r="Q93" s="51"/>
      <c r="R93" s="51"/>
      <c r="S93" s="51"/>
      <c r="T93" s="1039"/>
      <c r="U93" s="1315"/>
    </row>
    <row r="94" spans="1:21" ht="12.75" customHeight="1">
      <c r="A94" s="1298"/>
      <c r="B94" s="1196"/>
      <c r="C94" s="1196"/>
      <c r="D94" s="1196"/>
      <c r="E94" s="1196"/>
      <c r="F94" s="1196"/>
      <c r="G94" s="1299"/>
      <c r="H94" s="1298"/>
      <c r="I94" s="1196"/>
      <c r="J94" s="1196"/>
      <c r="K94" s="1196"/>
      <c r="L94" s="1196"/>
      <c r="M94" s="1196"/>
      <c r="N94" s="1299"/>
      <c r="O94" s="1316"/>
      <c r="P94" s="51"/>
      <c r="Q94" s="51"/>
      <c r="R94" s="51"/>
      <c r="S94" s="51"/>
      <c r="T94" s="51"/>
      <c r="U94" s="1315"/>
    </row>
    <row r="95" spans="1:21" ht="12.75" customHeight="1">
      <c r="A95" s="1298"/>
      <c r="B95" s="1196"/>
      <c r="C95" s="1196"/>
      <c r="D95" s="1196"/>
      <c r="E95" s="1196"/>
      <c r="F95" s="1196"/>
      <c r="G95" s="1299"/>
      <c r="H95" s="1298"/>
      <c r="I95" s="1196"/>
      <c r="J95" s="1196"/>
      <c r="K95" s="1196"/>
      <c r="L95" s="1196"/>
      <c r="M95" s="1196"/>
      <c r="N95" s="1299"/>
      <c r="O95" s="1316"/>
      <c r="P95" s="51"/>
      <c r="Q95" s="51"/>
      <c r="R95" s="51"/>
      <c r="S95" s="51"/>
      <c r="T95" s="51"/>
      <c r="U95" s="1315"/>
    </row>
    <row r="96" spans="1:21" ht="12.75" customHeight="1">
      <c r="A96" s="1298"/>
      <c r="B96" s="1196"/>
      <c r="C96" s="1196"/>
      <c r="D96" s="1196"/>
      <c r="E96" s="1196"/>
      <c r="F96" s="1196"/>
      <c r="G96" s="1299"/>
      <c r="H96" s="1298"/>
      <c r="I96" s="1196"/>
      <c r="J96" s="1196"/>
      <c r="K96" s="1196"/>
      <c r="L96" s="1196"/>
      <c r="M96" s="1196"/>
      <c r="N96" s="1299"/>
      <c r="O96" s="1316"/>
      <c r="P96" s="51"/>
      <c r="Q96" s="51"/>
      <c r="R96" s="51"/>
      <c r="S96" s="51"/>
      <c r="T96" s="51"/>
      <c r="U96" s="1315"/>
    </row>
    <row r="97" spans="1:21" ht="12.75" customHeight="1">
      <c r="A97" s="1298"/>
      <c r="B97" s="1196"/>
      <c r="C97" s="1196"/>
      <c r="D97" s="1196"/>
      <c r="E97" s="1196"/>
      <c r="F97" s="1196"/>
      <c r="G97" s="1299"/>
      <c r="H97" s="1298"/>
      <c r="I97" s="1196"/>
      <c r="J97" s="1196"/>
      <c r="K97" s="1196"/>
      <c r="L97" s="1196"/>
      <c r="M97" s="1196"/>
      <c r="N97" s="1299"/>
      <c r="O97" s="1316"/>
      <c r="P97" s="51"/>
      <c r="Q97" s="51"/>
      <c r="R97" s="51"/>
      <c r="S97" s="51"/>
      <c r="T97" s="51"/>
      <c r="U97" s="1315"/>
    </row>
    <row r="98" spans="1:21" ht="12.75" customHeight="1">
      <c r="A98" s="1298"/>
      <c r="B98" s="1196"/>
      <c r="C98" s="1196"/>
      <c r="D98" s="1196"/>
      <c r="E98" s="1196"/>
      <c r="F98" s="1196"/>
      <c r="G98" s="1299"/>
      <c r="H98" s="1298"/>
      <c r="I98" s="1196"/>
      <c r="J98" s="1196"/>
      <c r="K98" s="1196"/>
      <c r="L98" s="1196"/>
      <c r="M98" s="1196"/>
      <c r="N98" s="1299"/>
      <c r="O98" s="1316"/>
      <c r="P98" s="51"/>
      <c r="Q98" s="51"/>
      <c r="R98" s="51"/>
      <c r="S98" s="51"/>
      <c r="T98" s="51"/>
      <c r="U98" s="1315"/>
    </row>
    <row r="99" spans="1:21" ht="12.75" customHeight="1">
      <c r="A99" s="1298"/>
      <c r="B99" s="1196"/>
      <c r="C99" s="1196"/>
      <c r="D99" s="1196"/>
      <c r="E99" s="1196"/>
      <c r="F99" s="1196"/>
      <c r="G99" s="1299"/>
      <c r="H99" s="1298"/>
      <c r="I99" s="1196"/>
      <c r="J99" s="1196"/>
      <c r="K99" s="1196"/>
      <c r="L99" s="1196"/>
      <c r="M99" s="1196"/>
      <c r="N99" s="1299"/>
      <c r="O99" s="1316"/>
      <c r="P99" s="51"/>
      <c r="Q99" s="51"/>
      <c r="R99" s="51"/>
      <c r="S99" s="51"/>
      <c r="T99" s="51"/>
      <c r="U99" s="1315"/>
    </row>
    <row r="100" spans="1:21" ht="12.75" customHeight="1">
      <c r="A100" s="1298"/>
      <c r="B100" s="1196"/>
      <c r="C100" s="1196"/>
      <c r="D100" s="1196"/>
      <c r="E100" s="1196"/>
      <c r="F100" s="1196"/>
      <c r="G100" s="1299"/>
      <c r="H100" s="1298"/>
      <c r="I100" s="1196"/>
      <c r="J100" s="1196"/>
      <c r="K100" s="1196"/>
      <c r="L100" s="1196"/>
      <c r="M100" s="1196"/>
      <c r="N100" s="1299"/>
      <c r="O100" s="1316"/>
      <c r="P100" s="51"/>
      <c r="Q100" s="51"/>
      <c r="R100" s="51"/>
      <c r="S100" s="51"/>
      <c r="T100" s="51"/>
      <c r="U100" s="1315"/>
    </row>
    <row r="101" spans="1:21" ht="12.75" customHeight="1">
      <c r="A101" s="1298"/>
      <c r="B101" s="1196"/>
      <c r="C101" s="1196"/>
      <c r="D101" s="1196"/>
      <c r="E101" s="1196"/>
      <c r="F101" s="1196"/>
      <c r="G101" s="1299"/>
      <c r="H101" s="1298"/>
      <c r="I101" s="1196"/>
      <c r="J101" s="1196"/>
      <c r="K101" s="1196"/>
      <c r="L101" s="1196"/>
      <c r="M101" s="1196"/>
      <c r="N101" s="1299"/>
      <c r="O101" s="1316"/>
      <c r="P101" s="51"/>
      <c r="Q101" s="51"/>
      <c r="R101" s="51"/>
      <c r="S101" s="51"/>
      <c r="T101" s="51"/>
      <c r="U101" s="1315"/>
    </row>
    <row r="102" spans="1:21" ht="12.75" customHeight="1">
      <c r="A102" s="1298"/>
      <c r="B102" s="1196"/>
      <c r="C102" s="1196"/>
      <c r="D102" s="1196"/>
      <c r="E102" s="1196"/>
      <c r="F102" s="1196"/>
      <c r="G102" s="1299"/>
      <c r="H102" s="1298"/>
      <c r="I102" s="1196"/>
      <c r="J102" s="1196"/>
      <c r="K102" s="1196"/>
      <c r="L102" s="1196"/>
      <c r="M102" s="1196"/>
      <c r="N102" s="1299"/>
      <c r="O102" s="1316"/>
      <c r="P102" s="51"/>
      <c r="Q102" s="51"/>
      <c r="R102" s="51"/>
      <c r="S102" s="51"/>
      <c r="T102" s="51"/>
      <c r="U102" s="1315"/>
    </row>
    <row r="103" spans="1:21" ht="12.75" customHeight="1">
      <c r="A103" s="1298"/>
      <c r="B103" s="1196"/>
      <c r="C103" s="1196"/>
      <c r="D103" s="1196"/>
      <c r="E103" s="1196"/>
      <c r="F103" s="1196"/>
      <c r="G103" s="1299"/>
      <c r="H103" s="1298"/>
      <c r="I103" s="1196"/>
      <c r="J103" s="1196"/>
      <c r="K103" s="1196"/>
      <c r="L103" s="1196"/>
      <c r="M103" s="1196"/>
      <c r="N103" s="1299"/>
      <c r="O103" s="1316"/>
      <c r="P103" s="51"/>
      <c r="Q103" s="51"/>
      <c r="R103" s="51"/>
      <c r="S103" s="51"/>
      <c r="T103" s="51"/>
      <c r="U103" s="1315"/>
    </row>
    <row r="104" spans="1:21" ht="12.75" customHeight="1">
      <c r="A104" s="1298"/>
      <c r="B104" s="1196"/>
      <c r="C104" s="1196"/>
      <c r="D104" s="1196"/>
      <c r="E104" s="1196"/>
      <c r="F104" s="1196"/>
      <c r="G104" s="1299"/>
      <c r="H104" s="1298"/>
      <c r="I104" s="1196"/>
      <c r="J104" s="1196"/>
      <c r="K104" s="1196"/>
      <c r="L104" s="1196"/>
      <c r="M104" s="1196"/>
      <c r="N104" s="1299"/>
      <c r="O104" s="1316"/>
      <c r="P104" s="51"/>
      <c r="Q104" s="51"/>
      <c r="R104" s="51"/>
      <c r="S104" s="51"/>
      <c r="T104" s="51"/>
      <c r="U104" s="1315"/>
    </row>
    <row r="105" spans="1:21" ht="12.75" customHeight="1">
      <c r="A105" s="1298"/>
      <c r="B105" s="1196"/>
      <c r="C105" s="1196"/>
      <c r="D105" s="1196"/>
      <c r="E105" s="1196"/>
      <c r="F105" s="1196"/>
      <c r="G105" s="1299"/>
      <c r="H105" s="1298"/>
      <c r="I105" s="1196"/>
      <c r="J105" s="1196"/>
      <c r="K105" s="1196"/>
      <c r="L105" s="1196"/>
      <c r="M105" s="1196"/>
      <c r="N105" s="1299"/>
      <c r="O105" s="1316"/>
      <c r="P105" s="51"/>
      <c r="Q105" s="51"/>
      <c r="R105" s="51"/>
      <c r="S105" s="51"/>
      <c r="T105" s="51"/>
      <c r="U105" s="1315"/>
    </row>
    <row r="106" spans="1:21" ht="12.75" customHeight="1">
      <c r="A106" s="1298"/>
      <c r="B106" s="1196"/>
      <c r="C106" s="1196"/>
      <c r="D106" s="1196"/>
      <c r="E106" s="1196"/>
      <c r="F106" s="1196"/>
      <c r="G106" s="1299"/>
      <c r="H106" s="1298"/>
      <c r="I106" s="1196"/>
      <c r="J106" s="1196"/>
      <c r="K106" s="1196"/>
      <c r="L106" s="1196"/>
      <c r="M106" s="1196"/>
      <c r="N106" s="1299"/>
      <c r="O106" s="1316"/>
      <c r="P106" s="51"/>
      <c r="Q106" s="51"/>
      <c r="R106" s="51"/>
      <c r="S106" s="51"/>
      <c r="T106" s="51"/>
      <c r="U106" s="1315"/>
    </row>
    <row r="107" spans="1:21" ht="12.75" customHeight="1">
      <c r="A107" s="1298"/>
      <c r="B107" s="1196"/>
      <c r="C107" s="1196"/>
      <c r="D107" s="1196"/>
      <c r="E107" s="1196"/>
      <c r="F107" s="1196"/>
      <c r="G107" s="1299"/>
      <c r="H107" s="1298"/>
      <c r="I107" s="1196"/>
      <c r="J107" s="1196"/>
      <c r="K107" s="1196"/>
      <c r="L107" s="1196"/>
      <c r="M107" s="1196"/>
      <c r="N107" s="1299"/>
      <c r="O107" s="1316"/>
      <c r="P107" s="51"/>
      <c r="Q107" s="51"/>
      <c r="R107" s="51"/>
      <c r="S107" s="51"/>
      <c r="T107" s="51"/>
      <c r="U107" s="1315"/>
    </row>
    <row r="108" spans="1:21" ht="12.75" customHeight="1">
      <c r="A108" s="1298"/>
      <c r="B108" s="1196"/>
      <c r="C108" s="1196"/>
      <c r="D108" s="1196"/>
      <c r="E108" s="1196"/>
      <c r="F108" s="1196"/>
      <c r="G108" s="1299"/>
      <c r="H108" s="1298"/>
      <c r="I108" s="1196"/>
      <c r="J108" s="1196"/>
      <c r="K108" s="1196"/>
      <c r="L108" s="1196"/>
      <c r="M108" s="1196"/>
      <c r="N108" s="1299"/>
      <c r="O108" s="1316"/>
      <c r="P108" s="51"/>
      <c r="Q108" s="51"/>
      <c r="R108" s="51"/>
      <c r="S108" s="51"/>
      <c r="T108" s="51"/>
      <c r="U108" s="1315"/>
    </row>
    <row r="109" spans="1:21" ht="12.75" customHeight="1">
      <c r="A109" s="1298"/>
      <c r="B109" s="1196"/>
      <c r="C109" s="1196"/>
      <c r="D109" s="1196"/>
      <c r="E109" s="1196"/>
      <c r="F109" s="1196"/>
      <c r="G109" s="1299"/>
      <c r="H109" s="1298"/>
      <c r="I109" s="1196"/>
      <c r="J109" s="1196"/>
      <c r="K109" s="1196"/>
      <c r="L109" s="1196"/>
      <c r="M109" s="1196"/>
      <c r="N109" s="1299"/>
      <c r="O109" s="1316"/>
      <c r="P109" s="51"/>
      <c r="Q109" s="51"/>
      <c r="R109" s="51"/>
      <c r="S109" s="51"/>
      <c r="T109" s="51"/>
      <c r="U109" s="1315"/>
    </row>
    <row r="110" spans="1:21" ht="12.75" customHeight="1">
      <c r="A110" s="1298"/>
      <c r="B110" s="1196"/>
      <c r="C110" s="1196"/>
      <c r="D110" s="1196"/>
      <c r="E110" s="1196"/>
      <c r="F110" s="1196"/>
      <c r="G110" s="1299"/>
      <c r="H110" s="1298"/>
      <c r="I110" s="1196"/>
      <c r="J110" s="1196"/>
      <c r="K110" s="1196"/>
      <c r="L110" s="1196"/>
      <c r="M110" s="1196"/>
      <c r="N110" s="1299"/>
      <c r="O110" s="1316"/>
      <c r="P110" s="51"/>
      <c r="Q110" s="51"/>
      <c r="R110" s="51"/>
      <c r="S110" s="51"/>
      <c r="T110" s="51"/>
      <c r="U110" s="1315"/>
    </row>
    <row r="111" spans="1:21" ht="12.75" customHeight="1">
      <c r="A111" s="1298"/>
      <c r="B111" s="1196"/>
      <c r="C111" s="1196"/>
      <c r="D111" s="1196"/>
      <c r="E111" s="1196"/>
      <c r="F111" s="1196"/>
      <c r="G111" s="1299"/>
      <c r="H111" s="1298"/>
      <c r="I111" s="1196"/>
      <c r="J111" s="1196"/>
      <c r="K111" s="1196"/>
      <c r="L111" s="1196"/>
      <c r="M111" s="1196"/>
      <c r="N111" s="1299"/>
      <c r="O111" s="1316"/>
      <c r="P111" s="51"/>
      <c r="Q111" s="51"/>
      <c r="R111" s="51"/>
      <c r="S111" s="51"/>
      <c r="T111" s="51"/>
      <c r="U111" s="1315"/>
    </row>
    <row r="112" spans="1:21" ht="12.75" customHeight="1">
      <c r="A112" s="1298"/>
      <c r="B112" s="1196"/>
      <c r="C112" s="1196"/>
      <c r="D112" s="1196"/>
      <c r="E112" s="1196"/>
      <c r="F112" s="1196"/>
      <c r="G112" s="1299"/>
      <c r="H112" s="1298"/>
      <c r="I112" s="1196"/>
      <c r="J112" s="1196"/>
      <c r="K112" s="1196"/>
      <c r="L112" s="1196"/>
      <c r="M112" s="1196"/>
      <c r="N112" s="1299"/>
      <c r="O112" s="1316"/>
      <c r="P112" s="51"/>
      <c r="Q112" s="51"/>
      <c r="R112" s="51"/>
      <c r="S112" s="51"/>
      <c r="T112" s="51"/>
      <c r="U112" s="1315"/>
    </row>
    <row r="113" spans="1:21" ht="12.75" customHeight="1">
      <c r="A113" s="1298"/>
      <c r="B113" s="1196"/>
      <c r="C113" s="1196"/>
      <c r="D113" s="1196"/>
      <c r="E113" s="1196"/>
      <c r="F113" s="1196"/>
      <c r="G113" s="1299"/>
      <c r="H113" s="1298"/>
      <c r="I113" s="1196"/>
      <c r="J113" s="1196"/>
      <c r="K113" s="1196"/>
      <c r="L113" s="1196"/>
      <c r="M113" s="1196"/>
      <c r="N113" s="1299"/>
      <c r="O113" s="1316"/>
      <c r="P113" s="51"/>
      <c r="Q113" s="51"/>
      <c r="R113" s="51"/>
      <c r="S113" s="51"/>
      <c r="T113" s="51"/>
      <c r="U113" s="1315"/>
    </row>
    <row r="114" spans="1:21" ht="12.75" customHeight="1" thickBot="1">
      <c r="A114" s="1300"/>
      <c r="B114" s="1219"/>
      <c r="C114" s="1219"/>
      <c r="D114" s="1219"/>
      <c r="E114" s="1219"/>
      <c r="F114" s="1219"/>
      <c r="G114" s="1301"/>
      <c r="H114" s="1300"/>
      <c r="I114" s="1219"/>
      <c r="J114" s="1219"/>
      <c r="K114" s="1219"/>
      <c r="L114" s="1219"/>
      <c r="M114" s="1219"/>
      <c r="N114" s="1301"/>
      <c r="O114" s="1316"/>
      <c r="P114" s="51"/>
      <c r="Q114" s="51"/>
      <c r="R114" s="51"/>
      <c r="S114" s="51"/>
      <c r="T114" s="51"/>
      <c r="U114" s="1315"/>
    </row>
    <row r="115" spans="1:21" ht="12.75" customHeight="1">
      <c r="O115" s="1317"/>
      <c r="P115" s="1318"/>
      <c r="Q115" s="1318"/>
      <c r="R115" s="1318"/>
      <c r="S115" s="1318"/>
      <c r="T115" s="1318"/>
      <c r="U115" s="1319"/>
    </row>
    <row r="116" spans="1:21" ht="12.75" customHeight="1">
      <c r="O116" s="1316"/>
      <c r="P116" s="51"/>
      <c r="Q116" s="51"/>
      <c r="R116" s="51"/>
      <c r="S116" s="51"/>
      <c r="T116" s="51"/>
      <c r="U116" s="1315"/>
    </row>
    <row r="117" spans="1:21" ht="12.75" customHeight="1">
      <c r="E117" s="2102"/>
      <c r="F117" s="2060"/>
      <c r="O117" s="1316"/>
      <c r="P117" s="1196"/>
      <c r="Q117" s="1196"/>
      <c r="R117" s="1196"/>
      <c r="S117" s="1196"/>
      <c r="T117" s="1196"/>
      <c r="U117" s="1315"/>
    </row>
    <row r="118" spans="1:21" ht="12.75" customHeight="1">
      <c r="O118" s="1316"/>
      <c r="P118" s="1196"/>
      <c r="Q118" s="1196"/>
      <c r="R118" s="1196"/>
      <c r="S118" s="1196"/>
      <c r="T118" s="1196"/>
      <c r="U118" s="1315"/>
    </row>
    <row r="119" spans="1:21" ht="12.75" customHeight="1">
      <c r="O119" s="1316"/>
      <c r="P119" s="1196"/>
      <c r="Q119" s="1196"/>
      <c r="R119" s="1196"/>
      <c r="S119" s="1196"/>
      <c r="T119" s="1196"/>
      <c r="U119" s="1315"/>
    </row>
    <row r="120" spans="1:21" ht="12.75" customHeight="1">
      <c r="O120" s="1316"/>
      <c r="P120" s="1196"/>
      <c r="Q120" s="1196"/>
      <c r="R120" s="1196"/>
      <c r="S120" s="1196"/>
      <c r="T120" s="1196"/>
      <c r="U120" s="1315"/>
    </row>
    <row r="121" spans="1:21" ht="12.75" customHeight="1">
      <c r="O121" s="1316"/>
      <c r="P121" s="1196"/>
      <c r="Q121" s="1196"/>
      <c r="R121" s="1196"/>
      <c r="S121" s="1196"/>
      <c r="T121" s="1196"/>
      <c r="U121" s="1315"/>
    </row>
    <row r="122" spans="1:21" ht="12.75" customHeight="1">
      <c r="O122" s="1316"/>
      <c r="P122" s="1196"/>
      <c r="Q122" s="1196"/>
      <c r="R122" s="1196"/>
      <c r="S122" s="1196"/>
      <c r="T122" s="1196"/>
      <c r="U122" s="1315"/>
    </row>
    <row r="123" spans="1:21" ht="12.75" customHeight="1">
      <c r="O123" s="1316"/>
      <c r="P123" s="1196"/>
      <c r="Q123" s="1196"/>
      <c r="R123" s="1196"/>
      <c r="S123" s="1196"/>
      <c r="T123" s="1196"/>
      <c r="U123" s="1315"/>
    </row>
    <row r="124" spans="1:21" ht="12.75" customHeight="1">
      <c r="O124" s="1316"/>
      <c r="P124" s="1196"/>
      <c r="Q124" s="1196"/>
      <c r="R124" s="1196"/>
      <c r="S124" s="1196"/>
      <c r="T124" s="1196"/>
      <c r="U124" s="1315"/>
    </row>
    <row r="125" spans="1:21" ht="12.75" customHeight="1">
      <c r="O125" s="1316"/>
      <c r="P125" s="1196"/>
      <c r="Q125" s="1196"/>
      <c r="R125" s="1196"/>
      <c r="S125" s="1196"/>
      <c r="T125" s="1196"/>
      <c r="U125" s="1315"/>
    </row>
    <row r="126" spans="1:21" ht="12.75" customHeight="1">
      <c r="O126" s="1316"/>
      <c r="P126" s="1196"/>
      <c r="Q126" s="1196"/>
      <c r="R126" s="1196"/>
      <c r="S126" s="1196"/>
      <c r="T126" s="1196"/>
      <c r="U126" s="1315"/>
    </row>
    <row r="127" spans="1:21" ht="12.75" customHeight="1">
      <c r="O127" s="1316"/>
      <c r="P127" s="1196"/>
      <c r="Q127" s="1196"/>
      <c r="R127" s="1196"/>
      <c r="S127" s="1196"/>
      <c r="T127" s="1196"/>
      <c r="U127" s="1315"/>
    </row>
    <row r="128" spans="1:21" ht="12.75" customHeight="1">
      <c r="O128" s="1316"/>
      <c r="P128" s="1196"/>
      <c r="Q128" s="1196"/>
      <c r="R128" s="1196"/>
      <c r="S128" s="1196"/>
      <c r="T128" s="1196"/>
      <c r="U128" s="1315"/>
    </row>
    <row r="129" spans="15:21" ht="12.75" customHeight="1">
      <c r="O129" s="1316"/>
      <c r="P129" s="1196"/>
      <c r="Q129" s="1196"/>
      <c r="R129" s="1196"/>
      <c r="S129" s="1196"/>
      <c r="T129" s="1196"/>
      <c r="U129" s="1315"/>
    </row>
    <row r="130" spans="15:21" ht="12.75" customHeight="1">
      <c r="O130" s="1316"/>
      <c r="P130" s="1196"/>
      <c r="Q130" s="1196"/>
      <c r="R130" s="1196"/>
      <c r="S130" s="1196"/>
      <c r="T130" s="1196"/>
      <c r="U130" s="1315"/>
    </row>
    <row r="131" spans="15:21" ht="12.75" customHeight="1">
      <c r="O131" s="1316"/>
      <c r="P131" s="1196"/>
      <c r="Q131" s="1196"/>
      <c r="R131" s="1196"/>
      <c r="S131" s="1196"/>
      <c r="T131" s="1196"/>
      <c r="U131" s="1315"/>
    </row>
    <row r="132" spans="15:21" ht="12.75" customHeight="1">
      <c r="O132" s="1316"/>
      <c r="P132" s="1196"/>
      <c r="Q132" s="1196"/>
      <c r="R132" s="1196"/>
      <c r="S132" s="1196"/>
      <c r="T132" s="1196"/>
      <c r="U132" s="1315"/>
    </row>
    <row r="133" spans="15:21" ht="12.75" customHeight="1">
      <c r="O133" s="1316"/>
      <c r="P133" s="1196"/>
      <c r="Q133" s="1196"/>
      <c r="R133" s="1196"/>
      <c r="S133" s="1196"/>
      <c r="T133" s="1196"/>
      <c r="U133" s="1315"/>
    </row>
    <row r="134" spans="15:21" ht="12.75" customHeight="1">
      <c r="O134" s="1316"/>
      <c r="P134" s="1196"/>
      <c r="Q134" s="1196"/>
      <c r="R134" s="1196"/>
      <c r="S134" s="1196"/>
      <c r="T134" s="1196"/>
      <c r="U134" s="1315"/>
    </row>
    <row r="135" spans="15:21" ht="12.75" customHeight="1">
      <c r="O135" s="1316"/>
      <c r="P135" s="1196"/>
      <c r="Q135" s="1196"/>
      <c r="R135" s="1196"/>
      <c r="S135" s="1196"/>
      <c r="T135" s="1196"/>
      <c r="U135" s="1315"/>
    </row>
    <row r="136" spans="15:21" ht="12.75" customHeight="1">
      <c r="O136" s="1316"/>
      <c r="P136" s="1196"/>
      <c r="Q136" s="1196"/>
      <c r="R136" s="1196"/>
      <c r="S136" s="1196"/>
      <c r="T136" s="1196"/>
      <c r="U136" s="1315"/>
    </row>
    <row r="137" spans="15:21" ht="12.75" customHeight="1">
      <c r="O137" s="1316"/>
      <c r="P137" s="1196"/>
      <c r="Q137" s="1196"/>
      <c r="R137" s="1196"/>
      <c r="S137" s="1196"/>
      <c r="T137" s="1196"/>
      <c r="U137" s="1315"/>
    </row>
    <row r="138" spans="15:21" ht="12.75" customHeight="1">
      <c r="O138" s="1316"/>
      <c r="P138" s="1196"/>
      <c r="Q138" s="1196"/>
      <c r="R138" s="1196"/>
      <c r="S138" s="1196"/>
      <c r="T138" s="1196"/>
      <c r="U138" s="1315"/>
    </row>
    <row r="139" spans="15:21" ht="12.75" customHeight="1">
      <c r="O139" s="1316"/>
      <c r="P139" s="1196"/>
      <c r="Q139" s="1196"/>
      <c r="R139" s="1196"/>
      <c r="S139" s="1196"/>
      <c r="T139" s="1196"/>
      <c r="U139" s="1315"/>
    </row>
    <row r="140" spans="15:21" ht="12.75" customHeight="1">
      <c r="O140" s="1316"/>
      <c r="P140" s="1196"/>
      <c r="Q140" s="1196"/>
      <c r="R140" s="1196"/>
      <c r="S140" s="1196"/>
      <c r="T140" s="1196"/>
      <c r="U140" s="1315"/>
    </row>
    <row r="141" spans="15:21" ht="12.75" customHeight="1">
      <c r="O141" s="1316"/>
      <c r="P141" s="1196"/>
      <c r="Q141" s="1196"/>
      <c r="R141" s="1196"/>
      <c r="S141" s="1196"/>
      <c r="T141" s="1196"/>
      <c r="U141" s="1315"/>
    </row>
    <row r="142" spans="15:21" ht="12.75" customHeight="1">
      <c r="O142" s="1316"/>
      <c r="P142" s="1196"/>
      <c r="Q142" s="1196"/>
      <c r="R142" s="1196"/>
      <c r="S142" s="1196"/>
      <c r="T142" s="1196"/>
      <c r="U142" s="1315"/>
    </row>
    <row r="143" spans="15:21" ht="12.75" customHeight="1">
      <c r="O143" s="1316"/>
      <c r="P143" s="1196"/>
      <c r="Q143" s="1196"/>
      <c r="R143" s="1196"/>
      <c r="S143" s="1196"/>
      <c r="T143" s="1196"/>
      <c r="U143" s="1315"/>
    </row>
    <row r="144" spans="15:21" ht="12.75" customHeight="1">
      <c r="O144" s="1316"/>
      <c r="P144" s="1196"/>
      <c r="Q144" s="1196"/>
      <c r="R144" s="1196"/>
      <c r="S144" s="1196"/>
      <c r="T144" s="1196"/>
      <c r="U144" s="1315"/>
    </row>
    <row r="145" spans="6:21" ht="12.75" customHeight="1">
      <c r="O145" s="1316"/>
      <c r="P145" s="1196"/>
      <c r="Q145" s="1196"/>
      <c r="R145" s="1196"/>
      <c r="S145" s="1196"/>
      <c r="T145" s="1196"/>
      <c r="U145" s="1315"/>
    </row>
    <row r="146" spans="6:21" ht="12.75" customHeight="1">
      <c r="O146" s="1316"/>
      <c r="P146" s="1196"/>
      <c r="Q146" s="1196"/>
      <c r="R146" s="1196"/>
      <c r="S146" s="1196"/>
      <c r="T146" s="1196"/>
      <c r="U146" s="1315"/>
    </row>
    <row r="147" spans="6:21" ht="12.75" customHeight="1">
      <c r="O147" s="1316"/>
      <c r="P147" s="1196"/>
      <c r="Q147" s="1196"/>
      <c r="R147" s="1196"/>
      <c r="S147" s="1196"/>
      <c r="T147" s="1196"/>
      <c r="U147" s="1315"/>
    </row>
    <row r="148" spans="6:21" ht="12.75" customHeight="1">
      <c r="F148" s="250" t="s">
        <v>440</v>
      </c>
      <c r="O148" s="1316"/>
      <c r="P148" s="1196"/>
      <c r="Q148" s="1196"/>
      <c r="R148" s="1196"/>
      <c r="S148" s="1196"/>
      <c r="T148" s="1196"/>
      <c r="U148" s="1315"/>
    </row>
    <row r="149" spans="6:21" ht="12.75" customHeight="1" thickBot="1">
      <c r="O149" s="1312"/>
      <c r="P149" s="1313"/>
      <c r="Q149" s="1313"/>
      <c r="R149" s="1313"/>
      <c r="S149" s="1313"/>
      <c r="T149" s="1313"/>
      <c r="U149" s="1314"/>
    </row>
    <row r="150" spans="6:21" ht="12.75" customHeight="1"/>
    <row r="151" spans="6:21" ht="12.75" customHeight="1"/>
    <row r="152" spans="6:21" ht="12.75" customHeight="1"/>
    <row r="153" spans="6:21" ht="12.75" customHeight="1"/>
    <row r="154" spans="6:21" ht="12.75" customHeight="1"/>
    <row r="155" spans="6:21" ht="12.75" customHeight="1"/>
    <row r="156" spans="6:21" ht="12.75" customHeight="1"/>
    <row r="157" spans="6:21" ht="12.75" customHeight="1"/>
    <row r="158" spans="6:21" ht="12.75" customHeight="1"/>
    <row r="159" spans="6:21" ht="12.75" customHeight="1"/>
    <row r="160" spans="6:21"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sheetData>
  <mergeCells count="72">
    <mergeCell ref="E117:F117"/>
    <mergeCell ref="A11:G12"/>
    <mergeCell ref="H11:N12"/>
    <mergeCell ref="O11:U12"/>
    <mergeCell ref="O16:U16"/>
    <mergeCell ref="B32:G32"/>
    <mergeCell ref="B33:G33"/>
    <mergeCell ref="B37:G37"/>
    <mergeCell ref="B38:G38"/>
    <mergeCell ref="B23:G23"/>
    <mergeCell ref="I23:M23"/>
    <mergeCell ref="I24:M24"/>
    <mergeCell ref="B25:G25"/>
    <mergeCell ref="I25:M25"/>
    <mergeCell ref="B30:G30"/>
    <mergeCell ref="I30:M30"/>
    <mergeCell ref="A1:G1"/>
    <mergeCell ref="A5:G5"/>
    <mergeCell ref="H1:N1"/>
    <mergeCell ref="O1:U1"/>
    <mergeCell ref="H3:M3"/>
    <mergeCell ref="O3:T3"/>
    <mergeCell ref="H5:N5"/>
    <mergeCell ref="O5:U5"/>
    <mergeCell ref="A3:G3"/>
    <mergeCell ref="Q10:R10"/>
    <mergeCell ref="P38:U38"/>
    <mergeCell ref="B34:G34"/>
    <mergeCell ref="B35:G35"/>
    <mergeCell ref="B36:G36"/>
    <mergeCell ref="D10:E10"/>
    <mergeCell ref="B20:G20"/>
    <mergeCell ref="B21:G21"/>
    <mergeCell ref="B22:G22"/>
    <mergeCell ref="K10:L10"/>
    <mergeCell ref="I22:M22"/>
    <mergeCell ref="B26:G26"/>
    <mergeCell ref="I26:M26"/>
    <mergeCell ref="B27:G27"/>
    <mergeCell ref="I27:M27"/>
    <mergeCell ref="B24:G24"/>
    <mergeCell ref="B28:G28"/>
    <mergeCell ref="I28:M28"/>
    <mergeCell ref="B29:G29"/>
    <mergeCell ref="I29:M29"/>
    <mergeCell ref="I21:M21"/>
    <mergeCell ref="I32:M32"/>
    <mergeCell ref="I33:M33"/>
    <mergeCell ref="I34:M34"/>
    <mergeCell ref="I35:M35"/>
    <mergeCell ref="I36:M36"/>
    <mergeCell ref="I37:M37"/>
    <mergeCell ref="I38:M38"/>
    <mergeCell ref="P18:T18"/>
    <mergeCell ref="P19:T19"/>
    <mergeCell ref="P20:T20"/>
    <mergeCell ref="P21:T21"/>
    <mergeCell ref="P22:T22"/>
    <mergeCell ref="P23:T23"/>
    <mergeCell ref="P24:T24"/>
    <mergeCell ref="P25:T25"/>
    <mergeCell ref="P26:T26"/>
    <mergeCell ref="P27:T27"/>
    <mergeCell ref="P28:T28"/>
    <mergeCell ref="P29:T29"/>
    <mergeCell ref="P30:T30"/>
    <mergeCell ref="P36:T36"/>
    <mergeCell ref="P31:T31"/>
    <mergeCell ref="P32:T32"/>
    <mergeCell ref="P33:T33"/>
    <mergeCell ref="P34:T34"/>
    <mergeCell ref="P35:T35"/>
  </mergeCells>
  <hyperlinks>
    <hyperlink ref="F148" location="'TABLA DE CONTENIDO'!A1" display="VOLVER A TABLA DE CONTENIDO"/>
  </hyperlinks>
  <printOptions horizontalCentered="1" verticalCentered="1"/>
  <pageMargins left="0.51181102362204722" right="0.39370078740157483" top="0.78740157480314965" bottom="0.98425196850393704" header="0.51181102362204722" footer="0.51181102362204722"/>
  <pageSetup scale="78" orientation="portrait" horizontalDpi="300" verticalDpi="300" r:id="rId1"/>
  <headerFooter alignWithMargins="0"/>
  <rowBreaks count="3" manualBreakCount="3">
    <brk id="42" max="20" man="1"/>
    <brk id="79" max="20" man="1"/>
    <brk id="114" max="20" man="1"/>
  </rowBreaks>
  <colBreaks count="2" manualBreakCount="2">
    <brk id="7" max="1048575" man="1"/>
    <brk id="14" max="151" man="1"/>
  </colBreaks>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F59"/>
  <sheetViews>
    <sheetView showGridLines="0" topLeftCell="A37" workbookViewId="0">
      <selection activeCell="E49" sqref="E49"/>
    </sheetView>
  </sheetViews>
  <sheetFormatPr baseColWidth="10" defaultRowHeight="12.75"/>
  <cols>
    <col min="1" max="1" width="1.140625" customWidth="1"/>
    <col min="2" max="2" width="64.42578125" customWidth="1"/>
    <col min="3" max="3" width="1.5703125" customWidth="1"/>
    <col min="4" max="4" width="5.5703125" customWidth="1"/>
    <col min="5" max="6" width="16" customWidth="1"/>
  </cols>
  <sheetData>
    <row r="1" spans="2:6" ht="25.5">
      <c r="B1" s="897" t="s">
        <v>1050</v>
      </c>
      <c r="C1" s="897"/>
      <c r="D1" s="906"/>
      <c r="E1" s="906"/>
      <c r="F1" s="906"/>
    </row>
    <row r="2" spans="2:6">
      <c r="B2" s="897" t="s">
        <v>900</v>
      </c>
      <c r="C2" s="897"/>
      <c r="D2" s="906"/>
      <c r="E2" s="906"/>
      <c r="F2" s="906"/>
    </row>
    <row r="3" spans="2:6">
      <c r="B3" s="898"/>
      <c r="C3" s="898"/>
      <c r="D3" s="907"/>
      <c r="E3" s="907"/>
      <c r="F3" s="907"/>
    </row>
    <row r="4" spans="2:6" ht="51">
      <c r="B4" s="898" t="s">
        <v>901</v>
      </c>
      <c r="C4" s="898"/>
      <c r="D4" s="907"/>
      <c r="E4" s="907"/>
      <c r="F4" s="907"/>
    </row>
    <row r="5" spans="2:6">
      <c r="B5" s="898"/>
      <c r="C5" s="898"/>
      <c r="D5" s="907"/>
      <c r="E5" s="907"/>
      <c r="F5" s="907"/>
    </row>
    <row r="6" spans="2:6" ht="25.5">
      <c r="B6" s="897" t="s">
        <v>902</v>
      </c>
      <c r="C6" s="897"/>
      <c r="D6" s="906"/>
      <c r="E6" s="906" t="s">
        <v>903</v>
      </c>
      <c r="F6" s="906" t="s">
        <v>904</v>
      </c>
    </row>
    <row r="7" spans="2:6" ht="13.5" thickBot="1">
      <c r="B7" s="898"/>
      <c r="C7" s="898"/>
      <c r="D7" s="907"/>
      <c r="E7" s="907"/>
      <c r="F7" s="907"/>
    </row>
    <row r="8" spans="2:6" ht="25.5">
      <c r="B8" s="899" t="s">
        <v>905</v>
      </c>
      <c r="C8" s="900"/>
      <c r="D8" s="908"/>
      <c r="E8" s="908">
        <v>84</v>
      </c>
      <c r="F8" s="909"/>
    </row>
    <row r="9" spans="2:6" ht="25.5">
      <c r="B9" s="901"/>
      <c r="C9" s="898"/>
      <c r="D9" s="907"/>
      <c r="E9" s="910" t="s">
        <v>906</v>
      </c>
      <c r="F9" s="911" t="s">
        <v>907</v>
      </c>
    </row>
    <row r="10" spans="2:6" ht="25.5">
      <c r="B10" s="901"/>
      <c r="C10" s="898"/>
      <c r="D10" s="907"/>
      <c r="E10" s="910" t="s">
        <v>908</v>
      </c>
      <c r="F10" s="911" t="s">
        <v>907</v>
      </c>
    </row>
    <row r="11" spans="2:6">
      <c r="B11" s="901"/>
      <c r="C11" s="898"/>
      <c r="D11" s="907"/>
      <c r="E11" s="910" t="s">
        <v>909</v>
      </c>
      <c r="F11" s="911" t="s">
        <v>907</v>
      </c>
    </row>
    <row r="12" spans="2:6" ht="38.25">
      <c r="B12" s="901"/>
      <c r="C12" s="898"/>
      <c r="D12" s="907"/>
      <c r="E12" s="910" t="s">
        <v>910</v>
      </c>
      <c r="F12" s="911" t="s">
        <v>907</v>
      </c>
    </row>
    <row r="13" spans="2:6" ht="51">
      <c r="B13" s="901"/>
      <c r="C13" s="898"/>
      <c r="D13" s="907"/>
      <c r="E13" s="910" t="s">
        <v>911</v>
      </c>
      <c r="F13" s="911" t="s">
        <v>907</v>
      </c>
    </row>
    <row r="14" spans="2:6">
      <c r="B14" s="901"/>
      <c r="C14" s="898"/>
      <c r="D14" s="907"/>
      <c r="E14" s="910" t="s">
        <v>912</v>
      </c>
      <c r="F14" s="911" t="s">
        <v>907</v>
      </c>
    </row>
    <row r="15" spans="2:6" ht="13.5" thickBot="1">
      <c r="B15" s="902"/>
      <c r="C15" s="903"/>
      <c r="D15" s="912"/>
      <c r="E15" s="913" t="s">
        <v>913</v>
      </c>
      <c r="F15" s="914" t="s">
        <v>907</v>
      </c>
    </row>
    <row r="16" spans="2:6" ht="13.5" thickBot="1">
      <c r="B16" s="898"/>
      <c r="C16" s="898"/>
      <c r="D16" s="907"/>
      <c r="E16" s="907"/>
      <c r="F16" s="907"/>
    </row>
    <row r="17" spans="2:6" ht="38.25">
      <c r="B17" s="899" t="s">
        <v>914</v>
      </c>
      <c r="C17" s="900"/>
      <c r="D17" s="908"/>
      <c r="E17" s="908">
        <v>17</v>
      </c>
      <c r="F17" s="909"/>
    </row>
    <row r="18" spans="2:6" ht="25.5">
      <c r="B18" s="901"/>
      <c r="C18" s="898"/>
      <c r="D18" s="907"/>
      <c r="E18" s="910" t="s">
        <v>915</v>
      </c>
      <c r="F18" s="911" t="s">
        <v>907</v>
      </c>
    </row>
    <row r="19" spans="2:6" ht="25.5">
      <c r="B19" s="901"/>
      <c r="C19" s="898"/>
      <c r="D19" s="907"/>
      <c r="E19" s="910" t="s">
        <v>916</v>
      </c>
      <c r="F19" s="911"/>
    </row>
    <row r="20" spans="2:6" ht="25.5">
      <c r="B20" s="901"/>
      <c r="C20" s="898"/>
      <c r="D20" s="907"/>
      <c r="E20" s="910" t="s">
        <v>917</v>
      </c>
      <c r="F20" s="911"/>
    </row>
    <row r="21" spans="2:6" ht="25.5">
      <c r="B21" s="901"/>
      <c r="C21" s="898"/>
      <c r="D21" s="907"/>
      <c r="E21" s="910" t="s">
        <v>918</v>
      </c>
      <c r="F21" s="911"/>
    </row>
    <row r="22" spans="2:6" ht="25.5">
      <c r="B22" s="901"/>
      <c r="C22" s="898"/>
      <c r="D22" s="907"/>
      <c r="E22" s="910" t="s">
        <v>919</v>
      </c>
      <c r="F22" s="911" t="s">
        <v>907</v>
      </c>
    </row>
    <row r="23" spans="2:6" ht="25.5">
      <c r="B23" s="901"/>
      <c r="C23" s="898"/>
      <c r="D23" s="907"/>
      <c r="E23" s="910" t="s">
        <v>920</v>
      </c>
      <c r="F23" s="911"/>
    </row>
    <row r="24" spans="2:6" ht="25.5">
      <c r="B24" s="901"/>
      <c r="C24" s="898"/>
      <c r="D24" s="907"/>
      <c r="E24" s="910" t="s">
        <v>921</v>
      </c>
      <c r="F24" s="911"/>
    </row>
    <row r="25" spans="2:6" ht="25.5">
      <c r="B25" s="901"/>
      <c r="C25" s="898"/>
      <c r="D25" s="907"/>
      <c r="E25" s="910" t="s">
        <v>922</v>
      </c>
      <c r="F25" s="911"/>
    </row>
    <row r="26" spans="2:6" ht="25.5">
      <c r="B26" s="901"/>
      <c r="C26" s="898"/>
      <c r="D26" s="907"/>
      <c r="E26" s="910" t="s">
        <v>923</v>
      </c>
      <c r="F26" s="911"/>
    </row>
    <row r="27" spans="2:6" ht="25.5">
      <c r="B27" s="901"/>
      <c r="C27" s="898"/>
      <c r="D27" s="907"/>
      <c r="E27" s="910" t="s">
        <v>924</v>
      </c>
      <c r="F27" s="911"/>
    </row>
    <row r="28" spans="2:6" ht="26.25" thickBot="1">
      <c r="B28" s="902"/>
      <c r="C28" s="903"/>
      <c r="D28" s="912"/>
      <c r="E28" s="913" t="s">
        <v>925</v>
      </c>
      <c r="F28" s="914"/>
    </row>
    <row r="29" spans="2:6">
      <c r="B29" s="898"/>
      <c r="C29" s="898"/>
      <c r="D29" s="907"/>
      <c r="E29" s="907"/>
      <c r="F29" s="907"/>
    </row>
    <row r="30" spans="2:6">
      <c r="B30" s="898"/>
      <c r="C30" s="898"/>
      <c r="D30" s="907"/>
      <c r="E30" s="907"/>
      <c r="F30" s="907"/>
    </row>
    <row r="31" spans="2:6">
      <c r="B31" s="897" t="s">
        <v>926</v>
      </c>
      <c r="C31" s="897"/>
      <c r="D31" s="906"/>
      <c r="E31" s="906"/>
      <c r="F31" s="906"/>
    </row>
    <row r="32" spans="2:6" ht="13.5" thickBot="1">
      <c r="B32" s="898"/>
      <c r="C32" s="898"/>
      <c r="D32" s="907"/>
      <c r="E32" s="907"/>
      <c r="F32" s="907"/>
    </row>
    <row r="33" spans="2:6" ht="51">
      <c r="B33" s="899" t="s">
        <v>927</v>
      </c>
      <c r="C33" s="900"/>
      <c r="D33" s="908"/>
      <c r="E33" s="908">
        <v>32</v>
      </c>
      <c r="F33" s="909"/>
    </row>
    <row r="34" spans="2:6" ht="25.5">
      <c r="B34" s="901"/>
      <c r="C34" s="898"/>
      <c r="D34" s="907"/>
      <c r="E34" s="910" t="s">
        <v>922</v>
      </c>
      <c r="F34" s="911" t="s">
        <v>907</v>
      </c>
    </row>
    <row r="35" spans="2:6" ht="25.5">
      <c r="B35" s="901"/>
      <c r="C35" s="898"/>
      <c r="D35" s="907"/>
      <c r="E35" s="910" t="s">
        <v>928</v>
      </c>
      <c r="F35" s="911"/>
    </row>
    <row r="36" spans="2:6" ht="25.5">
      <c r="B36" s="901"/>
      <c r="C36" s="898"/>
      <c r="D36" s="907"/>
      <c r="E36" s="910" t="s">
        <v>921</v>
      </c>
      <c r="F36" s="911"/>
    </row>
    <row r="37" spans="2:6" ht="25.5">
      <c r="B37" s="901"/>
      <c r="C37" s="898"/>
      <c r="D37" s="907"/>
      <c r="E37" s="910" t="s">
        <v>920</v>
      </c>
      <c r="F37" s="911"/>
    </row>
    <row r="38" spans="2:6" ht="25.5">
      <c r="B38" s="901"/>
      <c r="C38" s="898"/>
      <c r="D38" s="907"/>
      <c r="E38" s="910" t="s">
        <v>919</v>
      </c>
      <c r="F38" s="911"/>
    </row>
    <row r="39" spans="2:6" ht="25.5">
      <c r="B39" s="901"/>
      <c r="C39" s="898"/>
      <c r="D39" s="907"/>
      <c r="E39" s="910" t="s">
        <v>929</v>
      </c>
      <c r="F39" s="911"/>
    </row>
    <row r="40" spans="2:6" ht="25.5">
      <c r="B40" s="901"/>
      <c r="C40" s="898"/>
      <c r="D40" s="907"/>
      <c r="E40" s="910" t="s">
        <v>924</v>
      </c>
      <c r="F40" s="911"/>
    </row>
    <row r="41" spans="2:6">
      <c r="B41" s="901"/>
      <c r="C41" s="898"/>
      <c r="D41" s="907"/>
      <c r="E41" s="910" t="s">
        <v>930</v>
      </c>
      <c r="F41" s="911" t="s">
        <v>907</v>
      </c>
    </row>
    <row r="42" spans="2:6">
      <c r="B42" s="901"/>
      <c r="C42" s="898"/>
      <c r="D42" s="907"/>
      <c r="E42" s="910" t="s">
        <v>931</v>
      </c>
      <c r="F42" s="911"/>
    </row>
    <row r="43" spans="2:6">
      <c r="B43" s="901"/>
      <c r="C43" s="898"/>
      <c r="D43" s="907"/>
      <c r="E43" s="910" t="s">
        <v>932</v>
      </c>
      <c r="F43" s="911"/>
    </row>
    <row r="44" spans="2:6">
      <c r="B44" s="901"/>
      <c r="C44" s="898"/>
      <c r="D44" s="907"/>
      <c r="E44" s="910" t="s">
        <v>933</v>
      </c>
      <c r="F44" s="911" t="s">
        <v>907</v>
      </c>
    </row>
    <row r="45" spans="2:6">
      <c r="B45" s="901"/>
      <c r="C45" s="898"/>
      <c r="D45" s="907"/>
      <c r="E45" s="910" t="s">
        <v>934</v>
      </c>
      <c r="F45" s="911"/>
    </row>
    <row r="46" spans="2:6">
      <c r="B46" s="901"/>
      <c r="C46" s="898"/>
      <c r="D46" s="907"/>
      <c r="E46" s="910" t="s">
        <v>935</v>
      </c>
      <c r="F46" s="911"/>
    </row>
    <row r="47" spans="2:6">
      <c r="B47" s="901"/>
      <c r="C47" s="898"/>
      <c r="D47" s="907"/>
      <c r="E47" s="910" t="s">
        <v>936</v>
      </c>
      <c r="F47" s="911"/>
    </row>
    <row r="48" spans="2:6">
      <c r="B48" s="901"/>
      <c r="C48" s="898"/>
      <c r="D48" s="907"/>
      <c r="E48" s="910" t="s">
        <v>937</v>
      </c>
      <c r="F48" s="911"/>
    </row>
    <row r="49" spans="2:6" ht="25.5">
      <c r="B49" s="901"/>
      <c r="C49" s="898"/>
      <c r="D49" s="907"/>
      <c r="E49" s="910" t="s">
        <v>938</v>
      </c>
      <c r="F49" s="911" t="s">
        <v>907</v>
      </c>
    </row>
    <row r="50" spans="2:6" ht="25.5">
      <c r="B50" s="901"/>
      <c r="C50" s="898"/>
      <c r="D50" s="907"/>
      <c r="E50" s="910" t="s">
        <v>939</v>
      </c>
      <c r="F50" s="911"/>
    </row>
    <row r="51" spans="2:6" ht="25.5">
      <c r="B51" s="901"/>
      <c r="C51" s="898"/>
      <c r="D51" s="907"/>
      <c r="E51" s="910" t="s">
        <v>940</v>
      </c>
      <c r="F51" s="911"/>
    </row>
    <row r="52" spans="2:6" ht="25.5">
      <c r="B52" s="901"/>
      <c r="C52" s="898"/>
      <c r="D52" s="907"/>
      <c r="E52" s="910" t="s">
        <v>941</v>
      </c>
      <c r="F52" s="911"/>
    </row>
    <row r="53" spans="2:6">
      <c r="B53" s="901"/>
      <c r="C53" s="898"/>
      <c r="D53" s="907"/>
      <c r="E53" s="910" t="s">
        <v>942</v>
      </c>
      <c r="F53" s="911" t="s">
        <v>907</v>
      </c>
    </row>
    <row r="54" spans="2:6">
      <c r="B54" s="901"/>
      <c r="C54" s="898"/>
      <c r="D54" s="907"/>
      <c r="E54" s="910" t="s">
        <v>943</v>
      </c>
      <c r="F54" s="911"/>
    </row>
    <row r="55" spans="2:6">
      <c r="B55" s="901"/>
      <c r="C55" s="898"/>
      <c r="D55" s="907"/>
      <c r="E55" s="910" t="s">
        <v>944</v>
      </c>
      <c r="F55" s="911" t="s">
        <v>907</v>
      </c>
    </row>
    <row r="56" spans="2:6" ht="13.5" thickBot="1">
      <c r="B56" s="902"/>
      <c r="C56" s="903"/>
      <c r="D56" s="912"/>
      <c r="E56" s="913" t="s">
        <v>945</v>
      </c>
      <c r="F56" s="914"/>
    </row>
    <row r="57" spans="2:6" ht="13.5" thickBot="1">
      <c r="B57" s="898"/>
      <c r="C57" s="898"/>
      <c r="D57" s="907"/>
      <c r="E57" s="907"/>
      <c r="F57" s="907"/>
    </row>
    <row r="58" spans="2:6" ht="39" thickBot="1">
      <c r="B58" s="904" t="s">
        <v>946</v>
      </c>
      <c r="C58" s="905"/>
      <c r="D58" s="915"/>
      <c r="E58" s="915">
        <v>42</v>
      </c>
      <c r="F58" s="916" t="s">
        <v>907</v>
      </c>
    </row>
    <row r="59" spans="2:6">
      <c r="B59" s="898"/>
      <c r="C59" s="898"/>
      <c r="D59" s="907"/>
      <c r="E59" s="907"/>
      <c r="F59" s="907"/>
    </row>
  </sheetData>
  <hyperlinks>
    <hyperlink ref="E9" location="'PNE - TEC'!A1:EJ64" display="'PNE - TEC'!A1:EJ64"/>
    <hyperlink ref="E10" location="'MAPA EST RED'!A1:H63" display="'MAPA EST RED'!A1:H63"/>
    <hyperlink ref="E11" location="'TUNELES'!A1:T34" display="'TUNELES'!A1:T34"/>
    <hyperlink ref="E12" location="'NECESIDADES EN TÚNELES'!A1:L31" display="'NECESIDADES EN TÚNELES'!A1:L31"/>
    <hyperlink ref="E13" location="'INTERVENTORIA DE CONTRATOS'!A1:M20" display="'INTERVENTORIA DE CONTRATOS'!A1:M20"/>
    <hyperlink ref="E14" location="'FOTOG'!A1:J308" display="'FOTOG'!A1:J308"/>
    <hyperlink ref="E15" location="'PRENSA'!A1:G85" display="'PRENSA'!A1:G85"/>
    <hyperlink ref="E18" location="'CUMPLIMIENTO % '!C12:C19" display="'CUMPLIMIENTO % '!C12:C19"/>
    <hyperlink ref="E19" location="'CUMPLIMIENTO % '!C20:C25" display="'CUMPLIMIENTO % '!C20:C25"/>
    <hyperlink ref="E20" location="'CUMPLIMIENTO % '!E12:E19" display="'CUMPLIMIENTO % '!E12:E19"/>
    <hyperlink ref="E21" location="'CUMPLIMIENTO % '!E20:E25" display="'CUMPLIMIENTO % '!E20:E25"/>
    <hyperlink ref="E22" location="'ESTADO RED TEC'!G23" display="'ESTADO RED TEC'!G23"/>
    <hyperlink ref="E23" location="'ESTADO RED TEC'!G21" display="'ESTADO RED TEC'!G21"/>
    <hyperlink ref="E24" location="'ESTADO RED TEC'!G19" display="'ESTADO RED TEC'!G19"/>
    <hyperlink ref="E25" location="'ESTADO RED TEC'!G13:G16" display="'ESTADO RED TEC'!G13:G16"/>
    <hyperlink ref="E26" location="'ESTADO RED TEC'!G70:G116" display="'ESTADO RED TEC'!G70:G116"/>
    <hyperlink ref="E27" location="'ESTADO RED TEC'!G27:G30" display="'ESTADO RED TEC'!G27:G30"/>
    <hyperlink ref="E28" location="'ESTADO RED TEC'!G32:G68" display="'ESTADO RED TEC'!G32:G68"/>
    <hyperlink ref="E34" location="'ESTADO RED TEC'!G13:G16" display="'ESTADO RED TEC'!G13:G16"/>
    <hyperlink ref="E35" location="'ESTADO RED TEC'!E15:E16" display="'ESTADO RED TEC'!E15:E16"/>
    <hyperlink ref="E36" location="'ESTADO RED TEC'!G19" display="'ESTADO RED TEC'!G19"/>
    <hyperlink ref="E37" location="'ESTADO RED TEC'!G21" display="'ESTADO RED TEC'!G21"/>
    <hyperlink ref="E38" location="'ESTADO RED TEC'!G23" display="'ESTADO RED TEC'!G23"/>
    <hyperlink ref="E39" location="'ESTADO RED TEC'!E27:E29" display="'ESTADO RED TEC'!E27:E29"/>
    <hyperlink ref="E40" location="'ESTADO RED TEC'!G27:G30" display="'ESTADO RED TEC'!G27:G30"/>
    <hyperlink ref="E41" location="'PNE - TEC'!DH36" display="'PNE - TEC'!DH36"/>
    <hyperlink ref="E42" location="'PNE - TEC'!DT36" display="'PNE - TEC'!DT36"/>
    <hyperlink ref="E43" location="'PNE - TEC'!DX36" display="'PNE - TEC'!DX36"/>
    <hyperlink ref="E44" location="'PNG-TEC'!BB11" display="'PNG-TEC'!BB11"/>
    <hyperlink ref="E45" location="'PNG-TEC'!CD36" display="'PNG-TEC'!CD36"/>
    <hyperlink ref="E46" location="'PNG-TEC'!CH36" display="'PNG-TEC'!CH36"/>
    <hyperlink ref="E47" location="'PNG-TEC'!CL36" display="'PNG-TEC'!CL36"/>
    <hyperlink ref="E48" location="'PNG-TEC'!CT36" display="'PNG-TEC'!CT36"/>
    <hyperlink ref="E49" location="'TAMBORA - TEC'!BB10" display="'TAMBORA - TEC'!BB10"/>
    <hyperlink ref="E50" location="'TAMBORA - TEC'!CA34" display="'TAMBORA - TEC'!CA34"/>
    <hyperlink ref="E51" location="'TAMBORA - TEC'!CE34" display="'TAMBORA - TEC'!CE34"/>
    <hyperlink ref="E52" location="'TAMBORA - TEC'!CQ34" display="'TAMBORA - TEC'!CQ34"/>
    <hyperlink ref="E53" location="'3602 - TEC'!BB14" display="'3602 - TEC'!BB14"/>
    <hyperlink ref="E54" location="'3602 - TEC'!DI39" display="'3602 - TEC'!DI39"/>
    <hyperlink ref="E55" location="'3603 - TEC'!BB14" display="'3603 - TEC'!BB14"/>
    <hyperlink ref="E56" location="'3603 - TEC'!CT39" display="'3603 - TEC'!CT39"/>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50</vt:i4>
      </vt:variant>
      <vt:variant>
        <vt:lpstr>Rangos con nombre</vt:lpstr>
      </vt:variant>
      <vt:variant>
        <vt:i4>53</vt:i4>
      </vt:variant>
    </vt:vector>
  </HeadingPairs>
  <TitlesOfParts>
    <vt:vector size="103" baseType="lpstr">
      <vt:lpstr>PORTADA</vt:lpstr>
      <vt:lpstr>TABLA DE CONTENIDO</vt:lpstr>
      <vt:lpstr>GENERALIDADES </vt:lpstr>
      <vt:lpstr>CUMPLIMIENTO % </vt:lpstr>
      <vt:lpstr>ESTADO RED VIS</vt:lpstr>
      <vt:lpstr> CHAP-ORT (SEMAFORO VIS)</vt:lpstr>
      <vt:lpstr>ORT-GUAMO (SEMAFORO VIS)</vt:lpstr>
      <vt:lpstr>PASO GUAMO (SEMAFORO VIS)</vt:lpstr>
      <vt:lpstr> PASO ESP. (SEMAFORO VIS)</vt:lpstr>
      <vt:lpstr> CR.40-La Tamb (SEMAFORO VIS)</vt:lpstr>
      <vt:lpstr>TORTA EST. VIAS VIS</vt:lpstr>
      <vt:lpstr>ESTADO RED TEC</vt:lpstr>
      <vt:lpstr>3602 - TEC</vt:lpstr>
      <vt:lpstr>3603 - TEC</vt:lpstr>
      <vt:lpstr>PNG-TEC</vt:lpstr>
      <vt:lpstr>PNE - TEC</vt:lpstr>
      <vt:lpstr>RUTA40-TEC</vt:lpstr>
      <vt:lpstr>TORTA EST.VIAS TEC.</vt:lpstr>
      <vt:lpstr>MAPA EST RED</vt:lpstr>
      <vt:lpstr>NECESIDAD VIA</vt:lpstr>
      <vt:lpstr>NECESIDADES CRITICAS</vt:lpstr>
      <vt:lpstr>CANT OBRA 3602</vt:lpstr>
      <vt:lpstr>CANT OBRA 3603</vt:lpstr>
      <vt:lpstr>CANT OBRA PNG</vt:lpstr>
      <vt:lpstr>CANT OBRA PNE</vt:lpstr>
      <vt:lpstr>CANT OBRA 40TL05</vt:lpstr>
      <vt:lpstr>INF. EMERGENCIAS</vt:lpstr>
      <vt:lpstr>PUENTES</vt:lpstr>
      <vt:lpstr>NEC PTES</vt:lpstr>
      <vt:lpstr>PONTONES</vt:lpstr>
      <vt:lpstr>NEC. PONTONES</vt:lpstr>
      <vt:lpstr>TUNELES</vt:lpstr>
      <vt:lpstr>NECESIDADES EN TÚNELES</vt:lpstr>
      <vt:lpstr>Señalización Vertical</vt:lpstr>
      <vt:lpstr>Señalización Horizontal</vt:lpstr>
      <vt:lpstr>ACC. OCT</vt:lpstr>
      <vt:lpstr>ACC. NOV</vt:lpstr>
      <vt:lpstr>ACC. DIC</vt:lpstr>
      <vt:lpstr>DEFENSA VIAS</vt:lpstr>
      <vt:lpstr>SEGUIMIENTO</vt:lpstr>
      <vt:lpstr>CUANTI AMV</vt:lpstr>
      <vt:lpstr>CUALI AMV</vt:lpstr>
      <vt:lpstr>CUANTI MICRO</vt:lpstr>
      <vt:lpstr>CUALI MICRO</vt:lpstr>
      <vt:lpstr>INTERVENTORIA DE CONTRATOS</vt:lpstr>
      <vt:lpstr>FOTOS</vt:lpstr>
      <vt:lpstr>PRENSA</vt:lpstr>
      <vt:lpstr>COMENTARIOS</vt:lpstr>
      <vt:lpstr>CAPACITACION MICRO</vt:lpstr>
      <vt:lpstr>Informe de compatibilidad</vt:lpstr>
      <vt:lpstr>' CHAP-ORT (SEMAFORO VIS)'!Área_de_impresión</vt:lpstr>
      <vt:lpstr>' CR.40-La Tamb (SEMAFORO VIS)'!Área_de_impresión</vt:lpstr>
      <vt:lpstr>' PASO ESP. (SEMAFORO VIS)'!Área_de_impresión</vt:lpstr>
      <vt:lpstr>'3602 - TEC'!Área_de_impresión</vt:lpstr>
      <vt:lpstr>'3603 - TEC'!Área_de_impresión</vt:lpstr>
      <vt:lpstr>'ACC. DIC'!Área_de_impresión</vt:lpstr>
      <vt:lpstr>'ACC. NOV'!Área_de_impresión</vt:lpstr>
      <vt:lpstr>'ACC. OCT'!Área_de_impresión</vt:lpstr>
      <vt:lpstr>'CANT OBRA 3602'!Área_de_impresión</vt:lpstr>
      <vt:lpstr>'CANT OBRA 3603'!Área_de_impresión</vt:lpstr>
      <vt:lpstr>'CANT OBRA 40TL05'!Área_de_impresión</vt:lpstr>
      <vt:lpstr>'CANT OBRA PNE'!Área_de_impresión</vt:lpstr>
      <vt:lpstr>'CANT OBRA PNG'!Área_de_impresión</vt:lpstr>
      <vt:lpstr>'CAPACITACION MICRO'!Área_de_impresión</vt:lpstr>
      <vt:lpstr>COMENTARIOS!Área_de_impresión</vt:lpstr>
      <vt:lpstr>'CUANTI AMV'!Área_de_impresión</vt:lpstr>
      <vt:lpstr>'CUANTI MICRO'!Área_de_impresión</vt:lpstr>
      <vt:lpstr>'CUMPLIMIENTO % '!Área_de_impresión</vt:lpstr>
      <vt:lpstr>'DEFENSA VIAS'!Área_de_impresión</vt:lpstr>
      <vt:lpstr>'ESTADO RED TEC'!Área_de_impresión</vt:lpstr>
      <vt:lpstr>'ESTADO RED VIS'!Área_de_impresión</vt:lpstr>
      <vt:lpstr>FOTOS!Área_de_impresión</vt:lpstr>
      <vt:lpstr>'GENERALIDADES '!Área_de_impresión</vt:lpstr>
      <vt:lpstr>'INF. EMERGENCIAS'!Área_de_impresión</vt:lpstr>
      <vt:lpstr>'INTERVENTORIA DE CONTRATOS'!Área_de_impresión</vt:lpstr>
      <vt:lpstr>'MAPA EST RED'!Área_de_impresión</vt:lpstr>
      <vt:lpstr>'NEC PTES'!Área_de_impresión</vt:lpstr>
      <vt:lpstr>'NEC. PONTONES'!Área_de_impresión</vt:lpstr>
      <vt:lpstr>'NECESIDAD VIA'!Área_de_impresión</vt:lpstr>
      <vt:lpstr>'NECESIDADES CRITICAS'!Área_de_impresión</vt:lpstr>
      <vt:lpstr>'NECESIDADES EN TÚNELES'!Área_de_impresión</vt:lpstr>
      <vt:lpstr>'ORT-GUAMO (SEMAFORO VIS)'!Área_de_impresión</vt:lpstr>
      <vt:lpstr>'PASO GUAMO (SEMAFORO VIS)'!Área_de_impresión</vt:lpstr>
      <vt:lpstr>'PNE - TEC'!Área_de_impresión</vt:lpstr>
      <vt:lpstr>'PNG-TEC'!Área_de_impresión</vt:lpstr>
      <vt:lpstr>PONTONES!Área_de_impresión</vt:lpstr>
      <vt:lpstr>PORTADA!Área_de_impresión</vt:lpstr>
      <vt:lpstr>PRENSA!Área_de_impresión</vt:lpstr>
      <vt:lpstr>PUENTES!Área_de_impresión</vt:lpstr>
      <vt:lpstr>'RUTA40-TEC'!Área_de_impresión</vt:lpstr>
      <vt:lpstr>'Señalización Horizontal'!Área_de_impresión</vt:lpstr>
      <vt:lpstr>'Señalización Vertical'!Área_de_impresión</vt:lpstr>
      <vt:lpstr>'TABLA DE CONTENIDO'!Área_de_impresión</vt:lpstr>
      <vt:lpstr>'TORTA EST. VIAS VIS'!Área_de_impresión</vt:lpstr>
      <vt:lpstr>'TORTA EST.VIAS TEC.'!Área_de_impresión</vt:lpstr>
      <vt:lpstr>TUNELES!Área_de_impresión</vt:lpstr>
      <vt:lpstr>TABLA_DE_CONTENIDO__A1</vt:lpstr>
      <vt:lpstr>'ACC. DIC'!Títulos_a_imprimir</vt:lpstr>
      <vt:lpstr>'ACC. NOV'!Títulos_a_imprimir</vt:lpstr>
      <vt:lpstr>'ACC. OCT'!Títulos_a_imprimir</vt:lpstr>
      <vt:lpstr>'ESTADO RED TEC'!Títulos_a_imprimir</vt:lpstr>
      <vt:lpstr>PONTONES!Títulos_a_imprimir</vt:lpstr>
      <vt:lpstr>SEGUIMIENTO!Títulos_a_imprimir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Sub-direccin de ConservacSub-di</dc:creator>
  <cp:lastModifiedBy>GIA_05</cp:lastModifiedBy>
  <cp:lastPrinted>2021-01-06T21:02:13Z</cp:lastPrinted>
  <dcterms:created xsi:type="dcterms:W3CDTF">1999-02-23T14:42:21Z</dcterms:created>
  <dcterms:modified xsi:type="dcterms:W3CDTF">2021-03-23T14:15:31Z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TBCO_ScreenResolution">
    <vt:lpwstr>96 96 1366 768</vt:lpwstr>
  </property>
</Properties>
</file>