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PERITAJES\Reparación directa\MARIA DEL CARMEN GUZMÁN-OTROS\Peritaje  presentado\"/>
    </mc:Choice>
  </mc:AlternateContent>
  <xr:revisionPtr revIDLastSave="0" documentId="13_ncr:1_{ED5CE2A5-2996-4981-91AC-F2834FB7C3A2}" xr6:coauthVersionLast="47" xr6:coauthVersionMax="47" xr10:uidLastSave="{00000000-0000-0000-0000-000000000000}"/>
  <bookViews>
    <workbookView xWindow="-120" yWindow="-120" windowWidth="24240" windowHeight="13140" activeTab="2" xr2:uid="{00000000-000D-0000-FFFF-FFFF00000000}"/>
  </bookViews>
  <sheets>
    <sheet name="Datos" sheetId="5" r:id="rId1"/>
    <sheet name="M2 depreciado" sheetId="1" r:id="rId2"/>
    <sheet name="Presup. Unitarios" sheetId="3" r:id="rId3"/>
    <sheet name="Presup. m2" sheetId="4" r:id="rId4"/>
    <sheet name="cantid. obra" sheetId="2" r:id="rId5"/>
  </sheets>
  <externalReferences>
    <externalReference r:id="rId6"/>
    <externalReference r:id="rId7"/>
  </externalReferences>
  <definedNames>
    <definedName name="_xlnm.Print_Area" localSheetId="4">'cantid. obra'!$A$1:$M$245</definedName>
    <definedName name="_xlnm.Print_Area" localSheetId="1">'M2 depreciado'!$A$15:$E$103</definedName>
    <definedName name="_xlnm.Print_Area" localSheetId="3">'Presup. m2'!$A$1:$F$36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2" i="3" l="1"/>
  <c r="E56" i="3" l="1"/>
  <c r="E60" i="3"/>
  <c r="E95" i="1" l="1"/>
  <c r="D20" i="4"/>
  <c r="H245" i="2"/>
  <c r="J27" i="2"/>
  <c r="E89" i="3"/>
  <c r="D89" i="2"/>
  <c r="D89" i="3"/>
  <c r="M197" i="3"/>
  <c r="M197" i="2"/>
  <c r="E87" i="3"/>
  <c r="E76" i="3"/>
  <c r="H28" i="3"/>
  <c r="H28" i="2"/>
  <c r="H132" i="2"/>
  <c r="M245" i="2"/>
  <c r="M249" i="2"/>
  <c r="M248" i="2"/>
  <c r="M247" i="2"/>
  <c r="M246" i="2"/>
  <c r="I197" i="2"/>
  <c r="H197" i="2"/>
  <c r="J82" i="2"/>
  <c r="I82" i="2"/>
  <c r="H82" i="2"/>
  <c r="C82" i="2"/>
  <c r="B82" i="2"/>
  <c r="I27" i="2"/>
  <c r="H27" i="2"/>
  <c r="B27" i="2"/>
  <c r="A27" i="2"/>
  <c r="A82" i="2"/>
  <c r="E76" i="1"/>
  <c r="E71" i="1"/>
  <c r="F76" i="3" l="1"/>
  <c r="E23" i="3"/>
  <c r="M250" i="2"/>
  <c r="D76" i="3" s="1"/>
  <c r="F88" i="3"/>
  <c r="K97" i="3"/>
  <c r="E73" i="3"/>
  <c r="D69" i="3" l="1"/>
  <c r="E70" i="3"/>
  <c r="F70" i="3" s="1"/>
  <c r="D34" i="3"/>
  <c r="D33" i="3"/>
  <c r="A120" i="2"/>
  <c r="M119" i="2"/>
  <c r="F119" i="2"/>
  <c r="F94" i="2"/>
  <c r="F245" i="2"/>
  <c r="M239" i="2"/>
  <c r="M238" i="2"/>
  <c r="M237" i="2"/>
  <c r="M236" i="2"/>
  <c r="M101" i="2"/>
  <c r="M100" i="2"/>
  <c r="M98" i="2"/>
  <c r="M97" i="2"/>
  <c r="M95" i="2"/>
  <c r="M94" i="2"/>
  <c r="C148" i="2"/>
  <c r="F148" i="2" s="1"/>
  <c r="C147" i="2"/>
  <c r="F147" i="2" s="1"/>
  <c r="M154" i="2"/>
  <c r="F154" i="2"/>
  <c r="M153" i="2"/>
  <c r="M152" i="2"/>
  <c r="M151" i="2"/>
  <c r="F151" i="2"/>
  <c r="M150" i="2"/>
  <c r="F150" i="2"/>
  <c r="M149" i="2"/>
  <c r="M148" i="2"/>
  <c r="M147" i="2"/>
  <c r="M146" i="2"/>
  <c r="C211" i="2"/>
  <c r="F211" i="2" s="1"/>
  <c r="C210" i="2"/>
  <c r="F210" i="2" s="1"/>
  <c r="M230" i="2"/>
  <c r="F230" i="2"/>
  <c r="M229" i="2"/>
  <c r="F229" i="2"/>
  <c r="M228" i="2"/>
  <c r="F228" i="2"/>
  <c r="M227" i="2"/>
  <c r="F227" i="2"/>
  <c r="M226" i="2"/>
  <c r="F226" i="2"/>
  <c r="M225" i="2"/>
  <c r="F225" i="2"/>
  <c r="M224" i="2"/>
  <c r="F224" i="2"/>
  <c r="M223" i="2"/>
  <c r="F223" i="2"/>
  <c r="M222" i="2"/>
  <c r="F222" i="2"/>
  <c r="M217" i="2"/>
  <c r="F217" i="2"/>
  <c r="M216" i="2"/>
  <c r="F216" i="2"/>
  <c r="M215" i="2"/>
  <c r="F215" i="2"/>
  <c r="M214" i="2"/>
  <c r="F214" i="2"/>
  <c r="M213" i="2"/>
  <c r="F213" i="2"/>
  <c r="M212" i="2"/>
  <c r="F212" i="2"/>
  <c r="M211" i="2"/>
  <c r="M210" i="2"/>
  <c r="M209" i="2"/>
  <c r="F209" i="2"/>
  <c r="E86" i="1"/>
  <c r="E69" i="3" l="1"/>
  <c r="F69" i="3" s="1"/>
  <c r="E20" i="3"/>
  <c r="E19" i="3"/>
  <c r="E18" i="3"/>
  <c r="M235" i="2"/>
  <c r="M240" i="2" s="1"/>
  <c r="M102" i="2"/>
  <c r="M231" i="2"/>
  <c r="M155" i="2"/>
  <c r="F231" i="2"/>
  <c r="F155" i="2"/>
  <c r="F218" i="2"/>
  <c r="M218" i="2"/>
  <c r="E45" i="1"/>
  <c r="E28" i="1"/>
  <c r="E23" i="1"/>
  <c r="E19" i="1"/>
  <c r="O155" i="2" l="1"/>
  <c r="M204" i="2"/>
  <c r="F204" i="2"/>
  <c r="M203" i="2"/>
  <c r="F203" i="2"/>
  <c r="M202" i="2"/>
  <c r="F202" i="2"/>
  <c r="M201" i="2"/>
  <c r="F201" i="2"/>
  <c r="M200" i="2"/>
  <c r="F200" i="2"/>
  <c r="M199" i="2"/>
  <c r="F199" i="2"/>
  <c r="M198" i="2"/>
  <c r="F198" i="2"/>
  <c r="F197" i="2"/>
  <c r="M196" i="2"/>
  <c r="F196" i="2"/>
  <c r="E77" i="3" l="1"/>
  <c r="F77" i="3" s="1"/>
  <c r="E81" i="3"/>
  <c r="E33" i="3"/>
  <c r="F33" i="3" s="1"/>
  <c r="E27" i="3"/>
  <c r="E34" i="3"/>
  <c r="F34" i="3" s="1"/>
  <c r="F205" i="2"/>
  <c r="M205" i="2"/>
  <c r="M107" i="2"/>
  <c r="M173" i="2"/>
  <c r="F173" i="2"/>
  <c r="M133" i="2"/>
  <c r="F187" i="2"/>
  <c r="M191" i="2"/>
  <c r="M190" i="2"/>
  <c r="M189" i="2"/>
  <c r="M188" i="2"/>
  <c r="M187" i="2"/>
  <c r="M186" i="2"/>
  <c r="M185" i="2"/>
  <c r="M184" i="2"/>
  <c r="M183" i="2"/>
  <c r="F191" i="2"/>
  <c r="F190" i="2"/>
  <c r="F189" i="2"/>
  <c r="F188" i="2"/>
  <c r="F186" i="2"/>
  <c r="F185" i="2"/>
  <c r="F184" i="2"/>
  <c r="F183" i="2"/>
  <c r="M160" i="2"/>
  <c r="F160" i="2"/>
  <c r="E21" i="3" l="1"/>
  <c r="E28" i="3"/>
  <c r="E25" i="3"/>
  <c r="E26" i="3"/>
  <c r="E24" i="3"/>
  <c r="O205" i="2"/>
  <c r="M192" i="2"/>
  <c r="F192" i="2"/>
  <c r="F107" i="2"/>
  <c r="F86" i="3"/>
  <c r="E21" i="4"/>
  <c r="O192" i="2" l="1"/>
  <c r="E20" i="4"/>
  <c r="E101" i="1" l="1"/>
  <c r="E54" i="1"/>
  <c r="E53" i="1"/>
  <c r="E52" i="1"/>
  <c r="E8" i="4"/>
  <c r="H3" i="2"/>
  <c r="H4" i="2"/>
  <c r="H5" i="2"/>
  <c r="H6" i="2"/>
  <c r="H7" i="2"/>
  <c r="H9" i="2"/>
  <c r="H10" i="2"/>
  <c r="H11" i="2"/>
  <c r="H12" i="2"/>
  <c r="H13" i="2"/>
  <c r="E3" i="4"/>
  <c r="E4" i="4"/>
  <c r="E5" i="4"/>
  <c r="E6" i="4"/>
  <c r="E7" i="4"/>
  <c r="E9" i="4"/>
  <c r="E10" i="4"/>
  <c r="E11" i="4"/>
  <c r="E12" i="4"/>
  <c r="E13" i="4"/>
  <c r="E3" i="3"/>
  <c r="E4" i="3"/>
  <c r="E5" i="3"/>
  <c r="E6" i="3"/>
  <c r="E7" i="3"/>
  <c r="E9" i="3"/>
  <c r="E10" i="3"/>
  <c r="E11" i="3"/>
  <c r="E12" i="3"/>
  <c r="E13" i="3"/>
  <c r="D9" i="1"/>
  <c r="D10" i="1"/>
  <c r="D11" i="1"/>
  <c r="D12" i="1"/>
  <c r="D13" i="1"/>
  <c r="D7" i="1"/>
  <c r="D6" i="1"/>
  <c r="D5" i="1"/>
  <c r="D4" i="1"/>
  <c r="D3" i="1"/>
  <c r="E102" i="1" l="1"/>
  <c r="E55" i="1"/>
  <c r="E8" i="3"/>
  <c r="D8" i="1"/>
  <c r="H8" i="2"/>
  <c r="E47" i="3" l="1"/>
  <c r="E73" i="1"/>
  <c r="E78" i="1"/>
  <c r="F137" i="2"/>
  <c r="F136" i="2"/>
  <c r="F100" i="2"/>
  <c r="F101" i="2"/>
  <c r="F98" i="2"/>
  <c r="F97" i="2"/>
  <c r="F95" i="2"/>
  <c r="F235" i="2"/>
  <c r="F239" i="2"/>
  <c r="F238" i="2"/>
  <c r="F237" i="2"/>
  <c r="F236" i="2"/>
  <c r="F240" i="2" l="1"/>
  <c r="F102" i="2"/>
  <c r="P102" i="2" s="1"/>
  <c r="E58" i="1"/>
  <c r="E57" i="1"/>
  <c r="E56" i="1"/>
  <c r="E48" i="1"/>
  <c r="E49" i="3" l="1"/>
  <c r="E59" i="1"/>
  <c r="E74" i="1" s="1"/>
  <c r="F21" i="4" s="1"/>
  <c r="E54" i="3"/>
  <c r="F54" i="3" s="1"/>
  <c r="H51" i="3" l="1"/>
  <c r="H48" i="3"/>
  <c r="H49" i="3" s="1"/>
  <c r="M172" i="2"/>
  <c r="M177" i="2"/>
  <c r="M176" i="2"/>
  <c r="M175" i="2"/>
  <c r="M174" i="2"/>
  <c r="F248" i="2"/>
  <c r="F247" i="2"/>
  <c r="F246" i="2"/>
  <c r="M167" i="2"/>
  <c r="F167" i="2"/>
  <c r="M166" i="2"/>
  <c r="F166" i="2"/>
  <c r="M165" i="2"/>
  <c r="F165" i="2"/>
  <c r="M164" i="2"/>
  <c r="F164" i="2"/>
  <c r="M163" i="2"/>
  <c r="F163" i="2"/>
  <c r="M162" i="2"/>
  <c r="F162" i="2"/>
  <c r="M140" i="2"/>
  <c r="M139" i="2"/>
  <c r="M138" i="2"/>
  <c r="M137" i="2"/>
  <c r="M136" i="2"/>
  <c r="M135" i="2"/>
  <c r="M134" i="2"/>
  <c r="M132" i="2"/>
  <c r="F140" i="2"/>
  <c r="M127" i="2"/>
  <c r="F127" i="2"/>
  <c r="M126" i="2"/>
  <c r="F126" i="2"/>
  <c r="M125" i="2"/>
  <c r="F125" i="2"/>
  <c r="M124" i="2"/>
  <c r="F124" i="2"/>
  <c r="M123" i="2"/>
  <c r="F123" i="2"/>
  <c r="M122" i="2"/>
  <c r="F122" i="2"/>
  <c r="M114" i="2"/>
  <c r="F114" i="2"/>
  <c r="M113" i="2"/>
  <c r="F113" i="2"/>
  <c r="M112" i="2"/>
  <c r="F112" i="2"/>
  <c r="M111" i="2"/>
  <c r="F111" i="2"/>
  <c r="M110" i="2"/>
  <c r="F110" i="2"/>
  <c r="M109" i="2"/>
  <c r="F109" i="2"/>
  <c r="M108" i="2"/>
  <c r="F108" i="2"/>
  <c r="F106" i="2"/>
  <c r="M106" i="2"/>
  <c r="F87" i="2"/>
  <c r="M87" i="2"/>
  <c r="F88" i="2"/>
  <c r="M88" i="2"/>
  <c r="F89" i="2"/>
  <c r="M89" i="2"/>
  <c r="M55" i="2"/>
  <c r="F55" i="2"/>
  <c r="M42" i="2"/>
  <c r="F42" i="2"/>
  <c r="M29" i="2"/>
  <c r="F29" i="2"/>
  <c r="F33" i="2"/>
  <c r="M33" i="2"/>
  <c r="F34" i="2"/>
  <c r="M34" i="2"/>
  <c r="F35" i="2"/>
  <c r="M35" i="2"/>
  <c r="M178" i="2" l="1"/>
  <c r="F249" i="2"/>
  <c r="M141" i="2"/>
  <c r="M120" i="2"/>
  <c r="F115" i="2"/>
  <c r="F120" i="2"/>
  <c r="M115" i="2"/>
  <c r="D60" i="3" l="1"/>
  <c r="D21" i="3"/>
  <c r="O115" i="2"/>
  <c r="E44" i="1"/>
  <c r="F55" i="3" l="1"/>
  <c r="I91" i="3"/>
  <c r="K84" i="3"/>
  <c r="H91" i="3"/>
  <c r="H90" i="3"/>
  <c r="J27" i="3"/>
  <c r="J26" i="3"/>
  <c r="J28" i="3" l="1"/>
  <c r="H92" i="3"/>
  <c r="E31" i="3" l="1"/>
  <c r="F31" i="3" s="1"/>
  <c r="E62" i="3"/>
  <c r="E78" i="3"/>
  <c r="E80" i="3"/>
  <c r="E84" i="3"/>
  <c r="E63" i="3"/>
  <c r="E75" i="3"/>
  <c r="F24" i="3"/>
  <c r="E83" i="3"/>
  <c r="E68" i="3"/>
  <c r="E91" i="3"/>
  <c r="E41" i="3"/>
  <c r="E39" i="3"/>
  <c r="E82" i="3"/>
  <c r="E93" i="3"/>
  <c r="E46" i="3"/>
  <c r="E32" i="3"/>
  <c r="E90" i="3"/>
  <c r="E72" i="3"/>
  <c r="E17" i="1"/>
  <c r="E59" i="3" l="1"/>
  <c r="E65" i="3"/>
  <c r="E61" i="3"/>
  <c r="F92" i="3"/>
  <c r="F58" i="3"/>
  <c r="F45" i="3"/>
  <c r="F44" i="3"/>
  <c r="F43" i="3"/>
  <c r="F40" i="3"/>
  <c r="F29" i="3"/>
  <c r="E48" i="3" l="1"/>
  <c r="F48" i="3" s="1"/>
  <c r="E42" i="3"/>
  <c r="F42" i="3" s="1"/>
  <c r="E79" i="3"/>
  <c r="F67" i="3"/>
  <c r="F64" i="3"/>
  <c r="F65" i="3"/>
  <c r="F80" i="3"/>
  <c r="F93" i="3"/>
  <c r="F91" i="3"/>
  <c r="F90" i="3"/>
  <c r="F63" i="3"/>
  <c r="F62" i="3"/>
  <c r="F61" i="3"/>
  <c r="F41" i="3"/>
  <c r="F39" i="3"/>
  <c r="F23" i="3"/>
  <c r="E66" i="3" l="1"/>
  <c r="F66" i="3" s="1"/>
  <c r="F87" i="3"/>
  <c r="E30" i="3"/>
  <c r="F30" i="3" s="1"/>
  <c r="E38" i="3"/>
  <c r="F38" i="3" s="1"/>
  <c r="E53" i="3"/>
  <c r="F53" i="3" s="1"/>
  <c r="F46" i="3"/>
  <c r="E52" i="3" l="1"/>
  <c r="F52" i="3" s="1"/>
  <c r="E50" i="3"/>
  <c r="F177" i="2"/>
  <c r="F176" i="2"/>
  <c r="F175" i="2"/>
  <c r="F174" i="2"/>
  <c r="F172" i="2"/>
  <c r="F161" i="2"/>
  <c r="F159" i="2"/>
  <c r="M161" i="2"/>
  <c r="M159" i="2"/>
  <c r="F134" i="2"/>
  <c r="F77" i="2"/>
  <c r="F75" i="2"/>
  <c r="F74" i="2"/>
  <c r="F73" i="2"/>
  <c r="F71" i="2"/>
  <c r="F70" i="2"/>
  <c r="F67" i="2"/>
  <c r="F66" i="2"/>
  <c r="E51" i="3" l="1"/>
  <c r="F51" i="3" s="1"/>
  <c r="F178" i="2"/>
  <c r="O178" i="2" s="1"/>
  <c r="F141" i="2"/>
  <c r="O141" i="2" s="1"/>
  <c r="M77" i="2"/>
  <c r="M75" i="2"/>
  <c r="M74" i="2"/>
  <c r="M73" i="2"/>
  <c r="M72" i="2"/>
  <c r="M71" i="2"/>
  <c r="M70" i="2"/>
  <c r="M68" i="2"/>
  <c r="M67" i="2"/>
  <c r="M66" i="2"/>
  <c r="F78" i="2"/>
  <c r="F53" i="2"/>
  <c r="M61" i="2"/>
  <c r="F61" i="2"/>
  <c r="M60" i="2"/>
  <c r="F60" i="2"/>
  <c r="M59" i="2"/>
  <c r="F59" i="2"/>
  <c r="M58" i="2"/>
  <c r="F58" i="2"/>
  <c r="M57" i="2"/>
  <c r="F57" i="2"/>
  <c r="M56" i="2"/>
  <c r="F56" i="2"/>
  <c r="M54" i="2"/>
  <c r="F54" i="2"/>
  <c r="M53" i="2"/>
  <c r="M121" i="2"/>
  <c r="F121" i="2"/>
  <c r="M40" i="2"/>
  <c r="M86" i="2"/>
  <c r="F86" i="2"/>
  <c r="M85" i="2"/>
  <c r="F85" i="2"/>
  <c r="M84" i="2"/>
  <c r="F84" i="2"/>
  <c r="M83" i="2"/>
  <c r="F83" i="2"/>
  <c r="M82" i="2"/>
  <c r="M48" i="2"/>
  <c r="F48" i="2"/>
  <c r="M47" i="2"/>
  <c r="F47" i="2"/>
  <c r="M46" i="2"/>
  <c r="F46" i="2"/>
  <c r="M45" i="2"/>
  <c r="F45" i="2"/>
  <c r="M44" i="2"/>
  <c r="F44" i="2"/>
  <c r="M43" i="2"/>
  <c r="F43" i="2"/>
  <c r="M41" i="2"/>
  <c r="F41" i="2"/>
  <c r="F40" i="2"/>
  <c r="M32" i="2"/>
  <c r="M31" i="2"/>
  <c r="M30" i="2"/>
  <c r="M28" i="2"/>
  <c r="M27" i="2"/>
  <c r="F32" i="2"/>
  <c r="F31" i="2"/>
  <c r="F30" i="2"/>
  <c r="F28" i="2"/>
  <c r="F27" i="2"/>
  <c r="M22" i="2"/>
  <c r="M21" i="2"/>
  <c r="M20" i="2"/>
  <c r="M18" i="2"/>
  <c r="M17" i="2"/>
  <c r="M90" i="2" l="1"/>
  <c r="M168" i="2" s="1"/>
  <c r="F128" i="2"/>
  <c r="M62" i="2"/>
  <c r="F36" i="2"/>
  <c r="M128" i="2"/>
  <c r="M78" i="2"/>
  <c r="F57" i="3" s="1"/>
  <c r="M49" i="2"/>
  <c r="F62" i="2"/>
  <c r="F82" i="2"/>
  <c r="F90" i="2" s="1"/>
  <c r="F49" i="2"/>
  <c r="M36" i="2"/>
  <c r="M23" i="2"/>
  <c r="D19" i="3" l="1"/>
  <c r="F19" i="3" s="1"/>
  <c r="D50" i="2"/>
  <c r="D50" i="3"/>
  <c r="F50" i="3" s="1"/>
  <c r="F168" i="2"/>
  <c r="O168" i="2" s="1"/>
  <c r="D56" i="3"/>
  <c r="D20" i="3"/>
  <c r="D47" i="3"/>
  <c r="F47" i="3" s="1"/>
  <c r="D18" i="3"/>
  <c r="F18" i="3" s="1"/>
  <c r="D49" i="3"/>
  <c r="F49" i="3" s="1"/>
  <c r="O62" i="2"/>
  <c r="O49" i="2"/>
  <c r="O78" i="2"/>
  <c r="O128" i="2"/>
  <c r="P90" i="2"/>
  <c r="O36" i="2"/>
  <c r="F75" i="3"/>
  <c r="O38" i="2" l="1"/>
  <c r="P38" i="2" s="1"/>
  <c r="P36" i="2"/>
  <c r="F73" i="3"/>
  <c r="F72" i="3" l="1"/>
  <c r="F35" i="3" l="1"/>
  <c r="E50" i="1" l="1"/>
  <c r="E49" i="1"/>
  <c r="E46" i="1"/>
  <c r="E38" i="1"/>
  <c r="E21" i="1"/>
  <c r="E20" i="1"/>
  <c r="E47" i="1" l="1"/>
  <c r="E51" i="1"/>
  <c r="F83" i="3"/>
  <c r="F89" i="3"/>
  <c r="F85" i="3" s="1"/>
  <c r="E72" i="1" l="1"/>
  <c r="E77" i="1"/>
  <c r="E63" i="1"/>
  <c r="F22" i="4"/>
  <c r="E87" i="1" l="1"/>
  <c r="E33" i="1"/>
  <c r="E31" i="1" l="1"/>
  <c r="E32" i="1" s="1"/>
  <c r="E43" i="1"/>
  <c r="E36" i="1"/>
  <c r="E29" i="1"/>
  <c r="E30" i="1" s="1"/>
  <c r="E39" i="1"/>
  <c r="E24" i="1"/>
  <c r="E34" i="1" l="1"/>
  <c r="E22" i="1"/>
  <c r="E18" i="1"/>
  <c r="E25" i="1" l="1"/>
  <c r="F17" i="4" s="1"/>
  <c r="F18" i="4" s="1"/>
  <c r="F20" i="3"/>
  <c r="F32" i="3"/>
  <c r="F36" i="3"/>
  <c r="F28" i="3"/>
  <c r="F27" i="3"/>
  <c r="F26" i="3"/>
  <c r="F25" i="3"/>
  <c r="F21" i="3"/>
  <c r="F97" i="3" l="1"/>
  <c r="F96" i="3"/>
  <c r="F95" i="3" l="1"/>
  <c r="E96" i="1" l="1"/>
  <c r="E89" i="1"/>
  <c r="E37" i="1" l="1"/>
  <c r="E40" i="1" l="1"/>
  <c r="E41" i="1" l="1"/>
  <c r="E64" i="1" s="1"/>
  <c r="E60" i="1"/>
  <c r="E61" i="1" s="1"/>
  <c r="E65" i="1" l="1"/>
  <c r="E67" i="1" s="1"/>
  <c r="E79" i="1"/>
  <c r="F20" i="4"/>
  <c r="F23" i="4" s="1"/>
  <c r="E68" i="1"/>
  <c r="F24" i="4" l="1"/>
  <c r="F25" i="4"/>
  <c r="F26" i="4" l="1"/>
  <c r="F16" i="4" l="1"/>
  <c r="I96" i="3"/>
  <c r="F81" i="3"/>
  <c r="F82" i="3" l="1"/>
  <c r="F84" i="3"/>
  <c r="F78" i="3"/>
  <c r="F68" i="3" l="1"/>
  <c r="F79" i="3" l="1"/>
  <c r="F59" i="3" l="1"/>
  <c r="E71" i="3" l="1"/>
  <c r="F71" i="3" s="1"/>
  <c r="E74" i="3" l="1"/>
  <c r="F74" i="3" s="1"/>
  <c r="F56" i="3"/>
  <c r="E22" i="3" l="1"/>
  <c r="F22" i="3" s="1"/>
  <c r="F17" i="3" s="1"/>
  <c r="F60" i="3" l="1"/>
  <c r="F37" i="3" s="1"/>
  <c r="F98" i="3" s="1"/>
  <c r="F99" i="3" s="1"/>
  <c r="F100" i="3" l="1"/>
  <c r="F101" i="3" s="1"/>
  <c r="F102" i="3" s="1"/>
  <c r="F103" i="3" s="1"/>
  <c r="I95" i="3" l="1"/>
  <c r="I98" i="3" s="1"/>
  <c r="I107" i="3"/>
  <c r="F2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D71" authorId="0" shapeId="0" xr:uid="{00000000-0006-0000-0100-000001000000}">
      <text>
        <r>
          <rPr>
            <b/>
            <sz val="9"/>
            <color indexed="81"/>
            <rFont val="Tahoma"/>
            <charset val="1"/>
          </rPr>
          <t>Jeiver:</t>
        </r>
        <r>
          <rPr>
            <sz val="9"/>
            <color indexed="81"/>
            <rFont val="Tahoma"/>
            <charset val="1"/>
          </rPr>
          <t xml:space="preserve">
Mesón de cocina incluye acabados</t>
        </r>
      </text>
    </comment>
    <comment ref="D72" authorId="0" shapeId="0" xr:uid="{00000000-0006-0000-0100-000002000000}">
      <text>
        <r>
          <rPr>
            <b/>
            <sz val="9"/>
            <color indexed="81"/>
            <rFont val="Tahoma"/>
            <charset val="1"/>
          </rPr>
          <t>Jeiver:</t>
        </r>
        <r>
          <rPr>
            <sz val="9"/>
            <color indexed="81"/>
            <rFont val="Tahoma"/>
            <charset val="1"/>
          </rPr>
          <t xml:space="preserve">
Paredes y techo incluye acabados</t>
        </r>
      </text>
    </comment>
    <comment ref="D73" authorId="0" shapeId="0" xr:uid="{00000000-0006-0000-0100-000003000000}">
      <text>
        <r>
          <rPr>
            <b/>
            <sz val="9"/>
            <color indexed="81"/>
            <rFont val="Tahoma"/>
            <charset val="1"/>
          </rPr>
          <t>Jeiver:</t>
        </r>
        <r>
          <rPr>
            <sz val="9"/>
            <color indexed="81"/>
            <rFont val="Tahoma"/>
            <charset val="1"/>
          </rPr>
          <t xml:space="preserve">
Techo y pared</t>
        </r>
      </text>
    </comment>
    <comment ref="D76" authorId="0" shapeId="0" xr:uid="{00000000-0006-0000-0100-000004000000}">
      <text>
        <r>
          <rPr>
            <b/>
            <sz val="9"/>
            <color indexed="81"/>
            <rFont val="Tahoma"/>
            <charset val="1"/>
          </rPr>
          <t>Jeiver:</t>
        </r>
        <r>
          <rPr>
            <sz val="9"/>
            <color indexed="81"/>
            <rFont val="Tahoma"/>
            <charset val="1"/>
          </rPr>
          <t xml:space="preserve">
solo acabados</t>
        </r>
      </text>
    </comment>
    <comment ref="D77" authorId="0" shapeId="0" xr:uid="{00000000-0006-0000-0100-000005000000}">
      <text>
        <r>
          <rPr>
            <b/>
            <sz val="9"/>
            <color indexed="81"/>
            <rFont val="Tahoma"/>
            <charset val="1"/>
          </rPr>
          <t>Jeiver:</t>
        </r>
        <r>
          <rPr>
            <sz val="9"/>
            <color indexed="81"/>
            <rFont val="Tahoma"/>
            <charset val="1"/>
          </rPr>
          <t xml:space="preserve">
Solo acabados</t>
        </r>
      </text>
    </comment>
    <comment ref="D78" authorId="0" shapeId="0" xr:uid="{00000000-0006-0000-0100-000006000000}">
      <text>
        <r>
          <rPr>
            <b/>
            <sz val="9"/>
            <color indexed="81"/>
            <rFont val="Tahoma"/>
            <charset val="1"/>
          </rPr>
          <t>Jeiver:</t>
        </r>
        <r>
          <rPr>
            <sz val="9"/>
            <color indexed="81"/>
            <rFont val="Tahoma"/>
            <charset val="1"/>
          </rPr>
          <t xml:space="preserve">
solo acabados</t>
        </r>
      </text>
    </comment>
    <comment ref="A87" authorId="0" shapeId="0" xr:uid="{00000000-0006-0000-0100-000007000000}">
      <text>
        <r>
          <rPr>
            <b/>
            <sz val="9"/>
            <color indexed="81"/>
            <rFont val="Tahoma"/>
            <family val="2"/>
          </rPr>
          <t>PARA AÑO 2014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I90" authorId="0" shapeId="0" xr:uid="{00000000-0006-0000-0200-000001000000}">
      <text>
        <r>
          <rPr>
            <b/>
            <sz val="9"/>
            <color indexed="81"/>
            <rFont val="Tahoma"/>
            <family val="2"/>
          </rPr>
          <t>Jeiver:</t>
        </r>
        <r>
          <rPr>
            <sz val="9"/>
            <color indexed="81"/>
            <rFont val="Tahoma"/>
            <family val="2"/>
          </rPr>
          <t xml:space="preserve">
Equivl. Portón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B27" authorId="0" shapeId="0" xr:uid="{63EEE229-FF51-4742-8967-10D083D3C81B}">
      <text>
        <r>
          <rPr>
            <b/>
            <sz val="9"/>
            <color indexed="81"/>
            <rFont val="Tahoma"/>
            <charset val="1"/>
          </rPr>
          <t>Ancho poseta de ducha</t>
        </r>
      </text>
    </comment>
  </commentList>
</comments>
</file>

<file path=xl/sharedStrings.xml><?xml version="1.0" encoding="utf-8"?>
<sst xmlns="http://schemas.openxmlformats.org/spreadsheetml/2006/main" count="722" uniqueCount="278">
  <si>
    <t>Lote</t>
  </si>
  <si>
    <t>Andén</t>
  </si>
  <si>
    <t>Indice de construcción</t>
  </si>
  <si>
    <t>Valor m2 Depreciado:</t>
  </si>
  <si>
    <t>Total</t>
  </si>
  <si>
    <t>Primer piso</t>
  </si>
  <si>
    <t>Solar</t>
  </si>
  <si>
    <t>Indice de ocupación</t>
  </si>
  <si>
    <t>Construído primer piso</t>
  </si>
  <si>
    <t>Area construida afectada</t>
  </si>
  <si>
    <t xml:space="preserve">Año construcción Primer piso </t>
  </si>
  <si>
    <t xml:space="preserve">Año construcción segundo piso </t>
  </si>
  <si>
    <t>Promedio</t>
  </si>
  <si>
    <t>Vida actual estimada (Va)</t>
  </si>
  <si>
    <t xml:space="preserve">Vida </t>
  </si>
  <si>
    <t>Vida económica( Vb)</t>
  </si>
  <si>
    <t>Grado de conservación</t>
  </si>
  <si>
    <t>Depreciación tabla fitto corvini</t>
  </si>
  <si>
    <t>Valor Depreciación por m2</t>
  </si>
  <si>
    <t xml:space="preserve">AVALÚO REPOSICIÓN  </t>
  </si>
  <si>
    <t>Obra</t>
  </si>
  <si>
    <t>Localización</t>
  </si>
  <si>
    <t>Ciudad</t>
  </si>
  <si>
    <t>Propietaria</t>
  </si>
  <si>
    <t xml:space="preserve">Tipo de presupuesto </t>
  </si>
  <si>
    <t>A todo costo</t>
  </si>
  <si>
    <t>Solicitante</t>
  </si>
  <si>
    <t>Fecha</t>
  </si>
  <si>
    <t xml:space="preserve">Plazo de ejecución </t>
  </si>
  <si>
    <t>-</t>
  </si>
  <si>
    <t xml:space="preserve">Validez de la propuesta </t>
  </si>
  <si>
    <t>Item</t>
  </si>
  <si>
    <t>Descripcion</t>
  </si>
  <si>
    <t>Und</t>
  </si>
  <si>
    <t>Cant</t>
  </si>
  <si>
    <t>V/unit</t>
  </si>
  <si>
    <t>Valor parcial</t>
  </si>
  <si>
    <t>M2</t>
  </si>
  <si>
    <t>DEMOLICIONES</t>
  </si>
  <si>
    <t>DESM.CUBIERTA ASBESTO CEMENTO</t>
  </si>
  <si>
    <t>Desmonte y retiro de ESTRUCTURA DE CUBIERTA</t>
  </si>
  <si>
    <t>Cubierta teja fibrocemento.Incluye correas mdera</t>
  </si>
  <si>
    <t>Unid</t>
  </si>
  <si>
    <t>VARIOS</t>
  </si>
  <si>
    <t>RETIRO ESCOMBROS MANUAL-VOLQUETA &lt;=10KM.</t>
  </si>
  <si>
    <t>ASEO GENERAL</t>
  </si>
  <si>
    <t>glob</t>
  </si>
  <si>
    <t>COSTO DIRECTO</t>
  </si>
  <si>
    <t>Incremento por distancia</t>
  </si>
  <si>
    <t>Atentamente,</t>
  </si>
  <si>
    <t>____________________________________</t>
  </si>
  <si>
    <t>Ing. Jeiver Leonel Zúñiga Garcia</t>
  </si>
  <si>
    <t>c.c 10523779 Popayán</t>
  </si>
  <si>
    <t>Valor ajustado</t>
  </si>
  <si>
    <t>CONSTRUCCIÓN</t>
  </si>
  <si>
    <t>Demolición muros en soga</t>
  </si>
  <si>
    <t>Valor total reposición</t>
  </si>
  <si>
    <t>B&lt;</t>
  </si>
  <si>
    <t>H</t>
  </si>
  <si>
    <t>Trapezoidal</t>
  </si>
  <si>
    <t>Sótano</t>
  </si>
  <si>
    <t>Patio sótano</t>
  </si>
  <si>
    <t>Patio primer piso</t>
  </si>
  <si>
    <t>Patio segundo piso</t>
  </si>
  <si>
    <t xml:space="preserve">Areas libres </t>
  </si>
  <si>
    <t>Patios</t>
  </si>
  <si>
    <t>Total áreas libres</t>
  </si>
  <si>
    <t xml:space="preserve">subtotal </t>
  </si>
  <si>
    <t xml:space="preserve">Antejardín </t>
  </si>
  <si>
    <t>Total area construída, (cubiertas)</t>
  </si>
  <si>
    <t>Año construcción Sótano</t>
  </si>
  <si>
    <t>Demoliciones y retiros</t>
  </si>
  <si>
    <t>Glob</t>
  </si>
  <si>
    <t xml:space="preserve">A.I.U </t>
  </si>
  <si>
    <t>Total valor del lote</t>
  </si>
  <si>
    <t>VALOR DE LA REPOSICIÓN</t>
  </si>
  <si>
    <t>Costo directo</t>
  </si>
  <si>
    <t>MUROS LONGIITUDINALES</t>
  </si>
  <si>
    <t>MUROS TRANSVERSALES</t>
  </si>
  <si>
    <t>Eje 1</t>
  </si>
  <si>
    <t>Eje 2</t>
  </si>
  <si>
    <t>Eje 3</t>
  </si>
  <si>
    <t>Eje 4</t>
  </si>
  <si>
    <t>Eje 5</t>
  </si>
  <si>
    <t>CARPINTERÍA</t>
  </si>
  <si>
    <t>Suministro y colocación de lavamanos. Línea económica</t>
  </si>
  <si>
    <t>NAVE LAM.LLENA CAL.20 BAT.</t>
  </si>
  <si>
    <t>Rectangular</t>
  </si>
  <si>
    <t>Solar Rectangular 3 Nivel</t>
  </si>
  <si>
    <t>ML</t>
  </si>
  <si>
    <t>Desmonte de Correas metálicas Triangulares</t>
  </si>
  <si>
    <t>MURO CULATA LAD.SOGA SUCIO</t>
  </si>
  <si>
    <t>VINILO TIPO 1 [3M]</t>
  </si>
  <si>
    <t>ESMALTE SOBRE LAMINA LLENA</t>
  </si>
  <si>
    <t>REPINTE VENTANA - REJA</t>
  </si>
  <si>
    <t>VIDRIO TRANSPARENTE 4 MM</t>
  </si>
  <si>
    <t>180148SC</t>
  </si>
  <si>
    <t>CORREA MET. TRIANGULAR L=11-11,50 MTS</t>
  </si>
  <si>
    <t>C.F.PANEL BOARD 6.0MM S.JUNTA+VINILO</t>
  </si>
  <si>
    <t>m2</t>
  </si>
  <si>
    <t>TEJA ASBESTO CEMENTO</t>
  </si>
  <si>
    <t>TEJA ASBESTO CEMENTO # 6</t>
  </si>
  <si>
    <t>UND</t>
  </si>
  <si>
    <t>RECORRIDO CUBIERTA TEJA ASBESTO CEMENTO</t>
  </si>
  <si>
    <t>Area ocupada( incluyen áreas techadas, jardines y patios.)</t>
  </si>
  <si>
    <t>Pisos</t>
  </si>
  <si>
    <t>Area lote , (Incluye andén, patios, antejardín)</t>
  </si>
  <si>
    <t>Areas libres andén</t>
  </si>
  <si>
    <t>Segundo piso</t>
  </si>
  <si>
    <t>avaluar el costo de reposición del inmueble a su estado</t>
  </si>
  <si>
    <t>COLUMNETAS TRANSVERSALES</t>
  </si>
  <si>
    <t>COLUMNETAS LONGITUDINALES</t>
  </si>
  <si>
    <t>REPELLOS MUROS LONGITUDINALES</t>
  </si>
  <si>
    <t>REPELLOS MUROS TRANSVERSALES</t>
  </si>
  <si>
    <t>ESTUCO DE MUROS LONGITUDINALES</t>
  </si>
  <si>
    <t>ESTUCO DE MUROS TRANSVERSALES</t>
  </si>
  <si>
    <t>PINTURA DE MUROS LONGITUDINALES</t>
  </si>
  <si>
    <t>PINTURA DE MUROS TRANSVERSALES</t>
  </si>
  <si>
    <t>VIGAS DE AMARRE LONGITUDINALES</t>
  </si>
  <si>
    <t>VIGAS DE AMARRE TRANSVERSALES</t>
  </si>
  <si>
    <t>GUARDAESCOBA EN RETAL CERÁMICA MUROS LONGITUDINALES</t>
  </si>
  <si>
    <t>GUARDAESCOBA EN RETAL CERÁMICA MUROS TRANSVERSALES</t>
  </si>
  <si>
    <t>DEMOL.REPELLO</t>
  </si>
  <si>
    <t>DEMOL.PLACA CONCRETO E&gt;=17.6 CM</t>
  </si>
  <si>
    <t>DEMOL.ENCHAPE CERAMICO</t>
  </si>
  <si>
    <t>DESM.APARATO SANITARIO</t>
  </si>
  <si>
    <t>DESM.MARCO + NAVE SENCILLA</t>
  </si>
  <si>
    <t>DESM.VENTANA EXISTENTE</t>
  </si>
  <si>
    <t>CAJA INSPECCION 80x 80 CM [CONCRETO]</t>
  </si>
  <si>
    <t>TUB.PVC 4 SANI.</t>
  </si>
  <si>
    <t>TUB.PVC 2 SANI.</t>
  </si>
  <si>
    <t>TUB.PVC 6 SANI.</t>
  </si>
  <si>
    <t>ACERO REFUERZO FLEJADO 60000 PSI 420MPA</t>
  </si>
  <si>
    <t>Kg</t>
  </si>
  <si>
    <t>COLUMNA AMARRE MURO</t>
  </si>
  <si>
    <t>VIGA CONCR.AMARRE MURO 10-12x20CM</t>
  </si>
  <si>
    <t>LOSA CONCRETO MACIZA E=12CM</t>
  </si>
  <si>
    <t>MURO LAD.SOGA SUCIO</t>
  </si>
  <si>
    <t>MESON EN CONCRETO A &lt;=60 CM H=5.0- 8CM</t>
  </si>
  <si>
    <t>PUNTO SANITARIO PVC 3</t>
  </si>
  <si>
    <t>PUNTO SANITARIO PVC 4"</t>
  </si>
  <si>
    <t>TUBERIA PVC ,1/2"</t>
  </si>
  <si>
    <t>PUNTO AGUA FRIA ,1/2"</t>
  </si>
  <si>
    <t>PTO</t>
  </si>
  <si>
    <t>REPELLO MURO 1:3</t>
  </si>
  <si>
    <t>REPELLO CIELO 1:3</t>
  </si>
  <si>
    <t>ALISTADO PISO 6 CM</t>
  </si>
  <si>
    <t>CERAMICA 30.01-32.50x30.01-32.50 TRAF.4</t>
  </si>
  <si>
    <t>ENCHAPE CERAMICA 25X25 - 1 CALIDAD</t>
  </si>
  <si>
    <t>VENTANA LAM.VIDRIO SENCILLA CAL.20 COR</t>
  </si>
  <si>
    <t>VENTANA LAM.VIDRIO-VARILLA CAL.20 COR</t>
  </si>
  <si>
    <t>COMBO SANITARIO ECONOMICO [S+L+G+I]</t>
  </si>
  <si>
    <t>GRIFO MEZCLA.LAVAPLAT 8</t>
  </si>
  <si>
    <t>LAVAPLATOS A.INOX. 50X100CM ESCURRIDERO</t>
  </si>
  <si>
    <t>ESTUCO MUROS PLASTICO</t>
  </si>
  <si>
    <t>ESMALTE REJAS - VENTANAS</t>
  </si>
  <si>
    <t>SC1</t>
  </si>
  <si>
    <t>Puerta lámina calibre 20 incluye marco</t>
  </si>
  <si>
    <t>SC3</t>
  </si>
  <si>
    <t>GUARDAESCOBA EN RETAL DE CERÁMICA</t>
  </si>
  <si>
    <t>SC6</t>
  </si>
  <si>
    <t>Punto eléctrico para tomas o interrupt. Longit promedio 4,5 mts.2 Nº 12+ 1 Nº 14</t>
  </si>
  <si>
    <t>DEMOL.MESON CONCRETO</t>
  </si>
  <si>
    <t>ENCHAPE CERAMICA 21.0-40.0 MESON</t>
  </si>
  <si>
    <t>Depreciación según  Fitto Corvini</t>
  </si>
  <si>
    <t xml:space="preserve">Valor total </t>
  </si>
  <si>
    <t>B&gt;</t>
  </si>
  <si>
    <t xml:space="preserve">Se conservan los mismos cimientos por que se trata es de </t>
  </si>
  <si>
    <t>(3,9*16,8)+(1,65*3,15+3,2*2,6)</t>
  </si>
  <si>
    <t>Demolición de Gradas</t>
  </si>
  <si>
    <t>ALISTADO PISO 4 CM</t>
  </si>
  <si>
    <t>LOSA TERRAZA</t>
  </si>
  <si>
    <t>Alcoba 1</t>
  </si>
  <si>
    <t>Alcoba 2</t>
  </si>
  <si>
    <t>Alcoba 3</t>
  </si>
  <si>
    <t>Baño 2</t>
  </si>
  <si>
    <t>Baño social</t>
  </si>
  <si>
    <t>Mesón 1</t>
  </si>
  <si>
    <t>Mesón 2</t>
  </si>
  <si>
    <t>ENCHAPE MESON COCINA</t>
  </si>
  <si>
    <t>PISO AFINADO CON MINERAL, (ESMALTADO). PISO 1</t>
  </si>
  <si>
    <t>Tercer piso</t>
  </si>
  <si>
    <t xml:space="preserve">LOSA ENTREPISO </t>
  </si>
  <si>
    <t xml:space="preserve">PISO EN CERÁMICA </t>
  </si>
  <si>
    <t>CIELO FALSO</t>
  </si>
  <si>
    <t>ENCHAPE PARED EN CERÁMICA BAÑO, COCINA Y PATIO</t>
  </si>
  <si>
    <t>Cocina</t>
  </si>
  <si>
    <t>Patio</t>
  </si>
  <si>
    <t>Construcción gradas terraza</t>
  </si>
  <si>
    <t>Primarios</t>
  </si>
  <si>
    <t>DEMOL.CONTRAPISO CONCRETO E=5CM-10CM</t>
  </si>
  <si>
    <t>CONTRAPISO CONCRETO E= 6CM 2.500Psi</t>
  </si>
  <si>
    <t>ALISTADO PISO ESMALTADO 3 CM</t>
  </si>
  <si>
    <t>DEMOL.LAVADERO EXISTENTE</t>
  </si>
  <si>
    <t>LAVADERO MAMPOSTERIA ENCHAPADO 160X80CM</t>
  </si>
  <si>
    <t xml:space="preserve">Segundo piso </t>
  </si>
  <si>
    <t>Azotea</t>
  </si>
  <si>
    <t>Gradas</t>
  </si>
  <si>
    <t>Baños</t>
  </si>
  <si>
    <t>REPELLOS CIELOS</t>
  </si>
  <si>
    <t>Grada 2</t>
  </si>
  <si>
    <t>Uso</t>
  </si>
  <si>
    <t>Departamento</t>
  </si>
  <si>
    <t>Cauca</t>
  </si>
  <si>
    <t>Corregimiento</t>
  </si>
  <si>
    <t>Reposición Vivienda</t>
  </si>
  <si>
    <t>VALOR M2 DEPRECIADO</t>
  </si>
  <si>
    <t>RECIOS UNITARIOS</t>
  </si>
  <si>
    <t>VALOR M2 CONSTRUCCION</t>
  </si>
  <si>
    <t>CUBICACIÓN CANTIDADES DE OBRA</t>
  </si>
  <si>
    <t>Patio Tercer piso</t>
  </si>
  <si>
    <t>Tercer piso piso</t>
  </si>
  <si>
    <t xml:space="preserve">Tercer piso </t>
  </si>
  <si>
    <t>Valor actual/M2 : de construcción total</t>
  </si>
  <si>
    <t>CÁLCULO DE LA  DEPRECIACIÓN</t>
  </si>
  <si>
    <t xml:space="preserve">Año construcción Tercer piso </t>
  </si>
  <si>
    <t>VALOR M2 DE CONSTRUCCIÓN DEPRECIADO</t>
  </si>
  <si>
    <t>VALOR M2 DE CONSTRUCCIÓN ACABADOS DEPRECIADO</t>
  </si>
  <si>
    <t>Valor actual m2 reposición de acabados</t>
  </si>
  <si>
    <t>Area De acabados afectada</t>
  </si>
  <si>
    <t>VENTANAS EJES LONGITUDINALES</t>
  </si>
  <si>
    <t>VENTANAS EJES TRANSVERSALES</t>
  </si>
  <si>
    <t>SC</t>
  </si>
  <si>
    <t>Puertas en madera</t>
  </si>
  <si>
    <t>Baño</t>
  </si>
  <si>
    <t>Eje 7</t>
  </si>
  <si>
    <t>CIMENTACIÓN</t>
  </si>
  <si>
    <t>VIDRIOS EN VENTANAS LONGITUDINALES</t>
  </si>
  <si>
    <t>Reposicion Acabados</t>
  </si>
  <si>
    <t>Vivienda Unifamiliar</t>
  </si>
  <si>
    <t xml:space="preserve">Area construida (Area cubierta. incluye gradas. No Incluye andén, patios, jardínes.) </t>
  </si>
  <si>
    <t>Areas libres Patios</t>
  </si>
  <si>
    <t>% de vida Va/Vb</t>
  </si>
  <si>
    <t>REJAS ENROLLABLES</t>
  </si>
  <si>
    <t>REJAS DE BALCÓN</t>
  </si>
  <si>
    <t>PUERTAS METÁLICAS</t>
  </si>
  <si>
    <t>Fachada carrera 4</t>
  </si>
  <si>
    <t>Fachada carrera 1</t>
  </si>
  <si>
    <t>ANDENES</t>
  </si>
  <si>
    <t>fachada carrera 4</t>
  </si>
  <si>
    <t>fachada calle 1</t>
  </si>
  <si>
    <t>Cielo raso</t>
  </si>
  <si>
    <t>Cielo raso en icopor</t>
  </si>
  <si>
    <t>CUBIERTA TEJA FIBROCEMENTO</t>
  </si>
  <si>
    <t>CUBIERTA TEJA TRANSPARENTE</t>
  </si>
  <si>
    <t>Rejas enrollables</t>
  </si>
  <si>
    <t>DEMOL.ANDEN/CONTRAPISO CONC.E 7.6 A 12CM</t>
  </si>
  <si>
    <t>C.F.ICOPOR TEXTURIZADO 1CM - PERLITA</t>
  </si>
  <si>
    <t>REPOSICION PIEZA MADERA ROLLIZA 5,1/4-6"</t>
  </si>
  <si>
    <t>TEJA PLASTICA ONDULADA</t>
  </si>
  <si>
    <t>SC2</t>
  </si>
  <si>
    <t>Juzgado Décimo Administrativo Oral del Circuito de Popayán</t>
  </si>
  <si>
    <t>Santander de quilichao</t>
  </si>
  <si>
    <t>según anotaión de fecha 2 mayo del 2006 en certificado de tradición de 22 de Octubre del 2013 con base en la escritura pública 526 del 26 de abril del 2006 que no obra en el procerso</t>
  </si>
  <si>
    <t xml:space="preserve">Deisy Chávez Guzmán </t>
  </si>
  <si>
    <t>Vereda Manidivá</t>
  </si>
  <si>
    <t>Para determinar el grado de conservaciión. Se parte de la construcción ejecutada en la que se le dio valor teniendo en cuenta la calidad integral de ella tanto en materiales como calidad de acabado y calidad de mano de obra,( todos los factores de calidad)</t>
  </si>
  <si>
    <t xml:space="preserve">a la calidad así estimada se le dá un valor en  la escala de conservación de esa calidad de fitto corvini. En este caso le asignamos un valor de 2 porque si bien es cierto hubo una mala calidad constructiva integral de esa calidad  </t>
  </si>
  <si>
    <t>el mantenimiento de esa mala construcción requiere reparaciones de poca importancia</t>
  </si>
  <si>
    <t xml:space="preserve">Se toma como base el precio de 1000000 de los costos directos de los materiales para construcción de vivienda para el año 2021 y se le incrementa 10% para actualizarlo a 2024 este valor le restamos un porcentajje de un 30% por </t>
  </si>
  <si>
    <t>por razones calidad de que la obra no tiene acabdos completos no tiene pisos.</t>
  </si>
  <si>
    <t>Se toma el áreaque  a mi criterio realmente fue afectada</t>
  </si>
  <si>
    <t xml:space="preserve">Reposiciòn area afectada </t>
  </si>
  <si>
    <t>VIDRIOS EN VENTANASTRANSVERSALES</t>
  </si>
  <si>
    <t>DESM.ESTRUCTURA MADERA T.BARRO</t>
  </si>
  <si>
    <t>CUBIERTA TEJA BARRO</t>
  </si>
  <si>
    <t>DESM.CUBIERTA TEJA BARRO</t>
  </si>
  <si>
    <t>DEMOL.COLUMNA CONCRETO AMARRE</t>
  </si>
  <si>
    <t>ml</t>
  </si>
  <si>
    <t>DEMOL.VIGA AMARRE MURO</t>
  </si>
  <si>
    <t>ENTRAMADO TEJA BARRO CANABRAVA</t>
  </si>
  <si>
    <t>TEJA BARRO NORMAL</t>
  </si>
  <si>
    <t>antes del atentado del 15 de octubre del 2013</t>
  </si>
  <si>
    <t>Los acabados corresponde a un estrrato 2 y el valor del m2 en constrcción de vivienda para 2024 está alrededor de 900 mil pesos con un margen de utilidad del 25%</t>
  </si>
  <si>
    <t>27 de Agosto 2024</t>
  </si>
  <si>
    <t>Nota la señora Ma´ria del Carmen nos informa que las construcciones podía tener aproximadamente  25 años.</t>
  </si>
  <si>
    <t xml:space="preserve">a PARTIR DE ESAS DOS INFORMACIONES Y LAS HUELLAS DEL TIPO DE LADRILLO UTILIZADO ESTIMAMOS UNA VIDA DE LAS VIVIENDAS </t>
  </si>
  <si>
    <t>PARA LA FECHA DEL ATENTADO  DE 13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</si>
</sst>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 _€_-;\-* #,##0.00\ _€_-;_-* &quot;-&quot;??\ _€_-;_-@_-"/>
    <numFmt numFmtId="166" formatCode="_-* #,##0\ _€_-;\-* #,##0\ _€_-;_-* &quot;-&quot;??\ _€_-;_-@_-"/>
    <numFmt numFmtId="167" formatCode="0.0%"/>
  </numFmts>
  <fonts count="29" x14ac:knownFonts="1">
    <font>
      <sz val="11"/>
      <color theme="1"/>
      <name val="Calibri"/>
      <family val="2"/>
      <scheme val="minor"/>
    </font>
    <font>
      <u/>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2"/>
      <color rgb="FF0F243E"/>
      <name val="Times New Roman"/>
      <family val="1"/>
    </font>
    <font>
      <b/>
      <i/>
      <sz val="10"/>
      <name val="Arial"/>
      <family val="2"/>
    </font>
    <font>
      <b/>
      <sz val="10"/>
      <name val="Arial"/>
      <family val="2"/>
    </font>
    <font>
      <b/>
      <i/>
      <sz val="11"/>
      <name val="Calibri"/>
      <family val="2"/>
      <scheme val="minor"/>
    </font>
    <font>
      <i/>
      <sz val="11"/>
      <name val="Calibri"/>
      <family val="2"/>
      <scheme val="minor"/>
    </font>
    <font>
      <sz val="10"/>
      <name val="Arial"/>
      <family val="2"/>
    </font>
    <font>
      <b/>
      <i/>
      <sz val="11"/>
      <color indexed="8"/>
      <name val="Calibri"/>
      <family val="2"/>
    </font>
    <font>
      <i/>
      <sz val="11"/>
      <name val="Calibri"/>
      <family val="2"/>
    </font>
    <font>
      <i/>
      <sz val="11"/>
      <color indexed="8"/>
      <name val="Calibri"/>
      <family val="2"/>
    </font>
    <font>
      <sz val="11"/>
      <name val="Calibri"/>
      <family val="2"/>
      <scheme val="minor"/>
    </font>
    <font>
      <b/>
      <i/>
      <sz val="11"/>
      <name val="Calibri"/>
      <family val="2"/>
    </font>
    <font>
      <b/>
      <sz val="11"/>
      <name val="Calibri"/>
      <family val="2"/>
      <scheme val="minor"/>
    </font>
    <font>
      <b/>
      <sz val="14"/>
      <color theme="1"/>
      <name val="Calibri"/>
      <family val="2"/>
      <scheme val="minor"/>
    </font>
    <font>
      <sz val="9"/>
      <color indexed="81"/>
      <name val="Tahoma"/>
      <family val="2"/>
    </font>
    <font>
      <b/>
      <sz val="9"/>
      <color indexed="81"/>
      <name val="Tahoma"/>
      <family val="2"/>
    </font>
    <font>
      <u/>
      <sz val="10"/>
      <color indexed="12"/>
      <name val="Arial"/>
      <family val="2"/>
    </font>
    <font>
      <u/>
      <sz val="10"/>
      <name val="Arial"/>
      <family val="2"/>
    </font>
    <font>
      <i/>
      <sz val="10"/>
      <name val="Arial"/>
      <family val="2"/>
    </font>
    <font>
      <sz val="9"/>
      <color indexed="81"/>
      <name val="Tahoma"/>
      <charset val="1"/>
    </font>
    <font>
      <b/>
      <sz val="9"/>
      <color indexed="81"/>
      <name val="Tahoma"/>
      <charset val="1"/>
    </font>
    <font>
      <sz val="11"/>
      <color rgb="FFFF0000"/>
      <name val="Calibri"/>
      <family val="2"/>
      <scheme val="minor"/>
    </font>
    <font>
      <i/>
      <sz val="12"/>
      <color theme="1"/>
      <name val="Times New Roman"/>
      <family val="1"/>
    </font>
    <font>
      <i/>
      <sz val="12"/>
      <color rgb="FF0F243E"/>
      <name val="Times New Roman"/>
      <family val="1"/>
    </font>
    <font>
      <sz val="11"/>
      <color indexed="8"/>
      <name val="Calibri"/>
      <family val="2"/>
      <scheme val="minor"/>
    </font>
  </fonts>
  <fills count="3">
    <fill>
      <patternFill patternType="none"/>
    </fill>
    <fill>
      <patternFill patternType="gray125"/>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
    <xf numFmtId="0" fontId="0" fillId="0" borderId="0"/>
    <xf numFmtId="165" fontId="2" fillId="0" borderId="0" applyFont="0" applyFill="0" applyBorder="0" applyAlignment="0" applyProtection="0"/>
    <xf numFmtId="9" fontId="2" fillId="0" borderId="0" applyFont="0" applyFill="0" applyBorder="0" applyAlignment="0" applyProtection="0"/>
    <xf numFmtId="0" fontId="20" fillId="0" borderId="0" applyNumberFormat="0" applyFill="0" applyBorder="0" applyAlignment="0" applyProtection="0">
      <alignment vertical="top"/>
      <protection locked="0"/>
    </xf>
  </cellStyleXfs>
  <cellXfs count="123">
    <xf numFmtId="0" fontId="0" fillId="0" borderId="0" xfId="0"/>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vertical="center"/>
    </xf>
    <xf numFmtId="0" fontId="11" fillId="0" borderId="1" xfId="0" applyFont="1" applyBorder="1" applyAlignment="1">
      <alignment horizontal="center" vertical="center"/>
    </xf>
    <xf numFmtId="0" fontId="8" fillId="0" borderId="1" xfId="0" applyFont="1" applyBorder="1" applyAlignment="1">
      <alignment horizontal="center" vertical="center"/>
    </xf>
    <xf numFmtId="165" fontId="11" fillId="0" borderId="1" xfId="1" applyFont="1" applyFill="1" applyBorder="1" applyAlignment="1" applyProtection="1">
      <alignment horizontal="center" vertical="center"/>
    </xf>
    <xf numFmtId="165" fontId="11" fillId="0" borderId="1" xfId="1" applyFont="1" applyFill="1" applyBorder="1" applyAlignment="1" applyProtection="1">
      <alignment horizontal="center" vertical="center" wrapText="1"/>
    </xf>
    <xf numFmtId="0" fontId="8" fillId="0" borderId="1" xfId="0" applyFont="1" applyBorder="1" applyAlignment="1">
      <alignment horizontal="left" vertical="center"/>
    </xf>
    <xf numFmtId="0" fontId="12" fillId="0" borderId="1" xfId="0" applyFont="1" applyBorder="1" applyAlignment="1">
      <alignment horizontal="center" vertical="center"/>
    </xf>
    <xf numFmtId="165" fontId="12" fillId="0" borderId="1" xfId="1" applyFont="1" applyFill="1" applyBorder="1" applyAlignment="1" applyProtection="1">
      <alignment horizontal="center" vertical="center"/>
    </xf>
    <xf numFmtId="165" fontId="7" fillId="0" borderId="1" xfId="1" applyFont="1" applyFill="1" applyBorder="1" applyAlignment="1" applyProtection="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left" vertical="center"/>
    </xf>
    <xf numFmtId="165" fontId="15" fillId="0" borderId="1" xfId="1" applyFont="1" applyFill="1" applyBorder="1" applyAlignment="1" applyProtection="1">
      <alignment horizontal="center" vertical="center"/>
    </xf>
    <xf numFmtId="0" fontId="8" fillId="0" borderId="1" xfId="0" applyFont="1" applyBorder="1" applyAlignment="1">
      <alignment horizontal="right" vertical="center"/>
    </xf>
    <xf numFmtId="0" fontId="9" fillId="0" borderId="1" xfId="0" applyFont="1" applyBorder="1" applyAlignment="1">
      <alignment horizontal="left" vertical="center"/>
    </xf>
    <xf numFmtId="0" fontId="15" fillId="0" borderId="1" xfId="0" applyFont="1" applyBorder="1" applyAlignment="1">
      <alignment horizontal="center" vertical="center"/>
    </xf>
    <xf numFmtId="0" fontId="8" fillId="0" borderId="1" xfId="0" applyFont="1" applyBorder="1" applyAlignment="1">
      <alignment horizontal="left" vertical="center" wrapText="1"/>
    </xf>
    <xf numFmtId="9" fontId="12" fillId="0" borderId="1" xfId="1" applyNumberFormat="1" applyFont="1" applyFill="1" applyBorder="1" applyAlignment="1" applyProtection="1">
      <alignment horizontal="center" vertical="center"/>
    </xf>
    <xf numFmtId="0" fontId="8" fillId="0" borderId="0" xfId="0" applyFont="1"/>
    <xf numFmtId="0" fontId="14" fillId="0" borderId="0" xfId="0" applyFont="1" applyAlignment="1">
      <alignment vertical="center"/>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center"/>
    </xf>
    <xf numFmtId="0" fontId="14" fillId="0" borderId="0" xfId="0" applyFont="1" applyAlignment="1">
      <alignment horizontal="left"/>
    </xf>
    <xf numFmtId="165" fontId="0" fillId="0" borderId="0" xfId="1" applyFont="1" applyFill="1" applyBorder="1" applyAlignment="1">
      <alignment horizontal="center"/>
    </xf>
    <xf numFmtId="0" fontId="16" fillId="0" borderId="0" xfId="0" applyFont="1" applyAlignment="1">
      <alignment horizontal="left"/>
    </xf>
    <xf numFmtId="0" fontId="0" fillId="0" borderId="4" xfId="0" applyBorder="1" applyAlignment="1">
      <alignment horizontal="center" vertical="center"/>
    </xf>
    <xf numFmtId="0" fontId="16" fillId="0" borderId="1" xfId="0" applyFont="1" applyBorder="1" applyAlignment="1">
      <alignment horizontal="left" vertical="center"/>
    </xf>
    <xf numFmtId="0" fontId="16" fillId="0" borderId="1" xfId="0" applyFont="1" applyBorder="1" applyAlignment="1">
      <alignment horizontal="right" vertical="center"/>
    </xf>
    <xf numFmtId="9" fontId="0" fillId="0" borderId="0" xfId="2" applyFont="1" applyFill="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4" xfId="0" applyBorder="1"/>
    <xf numFmtId="165" fontId="0" fillId="0" borderId="0" xfId="0" applyNumberFormat="1"/>
    <xf numFmtId="2" fontId="0" fillId="0" borderId="1" xfId="0" applyNumberFormat="1" applyBorder="1" applyAlignment="1">
      <alignment horizontal="center" vertical="center"/>
    </xf>
    <xf numFmtId="4" fontId="7" fillId="0" borderId="8" xfId="0" applyNumberFormat="1"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left" vertical="center"/>
    </xf>
    <xf numFmtId="0" fontId="10" fillId="0" borderId="1" xfId="0" applyFont="1" applyBorder="1" applyAlignment="1">
      <alignment horizontal="center" vertical="center"/>
    </xf>
    <xf numFmtId="1" fontId="4" fillId="0" borderId="1" xfId="0" applyNumberFormat="1" applyFont="1" applyBorder="1" applyAlignment="1">
      <alignment horizontal="center" vertical="center" wrapText="1"/>
    </xf>
    <xf numFmtId="1" fontId="4" fillId="0" borderId="0" xfId="0" applyNumberFormat="1" applyFont="1" applyAlignment="1">
      <alignment horizontal="center" vertical="center" wrapText="1"/>
    </xf>
    <xf numFmtId="1" fontId="4" fillId="0" borderId="7" xfId="0" applyNumberFormat="1" applyFont="1" applyBorder="1" applyAlignment="1">
      <alignment horizontal="center" vertical="center" wrapText="1"/>
    </xf>
    <xf numFmtId="1" fontId="22" fillId="0" borderId="1" xfId="0" applyNumberFormat="1" applyFont="1" applyBorder="1" applyAlignment="1">
      <alignment horizontal="center" vertical="center" wrapText="1"/>
    </xf>
    <xf numFmtId="0" fontId="10" fillId="0" borderId="0" xfId="0" applyFont="1" applyAlignment="1">
      <alignment horizontal="center" vertical="center"/>
    </xf>
    <xf numFmtId="9" fontId="0" fillId="0" borderId="1" xfId="2" applyFont="1" applyFill="1" applyBorder="1" applyAlignment="1">
      <alignment horizontal="center" vertical="center"/>
    </xf>
    <xf numFmtId="10" fontId="0" fillId="0" borderId="1" xfId="2" applyNumberFormat="1" applyFont="1" applyFill="1" applyBorder="1" applyAlignment="1">
      <alignment horizontal="center" vertical="center"/>
    </xf>
    <xf numFmtId="0" fontId="14" fillId="0" borderId="2" xfId="0" applyFont="1" applyBorder="1" applyAlignment="1">
      <alignment vertical="center"/>
    </xf>
    <xf numFmtId="0" fontId="0" fillId="0" borderId="2" xfId="0" applyBorder="1"/>
    <xf numFmtId="2" fontId="14" fillId="0" borderId="0" xfId="0" applyNumberFormat="1" applyFont="1" applyAlignment="1">
      <alignment horizontal="center" vertical="center"/>
    </xf>
    <xf numFmtId="165" fontId="0" fillId="0" borderId="0" xfId="1" applyFont="1" applyFill="1"/>
    <xf numFmtId="0" fontId="0" fillId="0" borderId="1" xfId="0"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0" xfId="0" applyFont="1" applyAlignment="1">
      <alignment horizontal="center"/>
    </xf>
    <xf numFmtId="2" fontId="0" fillId="0" borderId="1" xfId="0" applyNumberFormat="1" applyBorder="1" applyAlignment="1">
      <alignment horizontal="center"/>
    </xf>
    <xf numFmtId="2" fontId="3" fillId="0" borderId="1" xfId="0" applyNumberFormat="1" applyFont="1" applyBorder="1" applyAlignment="1">
      <alignment horizontal="center" vertical="center"/>
    </xf>
    <xf numFmtId="2" fontId="0" fillId="0" borderId="4" xfId="0" applyNumberFormat="1" applyBorder="1" applyAlignment="1">
      <alignment horizontal="center" vertical="center"/>
    </xf>
    <xf numFmtId="15" fontId="9" fillId="0" borderId="0" xfId="0" applyNumberFormat="1" applyFont="1" applyAlignment="1">
      <alignment horizontal="left"/>
    </xf>
    <xf numFmtId="0" fontId="8" fillId="0" borderId="0" xfId="0" applyFont="1" applyAlignment="1">
      <alignment horizontal="left"/>
    </xf>
    <xf numFmtId="0" fontId="8" fillId="0" borderId="0" xfId="0" applyFont="1" applyAlignment="1">
      <alignment horizontal="left" vertical="center"/>
    </xf>
    <xf numFmtId="0" fontId="6" fillId="0" borderId="0" xfId="0" applyFont="1"/>
    <xf numFmtId="0" fontId="21" fillId="0" borderId="6" xfId="3" applyFont="1" applyFill="1" applyBorder="1" applyAlignment="1" applyProtection="1">
      <alignment horizontal="left" vertical="center"/>
    </xf>
    <xf numFmtId="1" fontId="21" fillId="0" borderId="1" xfId="3" applyNumberFormat="1" applyFont="1" applyFill="1" applyBorder="1" applyAlignment="1" applyProtection="1">
      <alignment vertical="center" wrapText="1"/>
    </xf>
    <xf numFmtId="1" fontId="21" fillId="0" borderId="7" xfId="3" applyNumberFormat="1" applyFont="1" applyFill="1" applyBorder="1" applyAlignment="1" applyProtection="1">
      <alignment vertical="center" wrapText="1"/>
    </xf>
    <xf numFmtId="0" fontId="17" fillId="0" borderId="1" xfId="0" applyFont="1" applyBorder="1"/>
    <xf numFmtId="0" fontId="0" fillId="0" borderId="1" xfId="0" applyBorder="1" applyAlignment="1">
      <alignment horizontal="right"/>
    </xf>
    <xf numFmtId="0" fontId="1" fillId="0" borderId="6" xfId="0" applyFont="1" applyBorder="1" applyAlignment="1">
      <alignment horizontal="center" vertical="center"/>
    </xf>
    <xf numFmtId="0" fontId="0" fillId="0" borderId="3" xfId="0" applyBorder="1" applyAlignment="1">
      <alignment horizontal="center" vertical="center"/>
    </xf>
    <xf numFmtId="2" fontId="3" fillId="0" borderId="5" xfId="0" applyNumberFormat="1" applyFont="1" applyBorder="1" applyAlignment="1">
      <alignment horizontal="center" vertical="center"/>
    </xf>
    <xf numFmtId="0" fontId="17" fillId="0" borderId="1" xfId="0" applyFont="1" applyBorder="1" applyAlignment="1">
      <alignment wrapText="1"/>
    </xf>
    <xf numFmtId="0" fontId="0" fillId="0" borderId="7" xfId="0" applyBorder="1" applyAlignment="1">
      <alignment horizontal="center" vertical="center"/>
    </xf>
    <xf numFmtId="2" fontId="1" fillId="0" borderId="1" xfId="0" applyNumberFormat="1" applyFont="1" applyBorder="1" applyAlignment="1">
      <alignment horizontal="center" vertical="center"/>
    </xf>
    <xf numFmtId="2" fontId="1" fillId="0" borderId="6" xfId="0" applyNumberFormat="1" applyFont="1" applyBorder="1" applyAlignment="1">
      <alignment horizontal="center" vertical="center"/>
    </xf>
    <xf numFmtId="0" fontId="3" fillId="0" borderId="1" xfId="0" applyFont="1" applyBorder="1" applyAlignment="1">
      <alignment horizontal="right"/>
    </xf>
    <xf numFmtId="2" fontId="0" fillId="0" borderId="6" xfId="0" applyNumberFormat="1" applyBorder="1" applyAlignment="1">
      <alignment horizontal="center" vertical="center"/>
    </xf>
    <xf numFmtId="0" fontId="3" fillId="0" borderId="1" xfId="0" applyFont="1" applyBorder="1"/>
    <xf numFmtId="9" fontId="0" fillId="0" borderId="1" xfId="0" applyNumberFormat="1" applyBorder="1" applyAlignment="1">
      <alignment horizontal="center" vertical="center"/>
    </xf>
    <xf numFmtId="165" fontId="0" fillId="0" borderId="1" xfId="1" applyFont="1" applyFill="1" applyBorder="1" applyAlignment="1">
      <alignment horizontal="center" vertical="center"/>
    </xf>
    <xf numFmtId="0" fontId="5" fillId="0" borderId="1" xfId="0" applyFont="1" applyBorder="1"/>
    <xf numFmtId="165"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6" xfId="0" applyBorder="1" applyAlignment="1">
      <alignment horizontal="center" vertical="center"/>
    </xf>
    <xf numFmtId="0" fontId="25" fillId="0" borderId="1" xfId="0" applyFont="1" applyBorder="1"/>
    <xf numFmtId="0" fontId="25" fillId="0" borderId="0" xfId="0" applyFont="1"/>
    <xf numFmtId="0" fontId="0" fillId="0" borderId="1" xfId="0" applyBorder="1" applyAlignment="1">
      <alignment horizontal="left" vertical="center"/>
    </xf>
    <xf numFmtId="166" fontId="11" fillId="0" borderId="1" xfId="1" applyNumberFormat="1" applyFont="1" applyFill="1" applyBorder="1" applyAlignment="1" applyProtection="1">
      <alignment horizontal="center" vertical="center"/>
    </xf>
    <xf numFmtId="166" fontId="0" fillId="0" borderId="0" xfId="0" applyNumberFormat="1"/>
    <xf numFmtId="0" fontId="26" fillId="2" borderId="0" xfId="0" applyFont="1" applyFill="1"/>
    <xf numFmtId="0" fontId="0" fillId="2" borderId="1" xfId="0" applyFill="1" applyBorder="1"/>
    <xf numFmtId="0" fontId="27" fillId="0" borderId="1" xfId="0" applyFont="1" applyBorder="1"/>
    <xf numFmtId="0" fontId="3" fillId="0" borderId="8" xfId="0" applyFont="1" applyBorder="1" applyAlignment="1">
      <alignment horizontal="left" vertical="center"/>
    </xf>
    <xf numFmtId="0" fontId="14" fillId="0" borderId="0" xfId="0" applyFont="1" applyAlignment="1">
      <alignment horizontal="left" vertical="center" wrapText="1"/>
    </xf>
    <xf numFmtId="0" fontId="10" fillId="0" borderId="3" xfId="0" applyFont="1" applyBorder="1" applyAlignment="1">
      <alignment horizontal="center" vertical="center"/>
    </xf>
    <xf numFmtId="0" fontId="28" fillId="0" borderId="1" xfId="0" applyFont="1" applyBorder="1"/>
    <xf numFmtId="0" fontId="10" fillId="0" borderId="1" xfId="3" applyFont="1" applyFill="1" applyBorder="1" applyAlignment="1" applyProtection="1">
      <alignment horizontal="left" vertical="center"/>
    </xf>
    <xf numFmtId="4" fontId="0" fillId="0" borderId="1" xfId="0" applyNumberFormat="1" applyBorder="1"/>
    <xf numFmtId="0" fontId="12" fillId="0" borderId="4" xfId="0" applyFont="1" applyBorder="1" applyAlignment="1">
      <alignment horizontal="center" vertical="center"/>
    </xf>
    <xf numFmtId="4" fontId="10" fillId="0" borderId="1" xfId="0" applyNumberFormat="1" applyFont="1" applyBorder="1" applyAlignment="1">
      <alignment horizontal="center" vertical="center"/>
    </xf>
    <xf numFmtId="2" fontId="28" fillId="0" borderId="8" xfId="0" applyNumberFormat="1" applyFont="1" applyBorder="1" applyAlignment="1">
      <alignment horizontal="left" vertical="center"/>
    </xf>
    <xf numFmtId="167" fontId="0" fillId="0" borderId="1" xfId="2" applyNumberFormat="1" applyFont="1" applyBorder="1" applyAlignment="1">
      <alignment horizontal="center" vertical="center"/>
    </xf>
    <xf numFmtId="0" fontId="6" fillId="0" borderId="0" xfId="0" applyFont="1" applyAlignment="1">
      <alignment horizontal="center"/>
    </xf>
    <xf numFmtId="0" fontId="0" fillId="0" borderId="0" xfId="0"/>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1" fillId="0" borderId="2" xfId="0" applyFont="1" applyBorder="1" applyAlignment="1">
      <alignment horizont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4" xfId="0" applyFont="1" applyBorder="1" applyAlignment="1">
      <alignment horizontal="right" vertical="center"/>
    </xf>
    <xf numFmtId="0" fontId="3" fillId="0" borderId="3"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right" vertical="center"/>
    </xf>
    <xf numFmtId="2" fontId="3" fillId="0" borderId="3" xfId="0" applyNumberFormat="1" applyFont="1" applyBorder="1" applyAlignment="1">
      <alignment horizontal="right" vertical="center"/>
    </xf>
    <xf numFmtId="2" fontId="3" fillId="0" borderId="8" xfId="0" applyNumberFormat="1" applyFont="1" applyBorder="1" applyAlignment="1">
      <alignment horizontal="right" vertical="center"/>
    </xf>
    <xf numFmtId="2" fontId="3" fillId="0" borderId="4" xfId="0" applyNumberFormat="1" applyFont="1" applyBorder="1" applyAlignment="1">
      <alignment horizontal="right" vertical="center"/>
    </xf>
    <xf numFmtId="0" fontId="3" fillId="0" borderId="1" xfId="0" applyFont="1" applyBorder="1" applyAlignment="1">
      <alignment horizontal="right" vertical="center"/>
    </xf>
  </cellXfs>
  <cellStyles count="4">
    <cellStyle name="Hipervínculo" xfId="3" builtinId="8"/>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Ingenier&#237;a\PRECIOS%20UNITARIOS\Gob%20del%20valle\A.P.U%20VARIOS%20actual.%20precios%20gob%20valle..xls" TargetMode="External"/><Relationship Id="rId1" Type="http://schemas.openxmlformats.org/officeDocument/2006/relationships/externalLinkPath" Target="/Ingenier&#237;a/PRECIOS%20UNITARIOS/Gob%20del%20valle/A.P.U%20VARIOS%20actual.%20precios%20gob%20val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Ingenier&#237;a\PRECIOS%20UNITARIOS\Gob%20del%20valle\A.P.U%20VARIOS%20actual.%20precios%20gob%20val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Hoja17"/>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Hoja15"/>
      <sheetName val="ELABORACION CCTO CLASE F"/>
      <sheetName val="ELABORACIÓN CCTO CLASE G"/>
      <sheetName val="Mortero 1-2"/>
      <sheetName val="Mortero 1-3"/>
      <sheetName val="Mortero 1-4"/>
      <sheetName val="10103"/>
      <sheetName val="10105"/>
      <sheetName val="10106"/>
      <sheetName val="10104"/>
      <sheetName val="10108"/>
      <sheetName val="10114"/>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538"/>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08"/>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13"/>
      <sheetName val="150323"/>
      <sheetName val="150324"/>
      <sheetName val="150332"/>
      <sheetName val="150504"/>
      <sheetName val="160505"/>
      <sheetName val="170537"/>
      <sheetName val="160512"/>
      <sheetName val="160635"/>
      <sheetName val="160801"/>
      <sheetName val="160629"/>
      <sheetName val="170134"/>
      <sheetName val="170135"/>
      <sheetName val="170314"/>
      <sheetName val="170408"/>
      <sheetName val="170530"/>
      <sheetName val="170532"/>
      <sheetName val="170533"/>
      <sheetName val="170660"/>
      <sheetName val="170813"/>
      <sheetName val="170616"/>
      <sheetName val="170722"/>
      <sheetName val="170724"/>
      <sheetName val="170903"/>
      <sheetName val="170904"/>
      <sheetName val="172411"/>
      <sheetName val="172414"/>
      <sheetName val="172415"/>
      <sheetName val="172418"/>
      <sheetName val="172530"/>
      <sheetName val="173003"/>
      <sheetName val="180148SC"/>
      <sheetName val="180202"/>
      <sheetName val="180204"/>
      <sheetName val="180209"/>
      <sheetName val="180216"/>
      <sheetName val="180310"/>
      <sheetName val="180407"/>
      <sheetName val="180410"/>
      <sheetName val="180413"/>
      <sheetName val="180420"/>
      <sheetName val="180509"/>
      <sheetName val="180619"/>
      <sheetName val="180624"/>
      <sheetName val="180635"/>
      <sheetName val="180706"/>
      <sheetName val="180816"/>
      <sheetName val="180909"/>
      <sheetName val="180914"/>
      <sheetName val="181002"/>
      <sheetName val="181207"/>
      <sheetName val="181214"/>
      <sheetName val="182155"/>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18"/>
      <sheetName val="210155"/>
      <sheetName val="210160"/>
      <sheetName val="210901"/>
      <sheetName val="220102"/>
      <sheetName val="220105"/>
      <sheetName val="220301"/>
      <sheetName val="220312"/>
      <sheetName val="220403"/>
      <sheetName val="220406"/>
      <sheetName val="220409"/>
      <sheetName val="220613"/>
      <sheetName val="220904"/>
      <sheetName val="220906"/>
      <sheetName val="221021"/>
      <sheetName val="2210806"/>
      <sheetName val="222611"/>
      <sheetName val="222807"/>
      <sheetName val="240407"/>
      <sheetName val="240438"/>
      <sheetName val="240444"/>
      <sheetName val="240445"/>
      <sheetName val="240504"/>
      <sheetName val="250422"/>
      <sheetName val="250431"/>
      <sheetName val="250442"/>
      <sheetName val="250445"/>
      <sheetName val="250450"/>
      <sheetName val="250504"/>
      <sheetName val="250510"/>
      <sheetName val="250528"/>
      <sheetName val="250611"/>
      <sheetName val="250613"/>
      <sheetName val="250703"/>
      <sheetName val="250707"/>
      <sheetName val="250804"/>
      <sheetName val="250808"/>
      <sheetName val="250810"/>
      <sheetName val="260132"/>
      <sheetName val="260138"/>
      <sheetName val="270112"/>
      <sheetName val="280309"/>
      <sheetName val="290108"/>
      <sheetName val="290109"/>
      <sheetName val="290112"/>
      <sheetName val="290115"/>
      <sheetName val="290208"/>
      <sheetName val="290210"/>
      <sheetName val="290303"/>
      <sheetName val="290304"/>
      <sheetName val="290307"/>
      <sheetName val="290308"/>
      <sheetName val="290407"/>
      <sheetName val="290422"/>
      <sheetName val="290430"/>
      <sheetName val="290435"/>
      <sheetName val="290441"/>
      <sheetName val="290503"/>
      <sheetName val="290614"/>
      <sheetName val="290615"/>
      <sheetName val="290616"/>
      <sheetName val="290901"/>
      <sheetName val="290909"/>
      <sheetName val="290911"/>
      <sheetName val="290914"/>
      <sheetName val="291001"/>
      <sheetName val="291010"/>
      <sheetName val="291201"/>
      <sheetName val="310105"/>
      <sheetName val="310109"/>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 val="SC11"/>
      <sheetName val="SC13"/>
      <sheetName val="SC14"/>
      <sheetName val="SC15"/>
      <sheetName val="SC16"/>
      <sheetName val="SC17"/>
      <sheetName val="SC18"/>
      <sheetName val="SC19"/>
      <sheetName val="SC20"/>
      <sheetName val="SC21"/>
      <sheetName val="SC22"/>
      <sheetName val="SC23"/>
      <sheetName val="SC24"/>
      <sheetName val="CS25"/>
      <sheetName val="CS26"/>
    </sheetNames>
    <sheetDataSet>
      <sheetData sheetId="0">
        <row r="25">
          <cell r="E25">
            <v>5398</v>
          </cell>
        </row>
        <row r="217">
          <cell r="E217">
            <v>8397</v>
          </cell>
        </row>
        <row r="227">
          <cell r="E227">
            <v>8397</v>
          </cell>
        </row>
        <row r="237">
          <cell r="E237">
            <v>11909</v>
          </cell>
        </row>
        <row r="246">
          <cell r="E246">
            <v>7278</v>
          </cell>
        </row>
        <row r="251">
          <cell r="E251">
            <v>8435</v>
          </cell>
        </row>
        <row r="261">
          <cell r="E261">
            <v>6679</v>
          </cell>
        </row>
        <row r="266">
          <cell r="E266">
            <v>19837</v>
          </cell>
        </row>
        <row r="274">
          <cell r="E274">
            <v>3372</v>
          </cell>
        </row>
        <row r="279">
          <cell r="E279">
            <v>32671</v>
          </cell>
        </row>
        <row r="284">
          <cell r="E284">
            <v>16286</v>
          </cell>
        </row>
        <row r="288">
          <cell r="E288">
            <v>18940</v>
          </cell>
        </row>
        <row r="292">
          <cell r="E292">
            <v>15759</v>
          </cell>
        </row>
        <row r="296">
          <cell r="E296">
            <v>17001</v>
          </cell>
        </row>
        <row r="421">
          <cell r="E421">
            <v>46535</v>
          </cell>
        </row>
        <row r="515">
          <cell r="E515">
            <v>124287</v>
          </cell>
        </row>
        <row r="775">
          <cell r="E775">
            <v>30436</v>
          </cell>
        </row>
        <row r="780">
          <cell r="E780">
            <v>33021</v>
          </cell>
        </row>
        <row r="789">
          <cell r="E789">
            <v>39522</v>
          </cell>
        </row>
        <row r="797">
          <cell r="E797">
            <v>48915</v>
          </cell>
        </row>
        <row r="819">
          <cell r="E819">
            <v>28993</v>
          </cell>
        </row>
        <row r="849">
          <cell r="E849">
            <v>36930</v>
          </cell>
        </row>
      </sheetData>
      <sheetData sheetId="1" refreshError="1"/>
      <sheetData sheetId="2" refreshError="1"/>
      <sheetData sheetId="3" refreshError="1"/>
      <sheetData sheetId="4" refreshError="1"/>
      <sheetData sheetId="5">
        <row r="488">
          <cell r="D488">
            <v>41500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ow r="51">
          <cell r="H51">
            <v>44281</v>
          </cell>
        </row>
      </sheetData>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ow r="51">
          <cell r="H51">
            <v>48915</v>
          </cell>
        </row>
      </sheetData>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ELABORACION CCTO CLASE F"/>
      <sheetName val="ELABORACIÓN CCTO CLASE G"/>
      <sheetName val="Mortero 1-2"/>
      <sheetName val="Mortero 1-3"/>
      <sheetName val="Mortero 1-4"/>
      <sheetName val="10103"/>
      <sheetName val="10105"/>
      <sheetName val="10106"/>
      <sheetName val="10104"/>
      <sheetName val="10108"/>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23"/>
      <sheetName val="150324"/>
      <sheetName val="150504"/>
      <sheetName val="150505"/>
      <sheetName val="160512"/>
      <sheetName val="160635"/>
      <sheetName val="170134"/>
      <sheetName val="170135"/>
      <sheetName val="170314"/>
      <sheetName val="170408"/>
      <sheetName val="170530"/>
      <sheetName val="170533"/>
      <sheetName val="170813"/>
      <sheetName val="170616"/>
      <sheetName val="170722"/>
      <sheetName val="170903"/>
      <sheetName val="172411"/>
      <sheetName val="172414"/>
      <sheetName val="172415"/>
      <sheetName val="172418"/>
      <sheetName val="172530"/>
      <sheetName val="180148SC"/>
      <sheetName val="180202"/>
      <sheetName val="180310"/>
      <sheetName val="180410"/>
      <sheetName val="180619"/>
      <sheetName val="180624"/>
      <sheetName val="180635"/>
      <sheetName val="180914"/>
      <sheetName val="181002"/>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55"/>
      <sheetName val="210901"/>
      <sheetName val="220102"/>
      <sheetName val="220105"/>
      <sheetName val="220301"/>
      <sheetName val="220312"/>
      <sheetName val="221021"/>
      <sheetName val="2210806"/>
      <sheetName val="240407"/>
      <sheetName val="240438"/>
      <sheetName val="240444"/>
      <sheetName val="240445"/>
      <sheetName val="240504"/>
      <sheetName val="250450"/>
      <sheetName val="250504"/>
      <sheetName val="250510"/>
      <sheetName val="250528"/>
      <sheetName val="250611"/>
      <sheetName val="250613"/>
      <sheetName val="250703"/>
      <sheetName val="250804"/>
      <sheetName val="250808"/>
      <sheetName val="250810"/>
      <sheetName val="260132"/>
      <sheetName val="270112"/>
      <sheetName val="280309"/>
      <sheetName val="290108"/>
      <sheetName val="290109"/>
      <sheetName val="290115"/>
      <sheetName val="290208"/>
      <sheetName val="290210"/>
      <sheetName val="290304"/>
      <sheetName val="290307"/>
      <sheetName val="290308"/>
      <sheetName val="290407"/>
      <sheetName val="290422"/>
      <sheetName val="290430"/>
      <sheetName val="290441"/>
      <sheetName val="290503"/>
      <sheetName val="290614"/>
      <sheetName val="290901"/>
      <sheetName val="290909"/>
      <sheetName val="290911"/>
      <sheetName val="290914"/>
      <sheetName val="291001"/>
      <sheetName val="291010"/>
      <sheetName val="291201"/>
      <sheetName val="310105"/>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s>
    <sheetDataSet>
      <sheetData sheetId="0">
        <row r="211">
          <cell r="E211">
            <v>31787</v>
          </cell>
        </row>
        <row r="233">
          <cell r="E233">
            <v>30064</v>
          </cell>
        </row>
        <row r="275">
          <cell r="E275">
            <v>4008</v>
          </cell>
        </row>
        <row r="330">
          <cell r="E330">
            <v>301599</v>
          </cell>
        </row>
        <row r="337">
          <cell r="E337">
            <v>23564</v>
          </cell>
        </row>
        <row r="339">
          <cell r="E339">
            <v>45756</v>
          </cell>
        </row>
        <row r="374">
          <cell r="E374">
            <v>3203</v>
          </cell>
        </row>
        <row r="422">
          <cell r="E422">
            <v>26398</v>
          </cell>
        </row>
        <row r="457">
          <cell r="E457">
            <v>86748</v>
          </cell>
        </row>
        <row r="494">
          <cell r="E494">
            <v>55789</v>
          </cell>
        </row>
        <row r="527">
          <cell r="E527">
            <v>71532</v>
          </cell>
        </row>
        <row r="606">
          <cell r="E606">
            <v>26430</v>
          </cell>
        </row>
        <row r="751">
          <cell r="E751">
            <v>76369</v>
          </cell>
        </row>
        <row r="759">
          <cell r="E759">
            <v>47810</v>
          </cell>
        </row>
        <row r="764">
          <cell r="E764">
            <v>32558</v>
          </cell>
        </row>
        <row r="770">
          <cell r="E770">
            <v>5398</v>
          </cell>
        </row>
        <row r="803">
          <cell r="E803">
            <v>40437</v>
          </cell>
        </row>
        <row r="821">
          <cell r="E821">
            <v>31012</v>
          </cell>
        </row>
        <row r="832">
          <cell r="E832">
            <v>31661</v>
          </cell>
        </row>
        <row r="837">
          <cell r="E837">
            <v>19396</v>
          </cell>
        </row>
        <row r="845">
          <cell r="E845">
            <v>43344</v>
          </cell>
        </row>
        <row r="890">
          <cell r="E890">
            <v>144007</v>
          </cell>
        </row>
        <row r="897">
          <cell r="E897">
            <v>268407</v>
          </cell>
        </row>
        <row r="983">
          <cell r="E983">
            <v>298874</v>
          </cell>
        </row>
        <row r="986">
          <cell r="E986">
            <v>82103</v>
          </cell>
        </row>
        <row r="993">
          <cell r="E993">
            <v>752339</v>
          </cell>
        </row>
        <row r="1014">
          <cell r="E1014">
            <v>43947</v>
          </cell>
        </row>
        <row r="1030">
          <cell r="E1030">
            <v>10328</v>
          </cell>
        </row>
        <row r="1050">
          <cell r="E1050">
            <v>9462</v>
          </cell>
        </row>
        <row r="1056">
          <cell r="E1056">
            <v>11289</v>
          </cell>
        </row>
        <row r="1061">
          <cell r="E1061">
            <v>14154</v>
          </cell>
        </row>
        <row r="1124">
          <cell r="E1124">
            <v>7582</v>
          </cell>
        </row>
        <row r="1127">
          <cell r="E1127">
            <v>63223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workbookViewId="0">
      <selection activeCell="F15" sqref="F15"/>
    </sheetView>
  </sheetViews>
  <sheetFormatPr baseColWidth="10" defaultRowHeight="15" x14ac:dyDescent="0.25"/>
  <cols>
    <col min="6" max="6" width="19.28515625" customWidth="1"/>
    <col min="8" max="8" width="15.42578125" customWidth="1"/>
  </cols>
  <sheetData>
    <row r="1" spans="1:7" x14ac:dyDescent="0.25">
      <c r="A1" s="106" t="s">
        <v>19</v>
      </c>
      <c r="B1" s="106"/>
      <c r="C1" s="106"/>
      <c r="D1" s="106"/>
      <c r="E1" s="106"/>
      <c r="F1" s="106"/>
      <c r="G1" s="106"/>
    </row>
    <row r="3" spans="1:7" x14ac:dyDescent="0.25">
      <c r="A3" s="64" t="s">
        <v>20</v>
      </c>
      <c r="E3" t="s">
        <v>205</v>
      </c>
    </row>
    <row r="4" spans="1:7" x14ac:dyDescent="0.25">
      <c r="A4" s="64" t="s">
        <v>201</v>
      </c>
      <c r="E4" t="s">
        <v>229</v>
      </c>
    </row>
    <row r="5" spans="1:7" x14ac:dyDescent="0.25">
      <c r="A5" s="65" t="s">
        <v>21</v>
      </c>
      <c r="C5" t="s">
        <v>202</v>
      </c>
      <c r="E5" t="s">
        <v>203</v>
      </c>
    </row>
    <row r="6" spans="1:7" x14ac:dyDescent="0.25">
      <c r="A6" s="65"/>
      <c r="C6" t="s">
        <v>22</v>
      </c>
      <c r="E6" t="s">
        <v>252</v>
      </c>
    </row>
    <row r="7" spans="1:7" x14ac:dyDescent="0.25">
      <c r="A7" s="65"/>
      <c r="C7" t="s">
        <v>204</v>
      </c>
      <c r="E7" t="s">
        <v>255</v>
      </c>
    </row>
    <row r="8" spans="1:7" x14ac:dyDescent="0.25">
      <c r="A8" s="64" t="s">
        <v>23</v>
      </c>
      <c r="E8" s="107" t="s">
        <v>254</v>
      </c>
      <c r="F8" s="107"/>
    </row>
    <row r="9" spans="1:7" x14ac:dyDescent="0.25">
      <c r="A9" s="22" t="s">
        <v>24</v>
      </c>
      <c r="E9" t="s">
        <v>25</v>
      </c>
    </row>
    <row r="10" spans="1:7" x14ac:dyDescent="0.25">
      <c r="A10" s="22" t="s">
        <v>26</v>
      </c>
      <c r="E10" t="s">
        <v>251</v>
      </c>
    </row>
    <row r="11" spans="1:7" x14ac:dyDescent="0.25">
      <c r="A11" s="22" t="s">
        <v>27</v>
      </c>
      <c r="E11" t="s">
        <v>274</v>
      </c>
    </row>
    <row r="12" spans="1:7" x14ac:dyDescent="0.25">
      <c r="A12" s="22" t="s">
        <v>28</v>
      </c>
      <c r="E12" t="s">
        <v>29</v>
      </c>
    </row>
    <row r="13" spans="1:7" x14ac:dyDescent="0.25">
      <c r="A13" s="22" t="s">
        <v>30</v>
      </c>
      <c r="E13" t="s">
        <v>29</v>
      </c>
    </row>
  </sheetData>
  <mergeCells count="2">
    <mergeCell ref="A1:G1"/>
    <mergeCell ref="E8:F8"/>
  </mergeCell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7"/>
  <sheetViews>
    <sheetView topLeftCell="A81" workbookViewId="0">
      <selection activeCell="H86" sqref="H86"/>
    </sheetView>
  </sheetViews>
  <sheetFormatPr baseColWidth="10" defaultRowHeight="15" x14ac:dyDescent="0.25"/>
  <cols>
    <col min="1" max="1" width="37.5703125" style="1" bestFit="1" customWidth="1"/>
    <col min="2" max="2" width="12.28515625" style="1" customWidth="1"/>
    <col min="3" max="4" width="14.140625" style="1" customWidth="1"/>
    <col min="5" max="5" width="15.5703125" style="1" bestFit="1" customWidth="1"/>
    <col min="6" max="6" width="14.5703125" style="1" bestFit="1" customWidth="1"/>
    <col min="7" max="7" width="11.42578125" style="1"/>
    <col min="8" max="8" width="17.7109375" style="1" bestFit="1" customWidth="1"/>
    <col min="9" max="9" width="13.5703125" style="1" customWidth="1"/>
    <col min="10" max="16384" width="11.42578125" style="1"/>
  </cols>
  <sheetData>
    <row r="1" spans="1:7" customFormat="1" x14ac:dyDescent="0.25">
      <c r="A1" s="106" t="s">
        <v>206</v>
      </c>
      <c r="B1" s="106"/>
      <c r="C1" s="106"/>
      <c r="D1" s="106"/>
      <c r="E1" s="106"/>
      <c r="F1" s="66"/>
      <c r="G1" s="66"/>
    </row>
    <row r="2" spans="1:7" customFormat="1" x14ac:dyDescent="0.25"/>
    <row r="3" spans="1:7" customFormat="1" x14ac:dyDescent="0.25">
      <c r="A3" s="64" t="s">
        <v>20</v>
      </c>
      <c r="D3" t="str">
        <f>+Datos!E3</f>
        <v>Reposición Vivienda</v>
      </c>
    </row>
    <row r="4" spans="1:7" customFormat="1" x14ac:dyDescent="0.25">
      <c r="A4" s="64" t="s">
        <v>201</v>
      </c>
      <c r="D4" t="str">
        <f>+Datos!E4</f>
        <v>Vivienda Unifamiliar</v>
      </c>
    </row>
    <row r="5" spans="1:7" customFormat="1" x14ac:dyDescent="0.25">
      <c r="A5" s="65" t="s">
        <v>21</v>
      </c>
      <c r="C5" t="s">
        <v>202</v>
      </c>
      <c r="D5" t="str">
        <f>+Datos!E5</f>
        <v>Cauca</v>
      </c>
    </row>
    <row r="6" spans="1:7" customFormat="1" x14ac:dyDescent="0.25">
      <c r="A6" s="65"/>
      <c r="C6" t="s">
        <v>22</v>
      </c>
      <c r="D6" t="str">
        <f>+Datos!E6</f>
        <v>Santander de quilichao</v>
      </c>
    </row>
    <row r="7" spans="1:7" customFormat="1" x14ac:dyDescent="0.25">
      <c r="A7" s="65"/>
      <c r="C7" t="s">
        <v>204</v>
      </c>
      <c r="D7" t="str">
        <f>+Datos!E7</f>
        <v>Vereda Manidivá</v>
      </c>
    </row>
    <row r="8" spans="1:7" customFormat="1" x14ac:dyDescent="0.25">
      <c r="A8" s="64" t="s">
        <v>23</v>
      </c>
      <c r="D8" t="str">
        <f>+Datos!E8</f>
        <v xml:space="preserve">Deisy Chávez Guzmán </v>
      </c>
    </row>
    <row r="9" spans="1:7" customFormat="1" x14ac:dyDescent="0.25">
      <c r="A9" s="22" t="s">
        <v>24</v>
      </c>
      <c r="D9" t="str">
        <f>Datos!E9</f>
        <v>A todo costo</v>
      </c>
    </row>
    <row r="10" spans="1:7" customFormat="1" x14ac:dyDescent="0.25">
      <c r="A10" s="22" t="s">
        <v>26</v>
      </c>
      <c r="D10" t="str">
        <f>Datos!E10</f>
        <v>Juzgado Décimo Administrativo Oral del Circuito de Popayán</v>
      </c>
    </row>
    <row r="11" spans="1:7" customFormat="1" x14ac:dyDescent="0.25">
      <c r="A11" s="22" t="s">
        <v>27</v>
      </c>
      <c r="D11" t="str">
        <f>Datos!E11</f>
        <v>27 de Agosto 2024</v>
      </c>
    </row>
    <row r="12" spans="1:7" customFormat="1" x14ac:dyDescent="0.25">
      <c r="A12" s="22" t="s">
        <v>28</v>
      </c>
      <c r="D12" t="str">
        <f>Datos!E12</f>
        <v>-</v>
      </c>
    </row>
    <row r="13" spans="1:7" customFormat="1" x14ac:dyDescent="0.25">
      <c r="A13" s="22" t="s">
        <v>30</v>
      </c>
      <c r="D13" t="str">
        <f>Datos!E13</f>
        <v>-</v>
      </c>
    </row>
    <row r="14" spans="1:7" customFormat="1" x14ac:dyDescent="0.25">
      <c r="A14" s="22"/>
      <c r="B14" s="22"/>
      <c r="C14" s="63"/>
      <c r="D14" s="63"/>
      <c r="E14" s="63"/>
      <c r="F14" s="63"/>
    </row>
    <row r="15" spans="1:7" ht="18.75" x14ac:dyDescent="0.3">
      <c r="A15" s="70" t="s">
        <v>106</v>
      </c>
    </row>
    <row r="16" spans="1:7" x14ac:dyDescent="0.25">
      <c r="B16" s="3" t="s">
        <v>57</v>
      </c>
      <c r="C16" s="3" t="s">
        <v>166</v>
      </c>
      <c r="D16" s="3" t="s">
        <v>58</v>
      </c>
      <c r="E16" s="3" t="s">
        <v>4</v>
      </c>
    </row>
    <row r="17" spans="1:6" x14ac:dyDescent="0.25">
      <c r="A17" s="71" t="s">
        <v>87</v>
      </c>
      <c r="B17" s="4">
        <v>6.06</v>
      </c>
      <c r="C17" s="4">
        <v>6.15</v>
      </c>
      <c r="D17" s="4"/>
      <c r="E17" s="38">
        <f>B17*C17</f>
        <v>37.268999999999998</v>
      </c>
      <c r="F17" s="4"/>
    </row>
    <row r="18" spans="1:6" x14ac:dyDescent="0.25">
      <c r="A18" s="71" t="s">
        <v>59</v>
      </c>
      <c r="B18" s="4"/>
      <c r="C18" s="4"/>
      <c r="D18" s="4"/>
      <c r="E18" s="4">
        <f>((B18+C18)*D18/2)</f>
        <v>0</v>
      </c>
      <c r="F18" s="4"/>
    </row>
    <row r="19" spans="1:6" x14ac:dyDescent="0.25">
      <c r="A19" s="71" t="s">
        <v>87</v>
      </c>
      <c r="B19" s="4"/>
      <c r="C19" s="4"/>
      <c r="D19" s="4"/>
      <c r="E19" s="38">
        <f>-(B19*C19)</f>
        <v>0</v>
      </c>
      <c r="F19" s="4"/>
    </row>
    <row r="20" spans="1:6" x14ac:dyDescent="0.25">
      <c r="A20" s="71" t="s">
        <v>87</v>
      </c>
      <c r="B20" s="4"/>
      <c r="C20" s="4"/>
      <c r="D20" s="4"/>
      <c r="E20" s="38">
        <f>B20*C20</f>
        <v>0</v>
      </c>
      <c r="F20" s="4"/>
    </row>
    <row r="21" spans="1:6" x14ac:dyDescent="0.25">
      <c r="A21" s="71" t="s">
        <v>88</v>
      </c>
      <c r="B21" s="4"/>
      <c r="C21" s="4"/>
      <c r="D21" s="4"/>
      <c r="E21" s="38">
        <f>B21*C21</f>
        <v>0</v>
      </c>
      <c r="F21" s="4"/>
    </row>
    <row r="22" spans="1:6" x14ac:dyDescent="0.25">
      <c r="A22" s="71" t="s">
        <v>68</v>
      </c>
      <c r="B22" s="4"/>
      <c r="C22" s="4"/>
      <c r="D22" s="4"/>
      <c r="E22" s="4">
        <f>B22*C22</f>
        <v>0</v>
      </c>
      <c r="F22" s="4"/>
    </row>
    <row r="23" spans="1:6" x14ac:dyDescent="0.25">
      <c r="A23" s="71" t="s">
        <v>1</v>
      </c>
      <c r="B23" s="4">
        <v>6.06</v>
      </c>
      <c r="C23" s="4">
        <v>1</v>
      </c>
      <c r="D23" s="4"/>
      <c r="E23" s="87">
        <f>B23*C23</f>
        <v>6.06</v>
      </c>
      <c r="F23" s="4"/>
    </row>
    <row r="24" spans="1:6" ht="15.75" thickBot="1" x14ac:dyDescent="0.3">
      <c r="A24" s="71" t="s">
        <v>1</v>
      </c>
      <c r="B24" s="4"/>
      <c r="C24" s="4"/>
      <c r="D24" s="4"/>
      <c r="E24" s="72">
        <f>B24*C24</f>
        <v>0</v>
      </c>
      <c r="F24" s="4"/>
    </row>
    <row r="25" spans="1:6" ht="15.75" thickBot="1" x14ac:dyDescent="0.3">
      <c r="A25" s="3" t="s">
        <v>4</v>
      </c>
      <c r="B25" s="2"/>
      <c r="C25" s="4"/>
      <c r="D25" s="73"/>
      <c r="E25" s="74">
        <f>SUM(E17:E24)</f>
        <v>43.329000000000001</v>
      </c>
      <c r="F25" s="30"/>
    </row>
    <row r="26" spans="1:6" ht="18.75" x14ac:dyDescent="0.3">
      <c r="A26" s="75" t="s">
        <v>64</v>
      </c>
      <c r="B26" s="4"/>
      <c r="C26" s="4"/>
      <c r="D26" s="4"/>
      <c r="E26" s="76"/>
      <c r="F26" s="4"/>
    </row>
    <row r="27" spans="1:6" ht="18.75" x14ac:dyDescent="0.3">
      <c r="A27" s="75"/>
      <c r="B27" s="4"/>
      <c r="C27" s="4"/>
      <c r="D27" s="2" t="s">
        <v>105</v>
      </c>
      <c r="E27" s="76"/>
      <c r="F27" s="4"/>
    </row>
    <row r="28" spans="1:6" x14ac:dyDescent="0.25">
      <c r="A28" s="3" t="s">
        <v>1</v>
      </c>
      <c r="B28" s="4">
        <v>6.06</v>
      </c>
      <c r="C28" s="4">
        <v>1</v>
      </c>
      <c r="D28" s="4"/>
      <c r="E28" s="4">
        <f>B28*C28</f>
        <v>6.06</v>
      </c>
      <c r="F28" s="4"/>
    </row>
    <row r="29" spans="1:6" x14ac:dyDescent="0.25">
      <c r="A29" s="3" t="s">
        <v>1</v>
      </c>
      <c r="B29" s="4"/>
      <c r="C29" s="4"/>
      <c r="D29" s="4"/>
      <c r="E29" s="5">
        <f>B29*C29</f>
        <v>0</v>
      </c>
      <c r="F29" s="4"/>
    </row>
    <row r="30" spans="1:6" x14ac:dyDescent="0.25">
      <c r="A30" s="71" t="s">
        <v>4</v>
      </c>
      <c r="B30" s="4"/>
      <c r="C30" s="4"/>
      <c r="D30" s="4"/>
      <c r="E30" s="2">
        <f>SUM(E28:E29)</f>
        <v>6.06</v>
      </c>
      <c r="F30" s="4"/>
    </row>
    <row r="31" spans="1:6" x14ac:dyDescent="0.25">
      <c r="A31" s="3" t="s">
        <v>6</v>
      </c>
      <c r="B31" s="4"/>
      <c r="C31" s="4"/>
      <c r="D31" s="4"/>
      <c r="E31" s="77">
        <f>B31*C31</f>
        <v>0</v>
      </c>
      <c r="F31" s="4"/>
    </row>
    <row r="32" spans="1:6" x14ac:dyDescent="0.25">
      <c r="A32" s="71" t="s">
        <v>4</v>
      </c>
      <c r="B32" s="4"/>
      <c r="C32" s="4"/>
      <c r="D32" s="4"/>
      <c r="E32" s="61">
        <f>SUM(E31)</f>
        <v>0</v>
      </c>
      <c r="F32" s="4"/>
    </row>
    <row r="33" spans="1:6" x14ac:dyDescent="0.25">
      <c r="A33" s="3" t="s">
        <v>68</v>
      </c>
      <c r="B33" s="4"/>
      <c r="C33" s="4"/>
      <c r="D33" s="4"/>
      <c r="E33" s="5">
        <f>B33*C33</f>
        <v>0</v>
      </c>
      <c r="F33" s="4"/>
    </row>
    <row r="34" spans="1:6" x14ac:dyDescent="0.25">
      <c r="A34" s="71" t="s">
        <v>4</v>
      </c>
      <c r="B34" s="4"/>
      <c r="C34" s="4"/>
      <c r="D34" s="4"/>
      <c r="E34" s="2">
        <f>SUM(E33)</f>
        <v>0</v>
      </c>
      <c r="F34" s="4"/>
    </row>
    <row r="35" spans="1:6" x14ac:dyDescent="0.25">
      <c r="A35" s="3" t="s">
        <v>65</v>
      </c>
      <c r="B35" s="4"/>
      <c r="C35" s="4"/>
      <c r="D35" s="4"/>
      <c r="E35" s="4"/>
      <c r="F35" s="4"/>
    </row>
    <row r="36" spans="1:6" x14ac:dyDescent="0.25">
      <c r="A36" s="71" t="s">
        <v>61</v>
      </c>
      <c r="B36" s="4"/>
      <c r="C36" s="4"/>
      <c r="D36" s="4"/>
      <c r="E36" s="4">
        <f>B36*C36</f>
        <v>0</v>
      </c>
      <c r="F36" s="4"/>
    </row>
    <row r="37" spans="1:6" x14ac:dyDescent="0.25">
      <c r="A37" s="71" t="s">
        <v>62</v>
      </c>
      <c r="B37" s="4"/>
      <c r="C37" s="4"/>
      <c r="D37" s="4"/>
      <c r="E37" s="4">
        <f>B37*C37</f>
        <v>0</v>
      </c>
      <c r="F37" s="4"/>
    </row>
    <row r="38" spans="1:6" x14ac:dyDescent="0.25">
      <c r="A38" s="71" t="s">
        <v>63</v>
      </c>
      <c r="B38" s="4"/>
      <c r="C38" s="4"/>
      <c r="D38" s="4"/>
      <c r="E38" s="4">
        <f>B38*C38</f>
        <v>0</v>
      </c>
      <c r="F38" s="4"/>
    </row>
    <row r="39" spans="1:6" x14ac:dyDescent="0.25">
      <c r="A39" s="71" t="s">
        <v>210</v>
      </c>
      <c r="B39" s="4"/>
      <c r="C39" s="4"/>
      <c r="D39" s="4"/>
      <c r="E39" s="38">
        <f>B39*C39</f>
        <v>0</v>
      </c>
      <c r="F39" s="4"/>
    </row>
    <row r="40" spans="1:6" ht="15.75" thickBot="1" x14ac:dyDescent="0.3">
      <c r="A40" s="71" t="s">
        <v>4</v>
      </c>
      <c r="B40" s="4"/>
      <c r="C40" s="4"/>
      <c r="D40" s="4"/>
      <c r="E40" s="78">
        <f>SUM(E36:E39)</f>
        <v>0</v>
      </c>
      <c r="F40" s="4"/>
    </row>
    <row r="41" spans="1:6" ht="15.75" thickBot="1" x14ac:dyDescent="0.3">
      <c r="A41" s="79" t="s">
        <v>66</v>
      </c>
      <c r="B41" s="4"/>
      <c r="C41" s="4"/>
      <c r="D41" s="73"/>
      <c r="E41" s="74">
        <f>E30+E32+E34+E40</f>
        <v>6.06</v>
      </c>
      <c r="F41" s="30"/>
    </row>
    <row r="42" spans="1:6" ht="56.25" customHeight="1" x14ac:dyDescent="0.25">
      <c r="A42" s="108" t="s">
        <v>230</v>
      </c>
      <c r="B42" s="109"/>
      <c r="C42" s="110"/>
      <c r="D42" s="4"/>
      <c r="E42" s="76"/>
      <c r="F42" s="4"/>
    </row>
    <row r="43" spans="1:6" x14ac:dyDescent="0.25">
      <c r="A43" s="71" t="s">
        <v>60</v>
      </c>
      <c r="B43" s="4"/>
      <c r="C43" s="4"/>
      <c r="D43" s="4">
        <v>0</v>
      </c>
      <c r="E43" s="4">
        <f>((B43+C43)*D43/2)</f>
        <v>0</v>
      </c>
      <c r="F43" s="4"/>
    </row>
    <row r="44" spans="1:6" x14ac:dyDescent="0.25">
      <c r="A44" s="71" t="s">
        <v>5</v>
      </c>
      <c r="B44" s="4">
        <v>6.06</v>
      </c>
      <c r="C44" s="4">
        <v>6</v>
      </c>
      <c r="D44" s="4"/>
      <c r="E44" s="4">
        <f>B44*C44</f>
        <v>36.36</v>
      </c>
      <c r="F44" s="4"/>
    </row>
    <row r="45" spans="1:6" x14ac:dyDescent="0.25">
      <c r="A45" s="71"/>
      <c r="B45" s="4"/>
      <c r="C45" s="4"/>
      <c r="D45" s="4"/>
      <c r="E45" s="38">
        <f>-(B45*C45)</f>
        <v>0</v>
      </c>
      <c r="F45" s="4"/>
    </row>
    <row r="46" spans="1:6" x14ac:dyDescent="0.25">
      <c r="A46" s="71"/>
      <c r="B46" s="4"/>
      <c r="C46" s="4"/>
      <c r="D46" s="4"/>
      <c r="E46" s="38">
        <f>B46*C46</f>
        <v>0</v>
      </c>
      <c r="F46" s="4"/>
    </row>
    <row r="47" spans="1:6" x14ac:dyDescent="0.25">
      <c r="A47" s="71" t="s">
        <v>67</v>
      </c>
      <c r="B47" s="4"/>
      <c r="C47" s="4"/>
      <c r="D47" s="4"/>
      <c r="E47" s="38">
        <f>SUM(E44:E46)</f>
        <v>36.36</v>
      </c>
      <c r="F47" s="4"/>
    </row>
    <row r="48" spans="1:6" x14ac:dyDescent="0.25">
      <c r="A48" s="71" t="s">
        <v>108</v>
      </c>
      <c r="B48" s="4">
        <v>0</v>
      </c>
      <c r="C48" s="4">
        <v>0</v>
      </c>
      <c r="D48" s="4"/>
      <c r="E48" s="38">
        <f>B48*C48</f>
        <v>0</v>
      </c>
      <c r="F48" s="4"/>
    </row>
    <row r="49" spans="1:6" x14ac:dyDescent="0.25">
      <c r="A49" s="71"/>
      <c r="B49" s="4"/>
      <c r="C49" s="4"/>
      <c r="D49" s="4"/>
      <c r="E49" s="38">
        <f>((B49+C49)*D49/2)</f>
        <v>0</v>
      </c>
      <c r="F49" s="4"/>
    </row>
    <row r="50" spans="1:6" x14ac:dyDescent="0.25">
      <c r="A50" s="71"/>
      <c r="B50" s="4"/>
      <c r="C50" s="4"/>
      <c r="D50" s="4"/>
      <c r="E50" s="38">
        <f>B50*C50</f>
        <v>0</v>
      </c>
      <c r="F50" s="4"/>
    </row>
    <row r="51" spans="1:6" x14ac:dyDescent="0.25">
      <c r="A51" s="71" t="s">
        <v>67</v>
      </c>
      <c r="B51" s="4"/>
      <c r="C51" s="4"/>
      <c r="D51" s="4"/>
      <c r="E51" s="38">
        <f>SUM(E48:E50)</f>
        <v>0</v>
      </c>
      <c r="F51" s="4"/>
    </row>
    <row r="52" spans="1:6" x14ac:dyDescent="0.25">
      <c r="A52" s="71" t="s">
        <v>211</v>
      </c>
      <c r="B52" s="4">
        <v>0</v>
      </c>
      <c r="C52" s="4">
        <v>0</v>
      </c>
      <c r="D52" s="4"/>
      <c r="E52" s="38">
        <f>B52*C52</f>
        <v>0</v>
      </c>
      <c r="F52" s="4"/>
    </row>
    <row r="53" spans="1:6" x14ac:dyDescent="0.25">
      <c r="A53" s="71"/>
      <c r="B53" s="4"/>
      <c r="C53" s="4"/>
      <c r="D53" s="4"/>
      <c r="E53" s="38">
        <f>((B53+C53)*D53/2)</f>
        <v>0</v>
      </c>
      <c r="F53" s="4"/>
    </row>
    <row r="54" spans="1:6" x14ac:dyDescent="0.25">
      <c r="A54" s="71"/>
      <c r="B54" s="4"/>
      <c r="C54" s="4"/>
      <c r="D54" s="4"/>
      <c r="E54" s="38">
        <f>B54*C54</f>
        <v>0</v>
      </c>
      <c r="F54" s="4"/>
    </row>
    <row r="55" spans="1:6" x14ac:dyDescent="0.25">
      <c r="A55" s="71" t="s">
        <v>67</v>
      </c>
      <c r="B55" s="4"/>
      <c r="C55" s="4"/>
      <c r="D55" s="4"/>
      <c r="E55" s="38">
        <f>SUM(E52:E54)</f>
        <v>0</v>
      </c>
      <c r="F55" s="4"/>
    </row>
    <row r="56" spans="1:6" x14ac:dyDescent="0.25">
      <c r="A56" s="71" t="s">
        <v>196</v>
      </c>
      <c r="B56" s="4"/>
      <c r="C56" s="4"/>
      <c r="D56" s="4"/>
      <c r="E56" s="38">
        <f>B56*C56</f>
        <v>0</v>
      </c>
      <c r="F56" s="4"/>
    </row>
    <row r="57" spans="1:6" x14ac:dyDescent="0.25">
      <c r="A57" s="71"/>
      <c r="B57" s="4"/>
      <c r="C57" s="4"/>
      <c r="D57" s="4"/>
      <c r="E57" s="38">
        <f>((B57+C57)*D57/2)</f>
        <v>0</v>
      </c>
      <c r="F57" s="4"/>
    </row>
    <row r="58" spans="1:6" x14ac:dyDescent="0.25">
      <c r="A58" s="71"/>
      <c r="B58" s="4"/>
      <c r="C58" s="4"/>
      <c r="D58" s="4"/>
      <c r="E58" s="38">
        <f>B58*C58</f>
        <v>0</v>
      </c>
      <c r="F58" s="4"/>
    </row>
    <row r="59" spans="1:6" x14ac:dyDescent="0.25">
      <c r="A59" s="71" t="s">
        <v>67</v>
      </c>
      <c r="B59" s="4"/>
      <c r="C59" s="4"/>
      <c r="D59" s="4"/>
      <c r="E59" s="38">
        <f>SUM(E56:E58)</f>
        <v>0</v>
      </c>
      <c r="F59" s="4"/>
    </row>
    <row r="60" spans="1:6" ht="15.75" thickBot="1" x14ac:dyDescent="0.3">
      <c r="A60" s="71" t="s">
        <v>231</v>
      </c>
      <c r="B60" s="4"/>
      <c r="C60" s="4"/>
      <c r="D60" s="4"/>
      <c r="E60" s="80">
        <f>+E40</f>
        <v>0</v>
      </c>
      <c r="F60" s="4"/>
    </row>
    <row r="61" spans="1:6" ht="15.75" thickBot="1" x14ac:dyDescent="0.3">
      <c r="A61" s="79" t="s">
        <v>69</v>
      </c>
      <c r="B61" s="4"/>
      <c r="C61" s="4"/>
      <c r="D61" s="73"/>
      <c r="E61" s="74">
        <f>(E47+E51+E59)-E60</f>
        <v>36.36</v>
      </c>
      <c r="F61" s="30"/>
    </row>
    <row r="62" spans="1:6" ht="18.75" x14ac:dyDescent="0.3">
      <c r="A62" s="70" t="s">
        <v>104</v>
      </c>
      <c r="B62" s="4"/>
      <c r="C62" s="4"/>
      <c r="D62" s="4"/>
      <c r="E62" s="76"/>
      <c r="F62" s="4"/>
    </row>
    <row r="63" spans="1:6" x14ac:dyDescent="0.25">
      <c r="A63" s="71" t="s">
        <v>8</v>
      </c>
      <c r="B63" s="4"/>
      <c r="C63" s="4"/>
      <c r="D63" s="4"/>
      <c r="E63" s="38">
        <f>E47</f>
        <v>36.36</v>
      </c>
      <c r="F63" s="4"/>
    </row>
    <row r="64" spans="1:6" ht="15.75" thickBot="1" x14ac:dyDescent="0.3">
      <c r="A64" s="71" t="s">
        <v>107</v>
      </c>
      <c r="B64" s="4">
        <v>6.06</v>
      </c>
      <c r="C64" s="4">
        <v>1</v>
      </c>
      <c r="D64" s="73"/>
      <c r="E64" s="80">
        <f>E41</f>
        <v>6.06</v>
      </c>
      <c r="F64" s="30"/>
    </row>
    <row r="65" spans="1:8" ht="15.75" thickBot="1" x14ac:dyDescent="0.3">
      <c r="A65" s="79" t="s">
        <v>4</v>
      </c>
      <c r="B65" s="4"/>
      <c r="C65" s="4"/>
      <c r="D65" s="73"/>
      <c r="E65" s="74">
        <f>E63+E64</f>
        <v>42.42</v>
      </c>
      <c r="F65" s="30"/>
    </row>
    <row r="66" spans="1:8" x14ac:dyDescent="0.25">
      <c r="B66" s="4"/>
      <c r="C66" s="4"/>
      <c r="D66" s="4"/>
      <c r="E66" s="76"/>
      <c r="F66" s="4"/>
    </row>
    <row r="67" spans="1:8" x14ac:dyDescent="0.25">
      <c r="A67" s="81" t="s">
        <v>7</v>
      </c>
      <c r="B67" s="4"/>
      <c r="C67" s="4"/>
      <c r="D67" s="4"/>
      <c r="E67" s="38">
        <f>(E65/E25)</f>
        <v>0.97902097902097907</v>
      </c>
      <c r="F67" s="4"/>
    </row>
    <row r="68" spans="1:8" x14ac:dyDescent="0.25">
      <c r="A68" s="81" t="s">
        <v>2</v>
      </c>
      <c r="B68" s="4"/>
      <c r="C68" s="4"/>
      <c r="D68" s="4"/>
      <c r="E68" s="38">
        <f>E61/E25</f>
        <v>0.83916083916083917</v>
      </c>
      <c r="F68" s="4"/>
    </row>
    <row r="69" spans="1:8" x14ac:dyDescent="0.25">
      <c r="B69" s="4"/>
      <c r="C69" s="4"/>
      <c r="D69" s="4"/>
      <c r="E69" s="4"/>
      <c r="F69" s="4"/>
    </row>
    <row r="70" spans="1:8" x14ac:dyDescent="0.25">
      <c r="A70" s="81" t="s">
        <v>9</v>
      </c>
      <c r="B70" s="4"/>
      <c r="C70" s="4"/>
      <c r="D70" s="82"/>
      <c r="E70" s="38"/>
      <c r="F70" s="4"/>
    </row>
    <row r="71" spans="1:8" x14ac:dyDescent="0.25">
      <c r="A71" s="71" t="s">
        <v>5</v>
      </c>
      <c r="B71" s="4">
        <v>3.02</v>
      </c>
      <c r="C71" s="4">
        <v>6.15</v>
      </c>
      <c r="D71" s="82">
        <v>0</v>
      </c>
      <c r="E71" s="38">
        <f>B71*C71</f>
        <v>18.573</v>
      </c>
      <c r="F71" s="4"/>
      <c r="H71" s="1" t="s">
        <v>261</v>
      </c>
    </row>
    <row r="72" spans="1:8" x14ac:dyDescent="0.25">
      <c r="A72" s="71" t="s">
        <v>195</v>
      </c>
      <c r="B72" s="4"/>
      <c r="C72" s="4"/>
      <c r="D72" s="82">
        <v>0</v>
      </c>
      <c r="E72" s="38">
        <f>E51*D72</f>
        <v>0</v>
      </c>
      <c r="F72" s="4"/>
    </row>
    <row r="73" spans="1:8" x14ac:dyDescent="0.25">
      <c r="A73" s="71" t="s">
        <v>212</v>
      </c>
      <c r="B73" s="4"/>
      <c r="C73" s="4"/>
      <c r="D73" s="82">
        <v>0</v>
      </c>
      <c r="E73" s="38">
        <f>E55*D73</f>
        <v>0</v>
      </c>
      <c r="F73" s="4"/>
    </row>
    <row r="74" spans="1:8" x14ac:dyDescent="0.25">
      <c r="A74" s="71" t="s">
        <v>196</v>
      </c>
      <c r="B74" s="4"/>
      <c r="C74" s="4"/>
      <c r="D74" s="82"/>
      <c r="E74" s="38">
        <f>E59*D74</f>
        <v>0</v>
      </c>
      <c r="F74" s="4"/>
    </row>
    <row r="75" spans="1:8" x14ac:dyDescent="0.25">
      <c r="A75" s="81" t="s">
        <v>219</v>
      </c>
      <c r="B75" s="4"/>
      <c r="C75" s="4"/>
      <c r="D75" s="82"/>
      <c r="E75" s="38"/>
      <c r="F75" s="4"/>
    </row>
    <row r="76" spans="1:8" x14ac:dyDescent="0.25">
      <c r="A76" s="71" t="s">
        <v>5</v>
      </c>
      <c r="B76" s="4">
        <v>3.02</v>
      </c>
      <c r="C76" s="4">
        <v>6.15</v>
      </c>
      <c r="D76" s="82">
        <v>0</v>
      </c>
      <c r="E76" s="38">
        <f>B76*C76</f>
        <v>18.573</v>
      </c>
      <c r="F76" s="4"/>
    </row>
    <row r="77" spans="1:8" x14ac:dyDescent="0.25">
      <c r="A77" s="71" t="s">
        <v>195</v>
      </c>
      <c r="B77" s="4"/>
      <c r="C77" s="4"/>
      <c r="D77" s="82">
        <v>0</v>
      </c>
      <c r="E77" s="38">
        <f>E51*D77</f>
        <v>0</v>
      </c>
      <c r="F77" s="4"/>
    </row>
    <row r="78" spans="1:8" x14ac:dyDescent="0.25">
      <c r="A78" s="71" t="s">
        <v>212</v>
      </c>
      <c r="B78" s="4"/>
      <c r="C78" s="4"/>
      <c r="D78" s="82">
        <v>0</v>
      </c>
      <c r="E78" s="38">
        <f>E55*D78</f>
        <v>0</v>
      </c>
      <c r="F78" s="4"/>
    </row>
    <row r="79" spans="1:8" x14ac:dyDescent="0.25">
      <c r="A79" s="71" t="s">
        <v>196</v>
      </c>
      <c r="B79" s="4"/>
      <c r="C79" s="4"/>
      <c r="D79" s="82">
        <v>0</v>
      </c>
      <c r="E79" s="38">
        <f>E64*D79</f>
        <v>0</v>
      </c>
      <c r="F79" s="4"/>
    </row>
    <row r="80" spans="1:8" x14ac:dyDescent="0.25">
      <c r="A80" s="71"/>
      <c r="B80" s="4"/>
      <c r="C80" s="4"/>
      <c r="D80" s="82"/>
      <c r="E80" s="38"/>
      <c r="F80" s="4"/>
    </row>
    <row r="81" spans="1:8" ht="18.75" x14ac:dyDescent="0.3">
      <c r="A81" s="70" t="s">
        <v>214</v>
      </c>
      <c r="B81" s="4"/>
      <c r="C81" s="4"/>
      <c r="D81" s="4"/>
      <c r="E81" s="4"/>
      <c r="F81" s="4"/>
    </row>
    <row r="82" spans="1:8" x14ac:dyDescent="0.25">
      <c r="A82" s="71" t="s">
        <v>70</v>
      </c>
      <c r="B82" s="4"/>
      <c r="C82" s="4"/>
      <c r="D82" s="4"/>
      <c r="E82" s="4"/>
      <c r="F82" s="4"/>
      <c r="H82" s="88"/>
    </row>
    <row r="83" spans="1:8" ht="15.75" x14ac:dyDescent="0.25">
      <c r="A83" s="71" t="s">
        <v>10</v>
      </c>
      <c r="B83" s="4">
        <v>2006</v>
      </c>
      <c r="C83" s="4" t="s">
        <v>14</v>
      </c>
      <c r="D83" s="4"/>
      <c r="E83" s="4">
        <v>13</v>
      </c>
      <c r="F83" s="4"/>
      <c r="H83" s="93" t="s">
        <v>253</v>
      </c>
    </row>
    <row r="84" spans="1:8" x14ac:dyDescent="0.25">
      <c r="A84" s="71" t="s">
        <v>11</v>
      </c>
      <c r="B84" s="4"/>
      <c r="C84" s="4" t="s">
        <v>14</v>
      </c>
      <c r="D84" s="4"/>
      <c r="E84" s="5"/>
      <c r="F84" s="4"/>
      <c r="H84" s="94" t="s">
        <v>275</v>
      </c>
    </row>
    <row r="85" spans="1:8" x14ac:dyDescent="0.25">
      <c r="A85" s="71" t="s">
        <v>215</v>
      </c>
      <c r="B85" s="4"/>
      <c r="C85" s="4" t="s">
        <v>14</v>
      </c>
      <c r="D85" s="4"/>
      <c r="E85" s="5"/>
      <c r="F85" s="4"/>
      <c r="H85" s="1" t="s">
        <v>276</v>
      </c>
    </row>
    <row r="86" spans="1:8" x14ac:dyDescent="0.25">
      <c r="A86" s="71" t="s">
        <v>12</v>
      </c>
      <c r="B86" s="4"/>
      <c r="C86" s="4"/>
      <c r="D86" s="4"/>
      <c r="E86" s="4">
        <f>SUM(E82:E85)/1</f>
        <v>13</v>
      </c>
      <c r="F86" s="4"/>
      <c r="H86" s="1" t="s">
        <v>277</v>
      </c>
    </row>
    <row r="87" spans="1:8" x14ac:dyDescent="0.25">
      <c r="A87" s="79" t="s">
        <v>13</v>
      </c>
      <c r="B87" s="4"/>
      <c r="C87" s="4"/>
      <c r="D87" s="4"/>
      <c r="E87" s="4">
        <f>E86</f>
        <v>13</v>
      </c>
      <c r="F87" s="4"/>
    </row>
    <row r="88" spans="1:8" x14ac:dyDescent="0.25">
      <c r="A88" s="81" t="s">
        <v>15</v>
      </c>
      <c r="B88" s="4"/>
      <c r="C88" s="4"/>
      <c r="D88" s="4"/>
      <c r="E88" s="4">
        <v>60</v>
      </c>
      <c r="F88" s="4"/>
    </row>
    <row r="89" spans="1:8" x14ac:dyDescent="0.25">
      <c r="A89" s="81" t="s">
        <v>232</v>
      </c>
      <c r="B89" s="4"/>
      <c r="C89" s="4"/>
      <c r="D89" s="4"/>
      <c r="E89" s="4">
        <f>ROUND((E87/E88)*100,0)</f>
        <v>22</v>
      </c>
      <c r="F89" s="4"/>
    </row>
    <row r="90" spans="1:8" x14ac:dyDescent="0.25">
      <c r="A90" s="81" t="s">
        <v>16</v>
      </c>
      <c r="B90" s="4"/>
      <c r="C90" s="4"/>
      <c r="D90" s="4"/>
      <c r="E90" s="4">
        <v>2</v>
      </c>
      <c r="F90" s="4"/>
      <c r="H90" s="94" t="s">
        <v>256</v>
      </c>
    </row>
    <row r="91" spans="1:8" x14ac:dyDescent="0.25">
      <c r="A91" s="81" t="s">
        <v>17</v>
      </c>
      <c r="B91" s="4"/>
      <c r="C91" s="4"/>
      <c r="D91" s="4"/>
      <c r="E91" s="105">
        <v>0.156</v>
      </c>
      <c r="F91" s="4"/>
      <c r="H91" s="94" t="s">
        <v>257</v>
      </c>
    </row>
    <row r="92" spans="1:8" x14ac:dyDescent="0.25">
      <c r="A92" s="81"/>
      <c r="B92" s="4"/>
      <c r="C92" s="4"/>
      <c r="D92" s="4"/>
      <c r="E92" s="4"/>
      <c r="F92" s="4"/>
      <c r="H92" s="94" t="s">
        <v>258</v>
      </c>
    </row>
    <row r="93" spans="1:8" x14ac:dyDescent="0.25">
      <c r="A93" s="81" t="s">
        <v>216</v>
      </c>
      <c r="B93" s="4"/>
      <c r="C93" s="4"/>
      <c r="D93" s="4"/>
      <c r="E93" s="4"/>
      <c r="F93" s="4"/>
      <c r="H93" s="94"/>
    </row>
    <row r="94" spans="1:8" x14ac:dyDescent="0.25">
      <c r="A94" s="1" t="s">
        <v>213</v>
      </c>
      <c r="B94" s="4"/>
      <c r="C94" s="4"/>
      <c r="D94" s="4"/>
      <c r="E94" s="83">
        <v>800000</v>
      </c>
      <c r="F94" s="4"/>
      <c r="H94" s="94" t="s">
        <v>259</v>
      </c>
    </row>
    <row r="95" spans="1:8" ht="15.75" x14ac:dyDescent="0.25">
      <c r="A95" s="95" t="s">
        <v>18</v>
      </c>
      <c r="B95" s="4"/>
      <c r="C95" s="4"/>
      <c r="D95" s="4"/>
      <c r="E95" s="85">
        <f>E91*E94</f>
        <v>124800</v>
      </c>
      <c r="F95" s="4"/>
      <c r="H95" s="1" t="s">
        <v>260</v>
      </c>
    </row>
    <row r="96" spans="1:8" ht="15.75" x14ac:dyDescent="0.25">
      <c r="A96" s="95" t="s">
        <v>3</v>
      </c>
      <c r="B96" s="4"/>
      <c r="C96" s="4"/>
      <c r="D96" s="4"/>
      <c r="E96" s="85">
        <f>E94-E95</f>
        <v>675200</v>
      </c>
      <c r="F96" s="4"/>
      <c r="H96" s="1" t="s">
        <v>273</v>
      </c>
    </row>
    <row r="97" spans="1:6" x14ac:dyDescent="0.25">
      <c r="A97" s="79" t="s">
        <v>53</v>
      </c>
      <c r="B97" s="4"/>
      <c r="C97" s="4"/>
      <c r="D97" s="4"/>
      <c r="E97" s="83">
        <v>675000</v>
      </c>
      <c r="F97" s="4"/>
    </row>
    <row r="98" spans="1:6" x14ac:dyDescent="0.25">
      <c r="A98" s="79"/>
      <c r="B98" s="4"/>
      <c r="C98" s="4"/>
      <c r="D98" s="4"/>
      <c r="E98" s="83"/>
      <c r="F98" s="4"/>
    </row>
    <row r="99" spans="1:6" x14ac:dyDescent="0.25">
      <c r="A99" s="81" t="s">
        <v>217</v>
      </c>
      <c r="B99" s="4"/>
      <c r="C99" s="4"/>
      <c r="D99" s="4"/>
      <c r="E99" s="4"/>
      <c r="F99" s="4"/>
    </row>
    <row r="100" spans="1:6" x14ac:dyDescent="0.25">
      <c r="A100" s="81" t="s">
        <v>218</v>
      </c>
      <c r="B100" s="4"/>
      <c r="C100" s="82"/>
      <c r="D100" s="82"/>
      <c r="E100" s="86">
        <v>0</v>
      </c>
      <c r="F100" s="4"/>
    </row>
    <row r="101" spans="1:6" ht="15.75" x14ac:dyDescent="0.25">
      <c r="A101" s="84" t="s">
        <v>18</v>
      </c>
      <c r="B101" s="4"/>
      <c r="C101" s="4"/>
      <c r="D101" s="4"/>
      <c r="E101" s="85">
        <f>E91*E100/100</f>
        <v>0</v>
      </c>
      <c r="F101" s="4"/>
    </row>
    <row r="102" spans="1:6" ht="15.75" x14ac:dyDescent="0.25">
      <c r="A102" s="84" t="s">
        <v>3</v>
      </c>
      <c r="B102" s="4"/>
      <c r="C102" s="4"/>
      <c r="D102" s="4"/>
      <c r="E102" s="85">
        <f>E100-E101</f>
        <v>0</v>
      </c>
      <c r="F102" s="4"/>
    </row>
    <row r="103" spans="1:6" x14ac:dyDescent="0.25">
      <c r="A103" s="79" t="s">
        <v>53</v>
      </c>
      <c r="B103" s="4"/>
      <c r="C103" s="4"/>
      <c r="D103" s="4"/>
      <c r="E103" s="83"/>
      <c r="F103" s="4"/>
    </row>
    <row r="104" spans="1:6" x14ac:dyDescent="0.25">
      <c r="B104" s="4"/>
      <c r="C104" s="4"/>
      <c r="D104" s="4"/>
      <c r="E104" s="4"/>
      <c r="F104" s="4"/>
    </row>
    <row r="105" spans="1:6" customFormat="1" x14ac:dyDescent="0.25"/>
    <row r="106" spans="1:6" customFormat="1" x14ac:dyDescent="0.25"/>
    <row r="107" spans="1:6" customFormat="1" x14ac:dyDescent="0.25"/>
    <row r="108" spans="1:6" customFormat="1" x14ac:dyDescent="0.25"/>
    <row r="109" spans="1:6" customFormat="1" x14ac:dyDescent="0.25"/>
    <row r="110" spans="1:6" customFormat="1" x14ac:dyDescent="0.25"/>
    <row r="111" spans="1:6" customFormat="1" x14ac:dyDescent="0.25"/>
    <row r="112" spans="1:6"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sheetData>
  <mergeCells count="2">
    <mergeCell ref="A42:C42"/>
    <mergeCell ref="A1:E1"/>
  </mergeCells>
  <printOptions horizontalCentered="1"/>
  <pageMargins left="0" right="0" top="0.74803149606299213" bottom="0.74803149606299213" header="0.31496062992125984" footer="0.31496062992125984"/>
  <pageSetup scale="90" fitToHeight="0"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97"/>
  <sheetViews>
    <sheetView tabSelected="1" topLeftCell="A89" zoomScaleNormal="100" workbookViewId="0">
      <selection activeCell="F103" sqref="F103"/>
    </sheetView>
  </sheetViews>
  <sheetFormatPr baseColWidth="10" defaultRowHeight="15" x14ac:dyDescent="0.25"/>
  <cols>
    <col min="2" max="2" width="41.85546875" customWidth="1"/>
    <col min="4" max="4" width="13.5703125" bestFit="1" customWidth="1"/>
    <col min="5" max="5" width="15.5703125" customWidth="1"/>
    <col min="6" max="6" width="17.28515625" customWidth="1"/>
    <col min="9" max="9" width="15.5703125" bestFit="1" customWidth="1"/>
  </cols>
  <sheetData>
    <row r="1" spans="1:7" x14ac:dyDescent="0.25">
      <c r="A1" s="106" t="s">
        <v>207</v>
      </c>
      <c r="B1" s="106"/>
      <c r="C1" s="106"/>
      <c r="D1" s="106"/>
      <c r="E1" s="106"/>
      <c r="F1" s="106"/>
      <c r="G1" s="66"/>
    </row>
    <row r="3" spans="1:7" x14ac:dyDescent="0.25">
      <c r="A3" s="64" t="s">
        <v>20</v>
      </c>
      <c r="E3" t="str">
        <f>Datos!E3</f>
        <v>Reposición Vivienda</v>
      </c>
    </row>
    <row r="4" spans="1:7" x14ac:dyDescent="0.25">
      <c r="A4" s="64" t="s">
        <v>201</v>
      </c>
      <c r="E4" t="str">
        <f>Datos!E4</f>
        <v>Vivienda Unifamiliar</v>
      </c>
    </row>
    <row r="5" spans="1:7" x14ac:dyDescent="0.25">
      <c r="A5" s="65" t="s">
        <v>21</v>
      </c>
      <c r="C5" t="s">
        <v>202</v>
      </c>
      <c r="E5" t="str">
        <f>Datos!E5</f>
        <v>Cauca</v>
      </c>
    </row>
    <row r="6" spans="1:7" x14ac:dyDescent="0.25">
      <c r="A6" s="65"/>
      <c r="C6" t="s">
        <v>22</v>
      </c>
      <c r="E6" t="str">
        <f>Datos!E6</f>
        <v>Santander de quilichao</v>
      </c>
    </row>
    <row r="7" spans="1:7" x14ac:dyDescent="0.25">
      <c r="A7" s="65"/>
      <c r="C7" t="s">
        <v>204</v>
      </c>
      <c r="E7" t="str">
        <f>Datos!E7</f>
        <v>Vereda Manidivá</v>
      </c>
    </row>
    <row r="8" spans="1:7" x14ac:dyDescent="0.25">
      <c r="A8" s="64" t="s">
        <v>23</v>
      </c>
      <c r="E8" t="str">
        <f>Datos!E8</f>
        <v xml:space="preserve">Deisy Chávez Guzmán </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11"/>
      <c r="B14" s="111"/>
      <c r="C14" s="111"/>
      <c r="D14" s="111"/>
      <c r="E14" s="111"/>
      <c r="F14" s="111"/>
    </row>
    <row r="15" spans="1:7" x14ac:dyDescent="0.25">
      <c r="A15" s="6" t="s">
        <v>31</v>
      </c>
      <c r="B15" s="7" t="s">
        <v>32</v>
      </c>
      <c r="C15" s="6" t="s">
        <v>33</v>
      </c>
      <c r="D15" s="8" t="s">
        <v>34</v>
      </c>
      <c r="E15" s="8" t="s">
        <v>35</v>
      </c>
      <c r="F15" s="9" t="s">
        <v>36</v>
      </c>
    </row>
    <row r="16" spans="1:7" x14ac:dyDescent="0.25">
      <c r="A16" s="6"/>
      <c r="B16" s="17" t="s">
        <v>38</v>
      </c>
      <c r="C16" s="6"/>
      <c r="D16" s="8"/>
      <c r="E16" s="8"/>
      <c r="F16" s="13"/>
    </row>
    <row r="17" spans="1:10" s="23" customFormat="1" x14ac:dyDescent="0.25">
      <c r="A17" s="19">
        <v>1</v>
      </c>
      <c r="B17" s="10" t="s">
        <v>38</v>
      </c>
      <c r="C17" s="19"/>
      <c r="D17" s="16"/>
      <c r="E17" s="16"/>
      <c r="F17" s="13">
        <f>SUM(F18:F36)</f>
        <v>2122350</v>
      </c>
    </row>
    <row r="18" spans="1:10" s="23" customFormat="1" x14ac:dyDescent="0.25">
      <c r="A18" s="98">
        <v>100204</v>
      </c>
      <c r="B18" s="18" t="s">
        <v>267</v>
      </c>
      <c r="C18" s="19" t="s">
        <v>268</v>
      </c>
      <c r="D18" s="4">
        <f>'cantid. obra'!F49</f>
        <v>6.8100000000000005</v>
      </c>
      <c r="E18" s="12">
        <f>[1]INDICE!$E$217</f>
        <v>8397</v>
      </c>
      <c r="F18" s="16">
        <f t="shared" ref="F18:F60" si="0">ROUND(+D18*E18,0)</f>
        <v>57184</v>
      </c>
    </row>
    <row r="19" spans="1:10" s="23" customFormat="1" x14ac:dyDescent="0.25">
      <c r="A19" s="98">
        <v>100214</v>
      </c>
      <c r="B19" s="100" t="s">
        <v>269</v>
      </c>
      <c r="C19" s="19" t="s">
        <v>268</v>
      </c>
      <c r="D19" s="4">
        <f>'cantid. obra'!F62++'cantid. obra'!M62</f>
        <v>21.36</v>
      </c>
      <c r="E19" s="12">
        <f>[1]INDICE!$E$227</f>
        <v>8397</v>
      </c>
      <c r="F19" s="16">
        <f t="shared" si="0"/>
        <v>179360</v>
      </c>
    </row>
    <row r="20" spans="1:10" s="23" customFormat="1" x14ac:dyDescent="0.25">
      <c r="A20" s="42">
        <v>100315</v>
      </c>
      <c r="B20" s="18" t="s">
        <v>55</v>
      </c>
      <c r="C20" s="11" t="s">
        <v>37</v>
      </c>
      <c r="D20" s="12">
        <f>'cantid. obra'!F36+'cantid. obra'!M36</f>
        <v>37.245699999999999</v>
      </c>
      <c r="E20" s="12">
        <f>[1]INDICE!$E$246</f>
        <v>7278</v>
      </c>
      <c r="F20" s="16">
        <f t="shared" si="0"/>
        <v>271074</v>
      </c>
    </row>
    <row r="21" spans="1:10" s="23" customFormat="1" x14ac:dyDescent="0.25">
      <c r="A21" s="42">
        <v>100319</v>
      </c>
      <c r="B21" s="24" t="s">
        <v>122</v>
      </c>
      <c r="C21" s="11" t="s">
        <v>37</v>
      </c>
      <c r="D21" s="12">
        <f>'cantid. obra'!M141</f>
        <v>18.573</v>
      </c>
      <c r="E21" s="12">
        <f>[1]INDICE!$E$251</f>
        <v>8435</v>
      </c>
      <c r="F21" s="12">
        <f t="shared" si="0"/>
        <v>156663</v>
      </c>
      <c r="J21" s="23" t="s">
        <v>168</v>
      </c>
    </row>
    <row r="22" spans="1:10" s="23" customFormat="1" ht="30" x14ac:dyDescent="0.25">
      <c r="A22" s="42">
        <v>100401</v>
      </c>
      <c r="B22" s="24" t="s">
        <v>246</v>
      </c>
      <c r="C22" s="11" t="s">
        <v>37</v>
      </c>
      <c r="D22" s="12"/>
      <c r="E22" s="12">
        <f>+[1]INDICE!$E$261</f>
        <v>6679</v>
      </c>
      <c r="F22" s="12">
        <f t="shared" si="0"/>
        <v>0</v>
      </c>
    </row>
    <row r="23" spans="1:10" s="23" customFormat="1" x14ac:dyDescent="0.25">
      <c r="A23" s="42">
        <v>100406</v>
      </c>
      <c r="B23" s="24" t="s">
        <v>123</v>
      </c>
      <c r="C23" s="11" t="s">
        <v>37</v>
      </c>
      <c r="D23" s="12"/>
      <c r="E23" s="12">
        <f>[1]INDICE!$E$266</f>
        <v>19837</v>
      </c>
      <c r="F23" s="12">
        <f t="shared" si="0"/>
        <v>0</v>
      </c>
    </row>
    <row r="24" spans="1:10" s="23" customFormat="1" ht="30" x14ac:dyDescent="0.25">
      <c r="A24" s="42">
        <v>100414</v>
      </c>
      <c r="B24" s="24" t="s">
        <v>190</v>
      </c>
      <c r="C24" s="11" t="s">
        <v>37</v>
      </c>
      <c r="D24" s="12"/>
      <c r="E24" s="12">
        <f>[1]INDICE!$E$274</f>
        <v>3372</v>
      </c>
      <c r="F24" s="12">
        <f t="shared" si="0"/>
        <v>0</v>
      </c>
    </row>
    <row r="25" spans="1:10" s="23" customFormat="1" x14ac:dyDescent="0.25">
      <c r="A25" s="42">
        <v>100305</v>
      </c>
      <c r="B25" s="24" t="s">
        <v>124</v>
      </c>
      <c r="C25" s="11" t="s">
        <v>37</v>
      </c>
      <c r="D25" s="12"/>
      <c r="E25" s="12">
        <f>[1]INDICE!$E$237</f>
        <v>11909</v>
      </c>
      <c r="F25" s="12">
        <f t="shared" si="0"/>
        <v>0</v>
      </c>
    </row>
    <row r="26" spans="1:10" s="23" customFormat="1" x14ac:dyDescent="0.25">
      <c r="A26" s="42">
        <v>100501</v>
      </c>
      <c r="B26" s="24" t="s">
        <v>125</v>
      </c>
      <c r="C26" s="11" t="s">
        <v>42</v>
      </c>
      <c r="D26" s="12">
        <v>1</v>
      </c>
      <c r="E26" s="12">
        <f>[1]INDICE!$E$279</f>
        <v>32671</v>
      </c>
      <c r="F26" s="12">
        <f t="shared" si="0"/>
        <v>32671</v>
      </c>
      <c r="J26" s="23">
        <f>1.3*1.3+1.98*1.35</f>
        <v>4.3630000000000004</v>
      </c>
    </row>
    <row r="27" spans="1:10" s="23" customFormat="1" x14ac:dyDescent="0.25">
      <c r="A27" s="42">
        <v>100515</v>
      </c>
      <c r="B27" s="24" t="s">
        <v>126</v>
      </c>
      <c r="C27" s="11" t="s">
        <v>33</v>
      </c>
      <c r="D27" s="12">
        <v>2</v>
      </c>
      <c r="E27" s="12">
        <f>[1]INDICE!$E$292</f>
        <v>15759</v>
      </c>
      <c r="F27" s="12">
        <f t="shared" si="0"/>
        <v>31518</v>
      </c>
      <c r="J27" s="50">
        <f>2.7*1.45</f>
        <v>3.915</v>
      </c>
    </row>
    <row r="28" spans="1:10" s="23" customFormat="1" x14ac:dyDescent="0.25">
      <c r="A28" s="42">
        <v>100520</v>
      </c>
      <c r="B28" s="24" t="s">
        <v>127</v>
      </c>
      <c r="C28" s="11" t="s">
        <v>42</v>
      </c>
      <c r="D28" s="12">
        <v>1</v>
      </c>
      <c r="E28" s="12">
        <f>[1]INDICE!$E$296</f>
        <v>17001</v>
      </c>
      <c r="F28" s="12">
        <f t="shared" si="0"/>
        <v>17001</v>
      </c>
      <c r="H28" s="23">
        <f>1.5*3.02/2</f>
        <v>2.2650000000000001</v>
      </c>
      <c r="J28" s="23">
        <f>SUM(J26:J27)</f>
        <v>8.2780000000000005</v>
      </c>
    </row>
    <row r="29" spans="1:10" s="23" customFormat="1" x14ac:dyDescent="0.25">
      <c r="A29" s="42">
        <v>100311</v>
      </c>
      <c r="B29" s="67" t="s">
        <v>162</v>
      </c>
      <c r="C29" s="11" t="s">
        <v>89</v>
      </c>
      <c r="D29" s="12"/>
      <c r="E29" s="12">
        <v>14070</v>
      </c>
      <c r="F29" s="12">
        <f t="shared" si="0"/>
        <v>0</v>
      </c>
    </row>
    <row r="30" spans="1:10" s="23" customFormat="1" x14ac:dyDescent="0.25">
      <c r="A30" s="42">
        <v>100309</v>
      </c>
      <c r="B30" s="67" t="s">
        <v>193</v>
      </c>
      <c r="C30" s="11" t="s">
        <v>102</v>
      </c>
      <c r="D30" s="12"/>
      <c r="E30" s="12">
        <f>[2]INDICE!$E$233</f>
        <v>30064</v>
      </c>
      <c r="F30" s="12">
        <f t="shared" si="0"/>
        <v>0</v>
      </c>
    </row>
    <row r="31" spans="1:10" s="23" customFormat="1" x14ac:dyDescent="0.25">
      <c r="A31" s="42">
        <v>100206</v>
      </c>
      <c r="B31" s="67" t="s">
        <v>169</v>
      </c>
      <c r="C31" s="11" t="s">
        <v>37</v>
      </c>
      <c r="D31" s="12"/>
      <c r="E31" s="12">
        <f>[2]INDICE!$E$211</f>
        <v>31787</v>
      </c>
      <c r="F31" s="12">
        <f t="shared" si="0"/>
        <v>0</v>
      </c>
    </row>
    <row r="32" spans="1:10" x14ac:dyDescent="0.25">
      <c r="A32" s="42">
        <v>100505</v>
      </c>
      <c r="B32" s="24" t="s">
        <v>39</v>
      </c>
      <c r="C32" s="11" t="s">
        <v>37</v>
      </c>
      <c r="D32" s="12"/>
      <c r="E32" s="12">
        <f>+[2]INDICE!$E$275</f>
        <v>4008</v>
      </c>
      <c r="F32" s="12">
        <f t="shared" si="0"/>
        <v>0</v>
      </c>
    </row>
    <row r="33" spans="1:8" x14ac:dyDescent="0.25">
      <c r="A33" s="42">
        <v>100507</v>
      </c>
      <c r="B33" s="97" t="s">
        <v>266</v>
      </c>
      <c r="C33" s="11" t="s">
        <v>37</v>
      </c>
      <c r="D33" s="12">
        <f>'cantid. obra'!$M$250</f>
        <v>39.086999999999996</v>
      </c>
      <c r="E33" s="12">
        <f>[1]INDICE!$E$284</f>
        <v>16286</v>
      </c>
      <c r="F33" s="12">
        <f t="shared" si="0"/>
        <v>636571</v>
      </c>
    </row>
    <row r="34" spans="1:8" x14ac:dyDescent="0.25">
      <c r="A34" s="42">
        <v>100511</v>
      </c>
      <c r="B34" t="s">
        <v>264</v>
      </c>
      <c r="C34" s="11" t="s">
        <v>37</v>
      </c>
      <c r="D34" s="12">
        <f>'cantid. obra'!$M$250</f>
        <v>39.086999999999996</v>
      </c>
      <c r="E34" s="12">
        <f>[1]INDICE!$E$288</f>
        <v>18940</v>
      </c>
      <c r="F34" s="12">
        <f t="shared" si="0"/>
        <v>740308</v>
      </c>
    </row>
    <row r="35" spans="1:8" x14ac:dyDescent="0.25">
      <c r="A35" s="11"/>
      <c r="B35" s="24" t="s">
        <v>90</v>
      </c>
      <c r="C35" s="11" t="s">
        <v>89</v>
      </c>
      <c r="D35" s="12"/>
      <c r="E35" s="12">
        <v>1795</v>
      </c>
      <c r="F35" s="12">
        <f t="shared" si="0"/>
        <v>0</v>
      </c>
    </row>
    <row r="36" spans="1:8" ht="30" x14ac:dyDescent="0.25">
      <c r="A36" s="11">
        <v>1.08</v>
      </c>
      <c r="B36" s="24" t="s">
        <v>40</v>
      </c>
      <c r="C36" s="11" t="s">
        <v>37</v>
      </c>
      <c r="D36" s="12"/>
      <c r="E36" s="12">
        <v>4000</v>
      </c>
      <c r="F36" s="12">
        <f t="shared" si="0"/>
        <v>0</v>
      </c>
    </row>
    <row r="37" spans="1:8" x14ac:dyDescent="0.25">
      <c r="A37" s="14">
        <v>2</v>
      </c>
      <c r="B37" s="20" t="s">
        <v>54</v>
      </c>
      <c r="C37" s="11"/>
      <c r="D37" s="12"/>
      <c r="E37" s="12"/>
      <c r="F37" s="13">
        <f>ROUND(SUM(F38:F84),0)</f>
        <v>12636442</v>
      </c>
    </row>
    <row r="38" spans="1:8" x14ac:dyDescent="0.25">
      <c r="A38" s="43">
        <v>110107</v>
      </c>
      <c r="B38" s="20" t="s">
        <v>128</v>
      </c>
      <c r="C38" s="11" t="s">
        <v>102</v>
      </c>
      <c r="D38" s="12"/>
      <c r="E38" s="12">
        <f>+[2]INDICE!$E$330</f>
        <v>301599</v>
      </c>
      <c r="F38" s="12">
        <f t="shared" si="0"/>
        <v>0</v>
      </c>
    </row>
    <row r="39" spans="1:8" x14ac:dyDescent="0.25">
      <c r="A39" s="43">
        <v>110303</v>
      </c>
      <c r="B39" s="25" t="s">
        <v>129</v>
      </c>
      <c r="C39" s="11" t="s">
        <v>89</v>
      </c>
      <c r="D39" s="12"/>
      <c r="E39" s="12">
        <f>+[2]INDICE!$E$337</f>
        <v>23564</v>
      </c>
      <c r="F39" s="12">
        <f t="shared" si="0"/>
        <v>0</v>
      </c>
    </row>
    <row r="40" spans="1:8" x14ac:dyDescent="0.25">
      <c r="A40" s="43">
        <v>110301</v>
      </c>
      <c r="B40" s="68" t="s">
        <v>130</v>
      </c>
      <c r="C40" s="11" t="s">
        <v>89</v>
      </c>
      <c r="D40" s="12"/>
      <c r="E40" s="12">
        <v>16500</v>
      </c>
      <c r="F40" s="12">
        <f t="shared" si="0"/>
        <v>0</v>
      </c>
    </row>
    <row r="41" spans="1:8" x14ac:dyDescent="0.25">
      <c r="A41" s="43">
        <v>110305</v>
      </c>
      <c r="B41" s="68" t="s">
        <v>131</v>
      </c>
      <c r="C41" s="11" t="s">
        <v>89</v>
      </c>
      <c r="D41" s="12"/>
      <c r="E41" s="12">
        <f>+[2]INDICE!$E$339</f>
        <v>45756</v>
      </c>
      <c r="F41" s="12">
        <f t="shared" si="0"/>
        <v>0</v>
      </c>
    </row>
    <row r="42" spans="1:8" x14ac:dyDescent="0.25">
      <c r="A42" s="46">
        <v>150504</v>
      </c>
      <c r="B42" s="68" t="s">
        <v>139</v>
      </c>
      <c r="C42" s="11" t="s">
        <v>143</v>
      </c>
      <c r="D42" s="12"/>
      <c r="E42" s="12">
        <f>+[2]INDICE!$E$606</f>
        <v>26430</v>
      </c>
      <c r="F42" s="12">
        <f t="shared" si="0"/>
        <v>0</v>
      </c>
    </row>
    <row r="43" spans="1:8" x14ac:dyDescent="0.25">
      <c r="A43" s="46">
        <v>150506</v>
      </c>
      <c r="B43" s="69" t="s">
        <v>140</v>
      </c>
      <c r="C43" s="11" t="s">
        <v>143</v>
      </c>
      <c r="D43" s="12"/>
      <c r="E43" s="12">
        <v>72580</v>
      </c>
      <c r="F43" s="12">
        <f t="shared" si="0"/>
        <v>0</v>
      </c>
    </row>
    <row r="44" spans="1:8" x14ac:dyDescent="0.25">
      <c r="A44" s="46">
        <v>160505</v>
      </c>
      <c r="B44" s="69" t="s">
        <v>141</v>
      </c>
      <c r="C44" s="11" t="s">
        <v>89</v>
      </c>
      <c r="D44" s="12"/>
      <c r="E44" s="12">
        <v>1750</v>
      </c>
      <c r="F44" s="12">
        <f t="shared" si="0"/>
        <v>0</v>
      </c>
    </row>
    <row r="45" spans="1:8" x14ac:dyDescent="0.25">
      <c r="A45" s="46">
        <v>160801</v>
      </c>
      <c r="B45" s="69" t="s">
        <v>142</v>
      </c>
      <c r="C45" s="11" t="s">
        <v>143</v>
      </c>
      <c r="D45" s="12"/>
      <c r="E45" s="12">
        <v>31780</v>
      </c>
      <c r="F45" s="12">
        <f t="shared" si="0"/>
        <v>0</v>
      </c>
    </row>
    <row r="46" spans="1:8" ht="24.75" customHeight="1" x14ac:dyDescent="0.25">
      <c r="A46" s="47" t="s">
        <v>160</v>
      </c>
      <c r="B46" s="69" t="s">
        <v>161</v>
      </c>
      <c r="C46" s="11"/>
      <c r="D46" s="12">
        <v>4</v>
      </c>
      <c r="E46" s="12">
        <f>+[2]INDICE!$E$1127</f>
        <v>63223</v>
      </c>
      <c r="F46" s="12">
        <f t="shared" si="0"/>
        <v>252892</v>
      </c>
    </row>
    <row r="47" spans="1:8" x14ac:dyDescent="0.25">
      <c r="A47" s="43">
        <v>140220</v>
      </c>
      <c r="B47" s="20" t="s">
        <v>137</v>
      </c>
      <c r="C47" s="11" t="s">
        <v>37</v>
      </c>
      <c r="D47" s="12">
        <f>'cantid. obra'!F36+'cantid. obra'!M36</f>
        <v>37.245699999999999</v>
      </c>
      <c r="E47" s="12">
        <f>[1]INDICE!$E$515</f>
        <v>124287</v>
      </c>
      <c r="F47" s="12">
        <f t="shared" si="0"/>
        <v>4629156</v>
      </c>
    </row>
    <row r="48" spans="1:8" ht="30" x14ac:dyDescent="0.25">
      <c r="A48" s="44">
        <v>120101</v>
      </c>
      <c r="B48" s="20" t="s">
        <v>132</v>
      </c>
      <c r="C48" s="11" t="s">
        <v>133</v>
      </c>
      <c r="D48" s="12"/>
      <c r="E48" s="12">
        <f>+[2]INDICE!$E$374</f>
        <v>3203</v>
      </c>
      <c r="F48" s="12">
        <f t="shared" si="0"/>
        <v>0</v>
      </c>
      <c r="H48">
        <f>2.5*0.2*0.12</f>
        <v>0.06</v>
      </c>
    </row>
    <row r="49" spans="1:8" x14ac:dyDescent="0.25">
      <c r="A49" s="45">
        <v>130201</v>
      </c>
      <c r="B49" s="20" t="s">
        <v>134</v>
      </c>
      <c r="C49" s="11" t="s">
        <v>89</v>
      </c>
      <c r="D49" s="12">
        <f>'cantid. obra'!F49+'cantid. obra'!M49</f>
        <v>6.8100000000000005</v>
      </c>
      <c r="E49" s="12">
        <f>[1]INDICE!$E$421</f>
        <v>46535</v>
      </c>
      <c r="F49" s="12">
        <f t="shared" si="0"/>
        <v>316903</v>
      </c>
      <c r="H49">
        <f>H48*100</f>
        <v>6</v>
      </c>
    </row>
    <row r="50" spans="1:8" x14ac:dyDescent="0.25">
      <c r="A50" s="45">
        <v>130403</v>
      </c>
      <c r="B50" s="20" t="s">
        <v>135</v>
      </c>
      <c r="C50" s="11" t="s">
        <v>89</v>
      </c>
      <c r="D50" s="4">
        <f>'cantid. obra'!F62+'cantid. obra'!M62</f>
        <v>21.36</v>
      </c>
      <c r="E50" s="12">
        <f>+[2]INDICE!$E$422</f>
        <v>26398</v>
      </c>
      <c r="F50" s="12">
        <f t="shared" si="0"/>
        <v>563861</v>
      </c>
    </row>
    <row r="51" spans="1:8" x14ac:dyDescent="0.25">
      <c r="A51" s="45">
        <v>130703</v>
      </c>
      <c r="B51" s="20" t="s">
        <v>136</v>
      </c>
      <c r="C51" s="11" t="s">
        <v>37</v>
      </c>
      <c r="D51" s="12"/>
      <c r="E51" s="12">
        <f>+[2]INDICE!$E$457</f>
        <v>86748</v>
      </c>
      <c r="F51" s="12">
        <f t="shared" si="0"/>
        <v>0</v>
      </c>
      <c r="H51">
        <f>2.5*4*1.1*0.558</f>
        <v>6.1380000000000008</v>
      </c>
    </row>
    <row r="52" spans="1:8" x14ac:dyDescent="0.25">
      <c r="A52" s="45">
        <v>200133</v>
      </c>
      <c r="B52" s="20" t="s">
        <v>191</v>
      </c>
      <c r="C52" s="11" t="s">
        <v>37</v>
      </c>
      <c r="D52" s="12"/>
      <c r="E52" s="12">
        <f>[2]INDICE!$E$832</f>
        <v>31661</v>
      </c>
      <c r="F52" s="12">
        <f t="shared" si="0"/>
        <v>0</v>
      </c>
    </row>
    <row r="53" spans="1:8" x14ac:dyDescent="0.25">
      <c r="A53" s="43">
        <v>140403</v>
      </c>
      <c r="B53" s="20" t="s">
        <v>138</v>
      </c>
      <c r="C53" s="11" t="s">
        <v>89</v>
      </c>
      <c r="D53" s="12"/>
      <c r="E53" s="12">
        <f>+[2]INDICE!$E$527</f>
        <v>71532</v>
      </c>
      <c r="F53" s="12">
        <f t="shared" si="0"/>
        <v>0</v>
      </c>
    </row>
    <row r="54" spans="1:8" ht="30" x14ac:dyDescent="0.25">
      <c r="A54" s="43">
        <v>250703</v>
      </c>
      <c r="B54" s="20" t="s">
        <v>194</v>
      </c>
      <c r="C54" s="11" t="s">
        <v>102</v>
      </c>
      <c r="D54" s="12"/>
      <c r="E54" s="12">
        <f>[2]INDICE!$E$993</f>
        <v>752339</v>
      </c>
      <c r="F54" s="12">
        <f t="shared" si="0"/>
        <v>0</v>
      </c>
    </row>
    <row r="55" spans="1:8" x14ac:dyDescent="0.25">
      <c r="A55" s="43"/>
      <c r="B55" s="20" t="s">
        <v>188</v>
      </c>
      <c r="C55" s="11" t="s">
        <v>72</v>
      </c>
      <c r="D55" s="12"/>
      <c r="E55" s="12">
        <v>900000</v>
      </c>
      <c r="F55" s="12">
        <f t="shared" si="0"/>
        <v>0</v>
      </c>
    </row>
    <row r="56" spans="1:8" x14ac:dyDescent="0.25">
      <c r="A56" s="46">
        <v>190109</v>
      </c>
      <c r="B56" s="25" t="s">
        <v>144</v>
      </c>
      <c r="C56" s="11" t="s">
        <v>37</v>
      </c>
      <c r="D56" s="12">
        <f>'cantid. obra'!F90+'cantid. obra'!M90+D21</f>
        <v>87.778999999999996</v>
      </c>
      <c r="E56" s="12">
        <f>[1]INDICE!$E$819</f>
        <v>28993</v>
      </c>
      <c r="F56" s="12">
        <f t="shared" si="0"/>
        <v>2544977</v>
      </c>
    </row>
    <row r="57" spans="1:8" x14ac:dyDescent="0.25">
      <c r="A57" s="46">
        <v>190209</v>
      </c>
      <c r="B57" s="25" t="s">
        <v>145</v>
      </c>
      <c r="C57" s="11" t="s">
        <v>37</v>
      </c>
      <c r="D57" s="52"/>
      <c r="E57" s="12">
        <v>19648</v>
      </c>
      <c r="F57" s="12">
        <f t="shared" si="0"/>
        <v>0</v>
      </c>
    </row>
    <row r="58" spans="1:8" ht="30" x14ac:dyDescent="0.25">
      <c r="A58" s="14">
        <v>2.02</v>
      </c>
      <c r="B58" s="25" t="s">
        <v>41</v>
      </c>
      <c r="C58" s="11" t="s">
        <v>37</v>
      </c>
      <c r="D58" s="12"/>
      <c r="E58" s="12">
        <v>35000</v>
      </c>
      <c r="F58" s="12">
        <f t="shared" si="0"/>
        <v>0</v>
      </c>
    </row>
    <row r="59" spans="1:8" x14ac:dyDescent="0.25">
      <c r="A59" s="14">
        <v>140211</v>
      </c>
      <c r="B59" s="25" t="s">
        <v>91</v>
      </c>
      <c r="C59" s="11" t="s">
        <v>37</v>
      </c>
      <c r="D59" s="12"/>
      <c r="E59" s="12">
        <f>+[2]INDICE!$E$494</f>
        <v>55789</v>
      </c>
      <c r="F59" s="12">
        <f t="shared" si="0"/>
        <v>0</v>
      </c>
    </row>
    <row r="60" spans="1:8" x14ac:dyDescent="0.25">
      <c r="A60" s="46">
        <v>200101</v>
      </c>
      <c r="B60" s="25" t="s">
        <v>170</v>
      </c>
      <c r="C60" s="11" t="s">
        <v>37</v>
      </c>
      <c r="D60" s="12">
        <f>'cantid. obra'!$M$141</f>
        <v>18.573</v>
      </c>
      <c r="E60" s="12">
        <f>[1]INDICE!$E$849</f>
        <v>36930</v>
      </c>
      <c r="F60" s="12">
        <f t="shared" si="0"/>
        <v>685901</v>
      </c>
    </row>
    <row r="61" spans="1:8" x14ac:dyDescent="0.25">
      <c r="A61" s="46">
        <v>200103</v>
      </c>
      <c r="B61" s="25" t="s">
        <v>146</v>
      </c>
      <c r="C61" s="11" t="s">
        <v>37</v>
      </c>
      <c r="D61" s="12"/>
      <c r="E61" s="12">
        <f>+[2]INDICE!$E$821</f>
        <v>31012</v>
      </c>
      <c r="F61" s="12">
        <f t="shared" ref="F61:F93" si="1">ROUND(+D61*E61,0)</f>
        <v>0</v>
      </c>
    </row>
    <row r="62" spans="1:8" x14ac:dyDescent="0.25">
      <c r="A62" s="46">
        <v>200226</v>
      </c>
      <c r="B62" s="25" t="s">
        <v>147</v>
      </c>
      <c r="C62" s="11" t="s">
        <v>37</v>
      </c>
      <c r="D62" s="12"/>
      <c r="E62" s="12">
        <f>+[2]INDICE!$E$845</f>
        <v>43344</v>
      </c>
      <c r="F62" s="12">
        <f t="shared" si="1"/>
        <v>0</v>
      </c>
    </row>
    <row r="63" spans="1:8" x14ac:dyDescent="0.25">
      <c r="A63" s="46">
        <v>190527</v>
      </c>
      <c r="B63" s="25" t="s">
        <v>148</v>
      </c>
      <c r="C63" s="11" t="s">
        <v>37</v>
      </c>
      <c r="D63" s="12"/>
      <c r="E63" s="12">
        <f>+[2]INDICE!$E$803</f>
        <v>40437</v>
      </c>
      <c r="F63" s="12">
        <f t="shared" si="1"/>
        <v>0</v>
      </c>
    </row>
    <row r="64" spans="1:8" x14ac:dyDescent="0.25">
      <c r="A64" s="46">
        <v>190515</v>
      </c>
      <c r="B64" s="25" t="s">
        <v>163</v>
      </c>
      <c r="C64" s="11" t="s">
        <v>89</v>
      </c>
      <c r="D64" s="12"/>
      <c r="E64" s="12">
        <v>15130</v>
      </c>
      <c r="F64" s="12">
        <f t="shared" si="1"/>
        <v>0</v>
      </c>
    </row>
    <row r="65" spans="1:6" x14ac:dyDescent="0.25">
      <c r="A65" s="47" t="s">
        <v>158</v>
      </c>
      <c r="B65" s="25" t="s">
        <v>159</v>
      </c>
      <c r="C65" s="11" t="s">
        <v>89</v>
      </c>
      <c r="D65" s="12"/>
      <c r="E65" s="12">
        <f>+[2]INDICE!$E$1124</f>
        <v>7582</v>
      </c>
      <c r="F65" s="12">
        <f t="shared" si="1"/>
        <v>0</v>
      </c>
    </row>
    <row r="66" spans="1:6" x14ac:dyDescent="0.25">
      <c r="A66" s="47">
        <v>200140</v>
      </c>
      <c r="B66" s="25" t="s">
        <v>192</v>
      </c>
      <c r="C66" s="11" t="s">
        <v>37</v>
      </c>
      <c r="D66" s="39"/>
      <c r="E66" s="12">
        <f>[2]INDICE!$E$837</f>
        <v>19396</v>
      </c>
      <c r="F66" s="12">
        <f t="shared" si="1"/>
        <v>0</v>
      </c>
    </row>
    <row r="67" spans="1:6" ht="30" x14ac:dyDescent="0.25">
      <c r="A67" s="14">
        <v>2.0499999999999998</v>
      </c>
      <c r="B67" s="25" t="s">
        <v>85</v>
      </c>
      <c r="C67" s="11" t="s">
        <v>33</v>
      </c>
      <c r="D67" s="12"/>
      <c r="E67" s="12">
        <v>71000</v>
      </c>
      <c r="F67" s="12">
        <f t="shared" si="1"/>
        <v>0</v>
      </c>
    </row>
    <row r="68" spans="1:6" x14ac:dyDescent="0.25">
      <c r="A68" s="14" t="s">
        <v>96</v>
      </c>
      <c r="B68" s="25" t="s">
        <v>97</v>
      </c>
      <c r="C68" s="11" t="s">
        <v>89</v>
      </c>
      <c r="D68" s="12"/>
      <c r="E68" s="12">
        <f>+[2]INDICE!$E$751</f>
        <v>76369</v>
      </c>
      <c r="F68" s="12">
        <f t="shared" si="1"/>
        <v>0</v>
      </c>
    </row>
    <row r="69" spans="1:6" x14ac:dyDescent="0.25">
      <c r="A69" s="26">
        <v>180204</v>
      </c>
      <c r="B69" s="1" t="s">
        <v>270</v>
      </c>
      <c r="C69" s="102" t="s">
        <v>99</v>
      </c>
      <c r="D69" s="38">
        <f>'cantid. obra'!M250</f>
        <v>39.086999999999996</v>
      </c>
      <c r="E69" s="103">
        <f>'[1]180204'!$H$51</f>
        <v>44281</v>
      </c>
      <c r="F69" s="12">
        <f t="shared" si="1"/>
        <v>1730811</v>
      </c>
    </row>
    <row r="70" spans="1:6" x14ac:dyDescent="0.25">
      <c r="A70" s="14">
        <v>180216</v>
      </c>
      <c r="B70" s="25" t="s">
        <v>248</v>
      </c>
      <c r="C70" s="11" t="s">
        <v>89</v>
      </c>
      <c r="D70" s="12"/>
      <c r="E70" s="12">
        <f>[1]INDICE!$E$775</f>
        <v>30436</v>
      </c>
      <c r="F70" s="12">
        <f t="shared" si="1"/>
        <v>0</v>
      </c>
    </row>
    <row r="71" spans="1:6" x14ac:dyDescent="0.25">
      <c r="A71" s="14">
        <v>180407</v>
      </c>
      <c r="B71" s="25" t="s">
        <v>247</v>
      </c>
      <c r="C71" s="11" t="s">
        <v>99</v>
      </c>
      <c r="D71" s="12"/>
      <c r="E71" s="12">
        <f>[1]INDICE!$E$780</f>
        <v>33021</v>
      </c>
      <c r="F71" s="12">
        <f t="shared" si="1"/>
        <v>0</v>
      </c>
    </row>
    <row r="72" spans="1:6" x14ac:dyDescent="0.25">
      <c r="A72" s="14">
        <v>180410</v>
      </c>
      <c r="B72" s="25" t="s">
        <v>98</v>
      </c>
      <c r="C72" s="11" t="s">
        <v>99</v>
      </c>
      <c r="D72" s="12"/>
      <c r="E72" s="12">
        <f>+[2]INDICE!$E$759</f>
        <v>47810</v>
      </c>
      <c r="F72" s="12">
        <f t="shared" si="1"/>
        <v>0</v>
      </c>
    </row>
    <row r="73" spans="1:6" x14ac:dyDescent="0.25">
      <c r="A73" s="14">
        <v>180619</v>
      </c>
      <c r="B73" s="25" t="s">
        <v>100</v>
      </c>
      <c r="C73" s="11" t="s">
        <v>37</v>
      </c>
      <c r="D73" s="12"/>
      <c r="E73" s="12">
        <f>+[2]INDICE!$E$764</f>
        <v>32558</v>
      </c>
      <c r="F73" s="12">
        <f t="shared" si="1"/>
        <v>0</v>
      </c>
    </row>
    <row r="74" spans="1:6" x14ac:dyDescent="0.25">
      <c r="A74" s="14">
        <v>180624</v>
      </c>
      <c r="B74" s="25" t="s">
        <v>101</v>
      </c>
      <c r="C74" s="11" t="s">
        <v>102</v>
      </c>
      <c r="D74" s="12"/>
      <c r="E74" s="12">
        <f>[1]INDICE!$E$789</f>
        <v>39522</v>
      </c>
      <c r="F74" s="12">
        <f t="shared" si="1"/>
        <v>0</v>
      </c>
    </row>
    <row r="75" spans="1:6" ht="30" x14ac:dyDescent="0.25">
      <c r="A75" s="14">
        <v>180635</v>
      </c>
      <c r="B75" s="25" t="s">
        <v>103</v>
      </c>
      <c r="C75" s="11" t="s">
        <v>37</v>
      </c>
      <c r="D75" s="12"/>
      <c r="E75" s="12">
        <f>+[2]INDICE!$E$770</f>
        <v>5398</v>
      </c>
      <c r="F75" s="12">
        <f t="shared" si="1"/>
        <v>0</v>
      </c>
    </row>
    <row r="76" spans="1:6" x14ac:dyDescent="0.25">
      <c r="A76" s="14">
        <v>180706</v>
      </c>
      <c r="B76" s="25" t="s">
        <v>271</v>
      </c>
      <c r="C76" s="11" t="s">
        <v>37</v>
      </c>
      <c r="D76" s="12">
        <f>'cantid. obra'!M250</f>
        <v>39.086999999999996</v>
      </c>
      <c r="E76" s="12">
        <f>'[1]180706'!$H$51</f>
        <v>48915</v>
      </c>
      <c r="F76" s="12">
        <f t="shared" si="1"/>
        <v>1911941</v>
      </c>
    </row>
    <row r="77" spans="1:6" x14ac:dyDescent="0.25">
      <c r="A77" s="14">
        <v>180909</v>
      </c>
      <c r="B77" s="25" t="s">
        <v>249</v>
      </c>
      <c r="C77" s="11"/>
      <c r="D77" s="12"/>
      <c r="E77" s="12">
        <f>[1]INDICE!$E$797</f>
        <v>48915</v>
      </c>
      <c r="F77" s="12">
        <f t="shared" si="1"/>
        <v>0</v>
      </c>
    </row>
    <row r="78" spans="1:6" x14ac:dyDescent="0.25">
      <c r="A78" s="11">
        <v>220301</v>
      </c>
      <c r="B78" s="25" t="s">
        <v>86</v>
      </c>
      <c r="C78" s="11" t="s">
        <v>37</v>
      </c>
      <c r="D78" s="12"/>
      <c r="E78" s="12">
        <f>+[2]INDICE!$E$897</f>
        <v>268407</v>
      </c>
      <c r="F78" s="12">
        <f>ROUND(+D78*E78,0)</f>
        <v>0</v>
      </c>
    </row>
    <row r="79" spans="1:6" x14ac:dyDescent="0.25">
      <c r="A79" s="14">
        <v>260132</v>
      </c>
      <c r="B79" s="25" t="s">
        <v>95</v>
      </c>
      <c r="C79" s="11" t="s">
        <v>37</v>
      </c>
      <c r="D79" s="12"/>
      <c r="E79" s="39">
        <f>+[2]INDICE!$E$1014</f>
        <v>43947</v>
      </c>
      <c r="F79" s="12">
        <f t="shared" ref="F79:F80" si="2">ROUND(+D79*E79,0)</f>
        <v>0</v>
      </c>
    </row>
    <row r="80" spans="1:6" x14ac:dyDescent="0.25">
      <c r="A80" s="46">
        <v>290109</v>
      </c>
      <c r="B80" s="25" t="s">
        <v>154</v>
      </c>
      <c r="C80" s="11" t="s">
        <v>37</v>
      </c>
      <c r="D80" s="12"/>
      <c r="E80" s="39">
        <f>+[2]INDICE!$E$1030</f>
        <v>10328</v>
      </c>
      <c r="F80" s="12">
        <f t="shared" si="2"/>
        <v>0</v>
      </c>
    </row>
    <row r="81" spans="1:11" x14ac:dyDescent="0.25">
      <c r="A81" s="14">
        <v>290304</v>
      </c>
      <c r="B81" s="25" t="s">
        <v>92</v>
      </c>
      <c r="C81" s="11" t="s">
        <v>37</v>
      </c>
      <c r="D81" s="12"/>
      <c r="E81" s="12">
        <f>[1]INDICE!$E$1077</f>
        <v>0</v>
      </c>
      <c r="F81" s="12">
        <f t="shared" si="1"/>
        <v>0</v>
      </c>
    </row>
    <row r="82" spans="1:11" x14ac:dyDescent="0.25">
      <c r="A82" s="14">
        <v>290407</v>
      </c>
      <c r="B82" s="25" t="s">
        <v>93</v>
      </c>
      <c r="C82" s="11" t="s">
        <v>37</v>
      </c>
      <c r="D82" s="12"/>
      <c r="E82" s="12">
        <f>+[2]INDICE!$E$1050</f>
        <v>9462</v>
      </c>
      <c r="F82" s="12">
        <f t="shared" si="1"/>
        <v>0</v>
      </c>
    </row>
    <row r="83" spans="1:11" x14ac:dyDescent="0.25">
      <c r="A83" s="46">
        <v>290430</v>
      </c>
      <c r="B83" s="25" t="s">
        <v>155</v>
      </c>
      <c r="C83" s="11" t="s">
        <v>37</v>
      </c>
      <c r="D83" s="12"/>
      <c r="E83" s="12">
        <f>+[2]INDICE!$E$1056</f>
        <v>11289</v>
      </c>
      <c r="F83" s="12">
        <f t="shared" si="1"/>
        <v>0</v>
      </c>
    </row>
    <row r="84" spans="1:11" x14ac:dyDescent="0.25">
      <c r="A84" s="14">
        <v>290441</v>
      </c>
      <c r="B84" s="25" t="s">
        <v>94</v>
      </c>
      <c r="C84" s="11" t="s">
        <v>37</v>
      </c>
      <c r="D84" s="12"/>
      <c r="E84" s="12">
        <f>+[2]INDICE!$E$1061</f>
        <v>14154</v>
      </c>
      <c r="F84" s="12">
        <f t="shared" si="1"/>
        <v>0</v>
      </c>
      <c r="K84">
        <f>2.5*2.3</f>
        <v>5.75</v>
      </c>
    </row>
    <row r="85" spans="1:11" x14ac:dyDescent="0.25">
      <c r="A85" s="19">
        <v>3</v>
      </c>
      <c r="B85" s="20" t="s">
        <v>84</v>
      </c>
      <c r="C85" s="11"/>
      <c r="D85" s="12"/>
      <c r="E85" s="12"/>
      <c r="F85" s="13">
        <f>ROUND(SUM(F87:F94),0)</f>
        <v>83000</v>
      </c>
    </row>
    <row r="86" spans="1:11" x14ac:dyDescent="0.25">
      <c r="A86" s="47" t="s">
        <v>222</v>
      </c>
      <c r="B86" s="25" t="s">
        <v>223</v>
      </c>
      <c r="C86" s="11" t="s">
        <v>102</v>
      </c>
      <c r="D86" s="12"/>
      <c r="E86" s="12"/>
      <c r="F86" s="12">
        <f t="shared" ref="F86" si="3">ROUND(+D86*E86,0)</f>
        <v>0</v>
      </c>
      <c r="I86">
        <v>3</v>
      </c>
    </row>
    <row r="87" spans="1:11" x14ac:dyDescent="0.25">
      <c r="A87" s="47" t="s">
        <v>156</v>
      </c>
      <c r="B87" s="25" t="s">
        <v>157</v>
      </c>
      <c r="C87" s="11" t="s">
        <v>102</v>
      </c>
      <c r="D87" s="12">
        <v>2</v>
      </c>
      <c r="E87" s="12">
        <f>[1]materiales!$D$488</f>
        <v>41500</v>
      </c>
      <c r="F87" s="12">
        <f t="shared" si="1"/>
        <v>83000</v>
      </c>
      <c r="I87">
        <v>3</v>
      </c>
    </row>
    <row r="88" spans="1:11" x14ac:dyDescent="0.25">
      <c r="A88" s="47" t="s">
        <v>250</v>
      </c>
      <c r="B88" s="25" t="s">
        <v>245</v>
      </c>
      <c r="C88" s="11" t="s">
        <v>37</v>
      </c>
      <c r="D88" s="12"/>
      <c r="E88" s="12">
        <v>297000</v>
      </c>
      <c r="F88" s="12">
        <f t="shared" si="1"/>
        <v>0</v>
      </c>
    </row>
    <row r="89" spans="1:11" x14ac:dyDescent="0.25">
      <c r="A89" s="46">
        <v>220102</v>
      </c>
      <c r="B89" s="25" t="s">
        <v>149</v>
      </c>
      <c r="C89" s="11" t="s">
        <v>37</v>
      </c>
      <c r="D89" s="2">
        <f>'cantid. obra'!M205</f>
        <v>1.56</v>
      </c>
      <c r="E89" s="12">
        <f>[1]INDICE!$E$917</f>
        <v>0</v>
      </c>
      <c r="F89" s="12">
        <f>ROUND(+D89*E89,0)</f>
        <v>0</v>
      </c>
      <c r="I89">
        <v>1</v>
      </c>
    </row>
    <row r="90" spans="1:11" x14ac:dyDescent="0.25">
      <c r="A90" s="46">
        <v>220105</v>
      </c>
      <c r="B90" s="25" t="s">
        <v>150</v>
      </c>
      <c r="C90" s="11" t="s">
        <v>37</v>
      </c>
      <c r="D90" s="12"/>
      <c r="E90" s="12">
        <f>+[2]INDICE!$E$890</f>
        <v>144007</v>
      </c>
      <c r="F90" s="12">
        <f t="shared" si="1"/>
        <v>0</v>
      </c>
      <c r="H90" s="23">
        <f>1.3*1.3+1.98*1.35</f>
        <v>4.3630000000000004</v>
      </c>
      <c r="I90" s="51">
        <v>3</v>
      </c>
    </row>
    <row r="91" spans="1:11" x14ac:dyDescent="0.25">
      <c r="A91" s="46">
        <v>250450</v>
      </c>
      <c r="B91" s="25" t="s">
        <v>151</v>
      </c>
      <c r="C91" s="11" t="s">
        <v>102</v>
      </c>
      <c r="D91" s="12"/>
      <c r="E91" s="12">
        <f>+[2]INDICE!$E$983</f>
        <v>298874</v>
      </c>
      <c r="F91" s="12">
        <f t="shared" si="1"/>
        <v>0</v>
      </c>
      <c r="H91" s="50">
        <f>2.7*1.45</f>
        <v>3.915</v>
      </c>
      <c r="I91">
        <f>SUM(I87:I90)</f>
        <v>7</v>
      </c>
    </row>
    <row r="92" spans="1:11" ht="25.5" x14ac:dyDescent="0.25">
      <c r="A92" s="46">
        <v>250708</v>
      </c>
      <c r="B92" s="69" t="s">
        <v>153</v>
      </c>
      <c r="C92" s="11" t="s">
        <v>102</v>
      </c>
      <c r="D92" s="12"/>
      <c r="E92" s="12">
        <v>110000</v>
      </c>
      <c r="F92" s="12">
        <f t="shared" si="1"/>
        <v>0</v>
      </c>
      <c r="H92" s="23">
        <f>SUM(H90:H91)</f>
        <v>8.2780000000000005</v>
      </c>
    </row>
    <row r="93" spans="1:11" x14ac:dyDescent="0.25">
      <c r="A93" s="46">
        <v>250510</v>
      </c>
      <c r="B93" s="25" t="s">
        <v>152</v>
      </c>
      <c r="C93" s="11" t="s">
        <v>102</v>
      </c>
      <c r="D93" s="12"/>
      <c r="E93" s="12">
        <f>+[2]INDICE!$E$986</f>
        <v>82103</v>
      </c>
      <c r="F93" s="12">
        <f t="shared" si="1"/>
        <v>0</v>
      </c>
    </row>
    <row r="94" spans="1:11" x14ac:dyDescent="0.25">
      <c r="A94" s="46"/>
      <c r="B94" s="25"/>
      <c r="C94" s="11"/>
      <c r="D94" s="12"/>
      <c r="E94" s="12"/>
      <c r="F94" s="12"/>
    </row>
    <row r="95" spans="1:11" x14ac:dyDescent="0.25">
      <c r="A95" s="19">
        <v>4</v>
      </c>
      <c r="B95" s="20" t="s">
        <v>43</v>
      </c>
      <c r="C95" s="11"/>
      <c r="D95" s="12"/>
      <c r="E95" s="12"/>
      <c r="F95" s="13">
        <f>ROUND(SUM(F96:F97),0)</f>
        <v>700000</v>
      </c>
      <c r="I95" s="37">
        <f>F103</f>
        <v>18008290.427999999</v>
      </c>
    </row>
    <row r="96" spans="1:11" ht="30" x14ac:dyDescent="0.25">
      <c r="A96" s="11">
        <v>4.01</v>
      </c>
      <c r="B96" s="25" t="s">
        <v>44</v>
      </c>
      <c r="C96" s="11" t="s">
        <v>72</v>
      </c>
      <c r="D96" s="12">
        <v>1</v>
      </c>
      <c r="E96" s="12">
        <v>500000</v>
      </c>
      <c r="F96" s="12">
        <f>ROUND(+D96*E96,0)</f>
        <v>500000</v>
      </c>
      <c r="I96" s="53">
        <f>'Presup. m2'!F26</f>
        <v>19770014</v>
      </c>
    </row>
    <row r="97" spans="1:11" x14ac:dyDescent="0.25">
      <c r="A97" s="11">
        <v>4.0199999999999996</v>
      </c>
      <c r="B97" s="18" t="s">
        <v>45</v>
      </c>
      <c r="C97" s="11" t="s">
        <v>46</v>
      </c>
      <c r="D97" s="12">
        <v>1</v>
      </c>
      <c r="E97" s="12">
        <v>200000</v>
      </c>
      <c r="F97" s="12">
        <f>ROUND(+D97*E97,0)</f>
        <v>200000</v>
      </c>
      <c r="K97">
        <f>1500000/(2.4*2.1)</f>
        <v>297619.04761904763</v>
      </c>
    </row>
    <row r="98" spans="1:11" x14ac:dyDescent="0.25">
      <c r="A98" s="11"/>
      <c r="B98" s="10" t="s">
        <v>47</v>
      </c>
      <c r="C98" s="11"/>
      <c r="D98" s="12"/>
      <c r="E98" s="12"/>
      <c r="F98" s="8">
        <f>ROUND((F17+F37+F85+F95),0)</f>
        <v>15541792</v>
      </c>
      <c r="I98" s="37">
        <f>SUM(I95:I97)/2</f>
        <v>18889152.214000002</v>
      </c>
    </row>
    <row r="99" spans="1:11" x14ac:dyDescent="0.25">
      <c r="A99" s="11"/>
      <c r="B99" s="20" t="s">
        <v>73</v>
      </c>
      <c r="C99" s="11"/>
      <c r="D99" s="12"/>
      <c r="E99" s="21">
        <v>0.16</v>
      </c>
      <c r="F99" s="12">
        <f>E99*F98</f>
        <v>2486686.7200000002</v>
      </c>
    </row>
    <row r="100" spans="1:11" x14ac:dyDescent="0.25">
      <c r="A100" s="11"/>
      <c r="B100" s="10" t="s">
        <v>48</v>
      </c>
      <c r="C100" s="11"/>
      <c r="D100" s="12"/>
      <c r="E100" s="48">
        <v>0.2</v>
      </c>
      <c r="F100" s="8">
        <f>F98*E100</f>
        <v>3108358.4000000004</v>
      </c>
    </row>
    <row r="101" spans="1:11" x14ac:dyDescent="0.25">
      <c r="A101" s="11"/>
      <c r="B101" s="17" t="s">
        <v>165</v>
      </c>
      <c r="C101" s="11"/>
      <c r="D101" s="12"/>
      <c r="E101" s="12"/>
      <c r="F101" s="8">
        <f>ROUND(SUM(F97:F100),0)</f>
        <v>21336837</v>
      </c>
    </row>
    <row r="102" spans="1:11" x14ac:dyDescent="0.25">
      <c r="A102" s="11"/>
      <c r="B102" s="10" t="s">
        <v>164</v>
      </c>
      <c r="C102" s="11"/>
      <c r="D102" s="12"/>
      <c r="E102" s="49">
        <f>'M2 depreciado'!E91</f>
        <v>0.156</v>
      </c>
      <c r="F102" s="8">
        <f>F101*E102</f>
        <v>3328546.5720000002</v>
      </c>
    </row>
    <row r="103" spans="1:11" x14ac:dyDescent="0.25">
      <c r="A103" s="11"/>
      <c r="B103" s="17" t="s">
        <v>56</v>
      </c>
      <c r="C103" s="11"/>
      <c r="D103" s="12"/>
      <c r="E103" s="12"/>
      <c r="F103" s="91">
        <f>F101-F102</f>
        <v>18008290.427999999</v>
      </c>
    </row>
    <row r="104" spans="1:11" x14ac:dyDescent="0.25">
      <c r="A104" s="26"/>
      <c r="B104" s="27"/>
      <c r="C104" s="26"/>
      <c r="D104" s="28"/>
      <c r="E104" s="28"/>
      <c r="F104" s="28"/>
    </row>
    <row r="105" spans="1:11" x14ac:dyDescent="0.25">
      <c r="A105" s="26"/>
      <c r="B105" s="27" t="s">
        <v>49</v>
      </c>
      <c r="C105" s="26"/>
      <c r="D105" s="28"/>
      <c r="E105" s="28"/>
      <c r="F105" s="28"/>
    </row>
    <row r="106" spans="1:11" x14ac:dyDescent="0.25">
      <c r="A106" s="26"/>
      <c r="B106" s="27"/>
      <c r="C106" s="26"/>
      <c r="D106" s="28"/>
      <c r="E106" s="28"/>
      <c r="F106" s="28"/>
    </row>
    <row r="107" spans="1:11" x14ac:dyDescent="0.25">
      <c r="A107" s="26"/>
      <c r="B107" s="27"/>
      <c r="C107" s="26"/>
      <c r="D107" s="28"/>
      <c r="E107" s="28"/>
      <c r="F107" s="28"/>
      <c r="I107" s="92">
        <f>F103/12</f>
        <v>1500690.8689999999</v>
      </c>
    </row>
    <row r="108" spans="1:11" x14ac:dyDescent="0.25">
      <c r="A108" s="26"/>
      <c r="B108" s="27" t="s">
        <v>50</v>
      </c>
      <c r="C108" s="26"/>
      <c r="D108" s="28"/>
      <c r="E108" s="28"/>
      <c r="F108" s="28"/>
    </row>
    <row r="109" spans="1:11" x14ac:dyDescent="0.25">
      <c r="A109" s="26"/>
      <c r="B109" s="29" t="s">
        <v>51</v>
      </c>
      <c r="C109" s="26"/>
      <c r="D109" s="28"/>
      <c r="E109" s="28"/>
      <c r="F109" s="28"/>
    </row>
    <row r="110" spans="1:11" x14ac:dyDescent="0.25">
      <c r="A110" s="26"/>
      <c r="B110" s="27" t="s">
        <v>52</v>
      </c>
      <c r="C110" s="26"/>
      <c r="D110" s="28"/>
      <c r="E110" s="28"/>
      <c r="F110" s="28"/>
    </row>
    <row r="112" spans="1:11" x14ac:dyDescent="0.25">
      <c r="E112" s="37"/>
    </row>
    <row r="131" spans="8:8" x14ac:dyDescent="0.25">
      <c r="H131" t="s">
        <v>170</v>
      </c>
    </row>
    <row r="197" spans="13:13" x14ac:dyDescent="0.25">
      <c r="M197">
        <f>SUM(H197:L197)</f>
        <v>0</v>
      </c>
    </row>
  </sheetData>
  <mergeCells count="2">
    <mergeCell ref="A14:F14"/>
    <mergeCell ref="A1:F1"/>
  </mergeCells>
  <pageMargins left="0.7" right="0.7" top="0.75" bottom="0.75" header="0.3" footer="0.3"/>
  <pageSetup scale="8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topLeftCell="A10" workbookViewId="0">
      <selection activeCell="F30" sqref="F30"/>
    </sheetView>
  </sheetViews>
  <sheetFormatPr baseColWidth="10" defaultRowHeight="15" x14ac:dyDescent="0.25"/>
  <cols>
    <col min="2" max="2" width="43.28515625" customWidth="1"/>
    <col min="5" max="5" width="15.140625" customWidth="1"/>
    <col min="6" max="6" width="17.28515625" customWidth="1"/>
  </cols>
  <sheetData>
    <row r="1" spans="1:7" x14ac:dyDescent="0.25">
      <c r="A1" s="106" t="s">
        <v>208</v>
      </c>
      <c r="B1" s="106"/>
      <c r="C1" s="106"/>
      <c r="D1" s="106"/>
      <c r="E1" s="106"/>
      <c r="F1" s="106"/>
      <c r="G1" s="66"/>
    </row>
    <row r="3" spans="1:7" x14ac:dyDescent="0.25">
      <c r="A3" s="64" t="s">
        <v>20</v>
      </c>
      <c r="E3" t="str">
        <f>Datos!E3</f>
        <v>Reposición Vivienda</v>
      </c>
    </row>
    <row r="4" spans="1:7" x14ac:dyDescent="0.25">
      <c r="A4" s="64" t="s">
        <v>201</v>
      </c>
      <c r="E4" t="str">
        <f>Datos!E4</f>
        <v>Vivienda Unifamiliar</v>
      </c>
    </row>
    <row r="5" spans="1:7" x14ac:dyDescent="0.25">
      <c r="A5" s="65" t="s">
        <v>21</v>
      </c>
      <c r="C5" t="s">
        <v>202</v>
      </c>
      <c r="E5" t="str">
        <f>Datos!E5</f>
        <v>Cauca</v>
      </c>
    </row>
    <row r="6" spans="1:7" x14ac:dyDescent="0.25">
      <c r="A6" s="65"/>
      <c r="C6" t="s">
        <v>22</v>
      </c>
      <c r="E6" t="str">
        <f>Datos!E6</f>
        <v>Santander de quilichao</v>
      </c>
    </row>
    <row r="7" spans="1:7" x14ac:dyDescent="0.25">
      <c r="A7" s="65"/>
      <c r="C7" t="s">
        <v>204</v>
      </c>
      <c r="E7" t="str">
        <f>Datos!E7</f>
        <v>Vereda Manidivá</v>
      </c>
    </row>
    <row r="8" spans="1:7" x14ac:dyDescent="0.25">
      <c r="A8" s="64" t="s">
        <v>23</v>
      </c>
      <c r="E8" t="str">
        <f>Datos!E8</f>
        <v xml:space="preserve">Deisy Chávez Guzmán </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11"/>
      <c r="B14" s="111"/>
      <c r="C14" s="111"/>
      <c r="D14" s="111"/>
      <c r="E14" s="111"/>
      <c r="F14" s="111"/>
    </row>
    <row r="15" spans="1:7" x14ac:dyDescent="0.25">
      <c r="A15" s="6" t="s">
        <v>31</v>
      </c>
      <c r="B15" s="7" t="s">
        <v>32</v>
      </c>
      <c r="C15" s="6" t="s">
        <v>33</v>
      </c>
      <c r="D15" s="8" t="s">
        <v>34</v>
      </c>
      <c r="E15" s="8" t="s">
        <v>35</v>
      </c>
      <c r="F15" s="9" t="s">
        <v>36</v>
      </c>
    </row>
    <row r="16" spans="1:7" x14ac:dyDescent="0.25">
      <c r="A16" s="6"/>
      <c r="B16" s="10" t="s">
        <v>75</v>
      </c>
      <c r="C16" s="11"/>
      <c r="D16" s="12"/>
      <c r="E16" s="12"/>
      <c r="F16" s="13">
        <f>F18+F26</f>
        <v>19770014</v>
      </c>
    </row>
    <row r="17" spans="1:6" x14ac:dyDescent="0.25">
      <c r="A17" s="14">
        <v>1</v>
      </c>
      <c r="B17" s="31" t="s">
        <v>0</v>
      </c>
      <c r="C17" s="11" t="s">
        <v>37</v>
      </c>
      <c r="D17" s="12"/>
      <c r="E17" s="12">
        <v>0</v>
      </c>
      <c r="F17" s="12">
        <f>ROUND(+D17*E17,0)</f>
        <v>0</v>
      </c>
    </row>
    <row r="18" spans="1:6" x14ac:dyDescent="0.25">
      <c r="A18" s="14"/>
      <c r="B18" s="32" t="s">
        <v>74</v>
      </c>
      <c r="C18" s="11"/>
      <c r="D18" s="12"/>
      <c r="E18" s="12"/>
      <c r="F18" s="12">
        <f>SUM(F17)</f>
        <v>0</v>
      </c>
    </row>
    <row r="19" spans="1:6" x14ac:dyDescent="0.25">
      <c r="A19" s="14">
        <v>2</v>
      </c>
      <c r="B19" s="10" t="s">
        <v>54</v>
      </c>
      <c r="C19" s="11"/>
      <c r="D19" s="12"/>
      <c r="E19" s="12"/>
      <c r="F19" s="12"/>
    </row>
    <row r="20" spans="1:6" x14ac:dyDescent="0.25">
      <c r="A20" s="14">
        <v>2.1</v>
      </c>
      <c r="B20" s="18" t="s">
        <v>262</v>
      </c>
      <c r="C20" s="11" t="s">
        <v>37</v>
      </c>
      <c r="D20" s="12">
        <f>'M2 depreciado'!$E$71</f>
        <v>18.573</v>
      </c>
      <c r="E20" s="12">
        <f>+'M2 depreciado'!E97</f>
        <v>675000</v>
      </c>
      <c r="F20" s="16">
        <f>ROUND(+D20*E20,0)</f>
        <v>12536775</v>
      </c>
    </row>
    <row r="21" spans="1:6" x14ac:dyDescent="0.25">
      <c r="A21" s="14">
        <v>2.2000000000000002</v>
      </c>
      <c r="B21" s="15" t="s">
        <v>228</v>
      </c>
      <c r="C21" s="11" t="s">
        <v>37</v>
      </c>
      <c r="D21" s="12">
        <v>0</v>
      </c>
      <c r="E21" s="12">
        <f>+'M2 depreciado'!E103</f>
        <v>0</v>
      </c>
      <c r="F21" s="16">
        <f>ROUND(+D21*E21,0)</f>
        <v>0</v>
      </c>
    </row>
    <row r="22" spans="1:6" x14ac:dyDescent="0.25">
      <c r="A22" s="14">
        <v>2.2000000000000002</v>
      </c>
      <c r="B22" s="15" t="s">
        <v>71</v>
      </c>
      <c r="C22" s="11" t="s">
        <v>72</v>
      </c>
      <c r="D22" s="12">
        <v>1</v>
      </c>
      <c r="E22" s="12">
        <v>2000000</v>
      </c>
      <c r="F22" s="16">
        <f>ROUND(+D22*E22,0)</f>
        <v>2000000</v>
      </c>
    </row>
    <row r="23" spans="1:6" x14ac:dyDescent="0.25">
      <c r="A23" s="14"/>
      <c r="B23" s="17" t="s">
        <v>76</v>
      </c>
      <c r="C23" s="11"/>
      <c r="D23" s="12"/>
      <c r="E23" s="12"/>
      <c r="F23" s="16">
        <f>SUM(F20:F22)</f>
        <v>14536775</v>
      </c>
    </row>
    <row r="24" spans="1:6" x14ac:dyDescent="0.25">
      <c r="A24" s="11"/>
      <c r="B24" s="20" t="s">
        <v>73</v>
      </c>
      <c r="C24" s="11"/>
      <c r="D24" s="12"/>
      <c r="E24" s="21">
        <v>0.16</v>
      </c>
      <c r="F24" s="12">
        <f>F23*E24</f>
        <v>2325884</v>
      </c>
    </row>
    <row r="25" spans="1:6" x14ac:dyDescent="0.25">
      <c r="A25" s="11"/>
      <c r="B25" s="10" t="s">
        <v>48</v>
      </c>
      <c r="C25" s="11"/>
      <c r="D25" s="12"/>
      <c r="E25" s="33">
        <v>0.2</v>
      </c>
      <c r="F25" s="8">
        <f>F23*E25</f>
        <v>2907355</v>
      </c>
    </row>
    <row r="26" spans="1:6" x14ac:dyDescent="0.25">
      <c r="A26" s="11"/>
      <c r="B26" s="17" t="s">
        <v>56</v>
      </c>
      <c r="C26" s="11"/>
      <c r="D26" s="12"/>
      <c r="E26" s="12"/>
      <c r="F26" s="8">
        <f>SUM(F23:F25)</f>
        <v>19770014</v>
      </c>
    </row>
    <row r="27" spans="1:6" x14ac:dyDescent="0.25">
      <c r="A27" s="11"/>
      <c r="B27" s="10"/>
      <c r="C27" s="11"/>
      <c r="D27" s="12"/>
      <c r="E27" s="12"/>
      <c r="F27" s="8"/>
    </row>
    <row r="28" spans="1:6" x14ac:dyDescent="0.25">
      <c r="A28" s="26"/>
      <c r="B28" s="27"/>
      <c r="C28" s="26"/>
      <c r="D28" s="28"/>
      <c r="E28" s="28"/>
      <c r="F28" s="28"/>
    </row>
    <row r="29" spans="1:6" x14ac:dyDescent="0.25">
      <c r="A29" s="26"/>
      <c r="B29" s="27"/>
      <c r="C29" s="26"/>
      <c r="D29" s="28"/>
      <c r="E29" s="28"/>
      <c r="F29" s="28"/>
    </row>
    <row r="30" spans="1:6" x14ac:dyDescent="0.25">
      <c r="A30" s="26"/>
      <c r="B30" s="27" t="s">
        <v>49</v>
      </c>
      <c r="C30" s="26"/>
      <c r="D30" s="28"/>
      <c r="E30" s="28"/>
      <c r="F30" s="28"/>
    </row>
    <row r="31" spans="1:6" x14ac:dyDescent="0.25">
      <c r="A31" s="26"/>
      <c r="B31" s="27"/>
      <c r="C31" s="26"/>
      <c r="D31" s="28"/>
      <c r="E31" s="28"/>
      <c r="F31" s="28"/>
    </row>
    <row r="32" spans="1:6" x14ac:dyDescent="0.25">
      <c r="A32" s="26"/>
      <c r="B32" s="27"/>
      <c r="C32" s="26"/>
      <c r="D32" s="28"/>
      <c r="E32" s="28"/>
      <c r="F32" s="28"/>
    </row>
    <row r="33" spans="1:6" x14ac:dyDescent="0.25">
      <c r="A33" s="26"/>
      <c r="B33" s="27"/>
      <c r="C33" s="26"/>
      <c r="D33" s="28"/>
      <c r="E33" s="28"/>
      <c r="F33" s="28"/>
    </row>
    <row r="34" spans="1:6" x14ac:dyDescent="0.25">
      <c r="A34" s="26"/>
      <c r="B34" s="27" t="s">
        <v>50</v>
      </c>
      <c r="C34" s="26"/>
      <c r="D34" s="28"/>
      <c r="E34" s="28"/>
      <c r="F34" s="28"/>
    </row>
    <row r="35" spans="1:6" x14ac:dyDescent="0.25">
      <c r="A35" s="26"/>
      <c r="B35" s="29" t="s">
        <v>51</v>
      </c>
      <c r="C35" s="26"/>
      <c r="D35" s="28"/>
      <c r="E35" s="28"/>
      <c r="F35" s="28"/>
    </row>
    <row r="36" spans="1:6" x14ac:dyDescent="0.25">
      <c r="A36" s="26"/>
      <c r="B36" s="27" t="s">
        <v>52</v>
      </c>
      <c r="C36" s="26"/>
      <c r="D36" s="28"/>
      <c r="E36" s="28"/>
      <c r="F36" s="28"/>
    </row>
  </sheetData>
  <mergeCells count="2">
    <mergeCell ref="A14:F14"/>
    <mergeCell ref="A1:F1"/>
  </mergeCells>
  <pageMargins left="0.7" right="0.7" top="0.75" bottom="0.75" header="0.3" footer="0.3"/>
  <pageSetup scale="80"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57"/>
  <sheetViews>
    <sheetView topLeftCell="A223" workbookViewId="0">
      <selection activeCell="H245" sqref="H245"/>
    </sheetView>
  </sheetViews>
  <sheetFormatPr baseColWidth="10" defaultRowHeight="15" x14ac:dyDescent="0.25"/>
  <cols>
    <col min="1" max="1" width="8.85546875" customWidth="1"/>
  </cols>
  <sheetData>
    <row r="1" spans="1:13" x14ac:dyDescent="0.25">
      <c r="A1" s="106" t="s">
        <v>209</v>
      </c>
      <c r="B1" s="106"/>
      <c r="C1" s="106"/>
      <c r="D1" s="106"/>
      <c r="E1" s="106"/>
      <c r="F1" s="106"/>
      <c r="G1" s="106"/>
      <c r="H1" s="106"/>
      <c r="I1" s="106"/>
      <c r="J1" s="106"/>
      <c r="K1" s="106"/>
      <c r="L1" s="106"/>
      <c r="M1" s="106"/>
    </row>
    <row r="3" spans="1:13" x14ac:dyDescent="0.25">
      <c r="A3" s="64" t="s">
        <v>20</v>
      </c>
      <c r="H3" t="str">
        <f>Datos!E3</f>
        <v>Reposición Vivienda</v>
      </c>
    </row>
    <row r="4" spans="1:13" x14ac:dyDescent="0.25">
      <c r="A4" s="64" t="s">
        <v>201</v>
      </c>
      <c r="E4" s="89"/>
      <c r="H4" t="str">
        <f>Datos!E4</f>
        <v>Vivienda Unifamiliar</v>
      </c>
    </row>
    <row r="5" spans="1:13" x14ac:dyDescent="0.25">
      <c r="A5" s="65" t="s">
        <v>21</v>
      </c>
      <c r="C5" t="s">
        <v>202</v>
      </c>
      <c r="H5" t="str">
        <f>Datos!E5</f>
        <v>Cauca</v>
      </c>
    </row>
    <row r="6" spans="1:13" x14ac:dyDescent="0.25">
      <c r="A6" s="65"/>
      <c r="C6" t="s">
        <v>22</v>
      </c>
      <c r="H6" t="str">
        <f>Datos!E6</f>
        <v>Santander de quilichao</v>
      </c>
    </row>
    <row r="7" spans="1:13" x14ac:dyDescent="0.25">
      <c r="A7" s="65"/>
      <c r="C7" t="s">
        <v>204</v>
      </c>
      <c r="H7" t="str">
        <f>Datos!E7</f>
        <v>Vereda Manidivá</v>
      </c>
    </row>
    <row r="8" spans="1:13" x14ac:dyDescent="0.25">
      <c r="A8" s="64" t="s">
        <v>23</v>
      </c>
      <c r="H8" t="str">
        <f>Datos!E8</f>
        <v xml:space="preserve">Deisy Chávez Guzmán </v>
      </c>
    </row>
    <row r="9" spans="1:13" x14ac:dyDescent="0.25">
      <c r="A9" s="22" t="s">
        <v>24</v>
      </c>
      <c r="H9" t="str">
        <f>Datos!E9</f>
        <v>A todo costo</v>
      </c>
    </row>
    <row r="10" spans="1:13" x14ac:dyDescent="0.25">
      <c r="A10" s="22" t="s">
        <v>26</v>
      </c>
      <c r="E10" s="89"/>
      <c r="H10" t="str">
        <f>Datos!E10</f>
        <v>Juzgado Décimo Administrativo Oral del Circuito de Popayán</v>
      </c>
    </row>
    <row r="11" spans="1:13" x14ac:dyDescent="0.25">
      <c r="A11" s="22" t="s">
        <v>27</v>
      </c>
      <c r="E11" s="89"/>
      <c r="H11" t="str">
        <f>Datos!E11</f>
        <v>27 de Agosto 2024</v>
      </c>
    </row>
    <row r="12" spans="1:13" x14ac:dyDescent="0.25">
      <c r="A12" s="22" t="s">
        <v>28</v>
      </c>
      <c r="H12" t="str">
        <f>Datos!E12</f>
        <v>-</v>
      </c>
    </row>
    <row r="13" spans="1:13" x14ac:dyDescent="0.25">
      <c r="A13" s="22" t="s">
        <v>30</v>
      </c>
      <c r="H13" t="str">
        <f>Datos!E13</f>
        <v>-</v>
      </c>
    </row>
    <row r="14" spans="1:13" x14ac:dyDescent="0.25">
      <c r="A14" s="22"/>
    </row>
    <row r="15" spans="1:13" x14ac:dyDescent="0.25">
      <c r="A15" s="22" t="s">
        <v>226</v>
      </c>
    </row>
    <row r="16" spans="1:13" x14ac:dyDescent="0.25">
      <c r="A16" s="34" t="s">
        <v>79</v>
      </c>
      <c r="B16" s="34" t="s">
        <v>80</v>
      </c>
      <c r="C16" s="34" t="s">
        <v>81</v>
      </c>
      <c r="D16" s="34" t="s">
        <v>82</v>
      </c>
      <c r="E16" s="34" t="s">
        <v>83</v>
      </c>
      <c r="F16" s="34" t="s">
        <v>4</v>
      </c>
      <c r="G16" s="26"/>
      <c r="H16" s="34" t="s">
        <v>79</v>
      </c>
      <c r="I16" s="35" t="s">
        <v>80</v>
      </c>
      <c r="J16" s="34" t="s">
        <v>81</v>
      </c>
      <c r="K16" s="34" t="s">
        <v>82</v>
      </c>
      <c r="L16" s="34" t="s">
        <v>83</v>
      </c>
      <c r="M16" s="3" t="s">
        <v>4</v>
      </c>
    </row>
    <row r="17" spans="1:13" x14ac:dyDescent="0.25">
      <c r="A17" s="1"/>
      <c r="B17" s="1"/>
      <c r="C17" s="1"/>
      <c r="D17" s="1"/>
      <c r="E17" s="1"/>
      <c r="F17" s="34"/>
      <c r="H17" s="1"/>
      <c r="I17" s="36"/>
      <c r="J17" s="1"/>
      <c r="K17" s="1"/>
      <c r="L17" s="1"/>
      <c r="M17" s="34">
        <f>SUM(H17,I17,J17,K17,L17)</f>
        <v>0</v>
      </c>
    </row>
    <row r="18" spans="1:13" x14ac:dyDescent="0.25">
      <c r="A18" s="1" t="s">
        <v>167</v>
      </c>
      <c r="B18" s="1"/>
      <c r="C18" s="1"/>
      <c r="D18" s="99"/>
      <c r="E18" s="1"/>
      <c r="F18" s="34"/>
      <c r="H18" s="1" t="s">
        <v>167</v>
      </c>
      <c r="I18" s="36"/>
      <c r="J18" s="1"/>
      <c r="K18" s="1"/>
      <c r="L18" s="1"/>
      <c r="M18" s="34">
        <f t="shared" ref="M18:M22" si="0">SUM(H18,I18,J18,K18,L18)</f>
        <v>0</v>
      </c>
    </row>
    <row r="19" spans="1:13" x14ac:dyDescent="0.25">
      <c r="A19" s="98"/>
      <c r="B19" s="100"/>
      <c r="C19" s="1"/>
      <c r="D19" s="99"/>
      <c r="E19" s="101"/>
      <c r="F19" s="34"/>
      <c r="H19" s="1"/>
      <c r="I19" s="36"/>
      <c r="J19" s="1"/>
      <c r="K19" s="1"/>
      <c r="L19" s="1"/>
      <c r="M19" s="34"/>
    </row>
    <row r="20" spans="1:13" x14ac:dyDescent="0.25">
      <c r="A20" s="1" t="s">
        <v>109</v>
      </c>
      <c r="B20" s="1"/>
      <c r="C20" s="1"/>
      <c r="D20" s="4"/>
      <c r="E20" s="1"/>
      <c r="F20" s="34"/>
      <c r="H20" s="1" t="s">
        <v>109</v>
      </c>
      <c r="I20" s="36"/>
      <c r="J20" s="1"/>
      <c r="K20" s="1"/>
      <c r="L20" s="1"/>
      <c r="M20" s="34">
        <f t="shared" si="0"/>
        <v>0</v>
      </c>
    </row>
    <row r="21" spans="1:13" x14ac:dyDescent="0.25">
      <c r="A21" s="1" t="s">
        <v>272</v>
      </c>
      <c r="B21" s="1"/>
      <c r="C21" s="1"/>
      <c r="D21" s="1"/>
      <c r="E21" s="1"/>
      <c r="F21" s="34"/>
      <c r="H21" s="1" t="s">
        <v>272</v>
      </c>
      <c r="I21" s="36"/>
      <c r="J21" s="1"/>
      <c r="K21" s="1"/>
      <c r="L21" s="1"/>
      <c r="M21" s="34">
        <f t="shared" si="0"/>
        <v>0</v>
      </c>
    </row>
    <row r="22" spans="1:13" x14ac:dyDescent="0.25">
      <c r="A22" s="4"/>
      <c r="B22" s="4"/>
      <c r="C22" s="4"/>
      <c r="D22" s="5"/>
      <c r="E22" s="4"/>
      <c r="F22" s="34"/>
      <c r="G22" s="40"/>
      <c r="H22" s="4"/>
      <c r="I22" s="30"/>
      <c r="J22" s="4"/>
      <c r="K22" s="4"/>
      <c r="L22" s="4"/>
      <c r="M22" s="34">
        <f t="shared" si="0"/>
        <v>0</v>
      </c>
    </row>
    <row r="23" spans="1:13" x14ac:dyDescent="0.25">
      <c r="A23" s="112" t="s">
        <v>4</v>
      </c>
      <c r="B23" s="113"/>
      <c r="C23" s="113"/>
      <c r="D23" s="113"/>
      <c r="E23" s="114"/>
      <c r="F23" s="2">
        <f>SUM(F17:F22)</f>
        <v>0</v>
      </c>
      <c r="G23" s="40"/>
      <c r="H23" s="112" t="s">
        <v>4</v>
      </c>
      <c r="I23" s="113"/>
      <c r="J23" s="113"/>
      <c r="K23" s="113"/>
      <c r="L23" s="114"/>
      <c r="M23" s="2">
        <f>SUM(M17:M22)</f>
        <v>0</v>
      </c>
    </row>
    <row r="24" spans="1:13" x14ac:dyDescent="0.25">
      <c r="A24" s="55"/>
      <c r="B24" s="55"/>
      <c r="C24" s="55"/>
      <c r="D24" s="55"/>
      <c r="E24" s="55"/>
      <c r="F24" s="56"/>
      <c r="G24" s="40"/>
      <c r="H24" s="55"/>
      <c r="I24" s="55"/>
      <c r="J24" s="55"/>
      <c r="K24" s="55"/>
      <c r="L24" s="55"/>
      <c r="M24" s="56"/>
    </row>
    <row r="25" spans="1:13" x14ac:dyDescent="0.25">
      <c r="A25" s="41" t="s">
        <v>77</v>
      </c>
      <c r="B25" s="40"/>
      <c r="C25" s="40"/>
      <c r="D25" s="40"/>
      <c r="E25" s="40"/>
      <c r="F25" s="40"/>
      <c r="G25" s="40"/>
      <c r="H25" s="41" t="s">
        <v>78</v>
      </c>
      <c r="I25" s="40"/>
      <c r="J25" s="40"/>
      <c r="K25" s="40"/>
      <c r="L25" s="40"/>
    </row>
    <row r="26" spans="1:13" x14ac:dyDescent="0.25">
      <c r="A26" s="4" t="s">
        <v>79</v>
      </c>
      <c r="B26" s="4" t="s">
        <v>80</v>
      </c>
      <c r="C26" s="4" t="s">
        <v>81</v>
      </c>
      <c r="D26" s="4" t="s">
        <v>82</v>
      </c>
      <c r="E26" s="4" t="s">
        <v>83</v>
      </c>
      <c r="F26" s="3" t="s">
        <v>4</v>
      </c>
      <c r="G26" s="40"/>
      <c r="H26" s="4" t="s">
        <v>79</v>
      </c>
      <c r="I26" s="30" t="s">
        <v>80</v>
      </c>
      <c r="J26" s="4" t="s">
        <v>81</v>
      </c>
      <c r="K26" s="4" t="s">
        <v>82</v>
      </c>
      <c r="L26" s="4" t="s">
        <v>83</v>
      </c>
      <c r="M26" s="3" t="s">
        <v>4</v>
      </c>
    </row>
    <row r="27" spans="1:13" x14ac:dyDescent="0.25">
      <c r="A27" s="4">
        <f>6.15*2.27</f>
        <v>13.960500000000001</v>
      </c>
      <c r="B27" s="4">
        <f>1.2*2.27</f>
        <v>2.7239999999999998</v>
      </c>
      <c r="C27" s="4"/>
      <c r="D27" s="4"/>
      <c r="E27" s="4"/>
      <c r="F27" s="34">
        <f>SUM(A27,B27,C27,D27,E27)</f>
        <v>16.6845</v>
      </c>
      <c r="G27" s="40"/>
      <c r="H27" s="4">
        <f>3.02*2.27</f>
        <v>6.8554000000000004</v>
      </c>
      <c r="I27" s="4">
        <f t="shared" ref="I27" si="1">3.02*2.27</f>
        <v>6.8554000000000004</v>
      </c>
      <c r="J27" s="4">
        <f>2.02*2.27</f>
        <v>4.5853999999999999</v>
      </c>
      <c r="K27" s="4"/>
      <c r="L27" s="4"/>
      <c r="M27" s="34">
        <f>SUM(H27,I27,J27,K27,L27)</f>
        <v>18.296199999999999</v>
      </c>
    </row>
    <row r="28" spans="1:13" x14ac:dyDescent="0.25">
      <c r="A28" s="4"/>
      <c r="B28" s="4"/>
      <c r="C28" s="4"/>
      <c r="D28" s="4"/>
      <c r="E28" s="4"/>
      <c r="F28" s="34">
        <f t="shared" ref="F28:F35" si="2">SUM(A28,B28,C28,D28,E28)</f>
        <v>0</v>
      </c>
      <c r="G28" s="40"/>
      <c r="H28" s="4">
        <f>1.5*3.02/2</f>
        <v>2.2650000000000001</v>
      </c>
      <c r="I28" s="30"/>
      <c r="J28" s="4"/>
      <c r="K28" s="4"/>
      <c r="L28" s="4"/>
      <c r="M28" s="34">
        <f t="shared" ref="M28:M35" si="3">SUM(H28,I28,J28,K28,L28)</f>
        <v>2.2650000000000001</v>
      </c>
    </row>
    <row r="29" spans="1:13" x14ac:dyDescent="0.25">
      <c r="A29" s="4"/>
      <c r="B29" s="4"/>
      <c r="C29" s="4"/>
      <c r="D29" s="5"/>
      <c r="E29" s="4"/>
      <c r="F29" s="34">
        <f t="shared" ref="F29" si="4">SUM(A29,B29,C29,D29,E29)</f>
        <v>0</v>
      </c>
      <c r="G29" s="40"/>
      <c r="H29" s="4"/>
      <c r="I29" s="30"/>
      <c r="J29" s="4"/>
      <c r="K29" s="4"/>
      <c r="L29" s="4"/>
      <c r="M29" s="34">
        <f t="shared" ref="M29" si="5">SUM(H29,I29,J29,K29,L29)</f>
        <v>0</v>
      </c>
    </row>
    <row r="30" spans="1:13" x14ac:dyDescent="0.25">
      <c r="A30" s="115" t="s">
        <v>108</v>
      </c>
      <c r="B30" s="116"/>
      <c r="C30" s="116"/>
      <c r="D30" s="116"/>
      <c r="E30" s="117"/>
      <c r="F30" s="34">
        <f t="shared" si="2"/>
        <v>0</v>
      </c>
      <c r="G30" s="40"/>
      <c r="H30" s="115" t="s">
        <v>108</v>
      </c>
      <c r="I30" s="116"/>
      <c r="J30" s="116"/>
      <c r="K30" s="116"/>
      <c r="L30" s="117"/>
      <c r="M30" s="34">
        <f t="shared" si="3"/>
        <v>0</v>
      </c>
    </row>
    <row r="31" spans="1:13" x14ac:dyDescent="0.25">
      <c r="A31" s="4"/>
      <c r="B31" s="4"/>
      <c r="C31" s="4"/>
      <c r="D31" s="4"/>
      <c r="E31" s="4"/>
      <c r="F31" s="34">
        <f t="shared" si="2"/>
        <v>0</v>
      </c>
      <c r="G31" s="40"/>
      <c r="H31" s="4"/>
      <c r="I31" s="30"/>
      <c r="J31" s="4"/>
      <c r="K31" s="4"/>
      <c r="L31" s="4"/>
      <c r="M31" s="34">
        <f t="shared" si="3"/>
        <v>0</v>
      </c>
    </row>
    <row r="32" spans="1:13" x14ac:dyDescent="0.25">
      <c r="A32" s="4"/>
      <c r="B32" s="4"/>
      <c r="C32" s="4"/>
      <c r="D32" s="5"/>
      <c r="E32" s="4"/>
      <c r="F32" s="34">
        <f t="shared" si="2"/>
        <v>0</v>
      </c>
      <c r="G32" s="40"/>
      <c r="H32" s="4"/>
      <c r="I32" s="30"/>
      <c r="J32" s="4"/>
      <c r="K32" s="4"/>
      <c r="L32" s="4"/>
      <c r="M32" s="34">
        <f t="shared" si="3"/>
        <v>0</v>
      </c>
    </row>
    <row r="33" spans="1:16" x14ac:dyDescent="0.25">
      <c r="A33" s="115" t="s">
        <v>181</v>
      </c>
      <c r="B33" s="116"/>
      <c r="C33" s="116"/>
      <c r="D33" s="116"/>
      <c r="E33" s="117"/>
      <c r="F33" s="34">
        <f t="shared" si="2"/>
        <v>0</v>
      </c>
      <c r="G33" s="40"/>
      <c r="H33" s="115" t="s">
        <v>181</v>
      </c>
      <c r="I33" s="116"/>
      <c r="J33" s="116"/>
      <c r="K33" s="116"/>
      <c r="L33" s="117"/>
      <c r="M33" s="34">
        <f t="shared" si="3"/>
        <v>0</v>
      </c>
    </row>
    <row r="34" spans="1:16" x14ac:dyDescent="0.25">
      <c r="A34" s="38"/>
      <c r="B34" s="4"/>
      <c r="C34" s="4"/>
      <c r="D34" s="4"/>
      <c r="E34" s="4"/>
      <c r="F34" s="34">
        <f t="shared" si="2"/>
        <v>0</v>
      </c>
      <c r="G34" s="40"/>
      <c r="H34" s="57"/>
      <c r="I34" s="30"/>
      <c r="J34" s="4"/>
      <c r="K34" s="4"/>
      <c r="L34" s="4"/>
      <c r="M34" s="34">
        <f t="shared" si="3"/>
        <v>0</v>
      </c>
    </row>
    <row r="35" spans="1:16" x14ac:dyDescent="0.25">
      <c r="A35" s="4"/>
      <c r="B35" s="4"/>
      <c r="C35" s="4"/>
      <c r="D35" s="4"/>
      <c r="E35" s="4"/>
      <c r="F35" s="34">
        <f t="shared" si="2"/>
        <v>0</v>
      </c>
      <c r="G35" s="40"/>
      <c r="H35" s="4"/>
      <c r="I35" s="30"/>
      <c r="J35" s="4"/>
      <c r="K35" s="4"/>
      <c r="L35" s="4"/>
      <c r="M35" s="34">
        <f t="shared" si="3"/>
        <v>0</v>
      </c>
    </row>
    <row r="36" spans="1:16" x14ac:dyDescent="0.25">
      <c r="A36" s="112" t="s">
        <v>4</v>
      </c>
      <c r="B36" s="113"/>
      <c r="C36" s="113"/>
      <c r="D36" s="113"/>
      <c r="E36" s="114"/>
      <c r="F36" s="2">
        <f>SUM(F27:F35)</f>
        <v>16.6845</v>
      </c>
      <c r="G36" s="40"/>
      <c r="H36" s="112" t="s">
        <v>4</v>
      </c>
      <c r="I36" s="113"/>
      <c r="J36" s="113"/>
      <c r="K36" s="113"/>
      <c r="L36" s="114"/>
      <c r="M36" s="2">
        <f>SUM(M27:M35)</f>
        <v>20.561199999999999</v>
      </c>
      <c r="O36">
        <f>F36+M36</f>
        <v>37.245699999999999</v>
      </c>
      <c r="P36">
        <f>O36*0.3</f>
        <v>11.17371</v>
      </c>
    </row>
    <row r="38" spans="1:16" x14ac:dyDescent="0.25">
      <c r="A38" s="41" t="s">
        <v>111</v>
      </c>
      <c r="B38" s="40"/>
      <c r="C38" s="40"/>
      <c r="D38" s="40"/>
      <c r="E38" s="40"/>
      <c r="F38" s="40"/>
      <c r="G38" s="40"/>
      <c r="H38" s="41" t="s">
        <v>110</v>
      </c>
      <c r="I38" s="40"/>
      <c r="J38" s="40"/>
      <c r="K38" s="40"/>
      <c r="L38" s="40"/>
      <c r="O38">
        <f>O36/2.4</f>
        <v>15.519041666666666</v>
      </c>
      <c r="P38">
        <f>O38*0.3</f>
        <v>4.6557124999999999</v>
      </c>
    </row>
    <row r="39" spans="1:16" x14ac:dyDescent="0.25">
      <c r="A39" s="4" t="s">
        <v>79</v>
      </c>
      <c r="B39" s="4" t="s">
        <v>80</v>
      </c>
      <c r="C39" s="4" t="s">
        <v>81</v>
      </c>
      <c r="D39" s="4" t="s">
        <v>82</v>
      </c>
      <c r="E39" s="4" t="s">
        <v>83</v>
      </c>
      <c r="F39" s="3" t="s">
        <v>4</v>
      </c>
      <c r="G39" s="40"/>
      <c r="H39" s="4" t="s">
        <v>79</v>
      </c>
      <c r="I39" s="30" t="s">
        <v>80</v>
      </c>
      <c r="J39" s="4" t="s">
        <v>81</v>
      </c>
      <c r="K39" s="4" t="s">
        <v>82</v>
      </c>
      <c r="L39" s="4" t="s">
        <v>83</v>
      </c>
      <c r="M39" s="3" t="s">
        <v>4</v>
      </c>
    </row>
    <row r="40" spans="1:16" x14ac:dyDescent="0.25">
      <c r="A40" s="4">
        <v>2.27</v>
      </c>
      <c r="B40" s="4">
        <v>2.27</v>
      </c>
      <c r="C40" s="4">
        <v>2.27</v>
      </c>
      <c r="D40" s="4"/>
      <c r="E40" s="4"/>
      <c r="F40" s="34">
        <f>SUM(A40,B40,C40,D40,E40)</f>
        <v>6.8100000000000005</v>
      </c>
      <c r="G40" s="40"/>
      <c r="H40" s="4"/>
      <c r="I40" s="4"/>
      <c r="J40" s="4"/>
      <c r="K40" s="4"/>
      <c r="L40" s="4"/>
      <c r="M40" s="34">
        <f>SUM(H40,I40,J40,K40,L40)</f>
        <v>0</v>
      </c>
    </row>
    <row r="41" spans="1:16" x14ac:dyDescent="0.25">
      <c r="A41" s="4"/>
      <c r="B41" s="4"/>
      <c r="C41" s="4"/>
      <c r="D41" s="4"/>
      <c r="E41" s="4"/>
      <c r="F41" s="34">
        <f t="shared" ref="F41:F48" si="6">SUM(A41,B41,C41,D41,E41)</f>
        <v>0</v>
      </c>
      <c r="G41" s="40"/>
      <c r="H41" s="4"/>
      <c r="I41" s="30"/>
      <c r="J41" s="4"/>
      <c r="K41" s="4"/>
      <c r="L41" s="4"/>
      <c r="M41" s="34">
        <f t="shared" ref="M41:M48" si="7">SUM(H41,I41,J41,K41,L41)</f>
        <v>0</v>
      </c>
    </row>
    <row r="42" spans="1:16" x14ac:dyDescent="0.25">
      <c r="A42" s="4"/>
      <c r="B42" s="4"/>
      <c r="C42" s="4"/>
      <c r="D42" s="5"/>
      <c r="E42" s="4"/>
      <c r="F42" s="34">
        <f t="shared" ref="F42" si="8">SUM(A42,B42,C42,D42,E42)</f>
        <v>0</v>
      </c>
      <c r="G42" s="40"/>
      <c r="H42" s="4"/>
      <c r="I42" s="30"/>
      <c r="J42" s="4"/>
      <c r="K42" s="4"/>
      <c r="L42" s="4"/>
      <c r="M42" s="34">
        <f t="shared" ref="M42" si="9">SUM(H42,I42,J42,K42,L42)</f>
        <v>0</v>
      </c>
    </row>
    <row r="43" spans="1:16" x14ac:dyDescent="0.25">
      <c r="A43" s="115" t="s">
        <v>108</v>
      </c>
      <c r="B43" s="116"/>
      <c r="C43" s="116"/>
      <c r="D43" s="116"/>
      <c r="E43" s="117"/>
      <c r="F43" s="34">
        <f t="shared" si="6"/>
        <v>0</v>
      </c>
      <c r="G43" s="40"/>
      <c r="H43" s="115" t="s">
        <v>108</v>
      </c>
      <c r="I43" s="116"/>
      <c r="J43" s="116"/>
      <c r="K43" s="116"/>
      <c r="L43" s="117"/>
      <c r="M43" s="34">
        <f t="shared" si="7"/>
        <v>0</v>
      </c>
    </row>
    <row r="44" spans="1:16" x14ac:dyDescent="0.25">
      <c r="A44" s="4"/>
      <c r="B44" s="4"/>
      <c r="C44" s="4"/>
      <c r="D44" s="4"/>
      <c r="E44" s="4"/>
      <c r="F44" s="34">
        <f t="shared" si="6"/>
        <v>0</v>
      </c>
      <c r="G44" s="40"/>
      <c r="H44" s="4"/>
      <c r="I44" s="30"/>
      <c r="J44" s="4"/>
      <c r="K44" s="4"/>
      <c r="L44" s="4"/>
      <c r="M44" s="34">
        <f t="shared" si="7"/>
        <v>0</v>
      </c>
    </row>
    <row r="45" spans="1:16" x14ac:dyDescent="0.25">
      <c r="A45" s="4"/>
      <c r="B45" s="4"/>
      <c r="C45" s="4"/>
      <c r="D45" s="5"/>
      <c r="E45" s="4"/>
      <c r="F45" s="34">
        <f t="shared" si="6"/>
        <v>0</v>
      </c>
      <c r="G45" s="40"/>
      <c r="H45" s="4"/>
      <c r="I45" s="30"/>
      <c r="J45" s="4"/>
      <c r="K45" s="4"/>
      <c r="L45" s="4"/>
      <c r="M45" s="34">
        <f t="shared" si="7"/>
        <v>0</v>
      </c>
    </row>
    <row r="46" spans="1:16" x14ac:dyDescent="0.25">
      <c r="A46" s="115" t="s">
        <v>181</v>
      </c>
      <c r="B46" s="116"/>
      <c r="C46" s="116"/>
      <c r="D46" s="116"/>
      <c r="E46" s="117"/>
      <c r="F46" s="34">
        <f t="shared" si="6"/>
        <v>0</v>
      </c>
      <c r="G46" s="40"/>
      <c r="H46" s="115" t="s">
        <v>181</v>
      </c>
      <c r="I46" s="116"/>
      <c r="J46" s="116"/>
      <c r="K46" s="116"/>
      <c r="L46" s="117"/>
      <c r="M46" s="34">
        <f t="shared" si="7"/>
        <v>0</v>
      </c>
    </row>
    <row r="47" spans="1:16" x14ac:dyDescent="0.25">
      <c r="A47" s="4"/>
      <c r="B47" s="4"/>
      <c r="C47" s="4"/>
      <c r="D47" s="4"/>
      <c r="E47" s="4"/>
      <c r="F47" s="34">
        <f t="shared" si="6"/>
        <v>0</v>
      </c>
      <c r="G47" s="40"/>
      <c r="H47" s="4"/>
      <c r="I47" s="30"/>
      <c r="J47" s="4"/>
      <c r="K47" s="4"/>
      <c r="L47" s="4"/>
      <c r="M47" s="34">
        <f t="shared" si="7"/>
        <v>0</v>
      </c>
    </row>
    <row r="48" spans="1:16" x14ac:dyDescent="0.25">
      <c r="A48" s="4"/>
      <c r="B48" s="4"/>
      <c r="C48" s="4"/>
      <c r="D48" s="4"/>
      <c r="E48" s="4"/>
      <c r="F48" s="34">
        <f t="shared" si="6"/>
        <v>0</v>
      </c>
      <c r="G48" s="40"/>
      <c r="H48" s="4"/>
      <c r="I48" s="30"/>
      <c r="J48" s="4"/>
      <c r="K48" s="4"/>
      <c r="L48" s="4"/>
      <c r="M48" s="34">
        <f t="shared" si="7"/>
        <v>0</v>
      </c>
    </row>
    <row r="49" spans="1:15" x14ac:dyDescent="0.25">
      <c r="A49" s="112" t="s">
        <v>4</v>
      </c>
      <c r="B49" s="113"/>
      <c r="C49" s="113"/>
      <c r="D49" s="113"/>
      <c r="E49" s="114"/>
      <c r="F49" s="2">
        <f>SUM(F40:F48)</f>
        <v>6.8100000000000005</v>
      </c>
      <c r="G49" s="40"/>
      <c r="H49" s="112" t="s">
        <v>4</v>
      </c>
      <c r="I49" s="113"/>
      <c r="J49" s="113"/>
      <c r="K49" s="113"/>
      <c r="L49" s="114"/>
      <c r="M49" s="2">
        <f>SUM(M40:M48)</f>
        <v>0</v>
      </c>
      <c r="O49">
        <f>F49+M49</f>
        <v>6.8100000000000005</v>
      </c>
    </row>
    <row r="50" spans="1:15" x14ac:dyDescent="0.25">
      <c r="D50" s="99">
        <f>'cantid. obra'!F62+'cantid. obra'!M62</f>
        <v>21.36</v>
      </c>
    </row>
    <row r="51" spans="1:15" x14ac:dyDescent="0.25">
      <c r="A51" s="41" t="s">
        <v>118</v>
      </c>
      <c r="B51" s="40"/>
      <c r="C51" s="40"/>
      <c r="D51" s="40"/>
      <c r="E51" s="40"/>
      <c r="F51" s="40"/>
      <c r="G51" s="40"/>
      <c r="H51" s="41" t="s">
        <v>119</v>
      </c>
      <c r="I51" s="40"/>
      <c r="J51" s="40"/>
      <c r="K51" s="40"/>
      <c r="L51" s="40"/>
    </row>
    <row r="52" spans="1:15" x14ac:dyDescent="0.25">
      <c r="A52" s="4" t="s">
        <v>79</v>
      </c>
      <c r="B52" s="4" t="s">
        <v>80</v>
      </c>
      <c r="C52" s="4" t="s">
        <v>81</v>
      </c>
      <c r="D52" s="4" t="s">
        <v>82</v>
      </c>
      <c r="E52" s="4" t="s">
        <v>83</v>
      </c>
      <c r="F52" s="3" t="s">
        <v>4</v>
      </c>
      <c r="G52" s="40"/>
      <c r="H52" s="4" t="s">
        <v>79</v>
      </c>
      <c r="I52" s="30" t="s">
        <v>80</v>
      </c>
      <c r="J52" s="4" t="s">
        <v>81</v>
      </c>
      <c r="K52" s="4" t="s">
        <v>82</v>
      </c>
      <c r="L52" s="4" t="s">
        <v>83</v>
      </c>
      <c r="M52" s="3" t="s">
        <v>4</v>
      </c>
    </row>
    <row r="53" spans="1:15" x14ac:dyDescent="0.25">
      <c r="A53" s="4">
        <v>6.15</v>
      </c>
      <c r="B53" s="4">
        <v>6.15</v>
      </c>
      <c r="C53" s="4"/>
      <c r="D53" s="4"/>
      <c r="E53" s="4"/>
      <c r="F53" s="34">
        <f>SUM(A53,B53,C53,D53,E53)</f>
        <v>12.3</v>
      </c>
      <c r="G53" s="40"/>
      <c r="H53" s="4">
        <v>3.02</v>
      </c>
      <c r="I53" s="4">
        <v>3.02</v>
      </c>
      <c r="J53" s="4">
        <v>3.02</v>
      </c>
      <c r="K53" s="4"/>
      <c r="L53" s="4"/>
      <c r="M53" s="34">
        <f>SUM(H53,I53,J53,K53,L53)</f>
        <v>9.06</v>
      </c>
    </row>
    <row r="54" spans="1:15" x14ac:dyDescent="0.25">
      <c r="A54" s="4"/>
      <c r="B54" s="4"/>
      <c r="C54" s="4"/>
      <c r="D54" s="4"/>
      <c r="E54" s="4"/>
      <c r="F54" s="34">
        <f t="shared" ref="F54:F61" si="10">SUM(A54,B54,C54,D54,E54)</f>
        <v>0</v>
      </c>
      <c r="G54" s="40"/>
      <c r="H54" s="4"/>
      <c r="I54" s="30"/>
      <c r="J54" s="4"/>
      <c r="K54" s="4"/>
      <c r="L54" s="4"/>
      <c r="M54" s="34">
        <f t="shared" ref="M54:M61" si="11">SUM(H54,I54,J54,K54,L54)</f>
        <v>0</v>
      </c>
    </row>
    <row r="55" spans="1:15" x14ac:dyDescent="0.25">
      <c r="A55" s="4"/>
      <c r="B55" s="4"/>
      <c r="C55" s="4"/>
      <c r="D55" s="5"/>
      <c r="E55" s="4"/>
      <c r="F55" s="34">
        <f t="shared" ref="F55" si="12">SUM(A55,B55,C55,D55,E55)</f>
        <v>0</v>
      </c>
      <c r="G55" s="40"/>
      <c r="H55" s="4"/>
      <c r="I55" s="30"/>
      <c r="J55" s="4"/>
      <c r="K55" s="4"/>
      <c r="L55" s="4"/>
      <c r="M55" s="34">
        <f t="shared" ref="M55" si="13">SUM(H55,I55,J55,K55,L55)</f>
        <v>0</v>
      </c>
    </row>
    <row r="56" spans="1:15" x14ac:dyDescent="0.25">
      <c r="A56" s="115" t="s">
        <v>108</v>
      </c>
      <c r="B56" s="116"/>
      <c r="C56" s="116"/>
      <c r="D56" s="116"/>
      <c r="E56" s="117"/>
      <c r="F56" s="34">
        <f t="shared" si="10"/>
        <v>0</v>
      </c>
      <c r="G56" s="40"/>
      <c r="H56" s="115" t="s">
        <v>108</v>
      </c>
      <c r="I56" s="116"/>
      <c r="J56" s="116"/>
      <c r="K56" s="116"/>
      <c r="L56" s="117"/>
      <c r="M56" s="34">
        <f t="shared" si="11"/>
        <v>0</v>
      </c>
    </row>
    <row r="57" spans="1:15" x14ac:dyDescent="0.25">
      <c r="A57" s="4"/>
      <c r="B57" s="4"/>
      <c r="C57" s="4"/>
      <c r="D57" s="4"/>
      <c r="E57" s="4"/>
      <c r="F57" s="34">
        <f t="shared" si="10"/>
        <v>0</v>
      </c>
      <c r="G57" s="40"/>
      <c r="H57" s="4"/>
      <c r="I57" s="30"/>
      <c r="J57" s="4"/>
      <c r="K57" s="4"/>
      <c r="L57" s="4"/>
      <c r="M57" s="34">
        <f t="shared" si="11"/>
        <v>0</v>
      </c>
    </row>
    <row r="58" spans="1:15" x14ac:dyDescent="0.25">
      <c r="A58" s="4"/>
      <c r="B58" s="4"/>
      <c r="C58" s="4"/>
      <c r="D58" s="5"/>
      <c r="E58" s="4"/>
      <c r="F58" s="34">
        <f t="shared" si="10"/>
        <v>0</v>
      </c>
      <c r="G58" s="40"/>
      <c r="H58" s="4"/>
      <c r="I58" s="30"/>
      <c r="J58" s="4"/>
      <c r="K58" s="4"/>
      <c r="L58" s="4"/>
      <c r="M58" s="34">
        <f t="shared" si="11"/>
        <v>0</v>
      </c>
    </row>
    <row r="59" spans="1:15" x14ac:dyDescent="0.25">
      <c r="A59" s="115" t="s">
        <v>181</v>
      </c>
      <c r="B59" s="116"/>
      <c r="C59" s="116"/>
      <c r="D59" s="116"/>
      <c r="E59" s="117"/>
      <c r="F59" s="34">
        <f t="shared" si="10"/>
        <v>0</v>
      </c>
      <c r="G59" s="40"/>
      <c r="H59" s="115" t="s">
        <v>181</v>
      </c>
      <c r="I59" s="116"/>
      <c r="J59" s="116"/>
      <c r="K59" s="116"/>
      <c r="L59" s="117"/>
      <c r="M59" s="34">
        <f t="shared" si="11"/>
        <v>0</v>
      </c>
    </row>
    <row r="60" spans="1:15" x14ac:dyDescent="0.25">
      <c r="A60" s="4"/>
      <c r="B60" s="4"/>
      <c r="C60" s="4"/>
      <c r="D60" s="4"/>
      <c r="E60" s="4"/>
      <c r="F60" s="34">
        <f t="shared" si="10"/>
        <v>0</v>
      </c>
      <c r="G60" s="40"/>
      <c r="H60" s="4"/>
      <c r="I60" s="30"/>
      <c r="J60" s="4"/>
      <c r="K60" s="4"/>
      <c r="L60" s="4"/>
      <c r="M60" s="34">
        <f t="shared" si="11"/>
        <v>0</v>
      </c>
    </row>
    <row r="61" spans="1:15" x14ac:dyDescent="0.25">
      <c r="A61" s="4"/>
      <c r="B61" s="4"/>
      <c r="C61" s="4"/>
      <c r="D61" s="4"/>
      <c r="E61" s="4"/>
      <c r="F61" s="34">
        <f t="shared" si="10"/>
        <v>0</v>
      </c>
      <c r="G61" s="40"/>
      <c r="H61" s="4"/>
      <c r="I61" s="30"/>
      <c r="J61" s="4"/>
      <c r="K61" s="4"/>
      <c r="L61" s="4"/>
      <c r="M61" s="34">
        <f t="shared" si="11"/>
        <v>0</v>
      </c>
    </row>
    <row r="62" spans="1:15" x14ac:dyDescent="0.25">
      <c r="A62" s="112" t="s">
        <v>4</v>
      </c>
      <c r="B62" s="113"/>
      <c r="C62" s="113"/>
      <c r="D62" s="113"/>
      <c r="E62" s="114"/>
      <c r="F62" s="2">
        <f>SUM(F53:F61)</f>
        <v>12.3</v>
      </c>
      <c r="G62" s="40"/>
      <c r="H62" s="112" t="s">
        <v>4</v>
      </c>
      <c r="I62" s="113"/>
      <c r="J62" s="113"/>
      <c r="K62" s="113"/>
      <c r="L62" s="114"/>
      <c r="M62" s="2">
        <f>SUM(M53:M61)</f>
        <v>9.06</v>
      </c>
      <c r="O62">
        <f>F62+M62</f>
        <v>21.36</v>
      </c>
    </row>
    <row r="63" spans="1:15" x14ac:dyDescent="0.25">
      <c r="A63" s="55"/>
      <c r="B63" s="55"/>
      <c r="C63" s="55"/>
      <c r="D63" s="55"/>
      <c r="E63" s="55"/>
      <c r="F63" s="56"/>
      <c r="G63" s="40"/>
      <c r="H63" s="55"/>
      <c r="I63" s="55"/>
      <c r="J63" s="55"/>
      <c r="K63" s="55"/>
      <c r="L63" s="55"/>
      <c r="M63" s="56"/>
    </row>
    <row r="64" spans="1:15" x14ac:dyDescent="0.25">
      <c r="A64" s="41" t="s">
        <v>182</v>
      </c>
      <c r="B64" s="40"/>
      <c r="C64" s="40"/>
      <c r="D64" s="40"/>
      <c r="E64" s="40"/>
      <c r="F64" s="40"/>
      <c r="G64" s="40"/>
      <c r="H64" s="41" t="s">
        <v>171</v>
      </c>
      <c r="I64" s="40"/>
      <c r="J64" s="40"/>
      <c r="K64" s="40"/>
      <c r="L64" s="40"/>
    </row>
    <row r="65" spans="1:15" x14ac:dyDescent="0.25">
      <c r="A65" s="115" t="s">
        <v>189</v>
      </c>
      <c r="B65" s="116"/>
      <c r="C65" s="116"/>
      <c r="D65" s="116"/>
      <c r="E65" s="117"/>
      <c r="F65" s="3" t="s">
        <v>4</v>
      </c>
      <c r="G65" s="40"/>
      <c r="H65" s="58"/>
      <c r="I65" s="58"/>
      <c r="J65" s="58"/>
      <c r="K65" s="58"/>
      <c r="L65" s="58"/>
      <c r="M65" s="3" t="s">
        <v>4</v>
      </c>
    </row>
    <row r="66" spans="1:15" x14ac:dyDescent="0.25">
      <c r="A66" s="4"/>
      <c r="B66" s="4"/>
      <c r="C66" s="4"/>
      <c r="D66" s="4"/>
      <c r="E66" s="4"/>
      <c r="F66" s="34">
        <f>A66*B66</f>
        <v>0</v>
      </c>
      <c r="G66" s="40"/>
      <c r="H66" s="4"/>
      <c r="I66" s="4"/>
      <c r="J66" s="4"/>
      <c r="K66" s="4"/>
      <c r="L66" s="4"/>
      <c r="M66" s="34">
        <f>SUM(H66,I66,J66,K66,L66)</f>
        <v>0</v>
      </c>
    </row>
    <row r="67" spans="1:15" x14ac:dyDescent="0.25">
      <c r="A67" s="4"/>
      <c r="B67" s="4"/>
      <c r="C67" s="4"/>
      <c r="D67" s="4"/>
      <c r="E67" s="4"/>
      <c r="F67" s="34">
        <f t="shared" ref="F67:F77" si="14">A67*B67</f>
        <v>0</v>
      </c>
      <c r="G67" s="40"/>
      <c r="H67" s="4"/>
      <c r="I67" s="4"/>
      <c r="J67" s="4"/>
      <c r="K67" s="4"/>
      <c r="L67" s="4"/>
      <c r="M67" s="34">
        <f t="shared" ref="M67:M77" si="15">SUM(H67,I67,J67,K67,L67)</f>
        <v>0</v>
      </c>
    </row>
    <row r="68" spans="1:15" x14ac:dyDescent="0.25">
      <c r="A68" s="115" t="s">
        <v>108</v>
      </c>
      <c r="B68" s="116"/>
      <c r="C68" s="116"/>
      <c r="D68" s="116"/>
      <c r="E68" s="117"/>
      <c r="F68" s="34"/>
      <c r="G68" s="40"/>
      <c r="H68" s="58"/>
      <c r="I68" s="58"/>
      <c r="J68" s="58"/>
      <c r="K68" s="58"/>
      <c r="L68" s="58"/>
      <c r="M68" s="34">
        <f t="shared" si="15"/>
        <v>0</v>
      </c>
    </row>
    <row r="69" spans="1:15" x14ac:dyDescent="0.25">
      <c r="A69" s="26"/>
      <c r="B69" s="1"/>
      <c r="C69" s="96"/>
      <c r="D69" s="104"/>
      <c r="E69" s="103"/>
      <c r="F69" s="34"/>
      <c r="G69" s="40"/>
      <c r="H69" s="58"/>
      <c r="I69" s="58"/>
      <c r="J69" s="58"/>
      <c r="K69" s="58"/>
      <c r="L69" s="58"/>
      <c r="M69" s="34"/>
    </row>
    <row r="70" spans="1:15" x14ac:dyDescent="0.25">
      <c r="A70" s="4"/>
      <c r="B70" s="4"/>
      <c r="C70" s="4"/>
      <c r="D70" s="4"/>
      <c r="E70" s="4"/>
      <c r="F70" s="34">
        <f t="shared" si="14"/>
        <v>0</v>
      </c>
      <c r="G70" s="40"/>
      <c r="H70" s="4"/>
      <c r="I70" s="4"/>
      <c r="J70" s="4"/>
      <c r="K70" s="4"/>
      <c r="L70" s="4"/>
      <c r="M70" s="34">
        <f t="shared" si="15"/>
        <v>0</v>
      </c>
    </row>
    <row r="71" spans="1:15" x14ac:dyDescent="0.25">
      <c r="A71" s="4"/>
      <c r="B71" s="4"/>
      <c r="C71" s="4"/>
      <c r="D71" s="5"/>
      <c r="E71" s="4"/>
      <c r="F71" s="34">
        <f t="shared" si="14"/>
        <v>0</v>
      </c>
      <c r="G71" s="40"/>
      <c r="H71" s="4"/>
      <c r="I71" s="4"/>
      <c r="J71" s="4"/>
      <c r="K71" s="4"/>
      <c r="L71" s="4"/>
      <c r="M71" s="34">
        <f t="shared" si="15"/>
        <v>0</v>
      </c>
    </row>
    <row r="72" spans="1:15" x14ac:dyDescent="0.25">
      <c r="A72" s="115" t="s">
        <v>181</v>
      </c>
      <c r="B72" s="116"/>
      <c r="C72" s="116"/>
      <c r="D72" s="116"/>
      <c r="E72" s="117"/>
      <c r="F72" s="34"/>
      <c r="G72" s="40"/>
      <c r="H72" s="58"/>
      <c r="I72" s="58"/>
      <c r="J72" s="58"/>
      <c r="K72" s="58"/>
      <c r="L72" s="58"/>
      <c r="M72" s="34">
        <f t="shared" si="15"/>
        <v>0</v>
      </c>
    </row>
    <row r="73" spans="1:15" x14ac:dyDescent="0.25">
      <c r="A73" s="4"/>
      <c r="B73" s="4"/>
      <c r="C73" s="4"/>
      <c r="D73" s="4"/>
      <c r="E73" s="4"/>
      <c r="F73" s="34">
        <f t="shared" si="14"/>
        <v>0</v>
      </c>
      <c r="G73" s="40"/>
      <c r="H73" s="4"/>
      <c r="I73" s="4"/>
      <c r="J73" s="4"/>
      <c r="K73" s="4"/>
      <c r="L73" s="4"/>
      <c r="M73" s="34">
        <f t="shared" si="15"/>
        <v>0</v>
      </c>
    </row>
    <row r="74" spans="1:15" x14ac:dyDescent="0.25">
      <c r="A74" s="4"/>
      <c r="B74" s="4"/>
      <c r="C74" s="4"/>
      <c r="D74" s="4"/>
      <c r="E74" s="4"/>
      <c r="F74" s="34">
        <f t="shared" si="14"/>
        <v>0</v>
      </c>
      <c r="G74" s="40"/>
      <c r="H74" s="4"/>
      <c r="I74" s="30"/>
      <c r="J74" s="4"/>
      <c r="K74" s="4"/>
      <c r="L74" s="4"/>
      <c r="M74" s="34">
        <f t="shared" si="15"/>
        <v>0</v>
      </c>
    </row>
    <row r="75" spans="1:15" x14ac:dyDescent="0.25">
      <c r="A75" s="4"/>
      <c r="B75" s="4"/>
      <c r="C75" s="4"/>
      <c r="D75" s="4"/>
      <c r="E75" s="4"/>
      <c r="F75" s="34">
        <f t="shared" si="14"/>
        <v>0</v>
      </c>
      <c r="G75" s="40"/>
      <c r="H75" s="4"/>
      <c r="I75" s="30"/>
      <c r="J75" s="4"/>
      <c r="K75" s="4"/>
      <c r="L75" s="4"/>
      <c r="M75" s="34">
        <f t="shared" si="15"/>
        <v>0</v>
      </c>
    </row>
    <row r="76" spans="1:15" x14ac:dyDescent="0.25">
      <c r="A76" s="4"/>
      <c r="B76" s="4"/>
      <c r="C76" s="4"/>
      <c r="D76" s="38"/>
      <c r="E76" s="4"/>
      <c r="F76" s="34"/>
      <c r="G76" s="40"/>
      <c r="H76" s="4"/>
      <c r="I76" s="30"/>
      <c r="J76" s="4"/>
      <c r="K76" s="4"/>
      <c r="L76" s="4"/>
      <c r="M76" s="34"/>
    </row>
    <row r="77" spans="1:15" x14ac:dyDescent="0.25">
      <c r="A77" s="4"/>
      <c r="B77" s="4"/>
      <c r="C77" s="4"/>
      <c r="D77" s="4"/>
      <c r="E77" s="4"/>
      <c r="F77" s="34">
        <f t="shared" si="14"/>
        <v>0</v>
      </c>
      <c r="G77" s="40"/>
      <c r="H77" s="4"/>
      <c r="I77" s="30"/>
      <c r="J77" s="4"/>
      <c r="K77" s="4"/>
      <c r="L77" s="4"/>
      <c r="M77" s="34">
        <f t="shared" si="15"/>
        <v>0</v>
      </c>
    </row>
    <row r="78" spans="1:15" x14ac:dyDescent="0.25">
      <c r="A78" s="112" t="s">
        <v>4</v>
      </c>
      <c r="B78" s="113"/>
      <c r="C78" s="113"/>
      <c r="D78" s="113"/>
      <c r="E78" s="114"/>
      <c r="F78" s="2">
        <f>SUM(F66:F77)</f>
        <v>0</v>
      </c>
      <c r="G78" s="40"/>
      <c r="H78" s="112" t="s">
        <v>4</v>
      </c>
      <c r="I78" s="113"/>
      <c r="J78" s="113"/>
      <c r="K78" s="113"/>
      <c r="L78" s="114"/>
      <c r="M78" s="2">
        <f>SUM(M66:M77)</f>
        <v>0</v>
      </c>
      <c r="O78">
        <f>F78+M78</f>
        <v>0</v>
      </c>
    </row>
    <row r="79" spans="1:15" x14ac:dyDescent="0.25">
      <c r="A79" s="55"/>
      <c r="B79" s="55"/>
      <c r="C79" s="55"/>
      <c r="D79" s="55"/>
      <c r="E79" s="55"/>
      <c r="F79" s="56"/>
      <c r="G79" s="40"/>
      <c r="H79" s="55"/>
      <c r="I79" s="55"/>
      <c r="J79" s="55"/>
      <c r="K79" s="55"/>
      <c r="L79" s="55"/>
      <c r="M79" s="56"/>
    </row>
    <row r="80" spans="1:15" x14ac:dyDescent="0.25">
      <c r="A80" s="41" t="s">
        <v>112</v>
      </c>
      <c r="B80" s="40"/>
      <c r="C80" s="40"/>
      <c r="D80" s="40"/>
      <c r="E80" s="40"/>
      <c r="F80" s="40"/>
      <c r="G80" s="40"/>
      <c r="H80" s="41" t="s">
        <v>113</v>
      </c>
      <c r="I80" s="40"/>
      <c r="J80" s="40"/>
      <c r="K80" s="40"/>
      <c r="L80" s="40"/>
    </row>
    <row r="81" spans="1:16" x14ac:dyDescent="0.25">
      <c r="A81" s="4" t="s">
        <v>79</v>
      </c>
      <c r="B81" s="4" t="s">
        <v>80</v>
      </c>
      <c r="C81" s="4" t="s">
        <v>81</v>
      </c>
      <c r="D81" s="4" t="s">
        <v>82</v>
      </c>
      <c r="E81" s="4" t="s">
        <v>83</v>
      </c>
      <c r="F81" s="3" t="s">
        <v>4</v>
      </c>
      <c r="G81" s="40"/>
      <c r="H81" s="4" t="s">
        <v>79</v>
      </c>
      <c r="I81" s="30" t="s">
        <v>80</v>
      </c>
      <c r="J81" s="4" t="s">
        <v>81</v>
      </c>
      <c r="K81" s="4" t="s">
        <v>82</v>
      </c>
      <c r="L81" s="4" t="s">
        <v>83</v>
      </c>
      <c r="M81" s="3" t="s">
        <v>4</v>
      </c>
    </row>
    <row r="82" spans="1:16" x14ac:dyDescent="0.25">
      <c r="A82" s="4">
        <f>6.15*2.27</f>
        <v>13.960500000000001</v>
      </c>
      <c r="B82" s="4">
        <f>1.2*2.27*2</f>
        <v>5.4479999999999995</v>
      </c>
      <c r="C82" s="4">
        <f>6.15*2.27</f>
        <v>13.960500000000001</v>
      </c>
      <c r="D82" s="4"/>
      <c r="E82" s="4"/>
      <c r="F82" s="34">
        <f>SUM(A82,B82,C82,D82,E82)</f>
        <v>33.369</v>
      </c>
      <c r="G82" s="40"/>
      <c r="H82" s="4">
        <f>3.02*2.27</f>
        <v>6.8554000000000004</v>
      </c>
      <c r="I82" s="4">
        <f>3.02*2.27*2</f>
        <v>13.710800000000001</v>
      </c>
      <c r="J82" s="4">
        <f>3.02*2.27*2</f>
        <v>13.710800000000001</v>
      </c>
      <c r="K82" s="4"/>
      <c r="L82" s="4"/>
      <c r="M82" s="34">
        <f>SUM(H82,I82,J82,K82,L82)</f>
        <v>34.277000000000001</v>
      </c>
    </row>
    <row r="83" spans="1:16" x14ac:dyDescent="0.25">
      <c r="A83" s="4"/>
      <c r="B83" s="4"/>
      <c r="C83" s="4"/>
      <c r="D83" s="4"/>
      <c r="E83" s="4"/>
      <c r="F83" s="34">
        <f t="shared" ref="F83:F89" si="16">SUM(A83,B83,C83,D83,E83)</f>
        <v>0</v>
      </c>
      <c r="G83" s="40"/>
      <c r="H83" s="4"/>
      <c r="I83" s="30"/>
      <c r="J83" s="4"/>
      <c r="K83" s="4"/>
      <c r="L83" s="4"/>
      <c r="M83" s="34">
        <f t="shared" ref="M83:M89" si="17">SUM(H83,I83,J83,K83,L83)</f>
        <v>0</v>
      </c>
    </row>
    <row r="84" spans="1:16" x14ac:dyDescent="0.25">
      <c r="A84" s="115" t="s">
        <v>108</v>
      </c>
      <c r="B84" s="116"/>
      <c r="C84" s="116"/>
      <c r="D84" s="116"/>
      <c r="E84" s="117"/>
      <c r="F84" s="34">
        <f t="shared" si="16"/>
        <v>0</v>
      </c>
      <c r="G84" s="40"/>
      <c r="H84" s="115" t="s">
        <v>108</v>
      </c>
      <c r="I84" s="116"/>
      <c r="J84" s="116"/>
      <c r="K84" s="116"/>
      <c r="L84" s="117"/>
      <c r="M84" s="34">
        <f t="shared" si="17"/>
        <v>0</v>
      </c>
    </row>
    <row r="85" spans="1:16" x14ac:dyDescent="0.25">
      <c r="A85" s="4"/>
      <c r="B85" s="4"/>
      <c r="C85" s="4"/>
      <c r="D85" s="4"/>
      <c r="E85" s="4"/>
      <c r="F85" s="34">
        <f t="shared" si="16"/>
        <v>0</v>
      </c>
      <c r="G85" s="40"/>
      <c r="H85" s="4"/>
      <c r="I85" s="30"/>
      <c r="J85" s="4"/>
      <c r="K85" s="4"/>
      <c r="L85" s="4"/>
      <c r="M85" s="34">
        <f t="shared" si="17"/>
        <v>0</v>
      </c>
    </row>
    <row r="86" spans="1:16" x14ac:dyDescent="0.25">
      <c r="A86" s="4"/>
      <c r="B86" s="4"/>
      <c r="C86" s="4"/>
      <c r="D86" s="5"/>
      <c r="E86" s="4"/>
      <c r="F86" s="34">
        <f t="shared" si="16"/>
        <v>0</v>
      </c>
      <c r="G86" s="40"/>
      <c r="H86" s="4"/>
      <c r="I86" s="30"/>
      <c r="J86" s="4"/>
      <c r="K86" s="4"/>
      <c r="L86" s="4"/>
      <c r="M86" s="34">
        <f t="shared" si="17"/>
        <v>0</v>
      </c>
    </row>
    <row r="87" spans="1:16" x14ac:dyDescent="0.25">
      <c r="A87" s="115" t="s">
        <v>181</v>
      </c>
      <c r="B87" s="116"/>
      <c r="C87" s="116"/>
      <c r="D87" s="116"/>
      <c r="E87" s="117"/>
      <c r="F87" s="34">
        <f t="shared" si="16"/>
        <v>0</v>
      </c>
      <c r="G87" s="40"/>
      <c r="H87" s="115" t="s">
        <v>181</v>
      </c>
      <c r="I87" s="116"/>
      <c r="J87" s="116"/>
      <c r="K87" s="116"/>
      <c r="L87" s="117"/>
      <c r="M87" s="34">
        <f t="shared" si="17"/>
        <v>0</v>
      </c>
    </row>
    <row r="88" spans="1:16" x14ac:dyDescent="0.25">
      <c r="A88" s="4"/>
      <c r="B88" s="4"/>
      <c r="C88" s="4"/>
      <c r="D88" s="4"/>
      <c r="E88" s="4"/>
      <c r="F88" s="34">
        <f t="shared" si="16"/>
        <v>0</v>
      </c>
      <c r="G88" s="40"/>
      <c r="H88" s="4"/>
      <c r="I88" s="30"/>
      <c r="J88" s="4"/>
      <c r="K88" s="4"/>
      <c r="L88" s="4"/>
      <c r="M88" s="34">
        <f t="shared" si="17"/>
        <v>0</v>
      </c>
    </row>
    <row r="89" spans="1:16" x14ac:dyDescent="0.25">
      <c r="A89" s="4"/>
      <c r="B89" s="4"/>
      <c r="C89" s="4"/>
      <c r="D89" s="4">
        <f>'cantid. obra'!M205</f>
        <v>1.56</v>
      </c>
      <c r="E89" s="4"/>
      <c r="F89" s="34">
        <f t="shared" si="16"/>
        <v>1.56</v>
      </c>
      <c r="G89" s="40"/>
      <c r="H89" s="4"/>
      <c r="I89" s="30"/>
      <c r="J89" s="4"/>
      <c r="K89" s="4"/>
      <c r="L89" s="4"/>
      <c r="M89" s="34">
        <f t="shared" si="17"/>
        <v>0</v>
      </c>
    </row>
    <row r="90" spans="1:16" x14ac:dyDescent="0.25">
      <c r="A90" s="112" t="s">
        <v>4</v>
      </c>
      <c r="B90" s="113"/>
      <c r="C90" s="113"/>
      <c r="D90" s="113"/>
      <c r="E90" s="114"/>
      <c r="F90" s="2">
        <f>SUM(F82:F89)</f>
        <v>34.929000000000002</v>
      </c>
      <c r="G90" s="40"/>
      <c r="H90" s="112" t="s">
        <v>4</v>
      </c>
      <c r="I90" s="113"/>
      <c r="J90" s="113"/>
      <c r="K90" s="113"/>
      <c r="L90" s="114"/>
      <c r="M90" s="2">
        <f>SUM(M82:M89)</f>
        <v>34.277000000000001</v>
      </c>
      <c r="P90">
        <f>F90+M90</f>
        <v>69.206000000000003</v>
      </c>
    </row>
    <row r="92" spans="1:16" x14ac:dyDescent="0.25">
      <c r="A92" s="41" t="s">
        <v>241</v>
      </c>
      <c r="B92" s="40"/>
      <c r="C92" s="40"/>
      <c r="D92" s="40"/>
      <c r="E92" s="40"/>
      <c r="F92" s="40"/>
      <c r="G92" s="40"/>
      <c r="H92" s="41" t="s">
        <v>199</v>
      </c>
      <c r="I92" s="40"/>
      <c r="J92" s="40"/>
      <c r="K92" s="40"/>
      <c r="L92" s="40"/>
      <c r="M92" s="40"/>
    </row>
    <row r="93" spans="1:16" x14ac:dyDescent="0.25">
      <c r="A93" s="115" t="s">
        <v>5</v>
      </c>
      <c r="B93" s="116"/>
      <c r="C93" s="116"/>
      <c r="D93" s="116"/>
      <c r="E93" s="117"/>
      <c r="F93" s="3" t="s">
        <v>4</v>
      </c>
      <c r="G93" s="40"/>
      <c r="H93" s="115" t="s">
        <v>5</v>
      </c>
      <c r="I93" s="116"/>
      <c r="J93" s="116"/>
      <c r="K93" s="116"/>
      <c r="L93" s="117"/>
      <c r="M93" s="3" t="s">
        <v>4</v>
      </c>
    </row>
    <row r="94" spans="1:16" x14ac:dyDescent="0.25">
      <c r="A94" s="90"/>
      <c r="B94" s="4"/>
      <c r="C94" s="4"/>
      <c r="D94" s="4"/>
      <c r="E94" s="4"/>
      <c r="F94" s="34">
        <f>A94*B94</f>
        <v>0</v>
      </c>
      <c r="G94" s="40"/>
      <c r="H94" s="4"/>
      <c r="I94" s="4"/>
      <c r="J94" s="4"/>
      <c r="K94" s="4"/>
      <c r="L94" s="4"/>
      <c r="M94" s="34">
        <f>H94*I94</f>
        <v>0</v>
      </c>
    </row>
    <row r="95" spans="1:16" x14ac:dyDescent="0.25">
      <c r="A95" s="4"/>
      <c r="B95" s="4"/>
      <c r="C95" s="4"/>
      <c r="D95" s="4"/>
      <c r="E95" s="4"/>
      <c r="F95" s="34">
        <f>A95*B95</f>
        <v>0</v>
      </c>
      <c r="G95" s="40"/>
      <c r="H95" s="4"/>
      <c r="I95" s="4"/>
      <c r="J95" s="4"/>
      <c r="K95" s="4"/>
      <c r="L95" s="4"/>
      <c r="M95" s="34">
        <f>H95*I95</f>
        <v>0</v>
      </c>
    </row>
    <row r="96" spans="1:16" x14ac:dyDescent="0.25">
      <c r="A96" s="115" t="s">
        <v>108</v>
      </c>
      <c r="B96" s="116"/>
      <c r="C96" s="116"/>
      <c r="D96" s="116"/>
      <c r="E96" s="117"/>
      <c r="F96" s="34"/>
      <c r="G96" s="40"/>
      <c r="H96" s="115" t="s">
        <v>108</v>
      </c>
      <c r="I96" s="116"/>
      <c r="J96" s="116"/>
      <c r="K96" s="116"/>
      <c r="L96" s="117"/>
      <c r="M96" s="34"/>
    </row>
    <row r="97" spans="1:16" x14ac:dyDescent="0.25">
      <c r="A97" s="4"/>
      <c r="B97" s="4"/>
      <c r="C97" s="4"/>
      <c r="D97" s="4"/>
      <c r="E97" s="4"/>
      <c r="F97" s="34">
        <f t="shared" ref="F97:F98" si="18">A97*B97</f>
        <v>0</v>
      </c>
      <c r="G97" s="40"/>
      <c r="H97" s="4"/>
      <c r="I97" s="4"/>
      <c r="J97" s="4"/>
      <c r="K97" s="4"/>
      <c r="L97" s="4"/>
      <c r="M97" s="34">
        <f t="shared" ref="M97:M98" si="19">H97*I97</f>
        <v>0</v>
      </c>
    </row>
    <row r="98" spans="1:16" x14ac:dyDescent="0.25">
      <c r="A98" s="4"/>
      <c r="B98" s="4"/>
      <c r="C98" s="4"/>
      <c r="D98" s="5"/>
      <c r="E98" s="4"/>
      <c r="F98" s="34">
        <f t="shared" si="18"/>
        <v>0</v>
      </c>
      <c r="G98" s="40"/>
      <c r="H98" s="4"/>
      <c r="I98" s="4"/>
      <c r="J98" s="4"/>
      <c r="K98" s="5"/>
      <c r="L98" s="4"/>
      <c r="M98" s="34">
        <f t="shared" si="19"/>
        <v>0</v>
      </c>
    </row>
    <row r="99" spans="1:16" x14ac:dyDescent="0.25">
      <c r="A99" s="115" t="s">
        <v>181</v>
      </c>
      <c r="B99" s="116"/>
      <c r="C99" s="116"/>
      <c r="D99" s="116"/>
      <c r="E99" s="117"/>
      <c r="F99" s="34"/>
      <c r="G99" s="40"/>
      <c r="H99" s="115" t="s">
        <v>181</v>
      </c>
      <c r="I99" s="116"/>
      <c r="J99" s="116"/>
      <c r="K99" s="116"/>
      <c r="L99" s="117"/>
      <c r="M99" s="34"/>
    </row>
    <row r="100" spans="1:16" x14ac:dyDescent="0.25">
      <c r="A100" s="4"/>
      <c r="B100" s="4"/>
      <c r="C100" s="4"/>
      <c r="D100" s="4"/>
      <c r="E100" s="4"/>
      <c r="F100" s="34">
        <f>A100*B100</f>
        <v>0</v>
      </c>
      <c r="G100" s="40"/>
      <c r="H100" s="4"/>
      <c r="I100" s="4"/>
      <c r="J100" s="4"/>
      <c r="K100" s="4"/>
      <c r="L100" s="4"/>
      <c r="M100" s="34">
        <f>H100*I100</f>
        <v>0</v>
      </c>
    </row>
    <row r="101" spans="1:16" x14ac:dyDescent="0.25">
      <c r="A101" s="4"/>
      <c r="B101" s="4"/>
      <c r="C101" s="4"/>
      <c r="D101" s="4"/>
      <c r="E101" s="4"/>
      <c r="F101" s="34">
        <f>A101*B101</f>
        <v>0</v>
      </c>
      <c r="G101" s="40"/>
      <c r="H101" s="4"/>
      <c r="I101" s="4"/>
      <c r="J101" s="4"/>
      <c r="K101" s="4"/>
      <c r="L101" s="4"/>
      <c r="M101" s="34">
        <f>H101*I101</f>
        <v>0</v>
      </c>
    </row>
    <row r="102" spans="1:16" x14ac:dyDescent="0.25">
      <c r="A102" s="112" t="s">
        <v>4</v>
      </c>
      <c r="B102" s="113"/>
      <c r="C102" s="113"/>
      <c r="D102" s="113"/>
      <c r="E102" s="114"/>
      <c r="F102" s="2">
        <f>SUM(F94:F101)</f>
        <v>0</v>
      </c>
      <c r="G102" s="40"/>
      <c r="H102" s="112" t="s">
        <v>4</v>
      </c>
      <c r="I102" s="113"/>
      <c r="J102" s="113"/>
      <c r="K102" s="113"/>
      <c r="L102" s="114"/>
      <c r="M102" s="2">
        <f>SUM(M94:M101)</f>
        <v>0</v>
      </c>
      <c r="P102">
        <f>F102+M102</f>
        <v>0</v>
      </c>
    </row>
    <row r="103" spans="1:16" x14ac:dyDescent="0.25">
      <c r="A103" s="55"/>
      <c r="B103" s="55"/>
      <c r="C103" s="55"/>
      <c r="D103" s="55"/>
      <c r="E103" s="55"/>
      <c r="F103" s="56"/>
      <c r="G103" s="40"/>
      <c r="H103" s="55"/>
      <c r="I103" s="55"/>
      <c r="J103" s="55"/>
      <c r="K103" s="55"/>
      <c r="L103" s="55"/>
      <c r="M103" s="56"/>
    </row>
    <row r="104" spans="1:16" x14ac:dyDescent="0.25">
      <c r="A104" s="41" t="s">
        <v>114</v>
      </c>
      <c r="B104" s="40"/>
      <c r="C104" s="40"/>
      <c r="D104" s="40"/>
      <c r="E104" s="40"/>
      <c r="F104" s="40"/>
      <c r="G104" s="40"/>
      <c r="H104" s="41" t="s">
        <v>115</v>
      </c>
      <c r="I104" s="40"/>
      <c r="J104" s="40"/>
      <c r="K104" s="40"/>
      <c r="L104" s="40"/>
    </row>
    <row r="105" spans="1:16" x14ac:dyDescent="0.25">
      <c r="A105" s="4" t="s">
        <v>79</v>
      </c>
      <c r="B105" s="4" t="s">
        <v>80</v>
      </c>
      <c r="C105" s="4" t="s">
        <v>81</v>
      </c>
      <c r="D105" s="4" t="s">
        <v>82</v>
      </c>
      <c r="E105" s="4" t="s">
        <v>83</v>
      </c>
      <c r="F105" s="3" t="s">
        <v>4</v>
      </c>
      <c r="G105" s="40"/>
      <c r="H105" s="4" t="s">
        <v>79</v>
      </c>
      <c r="I105" s="30" t="s">
        <v>80</v>
      </c>
      <c r="J105" s="4" t="s">
        <v>81</v>
      </c>
      <c r="K105" s="4" t="s">
        <v>82</v>
      </c>
      <c r="L105" s="4" t="s">
        <v>225</v>
      </c>
      <c r="M105" s="3" t="s">
        <v>4</v>
      </c>
    </row>
    <row r="106" spans="1:16" x14ac:dyDescent="0.25">
      <c r="A106" s="115" t="s">
        <v>5</v>
      </c>
      <c r="B106" s="116"/>
      <c r="C106" s="116"/>
      <c r="D106" s="116"/>
      <c r="E106" s="117"/>
      <c r="F106" s="34">
        <f>SUM(A106,B106,C106,D106,E106)</f>
        <v>0</v>
      </c>
      <c r="G106" s="40"/>
      <c r="H106" s="115" t="s">
        <v>5</v>
      </c>
      <c r="I106" s="116"/>
      <c r="J106" s="116"/>
      <c r="K106" s="116"/>
      <c r="L106" s="117"/>
      <c r="M106" s="34">
        <f>SUM(H106,I106,J106,K106,L106)</f>
        <v>0</v>
      </c>
    </row>
    <row r="107" spans="1:16" x14ac:dyDescent="0.25">
      <c r="A107" s="4"/>
      <c r="B107" s="4"/>
      <c r="C107" s="4"/>
      <c r="D107" s="4"/>
      <c r="E107" s="4"/>
      <c r="F107" s="34">
        <f t="shared" ref="F107" si="20">SUM(A107,B107,C107,D107,E107)</f>
        <v>0</v>
      </c>
      <c r="G107" s="40"/>
      <c r="H107" s="4"/>
      <c r="I107" s="30"/>
      <c r="J107" s="4"/>
      <c r="K107" s="4"/>
      <c r="L107" s="4"/>
      <c r="M107" s="34">
        <f t="shared" ref="M107" si="21">SUM(H107,I107,J107,K107,L107)</f>
        <v>0</v>
      </c>
    </row>
    <row r="108" spans="1:16" x14ac:dyDescent="0.25">
      <c r="A108" s="4"/>
      <c r="B108" s="4"/>
      <c r="C108" s="4"/>
      <c r="D108" s="4"/>
      <c r="E108" s="4"/>
      <c r="F108" s="34">
        <f t="shared" ref="F108:F114" si="22">SUM(A108,B108,C108,D108,E108)</f>
        <v>0</v>
      </c>
      <c r="G108" s="40"/>
      <c r="H108" s="4"/>
      <c r="I108" s="30"/>
      <c r="J108" s="4"/>
      <c r="K108" s="4"/>
      <c r="L108" s="4"/>
      <c r="M108" s="34">
        <f t="shared" ref="M108:M114" si="23">SUM(H108,I108,J108,K108,L108)</f>
        <v>0</v>
      </c>
    </row>
    <row r="109" spans="1:16" x14ac:dyDescent="0.25">
      <c r="A109" s="115" t="s">
        <v>108</v>
      </c>
      <c r="B109" s="116"/>
      <c r="C109" s="116"/>
      <c r="D109" s="116"/>
      <c r="E109" s="117"/>
      <c r="F109" s="34">
        <f t="shared" si="22"/>
        <v>0</v>
      </c>
      <c r="G109" s="40"/>
      <c r="H109" s="115" t="s">
        <v>108</v>
      </c>
      <c r="I109" s="116"/>
      <c r="J109" s="116"/>
      <c r="K109" s="116"/>
      <c r="L109" s="117"/>
      <c r="M109" s="34">
        <f t="shared" si="23"/>
        <v>0</v>
      </c>
    </row>
    <row r="110" spans="1:16" x14ac:dyDescent="0.25">
      <c r="A110" s="4"/>
      <c r="B110" s="4"/>
      <c r="C110" s="4"/>
      <c r="D110" s="4"/>
      <c r="E110" s="4"/>
      <c r="F110" s="34">
        <f t="shared" si="22"/>
        <v>0</v>
      </c>
      <c r="G110" s="40"/>
      <c r="H110" s="4"/>
      <c r="I110" s="30"/>
      <c r="J110" s="4"/>
      <c r="K110" s="4"/>
      <c r="L110" s="4"/>
      <c r="M110" s="34">
        <f t="shared" si="23"/>
        <v>0</v>
      </c>
    </row>
    <row r="111" spans="1:16" x14ac:dyDescent="0.25">
      <c r="A111" s="4"/>
      <c r="B111" s="4"/>
      <c r="C111" s="4"/>
      <c r="D111" s="5"/>
      <c r="E111" s="4"/>
      <c r="F111" s="34">
        <f t="shared" si="22"/>
        <v>0</v>
      </c>
      <c r="G111" s="40"/>
      <c r="H111" s="4"/>
      <c r="I111" s="30"/>
      <c r="J111" s="4"/>
      <c r="K111" s="4"/>
      <c r="L111" s="4"/>
      <c r="M111" s="34">
        <f t="shared" si="23"/>
        <v>0</v>
      </c>
    </row>
    <row r="112" spans="1:16" x14ac:dyDescent="0.25">
      <c r="A112" s="115" t="s">
        <v>181</v>
      </c>
      <c r="B112" s="116"/>
      <c r="C112" s="116"/>
      <c r="D112" s="116"/>
      <c r="E112" s="117"/>
      <c r="F112" s="34">
        <f t="shared" si="22"/>
        <v>0</v>
      </c>
      <c r="G112" s="40"/>
      <c r="H112" s="115" t="s">
        <v>181</v>
      </c>
      <c r="I112" s="116"/>
      <c r="J112" s="116"/>
      <c r="K112" s="116"/>
      <c r="L112" s="117"/>
      <c r="M112" s="34">
        <f t="shared" si="23"/>
        <v>0</v>
      </c>
    </row>
    <row r="113" spans="1:15" x14ac:dyDescent="0.25">
      <c r="A113" s="4"/>
      <c r="B113" s="4"/>
      <c r="C113" s="4"/>
      <c r="D113" s="4"/>
      <c r="E113" s="4"/>
      <c r="F113" s="34">
        <f t="shared" si="22"/>
        <v>0</v>
      </c>
      <c r="G113" s="40"/>
      <c r="H113" s="4"/>
      <c r="I113" s="30"/>
      <c r="J113" s="4"/>
      <c r="K113" s="4"/>
      <c r="L113" s="4"/>
      <c r="M113" s="34">
        <f t="shared" si="23"/>
        <v>0</v>
      </c>
    </row>
    <row r="114" spans="1:15" x14ac:dyDescent="0.25">
      <c r="A114" s="4"/>
      <c r="B114" s="4"/>
      <c r="C114" s="4"/>
      <c r="D114" s="4"/>
      <c r="E114" s="4"/>
      <c r="F114" s="34">
        <f t="shared" si="22"/>
        <v>0</v>
      </c>
      <c r="G114" s="40"/>
      <c r="H114" s="4"/>
      <c r="I114" s="30"/>
      <c r="J114" s="4"/>
      <c r="K114" s="4"/>
      <c r="L114" s="4"/>
      <c r="M114" s="34">
        <f t="shared" si="23"/>
        <v>0</v>
      </c>
    </row>
    <row r="115" spans="1:15" x14ac:dyDescent="0.25">
      <c r="A115" s="112" t="s">
        <v>4</v>
      </c>
      <c r="B115" s="113"/>
      <c r="C115" s="113"/>
      <c r="D115" s="113"/>
      <c r="E115" s="114"/>
      <c r="F115" s="2">
        <f>SUM(F106:F114)</f>
        <v>0</v>
      </c>
      <c r="G115" s="40"/>
      <c r="H115" s="112" t="s">
        <v>4</v>
      </c>
      <c r="I115" s="113"/>
      <c r="J115" s="113"/>
      <c r="K115" s="113"/>
      <c r="L115" s="114"/>
      <c r="M115" s="2">
        <f>SUM(M106:M114)</f>
        <v>0</v>
      </c>
      <c r="O115">
        <f>F115+M115</f>
        <v>0</v>
      </c>
    </row>
    <row r="117" spans="1:15" x14ac:dyDescent="0.25">
      <c r="A117" s="41" t="s">
        <v>116</v>
      </c>
      <c r="B117" s="40"/>
      <c r="C117" s="40"/>
      <c r="D117" s="40"/>
      <c r="E117" s="40"/>
      <c r="F117" s="40"/>
      <c r="G117" s="40"/>
      <c r="H117" s="41" t="s">
        <v>117</v>
      </c>
      <c r="I117" s="40"/>
      <c r="J117" s="40"/>
      <c r="K117" s="40"/>
      <c r="L117" s="40"/>
    </row>
    <row r="118" spans="1:15" x14ac:dyDescent="0.25">
      <c r="A118" s="4" t="s">
        <v>79</v>
      </c>
      <c r="B118" s="4" t="s">
        <v>80</v>
      </c>
      <c r="C118" s="4" t="s">
        <v>81</v>
      </c>
      <c r="D118" s="4" t="s">
        <v>82</v>
      </c>
      <c r="E118" s="4" t="s">
        <v>83</v>
      </c>
      <c r="F118" s="3" t="s">
        <v>4</v>
      </c>
      <c r="G118" s="40"/>
      <c r="H118" s="4" t="s">
        <v>79</v>
      </c>
      <c r="I118" s="30" t="s">
        <v>80</v>
      </c>
      <c r="J118" s="4" t="s">
        <v>81</v>
      </c>
      <c r="K118" s="4" t="s">
        <v>82</v>
      </c>
      <c r="L118" s="4" t="s">
        <v>83</v>
      </c>
      <c r="M118" s="3" t="s">
        <v>4</v>
      </c>
    </row>
    <row r="119" spans="1:15" x14ac:dyDescent="0.25">
      <c r="A119" s="115" t="s">
        <v>5</v>
      </c>
      <c r="B119" s="116"/>
      <c r="C119" s="116"/>
      <c r="D119" s="116"/>
      <c r="E119" s="117"/>
      <c r="F119" s="34">
        <f>SUM(A119,B119,C119,D119,E119)</f>
        <v>0</v>
      </c>
      <c r="G119" s="40"/>
      <c r="H119" s="115" t="s">
        <v>5</v>
      </c>
      <c r="I119" s="116"/>
      <c r="J119" s="116"/>
      <c r="K119" s="116"/>
      <c r="L119" s="117"/>
      <c r="M119" s="34">
        <f>SUM(H119,I119,J119,K119,L119)</f>
        <v>0</v>
      </c>
    </row>
    <row r="120" spans="1:15" x14ac:dyDescent="0.25">
      <c r="A120" s="4">
        <f>3.8*2.5*2</f>
        <v>19</v>
      </c>
      <c r="B120" s="4"/>
      <c r="C120" s="4"/>
      <c r="D120" s="4"/>
      <c r="E120" s="4"/>
      <c r="F120" s="34">
        <f>SUM(A120,B120,C120,D120,E120)</f>
        <v>19</v>
      </c>
      <c r="G120" s="40"/>
      <c r="H120" s="4"/>
      <c r="I120" s="30"/>
      <c r="J120" s="4"/>
      <c r="K120" s="4"/>
      <c r="L120" s="4"/>
      <c r="M120" s="34">
        <f>SUM(H120,I120,J120,K120,L120)</f>
        <v>0</v>
      </c>
    </row>
    <row r="121" spans="1:15" x14ac:dyDescent="0.25">
      <c r="A121" s="4"/>
      <c r="B121" s="4"/>
      <c r="C121" s="4"/>
      <c r="D121" s="4"/>
      <c r="E121" s="4"/>
      <c r="F121" s="34">
        <f t="shared" ref="F121:F127" si="24">SUM(A121,B121,C121,D121,E121)</f>
        <v>0</v>
      </c>
      <c r="G121" s="40"/>
      <c r="H121" s="4"/>
      <c r="I121" s="30"/>
      <c r="J121" s="4"/>
      <c r="K121" s="4"/>
      <c r="L121" s="4"/>
      <c r="M121" s="34">
        <f t="shared" ref="M121:M127" si="25">SUM(H121,I121,J121,K121,L121)</f>
        <v>0</v>
      </c>
    </row>
    <row r="122" spans="1:15" x14ac:dyDescent="0.25">
      <c r="A122" s="115" t="s">
        <v>108</v>
      </c>
      <c r="B122" s="116"/>
      <c r="C122" s="116"/>
      <c r="D122" s="116"/>
      <c r="E122" s="117"/>
      <c r="F122" s="34">
        <f t="shared" si="24"/>
        <v>0</v>
      </c>
      <c r="G122" s="40"/>
      <c r="H122" s="115" t="s">
        <v>108</v>
      </c>
      <c r="I122" s="116"/>
      <c r="J122" s="116"/>
      <c r="K122" s="116"/>
      <c r="L122" s="117"/>
      <c r="M122" s="34">
        <f t="shared" si="25"/>
        <v>0</v>
      </c>
    </row>
    <row r="123" spans="1:15" x14ac:dyDescent="0.25">
      <c r="A123" s="4"/>
      <c r="B123" s="4"/>
      <c r="C123" s="4"/>
      <c r="D123" s="4"/>
      <c r="E123" s="4"/>
      <c r="F123" s="34">
        <f t="shared" si="24"/>
        <v>0</v>
      </c>
      <c r="G123" s="40"/>
      <c r="H123" s="4"/>
      <c r="I123" s="30"/>
      <c r="J123" s="4"/>
      <c r="K123" s="4"/>
      <c r="L123" s="4"/>
      <c r="M123" s="34">
        <f t="shared" si="25"/>
        <v>0</v>
      </c>
    </row>
    <row r="124" spans="1:15" x14ac:dyDescent="0.25">
      <c r="A124" s="4"/>
      <c r="B124" s="4"/>
      <c r="C124" s="4"/>
      <c r="D124" s="5"/>
      <c r="E124" s="4"/>
      <c r="F124" s="34">
        <f t="shared" si="24"/>
        <v>0</v>
      </c>
      <c r="G124" s="40"/>
      <c r="H124" s="4"/>
      <c r="I124" s="30"/>
      <c r="J124" s="4"/>
      <c r="K124" s="4"/>
      <c r="L124" s="4"/>
      <c r="M124" s="34">
        <f t="shared" si="25"/>
        <v>0</v>
      </c>
    </row>
    <row r="125" spans="1:15" x14ac:dyDescent="0.25">
      <c r="A125" s="115" t="s">
        <v>181</v>
      </c>
      <c r="B125" s="116"/>
      <c r="C125" s="116"/>
      <c r="D125" s="116"/>
      <c r="E125" s="117"/>
      <c r="F125" s="34">
        <f t="shared" si="24"/>
        <v>0</v>
      </c>
      <c r="G125" s="40"/>
      <c r="H125" s="115" t="s">
        <v>181</v>
      </c>
      <c r="I125" s="116"/>
      <c r="J125" s="116"/>
      <c r="K125" s="116"/>
      <c r="L125" s="117"/>
      <c r="M125" s="34">
        <f t="shared" si="25"/>
        <v>0</v>
      </c>
    </row>
    <row r="126" spans="1:15" x14ac:dyDescent="0.25">
      <c r="A126" s="4"/>
      <c r="B126" s="4"/>
      <c r="C126" s="4"/>
      <c r="D126" s="4"/>
      <c r="E126" s="4"/>
      <c r="F126" s="34">
        <f t="shared" si="24"/>
        <v>0</v>
      </c>
      <c r="G126" s="40"/>
      <c r="H126" s="4"/>
      <c r="I126" s="30"/>
      <c r="J126" s="4"/>
      <c r="K126" s="4"/>
      <c r="L126" s="4"/>
      <c r="M126" s="34">
        <f t="shared" si="25"/>
        <v>0</v>
      </c>
    </row>
    <row r="127" spans="1:15" x14ac:dyDescent="0.25">
      <c r="A127" s="4"/>
      <c r="B127" s="4"/>
      <c r="C127" s="4"/>
      <c r="D127" s="4"/>
      <c r="E127" s="4"/>
      <c r="F127" s="34">
        <f t="shared" si="24"/>
        <v>0</v>
      </c>
      <c r="G127" s="40"/>
      <c r="H127" s="4"/>
      <c r="I127" s="30"/>
      <c r="J127" s="4"/>
      <c r="K127" s="4"/>
      <c r="L127" s="4"/>
      <c r="M127" s="34">
        <f t="shared" si="25"/>
        <v>0</v>
      </c>
    </row>
    <row r="128" spans="1:15" x14ac:dyDescent="0.25">
      <c r="A128" s="112" t="s">
        <v>4</v>
      </c>
      <c r="B128" s="113"/>
      <c r="C128" s="113"/>
      <c r="D128" s="113"/>
      <c r="E128" s="114"/>
      <c r="F128" s="2">
        <f>SUM(F120:F127)</f>
        <v>19</v>
      </c>
      <c r="G128" s="40"/>
      <c r="H128" s="112" t="s">
        <v>4</v>
      </c>
      <c r="I128" s="113"/>
      <c r="J128" s="113"/>
      <c r="K128" s="113"/>
      <c r="L128" s="114"/>
      <c r="M128" s="2">
        <f>SUM(M120:M127)</f>
        <v>0</v>
      </c>
      <c r="O128">
        <f>F128+M128</f>
        <v>19</v>
      </c>
    </row>
    <row r="130" spans="1:15" x14ac:dyDescent="0.25">
      <c r="A130" s="41" t="s">
        <v>183</v>
      </c>
      <c r="B130" s="40"/>
      <c r="C130" s="40"/>
      <c r="D130" s="40"/>
      <c r="E130" s="40"/>
      <c r="F130" s="40"/>
      <c r="G130" s="40"/>
      <c r="H130" s="41" t="s">
        <v>170</v>
      </c>
      <c r="I130" s="40"/>
      <c r="J130" s="40"/>
      <c r="K130" s="40"/>
      <c r="L130" s="40"/>
    </row>
    <row r="131" spans="1:15" x14ac:dyDescent="0.25">
      <c r="A131" s="54"/>
      <c r="B131" s="54"/>
      <c r="C131" s="54"/>
      <c r="D131" s="4"/>
      <c r="E131" s="4"/>
      <c r="F131" s="3" t="s">
        <v>4</v>
      </c>
      <c r="G131" s="40"/>
      <c r="H131" s="54" t="s">
        <v>172</v>
      </c>
      <c r="I131" s="54" t="s">
        <v>173</v>
      </c>
      <c r="J131" s="54" t="s">
        <v>174</v>
      </c>
      <c r="K131" s="4"/>
      <c r="L131" s="4"/>
      <c r="M131" s="3" t="s">
        <v>4</v>
      </c>
    </row>
    <row r="132" spans="1:15" x14ac:dyDescent="0.25">
      <c r="A132" s="115" t="s">
        <v>5</v>
      </c>
      <c r="B132" s="116"/>
      <c r="C132" s="116"/>
      <c r="D132" s="116"/>
      <c r="E132" s="117"/>
      <c r="F132" s="34"/>
      <c r="G132" s="40"/>
      <c r="H132" s="4">
        <f>3.02*6.15</f>
        <v>18.573</v>
      </c>
      <c r="I132" s="4"/>
      <c r="J132" s="4"/>
      <c r="K132" s="4"/>
      <c r="L132" s="4"/>
      <c r="M132" s="34">
        <f>SUM(H132,I132,J132,K132,L132)</f>
        <v>18.573</v>
      </c>
    </row>
    <row r="133" spans="1:15" x14ac:dyDescent="0.25">
      <c r="A133" s="4" t="s">
        <v>224</v>
      </c>
      <c r="B133" s="4"/>
      <c r="C133" s="4"/>
      <c r="D133" s="4"/>
      <c r="E133" s="4"/>
      <c r="F133" s="34"/>
      <c r="G133" s="40"/>
      <c r="H133" s="4"/>
      <c r="I133" s="4"/>
      <c r="J133" s="4"/>
      <c r="K133" s="4"/>
      <c r="L133" s="4"/>
      <c r="M133" s="34">
        <f>SUM(H133,I133,J133,K133,L133)</f>
        <v>0</v>
      </c>
    </row>
    <row r="134" spans="1:15" x14ac:dyDescent="0.25">
      <c r="A134" s="4"/>
      <c r="B134" s="4"/>
      <c r="C134" s="4"/>
      <c r="D134" s="4"/>
      <c r="E134" s="4"/>
      <c r="F134" s="34">
        <f t="shared" ref="F134" si="26">A134*B134</f>
        <v>0</v>
      </c>
      <c r="G134" s="40"/>
      <c r="H134" s="4"/>
      <c r="I134" s="30"/>
      <c r="J134" s="4"/>
      <c r="K134" s="4"/>
      <c r="L134" s="4"/>
      <c r="M134" s="34">
        <f t="shared" ref="M134:M140" si="27">SUM(H134,I134,J134,K134,L134)</f>
        <v>0</v>
      </c>
    </row>
    <row r="135" spans="1:15" x14ac:dyDescent="0.25">
      <c r="A135" s="115" t="s">
        <v>108</v>
      </c>
      <c r="B135" s="116"/>
      <c r="C135" s="116"/>
      <c r="D135" s="116"/>
      <c r="E135" s="117"/>
      <c r="F135" s="34"/>
      <c r="G135" s="40"/>
      <c r="H135" s="115" t="s">
        <v>108</v>
      </c>
      <c r="I135" s="116"/>
      <c r="J135" s="116"/>
      <c r="K135" s="116"/>
      <c r="L135" s="117"/>
      <c r="M135" s="34">
        <f t="shared" si="27"/>
        <v>0</v>
      </c>
    </row>
    <row r="136" spans="1:15" x14ac:dyDescent="0.25">
      <c r="A136" s="4"/>
      <c r="B136" s="4"/>
      <c r="C136" s="4"/>
      <c r="D136" s="4"/>
      <c r="E136" s="4"/>
      <c r="F136" s="34">
        <f t="shared" ref="F136:F137" si="28">A136*B136</f>
        <v>0</v>
      </c>
      <c r="G136" s="40"/>
      <c r="H136" s="4"/>
      <c r="I136" s="4"/>
      <c r="J136" s="4"/>
      <c r="K136" s="4"/>
      <c r="L136" s="4"/>
      <c r="M136" s="34">
        <f t="shared" si="27"/>
        <v>0</v>
      </c>
    </row>
    <row r="137" spans="1:15" x14ac:dyDescent="0.25">
      <c r="A137" s="4"/>
      <c r="B137" s="4"/>
      <c r="C137" s="4"/>
      <c r="D137" s="5"/>
      <c r="E137" s="4"/>
      <c r="F137" s="34">
        <f t="shared" si="28"/>
        <v>0</v>
      </c>
      <c r="G137" s="40"/>
      <c r="H137" s="4"/>
      <c r="I137" s="4"/>
      <c r="J137" s="4"/>
      <c r="K137" s="5"/>
      <c r="L137" s="4"/>
      <c r="M137" s="34">
        <f t="shared" si="27"/>
        <v>0</v>
      </c>
    </row>
    <row r="138" spans="1:15" x14ac:dyDescent="0.25">
      <c r="A138" s="115" t="s">
        <v>181</v>
      </c>
      <c r="B138" s="116"/>
      <c r="C138" s="116"/>
      <c r="D138" s="116"/>
      <c r="E138" s="117"/>
      <c r="F138" s="34"/>
      <c r="G138" s="40"/>
      <c r="H138" s="115" t="s">
        <v>181</v>
      </c>
      <c r="I138" s="116"/>
      <c r="J138" s="116"/>
      <c r="K138" s="116"/>
      <c r="L138" s="117"/>
      <c r="M138" s="34">
        <f t="shared" si="27"/>
        <v>0</v>
      </c>
    </row>
    <row r="139" spans="1:15" x14ac:dyDescent="0.25">
      <c r="A139" s="4" t="s">
        <v>197</v>
      </c>
      <c r="B139" s="4" t="s">
        <v>200</v>
      </c>
      <c r="C139" s="4"/>
      <c r="D139" s="4"/>
      <c r="E139" s="4"/>
      <c r="F139" s="34"/>
      <c r="G139" s="40"/>
      <c r="H139" s="4"/>
      <c r="I139" s="4"/>
      <c r="J139" s="4"/>
      <c r="K139" s="4"/>
      <c r="L139" s="4"/>
      <c r="M139" s="34">
        <f t="shared" si="27"/>
        <v>0</v>
      </c>
    </row>
    <row r="140" spans="1:15" x14ac:dyDescent="0.25">
      <c r="A140" s="4"/>
      <c r="B140" s="4"/>
      <c r="C140" s="4"/>
      <c r="D140" s="4"/>
      <c r="E140" s="4"/>
      <c r="F140" s="34">
        <f t="shared" ref="F140" si="29">SUM(A140,B140,C140,D140,E140)</f>
        <v>0</v>
      </c>
      <c r="G140" s="40"/>
      <c r="H140" s="4"/>
      <c r="I140" s="4"/>
      <c r="J140" s="4"/>
      <c r="K140" s="4"/>
      <c r="L140" s="4"/>
      <c r="M140" s="34">
        <f t="shared" si="27"/>
        <v>0</v>
      </c>
    </row>
    <row r="141" spans="1:15" x14ac:dyDescent="0.25">
      <c r="A141" s="112" t="s">
        <v>4</v>
      </c>
      <c r="B141" s="113"/>
      <c r="C141" s="113"/>
      <c r="D141" s="113"/>
      <c r="E141" s="114"/>
      <c r="F141" s="2">
        <f>SUM(F132:F140)</f>
        <v>0</v>
      </c>
      <c r="G141" s="40"/>
      <c r="H141" s="112" t="s">
        <v>4</v>
      </c>
      <c r="I141" s="113"/>
      <c r="J141" s="113"/>
      <c r="K141" s="113"/>
      <c r="L141" s="114"/>
      <c r="M141" s="2">
        <f>SUM(M132:M140)</f>
        <v>18.573</v>
      </c>
      <c r="O141">
        <f>F141+M141</f>
        <v>18.573</v>
      </c>
    </row>
    <row r="143" spans="1:15" x14ac:dyDescent="0.25">
      <c r="A143" s="55"/>
      <c r="B143" s="55"/>
      <c r="C143" s="55"/>
      <c r="D143" s="55"/>
      <c r="E143" s="55"/>
      <c r="F143" s="56"/>
    </row>
    <row r="144" spans="1:15" x14ac:dyDescent="0.25">
      <c r="A144" s="41" t="s">
        <v>238</v>
      </c>
      <c r="B144" s="40"/>
      <c r="C144" s="40"/>
      <c r="D144" s="40"/>
      <c r="E144" s="40"/>
      <c r="F144" s="40"/>
      <c r="G144" s="40"/>
      <c r="H144" s="41" t="s">
        <v>180</v>
      </c>
      <c r="I144" s="40"/>
      <c r="J144" s="40"/>
      <c r="K144" s="40"/>
      <c r="L144" s="40"/>
    </row>
    <row r="145" spans="1:15" x14ac:dyDescent="0.25">
      <c r="A145" s="54"/>
      <c r="B145" s="54"/>
      <c r="C145" s="54"/>
      <c r="D145" s="4"/>
      <c r="E145" s="4"/>
      <c r="F145" s="3" t="s">
        <v>4</v>
      </c>
      <c r="G145" s="40"/>
      <c r="H145" s="54" t="s">
        <v>172</v>
      </c>
      <c r="I145" s="54" t="s">
        <v>173</v>
      </c>
      <c r="J145" s="54" t="s">
        <v>174</v>
      </c>
      <c r="K145" s="4"/>
      <c r="L145" s="4"/>
      <c r="M145" s="3" t="s">
        <v>4</v>
      </c>
    </row>
    <row r="146" spans="1:15" x14ac:dyDescent="0.25">
      <c r="A146" s="115" t="s">
        <v>5</v>
      </c>
      <c r="B146" s="116"/>
      <c r="C146" s="116"/>
      <c r="D146" s="116"/>
      <c r="E146" s="117"/>
      <c r="F146" s="34"/>
      <c r="G146" s="40"/>
      <c r="H146" s="4"/>
      <c r="I146" s="4"/>
      <c r="J146" s="4"/>
      <c r="K146" s="4"/>
      <c r="L146" s="4"/>
      <c r="M146" s="34">
        <f>SUM(H146,I146,J146,K146,L146)</f>
        <v>0</v>
      </c>
    </row>
    <row r="147" spans="1:15" x14ac:dyDescent="0.25">
      <c r="A147" s="90" t="s">
        <v>239</v>
      </c>
      <c r="B147" s="4"/>
      <c r="C147" s="4">
        <f>0.95*3</f>
        <v>2.8499999999999996</v>
      </c>
      <c r="D147" s="4"/>
      <c r="E147" s="4"/>
      <c r="F147" s="34">
        <f>SUM(C147:E147)</f>
        <v>2.8499999999999996</v>
      </c>
      <c r="G147" s="40"/>
      <c r="H147" s="4"/>
      <c r="I147" s="4"/>
      <c r="J147" s="4"/>
      <c r="K147" s="4"/>
      <c r="L147" s="4"/>
      <c r="M147" s="34">
        <f>SUM(H147,I147,J147,K147,L147)</f>
        <v>0</v>
      </c>
    </row>
    <row r="148" spans="1:15" x14ac:dyDescent="0.25">
      <c r="A148" s="90" t="s">
        <v>240</v>
      </c>
      <c r="B148" s="4"/>
      <c r="C148" s="4">
        <f>1.55*3</f>
        <v>4.6500000000000004</v>
      </c>
      <c r="D148" s="4"/>
      <c r="E148" s="4"/>
      <c r="F148" s="34">
        <f>SUM(C148:E148)</f>
        <v>4.6500000000000004</v>
      </c>
      <c r="G148" s="40"/>
      <c r="H148" s="4"/>
      <c r="I148" s="30"/>
      <c r="J148" s="4"/>
      <c r="K148" s="4"/>
      <c r="L148" s="4"/>
      <c r="M148" s="34">
        <f t="shared" ref="M148:M154" si="30">SUM(H148,I148,J148,K148,L148)</f>
        <v>0</v>
      </c>
    </row>
    <row r="149" spans="1:15" x14ac:dyDescent="0.25">
      <c r="A149" s="115" t="s">
        <v>108</v>
      </c>
      <c r="B149" s="116"/>
      <c r="C149" s="116"/>
      <c r="D149" s="116"/>
      <c r="E149" s="117"/>
      <c r="F149" s="34"/>
      <c r="G149" s="40"/>
      <c r="H149" s="115" t="s">
        <v>108</v>
      </c>
      <c r="I149" s="116"/>
      <c r="J149" s="116"/>
      <c r="K149" s="116"/>
      <c r="L149" s="117"/>
      <c r="M149" s="34">
        <f t="shared" si="30"/>
        <v>0</v>
      </c>
    </row>
    <row r="150" spans="1:15" x14ac:dyDescent="0.25">
      <c r="A150" s="4"/>
      <c r="B150" s="4"/>
      <c r="C150" s="4"/>
      <c r="D150" s="4"/>
      <c r="E150" s="4"/>
      <c r="F150" s="34">
        <f t="shared" ref="F150:F151" si="31">A150*B150</f>
        <v>0</v>
      </c>
      <c r="G150" s="40"/>
      <c r="H150" s="4"/>
      <c r="I150" s="4"/>
      <c r="J150" s="4"/>
      <c r="K150" s="4"/>
      <c r="L150" s="4"/>
      <c r="M150" s="34">
        <f t="shared" si="30"/>
        <v>0</v>
      </c>
    </row>
    <row r="151" spans="1:15" x14ac:dyDescent="0.25">
      <c r="A151" s="4"/>
      <c r="B151" s="4"/>
      <c r="C151" s="4"/>
      <c r="D151" s="5"/>
      <c r="E151" s="4"/>
      <c r="F151" s="34">
        <f t="shared" si="31"/>
        <v>0</v>
      </c>
      <c r="G151" s="40"/>
      <c r="H151" s="4"/>
      <c r="I151" s="4"/>
      <c r="J151" s="4"/>
      <c r="K151" s="5"/>
      <c r="L151" s="4"/>
      <c r="M151" s="34">
        <f t="shared" si="30"/>
        <v>0</v>
      </c>
    </row>
    <row r="152" spans="1:15" x14ac:dyDescent="0.25">
      <c r="A152" s="115" t="s">
        <v>181</v>
      </c>
      <c r="B152" s="116"/>
      <c r="C152" s="116"/>
      <c r="D152" s="116"/>
      <c r="E152" s="117"/>
      <c r="F152" s="34"/>
      <c r="G152" s="40"/>
      <c r="H152" s="115" t="s">
        <v>181</v>
      </c>
      <c r="I152" s="116"/>
      <c r="J152" s="116"/>
      <c r="K152" s="116"/>
      <c r="L152" s="117"/>
      <c r="M152" s="34">
        <f t="shared" si="30"/>
        <v>0</v>
      </c>
    </row>
    <row r="153" spans="1:15" x14ac:dyDescent="0.25">
      <c r="A153" s="4" t="s">
        <v>197</v>
      </c>
      <c r="B153" s="4" t="s">
        <v>200</v>
      </c>
      <c r="C153" s="4"/>
      <c r="D153" s="4"/>
      <c r="E153" s="4"/>
      <c r="F153" s="34"/>
      <c r="G153" s="40"/>
      <c r="H153" s="4"/>
      <c r="I153" s="4"/>
      <c r="J153" s="4"/>
      <c r="K153" s="4"/>
      <c r="L153" s="4"/>
      <c r="M153" s="34">
        <f t="shared" si="30"/>
        <v>0</v>
      </c>
    </row>
    <row r="154" spans="1:15" x14ac:dyDescent="0.25">
      <c r="A154" s="4"/>
      <c r="B154" s="4"/>
      <c r="C154" s="4"/>
      <c r="D154" s="4"/>
      <c r="E154" s="4"/>
      <c r="F154" s="34">
        <f t="shared" ref="F154" si="32">SUM(A154,B154,C154,D154,E154)</f>
        <v>0</v>
      </c>
      <c r="G154" s="40"/>
      <c r="H154" s="4"/>
      <c r="I154" s="4"/>
      <c r="J154" s="4"/>
      <c r="K154" s="4"/>
      <c r="L154" s="4"/>
      <c r="M154" s="34">
        <f t="shared" si="30"/>
        <v>0</v>
      </c>
    </row>
    <row r="155" spans="1:15" x14ac:dyDescent="0.25">
      <c r="A155" s="112" t="s">
        <v>4</v>
      </c>
      <c r="B155" s="113"/>
      <c r="C155" s="113"/>
      <c r="D155" s="113"/>
      <c r="E155" s="114"/>
      <c r="F155" s="2">
        <f>SUM(F146:F154)</f>
        <v>7.5</v>
      </c>
      <c r="G155" s="40"/>
      <c r="H155" s="112" t="s">
        <v>4</v>
      </c>
      <c r="I155" s="113"/>
      <c r="J155" s="113"/>
      <c r="K155" s="113"/>
      <c r="L155" s="114"/>
      <c r="M155" s="2">
        <f>SUM(M146:M154)</f>
        <v>0</v>
      </c>
      <c r="O155">
        <f>F155+M155</f>
        <v>7.5</v>
      </c>
    </row>
    <row r="157" spans="1:15" x14ac:dyDescent="0.25">
      <c r="A157" s="41" t="s">
        <v>120</v>
      </c>
      <c r="B157" s="40"/>
      <c r="C157" s="40"/>
      <c r="D157" s="40"/>
      <c r="E157" s="40"/>
      <c r="H157" s="41" t="s">
        <v>121</v>
      </c>
      <c r="I157" s="40"/>
      <c r="J157" s="40"/>
      <c r="K157" s="40"/>
      <c r="L157" s="40"/>
    </row>
    <row r="158" spans="1:15" x14ac:dyDescent="0.25">
      <c r="A158" s="4" t="s">
        <v>79</v>
      </c>
      <c r="B158" s="30" t="s">
        <v>80</v>
      </c>
      <c r="C158" s="4" t="s">
        <v>81</v>
      </c>
      <c r="D158" s="4" t="s">
        <v>82</v>
      </c>
      <c r="E158" s="4" t="s">
        <v>83</v>
      </c>
      <c r="F158" s="3" t="s">
        <v>4</v>
      </c>
      <c r="H158" s="4" t="s">
        <v>79</v>
      </c>
      <c r="I158" s="30" t="s">
        <v>80</v>
      </c>
      <c r="J158" s="4" t="s">
        <v>81</v>
      </c>
      <c r="K158" s="4" t="s">
        <v>82</v>
      </c>
      <c r="L158" s="4" t="s">
        <v>83</v>
      </c>
      <c r="M158" s="3" t="s">
        <v>4</v>
      </c>
    </row>
    <row r="159" spans="1:15" x14ac:dyDescent="0.25">
      <c r="A159" s="115" t="s">
        <v>5</v>
      </c>
      <c r="B159" s="116"/>
      <c r="C159" s="116"/>
      <c r="D159" s="116"/>
      <c r="E159" s="117"/>
      <c r="F159" s="34">
        <f>SUM(A159,B159,C159,D159,E159)</f>
        <v>0</v>
      </c>
      <c r="H159" s="115" t="s">
        <v>5</v>
      </c>
      <c r="I159" s="116"/>
      <c r="J159" s="116"/>
      <c r="K159" s="116"/>
      <c r="L159" s="117"/>
      <c r="M159" s="34">
        <f>SUM(H159,I159,J159,K159,L159)</f>
        <v>0</v>
      </c>
    </row>
    <row r="160" spans="1:15" x14ac:dyDescent="0.25">
      <c r="A160" s="4"/>
      <c r="B160" s="30"/>
      <c r="C160" s="4"/>
      <c r="D160" s="4"/>
      <c r="E160" s="4"/>
      <c r="F160" s="34">
        <f t="shared" ref="F160" si="33">SUM(A160,B160,C160,D160,E160)</f>
        <v>0</v>
      </c>
      <c r="H160" s="4"/>
      <c r="I160" s="30"/>
      <c r="J160" s="4"/>
      <c r="K160" s="4"/>
      <c r="L160" s="4"/>
      <c r="M160" s="34">
        <f t="shared" ref="M160" si="34">SUM(H160,I160,J160,K160,L160)</f>
        <v>0</v>
      </c>
    </row>
    <row r="161" spans="1:15" x14ac:dyDescent="0.25">
      <c r="A161" s="4"/>
      <c r="B161" s="30"/>
      <c r="C161" s="4"/>
      <c r="D161" s="4"/>
      <c r="E161" s="4"/>
      <c r="F161" s="34">
        <f t="shared" ref="F161:F167" si="35">SUM(A161,B161,C161,D161,E161)</f>
        <v>0</v>
      </c>
      <c r="H161" s="4"/>
      <c r="I161" s="30"/>
      <c r="J161" s="4"/>
      <c r="K161" s="4"/>
      <c r="L161" s="4"/>
      <c r="M161" s="34">
        <f t="shared" ref="M161:M167" si="36">SUM(H161,I161,J161,K161,L161)</f>
        <v>0</v>
      </c>
    </row>
    <row r="162" spans="1:15" x14ac:dyDescent="0.25">
      <c r="A162" s="115" t="s">
        <v>108</v>
      </c>
      <c r="B162" s="116"/>
      <c r="C162" s="116"/>
      <c r="D162" s="116"/>
      <c r="E162" s="117"/>
      <c r="F162" s="34">
        <f t="shared" si="35"/>
        <v>0</v>
      </c>
      <c r="G162" s="40"/>
      <c r="H162" s="115" t="s">
        <v>108</v>
      </c>
      <c r="I162" s="116"/>
      <c r="J162" s="116"/>
      <c r="K162" s="116"/>
      <c r="L162" s="117"/>
      <c r="M162" s="34">
        <f t="shared" si="36"/>
        <v>0</v>
      </c>
    </row>
    <row r="163" spans="1:15" x14ac:dyDescent="0.25">
      <c r="A163" s="4"/>
      <c r="B163" s="4"/>
      <c r="C163" s="4"/>
      <c r="D163" s="4"/>
      <c r="E163" s="4"/>
      <c r="F163" s="34">
        <f t="shared" si="35"/>
        <v>0</v>
      </c>
      <c r="G163" s="40"/>
      <c r="H163" s="4"/>
      <c r="I163" s="4"/>
      <c r="J163" s="4"/>
      <c r="K163" s="4"/>
      <c r="L163" s="4"/>
      <c r="M163" s="34">
        <f t="shared" si="36"/>
        <v>0</v>
      </c>
    </row>
    <row r="164" spans="1:15" x14ac:dyDescent="0.25">
      <c r="A164" s="4"/>
      <c r="B164" s="4"/>
      <c r="C164" s="4"/>
      <c r="D164" s="5"/>
      <c r="E164" s="4"/>
      <c r="F164" s="34">
        <f t="shared" si="35"/>
        <v>0</v>
      </c>
      <c r="G164" s="40"/>
      <c r="H164" s="4"/>
      <c r="I164" s="4"/>
      <c r="J164" s="4"/>
      <c r="K164" s="5"/>
      <c r="L164" s="4"/>
      <c r="M164" s="34">
        <f t="shared" si="36"/>
        <v>0</v>
      </c>
    </row>
    <row r="165" spans="1:15" x14ac:dyDescent="0.25">
      <c r="A165" s="115" t="s">
        <v>181</v>
      </c>
      <c r="B165" s="116"/>
      <c r="C165" s="116"/>
      <c r="D165" s="116"/>
      <c r="E165" s="117"/>
      <c r="F165" s="34">
        <f t="shared" si="35"/>
        <v>0</v>
      </c>
      <c r="G165" s="40"/>
      <c r="H165" s="115" t="s">
        <v>181</v>
      </c>
      <c r="I165" s="116"/>
      <c r="J165" s="116"/>
      <c r="K165" s="116"/>
      <c r="L165" s="117"/>
      <c r="M165" s="34">
        <f t="shared" si="36"/>
        <v>0</v>
      </c>
    </row>
    <row r="166" spans="1:15" x14ac:dyDescent="0.25">
      <c r="A166" s="4"/>
      <c r="B166" s="4"/>
      <c r="C166" s="4"/>
      <c r="D166" s="4"/>
      <c r="E166" s="4"/>
      <c r="F166" s="34">
        <f t="shared" si="35"/>
        <v>0</v>
      </c>
      <c r="G166" s="40"/>
      <c r="H166" s="4"/>
      <c r="I166" s="4"/>
      <c r="J166" s="4"/>
      <c r="K166" s="4"/>
      <c r="L166" s="4"/>
      <c r="M166" s="34">
        <f t="shared" si="36"/>
        <v>0</v>
      </c>
    </row>
    <row r="167" spans="1:15" x14ac:dyDescent="0.25">
      <c r="A167" s="4"/>
      <c r="B167" s="4"/>
      <c r="C167" s="4"/>
      <c r="D167" s="4"/>
      <c r="E167" s="4"/>
      <c r="F167" s="34">
        <f t="shared" si="35"/>
        <v>0</v>
      </c>
      <c r="G167" s="40"/>
      <c r="H167" s="4"/>
      <c r="I167" s="4"/>
      <c r="J167" s="4"/>
      <c r="K167" s="4"/>
      <c r="L167" s="4"/>
      <c r="M167" s="34">
        <f t="shared" si="36"/>
        <v>0</v>
      </c>
    </row>
    <row r="168" spans="1:15" x14ac:dyDescent="0.25">
      <c r="A168" s="112" t="s">
        <v>4</v>
      </c>
      <c r="B168" s="113"/>
      <c r="C168" s="113"/>
      <c r="D168" s="113"/>
      <c r="E168" s="114"/>
      <c r="F168" s="2">
        <f>F90/2.5</f>
        <v>13.9716</v>
      </c>
      <c r="H168" s="112" t="s">
        <v>4</v>
      </c>
      <c r="I168" s="113"/>
      <c r="J168" s="113"/>
      <c r="K168" s="113"/>
      <c r="L168" s="114"/>
      <c r="M168" s="2">
        <f>M90/2.5</f>
        <v>13.710800000000001</v>
      </c>
      <c r="O168">
        <f>F168+M168</f>
        <v>27.682400000000001</v>
      </c>
    </row>
    <row r="170" spans="1:15" x14ac:dyDescent="0.25">
      <c r="A170" s="41" t="s">
        <v>185</v>
      </c>
      <c r="B170" s="40"/>
      <c r="C170" s="40"/>
      <c r="D170" s="40"/>
      <c r="E170" s="40"/>
      <c r="H170" s="41" t="s">
        <v>179</v>
      </c>
      <c r="I170" s="40"/>
      <c r="J170" s="40"/>
      <c r="K170" s="40"/>
      <c r="L170" s="40"/>
    </row>
    <row r="171" spans="1:15" x14ac:dyDescent="0.25">
      <c r="A171" s="4" t="s">
        <v>198</v>
      </c>
      <c r="B171" s="4" t="s">
        <v>175</v>
      </c>
      <c r="C171" s="4" t="s">
        <v>176</v>
      </c>
      <c r="D171" s="4" t="s">
        <v>186</v>
      </c>
      <c r="E171" s="4" t="s">
        <v>187</v>
      </c>
      <c r="F171" s="3" t="s">
        <v>4</v>
      </c>
      <c r="H171" s="4" t="s">
        <v>177</v>
      </c>
      <c r="I171" s="30" t="s">
        <v>178</v>
      </c>
      <c r="J171" s="4"/>
      <c r="K171" s="4"/>
      <c r="L171" s="4"/>
      <c r="M171" s="3" t="s">
        <v>4</v>
      </c>
    </row>
    <row r="172" spans="1:15" x14ac:dyDescent="0.25">
      <c r="A172" s="115" t="s">
        <v>5</v>
      </c>
      <c r="B172" s="116"/>
      <c r="C172" s="116"/>
      <c r="D172" s="116"/>
      <c r="E172" s="117"/>
      <c r="F172" s="60">
        <f>SUM(A172,B172,C172,D172,E172)</f>
        <v>0</v>
      </c>
      <c r="H172" s="115" t="s">
        <v>5</v>
      </c>
      <c r="I172" s="116"/>
      <c r="J172" s="116"/>
      <c r="K172" s="116"/>
      <c r="L172" s="117"/>
      <c r="M172" s="60">
        <f>SUM(H172,I172,J172,K172,L172)</f>
        <v>0</v>
      </c>
    </row>
    <row r="173" spans="1:15" x14ac:dyDescent="0.25">
      <c r="A173" s="38"/>
      <c r="B173" s="62"/>
      <c r="C173" s="38"/>
      <c r="D173" s="38"/>
      <c r="E173" s="38"/>
      <c r="F173" s="60">
        <f t="shared" ref="F173" si="37">SUM(A173,B173,C173,D173,E173)</f>
        <v>0</v>
      </c>
      <c r="H173" s="38"/>
      <c r="I173" s="62"/>
      <c r="J173" s="38"/>
      <c r="K173" s="38"/>
      <c r="L173" s="38"/>
      <c r="M173" s="60">
        <f t="shared" ref="M173" si="38">SUM(H173,I173,J173,K173,L173)</f>
        <v>0</v>
      </c>
    </row>
    <row r="174" spans="1:15" x14ac:dyDescent="0.25">
      <c r="A174" s="115" t="s">
        <v>108</v>
      </c>
      <c r="B174" s="116"/>
      <c r="C174" s="116"/>
      <c r="D174" s="116"/>
      <c r="E174" s="117"/>
      <c r="F174" s="60">
        <f t="shared" ref="F174:F177" si="39">SUM(A174,B174,C174,D174,E174)</f>
        <v>0</v>
      </c>
      <c r="H174" s="115" t="s">
        <v>108</v>
      </c>
      <c r="I174" s="116"/>
      <c r="J174" s="116"/>
      <c r="K174" s="116"/>
      <c r="L174" s="117"/>
      <c r="M174" s="60">
        <f t="shared" ref="M174:M177" si="40">SUM(H174,I174,J174,K174,L174)</f>
        <v>0</v>
      </c>
    </row>
    <row r="175" spans="1:15" x14ac:dyDescent="0.25">
      <c r="A175" s="38"/>
      <c r="B175" s="62"/>
      <c r="C175" s="38"/>
      <c r="D175" s="38"/>
      <c r="E175" s="38"/>
      <c r="F175" s="60">
        <f t="shared" si="39"/>
        <v>0</v>
      </c>
      <c r="H175" s="38"/>
      <c r="I175" s="62"/>
      <c r="J175" s="38"/>
      <c r="K175" s="38"/>
      <c r="L175" s="38"/>
      <c r="M175" s="60">
        <f t="shared" si="40"/>
        <v>0</v>
      </c>
    </row>
    <row r="176" spans="1:15" x14ac:dyDescent="0.25">
      <c r="A176" s="115" t="s">
        <v>181</v>
      </c>
      <c r="B176" s="116"/>
      <c r="C176" s="116"/>
      <c r="D176" s="116"/>
      <c r="E176" s="117"/>
      <c r="F176" s="60">
        <f t="shared" si="39"/>
        <v>0</v>
      </c>
      <c r="H176" s="115" t="s">
        <v>181</v>
      </c>
      <c r="I176" s="116"/>
      <c r="J176" s="116"/>
      <c r="K176" s="116"/>
      <c r="L176" s="117"/>
      <c r="M176" s="60">
        <f t="shared" si="40"/>
        <v>0</v>
      </c>
    </row>
    <row r="177" spans="1:15" x14ac:dyDescent="0.25">
      <c r="A177" s="38"/>
      <c r="B177" s="62"/>
      <c r="C177" s="38"/>
      <c r="D177" s="38"/>
      <c r="E177" s="38"/>
      <c r="F177" s="60">
        <f t="shared" si="39"/>
        <v>0</v>
      </c>
      <c r="H177" s="4"/>
      <c r="I177" s="30"/>
      <c r="J177" s="4"/>
      <c r="K177" s="4"/>
      <c r="L177" s="4"/>
      <c r="M177" s="60">
        <f t="shared" si="40"/>
        <v>0</v>
      </c>
    </row>
    <row r="178" spans="1:15" x14ac:dyDescent="0.25">
      <c r="A178" s="119" t="s">
        <v>4</v>
      </c>
      <c r="B178" s="120"/>
      <c r="C178" s="120"/>
      <c r="D178" s="120"/>
      <c r="E178" s="121"/>
      <c r="F178" s="61">
        <f>SUM(F172:F177)</f>
        <v>0</v>
      </c>
      <c r="H178" s="122" t="s">
        <v>4</v>
      </c>
      <c r="I178" s="122"/>
      <c r="J178" s="122"/>
      <c r="K178" s="122"/>
      <c r="L178" s="122"/>
      <c r="M178" s="61">
        <f>SUM(M172:M177)</f>
        <v>0</v>
      </c>
      <c r="O178">
        <f>F178+M178</f>
        <v>0</v>
      </c>
    </row>
    <row r="179" spans="1:15" x14ac:dyDescent="0.25">
      <c r="H179" s="118"/>
      <c r="I179" s="118"/>
      <c r="J179" s="118"/>
      <c r="K179" s="118"/>
      <c r="L179" s="118"/>
      <c r="M179" s="2"/>
    </row>
    <row r="181" spans="1:15" x14ac:dyDescent="0.25">
      <c r="A181" s="41" t="s">
        <v>220</v>
      </c>
      <c r="B181" s="40"/>
      <c r="C181" s="40"/>
      <c r="D181" s="40"/>
      <c r="E181" s="40"/>
      <c r="H181" s="41" t="s">
        <v>221</v>
      </c>
      <c r="I181" s="40"/>
      <c r="J181" s="40"/>
      <c r="K181" s="40"/>
      <c r="L181" s="40"/>
    </row>
    <row r="182" spans="1:15" x14ac:dyDescent="0.25">
      <c r="A182" s="4" t="s">
        <v>79</v>
      </c>
      <c r="B182" s="30" t="s">
        <v>80</v>
      </c>
      <c r="C182" s="4" t="s">
        <v>81</v>
      </c>
      <c r="D182" s="4" t="s">
        <v>82</v>
      </c>
      <c r="E182" s="4" t="s">
        <v>83</v>
      </c>
      <c r="F182" s="3" t="s">
        <v>4</v>
      </c>
      <c r="H182" s="4" t="s">
        <v>79</v>
      </c>
      <c r="I182" s="30" t="s">
        <v>80</v>
      </c>
      <c r="J182" s="4" t="s">
        <v>81</v>
      </c>
      <c r="K182" s="4" t="s">
        <v>82</v>
      </c>
      <c r="L182" s="4" t="s">
        <v>83</v>
      </c>
      <c r="M182" s="3" t="s">
        <v>4</v>
      </c>
    </row>
    <row r="183" spans="1:15" x14ac:dyDescent="0.25">
      <c r="A183" s="115" t="s">
        <v>5</v>
      </c>
      <c r="B183" s="116"/>
      <c r="C183" s="116"/>
      <c r="D183" s="116"/>
      <c r="E183" s="117"/>
      <c r="F183" s="34">
        <f>SUM(A183,B183,C183,D183,E183)</f>
        <v>0</v>
      </c>
      <c r="H183" s="115" t="s">
        <v>5</v>
      </c>
      <c r="I183" s="116"/>
      <c r="J183" s="116"/>
      <c r="K183" s="116"/>
      <c r="L183" s="117"/>
      <c r="M183" s="34">
        <f>SUM(H183,I183,J183,K183,L183)</f>
        <v>0</v>
      </c>
    </row>
    <row r="184" spans="1:15" x14ac:dyDescent="0.25">
      <c r="A184" s="4"/>
      <c r="B184" s="4"/>
      <c r="C184" s="4"/>
      <c r="D184" s="4"/>
      <c r="E184" s="4"/>
      <c r="F184" s="34">
        <f t="shared" ref="F184:F191" si="41">SUM(A184,B184,C184,D184,E184)</f>
        <v>0</v>
      </c>
      <c r="J184" s="4"/>
      <c r="K184" s="4"/>
      <c r="L184" s="4"/>
      <c r="M184" s="34">
        <f>SUM(H197,I197,J184,K184,L184)</f>
        <v>1.56</v>
      </c>
    </row>
    <row r="185" spans="1:15" x14ac:dyDescent="0.25">
      <c r="A185" s="4"/>
      <c r="B185" s="30"/>
      <c r="C185" s="4"/>
      <c r="D185" s="4"/>
      <c r="E185" s="4"/>
      <c r="F185" s="34">
        <f t="shared" si="41"/>
        <v>0</v>
      </c>
      <c r="H185" s="4"/>
      <c r="I185" s="30"/>
      <c r="J185" s="4"/>
      <c r="K185" s="4"/>
      <c r="L185" s="4"/>
      <c r="M185" s="34">
        <f t="shared" ref="M185:M191" si="42">SUM(H185,I185,J185,K185,L185)</f>
        <v>0</v>
      </c>
    </row>
    <row r="186" spans="1:15" x14ac:dyDescent="0.25">
      <c r="A186" s="115" t="s">
        <v>108</v>
      </c>
      <c r="B186" s="116"/>
      <c r="C186" s="116"/>
      <c r="D186" s="116"/>
      <c r="E186" s="117"/>
      <c r="F186" s="34">
        <f t="shared" si="41"/>
        <v>0</v>
      </c>
      <c r="H186" s="115" t="s">
        <v>108</v>
      </c>
      <c r="I186" s="116"/>
      <c r="J186" s="116"/>
      <c r="K186" s="116"/>
      <c r="L186" s="117"/>
      <c r="M186" s="34">
        <f t="shared" si="42"/>
        <v>0</v>
      </c>
    </row>
    <row r="187" spans="1:15" x14ac:dyDescent="0.25">
      <c r="A187" s="4"/>
      <c r="B187" s="4"/>
      <c r="C187" s="4"/>
      <c r="D187" s="4"/>
      <c r="E187" s="4"/>
      <c r="F187" s="34">
        <f t="shared" si="41"/>
        <v>0</v>
      </c>
      <c r="H187" s="4"/>
      <c r="I187" s="4"/>
      <c r="J187" s="4"/>
      <c r="K187" s="4"/>
      <c r="L187" s="4"/>
      <c r="M187" s="34">
        <f t="shared" si="42"/>
        <v>0</v>
      </c>
    </row>
    <row r="188" spans="1:15" x14ac:dyDescent="0.25">
      <c r="A188" s="4"/>
      <c r="B188" s="4"/>
      <c r="C188" s="4"/>
      <c r="D188" s="5"/>
      <c r="E188" s="4"/>
      <c r="F188" s="34">
        <f t="shared" si="41"/>
        <v>0</v>
      </c>
      <c r="H188" s="4"/>
      <c r="I188" s="4"/>
      <c r="J188" s="4"/>
      <c r="K188" s="5"/>
      <c r="L188" s="4"/>
      <c r="M188" s="34">
        <f t="shared" si="42"/>
        <v>0</v>
      </c>
    </row>
    <row r="189" spans="1:15" x14ac:dyDescent="0.25">
      <c r="A189" s="115" t="s">
        <v>181</v>
      </c>
      <c r="B189" s="116"/>
      <c r="C189" s="116"/>
      <c r="D189" s="116"/>
      <c r="E189" s="117"/>
      <c r="F189" s="34">
        <f t="shared" si="41"/>
        <v>0</v>
      </c>
      <c r="H189" s="115" t="s">
        <v>181</v>
      </c>
      <c r="I189" s="116"/>
      <c r="J189" s="116"/>
      <c r="K189" s="116"/>
      <c r="L189" s="117"/>
      <c r="M189" s="34">
        <f t="shared" si="42"/>
        <v>0</v>
      </c>
    </row>
    <row r="190" spans="1:15" x14ac:dyDescent="0.25">
      <c r="A190" s="4"/>
      <c r="B190" s="4"/>
      <c r="C190" s="4"/>
      <c r="D190" s="4"/>
      <c r="E190" s="4"/>
      <c r="F190" s="34">
        <f t="shared" si="41"/>
        <v>0</v>
      </c>
      <c r="H190" s="4"/>
      <c r="I190" s="4"/>
      <c r="J190" s="4"/>
      <c r="K190" s="4"/>
      <c r="L190" s="4"/>
      <c r="M190" s="34">
        <f t="shared" si="42"/>
        <v>0</v>
      </c>
    </row>
    <row r="191" spans="1:15" x14ac:dyDescent="0.25">
      <c r="A191" s="4"/>
      <c r="B191" s="4"/>
      <c r="C191" s="4"/>
      <c r="D191" s="4"/>
      <c r="E191" s="4"/>
      <c r="F191" s="34">
        <f t="shared" si="41"/>
        <v>0</v>
      </c>
      <c r="H191" s="4"/>
      <c r="I191" s="4"/>
      <c r="J191" s="4"/>
      <c r="K191" s="4"/>
      <c r="L191" s="4"/>
      <c r="M191" s="34">
        <f t="shared" si="42"/>
        <v>0</v>
      </c>
    </row>
    <row r="192" spans="1:15" x14ac:dyDescent="0.25">
      <c r="A192" s="112" t="s">
        <v>4</v>
      </c>
      <c r="B192" s="113"/>
      <c r="C192" s="113"/>
      <c r="D192" s="113"/>
      <c r="E192" s="114"/>
      <c r="F192" s="2">
        <f>SUM(F183:F191)</f>
        <v>0</v>
      </c>
      <c r="H192" s="112" t="s">
        <v>4</v>
      </c>
      <c r="I192" s="113"/>
      <c r="J192" s="113"/>
      <c r="K192" s="113"/>
      <c r="L192" s="114"/>
      <c r="M192" s="2">
        <f>SUM(M183:M191)</f>
        <v>1.56</v>
      </c>
      <c r="O192">
        <f>F192+M192</f>
        <v>1.56</v>
      </c>
    </row>
    <row r="193" spans="1:15" x14ac:dyDescent="0.25">
      <c r="A193" s="55"/>
      <c r="B193" s="55"/>
      <c r="C193" s="55"/>
      <c r="D193" s="55"/>
      <c r="E193" s="55"/>
      <c r="F193" s="56"/>
      <c r="H193" s="40"/>
      <c r="I193" s="40"/>
      <c r="J193" s="40"/>
      <c r="K193" s="40"/>
      <c r="L193" s="40"/>
      <c r="M193" s="59"/>
    </row>
    <row r="194" spans="1:15" x14ac:dyDescent="0.25">
      <c r="A194" s="41" t="s">
        <v>227</v>
      </c>
      <c r="B194" s="40"/>
      <c r="C194" s="40"/>
      <c r="D194" s="40"/>
      <c r="E194" s="40"/>
      <c r="H194" s="41" t="s">
        <v>263</v>
      </c>
      <c r="I194" s="40"/>
      <c r="J194" s="40"/>
      <c r="K194" s="40"/>
      <c r="L194" s="40"/>
    </row>
    <row r="195" spans="1:15" x14ac:dyDescent="0.25">
      <c r="A195" s="4" t="s">
        <v>79</v>
      </c>
      <c r="B195" s="30" t="s">
        <v>80</v>
      </c>
      <c r="C195" s="4" t="s">
        <v>81</v>
      </c>
      <c r="D195" s="4" t="s">
        <v>82</v>
      </c>
      <c r="E195" s="4" t="s">
        <v>83</v>
      </c>
      <c r="F195" s="3" t="s">
        <v>4</v>
      </c>
      <c r="H195" s="4" t="s">
        <v>79</v>
      </c>
      <c r="I195" s="30" t="s">
        <v>80</v>
      </c>
      <c r="J195" s="4" t="s">
        <v>81</v>
      </c>
      <c r="K195" s="4" t="s">
        <v>82</v>
      </c>
      <c r="L195" s="4" t="s">
        <v>83</v>
      </c>
      <c r="M195" s="3" t="s">
        <v>4</v>
      </c>
    </row>
    <row r="196" spans="1:15" x14ac:dyDescent="0.25">
      <c r="A196" s="115" t="s">
        <v>5</v>
      </c>
      <c r="B196" s="116"/>
      <c r="C196" s="116"/>
      <c r="D196" s="116"/>
      <c r="E196" s="117"/>
      <c r="F196" s="34">
        <f>SUM(A196,B196,C196,D196,E196)</f>
        <v>0</v>
      </c>
      <c r="H196" s="115" t="s">
        <v>5</v>
      </c>
      <c r="I196" s="116"/>
      <c r="J196" s="116"/>
      <c r="K196" s="116"/>
      <c r="L196" s="117"/>
      <c r="M196" s="34">
        <f>SUM(H196,I196,J196,K196,L196)</f>
        <v>0</v>
      </c>
    </row>
    <row r="197" spans="1:15" x14ac:dyDescent="0.25">
      <c r="A197" s="4"/>
      <c r="B197" s="4"/>
      <c r="C197" s="4"/>
      <c r="D197" s="4"/>
      <c r="E197" s="4"/>
      <c r="F197" s="34">
        <f t="shared" ref="F197:F204" si="43">SUM(A197,B197,C197,D197,E197)</f>
        <v>0</v>
      </c>
      <c r="H197" s="4">
        <f>1.2*0.9</f>
        <v>1.08</v>
      </c>
      <c r="I197" s="4">
        <f>0.6*0.4*2</f>
        <v>0.48</v>
      </c>
      <c r="J197" s="4"/>
      <c r="K197" s="4"/>
      <c r="L197" s="4"/>
      <c r="M197" s="34">
        <f>SUM(H197:L197)</f>
        <v>1.56</v>
      </c>
    </row>
    <row r="198" spans="1:15" x14ac:dyDescent="0.25">
      <c r="A198" s="4"/>
      <c r="B198" s="30"/>
      <c r="C198" s="4"/>
      <c r="D198" s="4"/>
      <c r="E198" s="4"/>
      <c r="F198" s="34">
        <f t="shared" si="43"/>
        <v>0</v>
      </c>
      <c r="H198" s="4"/>
      <c r="I198" s="30"/>
      <c r="J198" s="4"/>
      <c r="K198" s="4"/>
      <c r="L198" s="4"/>
      <c r="M198" s="34">
        <f t="shared" ref="M198:M204" si="44">SUM(H198,I198,J198,K198,L198)</f>
        <v>0</v>
      </c>
    </row>
    <row r="199" spans="1:15" x14ac:dyDescent="0.25">
      <c r="A199" s="115" t="s">
        <v>108</v>
      </c>
      <c r="B199" s="116"/>
      <c r="C199" s="116"/>
      <c r="D199" s="116"/>
      <c r="E199" s="117"/>
      <c r="F199" s="34">
        <f t="shared" si="43"/>
        <v>0</v>
      </c>
      <c r="H199" s="115" t="s">
        <v>108</v>
      </c>
      <c r="I199" s="116"/>
      <c r="J199" s="116"/>
      <c r="K199" s="116"/>
      <c r="L199" s="117"/>
      <c r="M199" s="34">
        <f t="shared" si="44"/>
        <v>0</v>
      </c>
    </row>
    <row r="200" spans="1:15" x14ac:dyDescent="0.25">
      <c r="A200" s="4"/>
      <c r="B200" s="4"/>
      <c r="C200" s="4"/>
      <c r="D200" s="4"/>
      <c r="E200" s="4"/>
      <c r="F200" s="34">
        <f t="shared" si="43"/>
        <v>0</v>
      </c>
      <c r="H200" s="4"/>
      <c r="I200" s="4"/>
      <c r="J200" s="4"/>
      <c r="K200" s="4"/>
      <c r="L200" s="4"/>
      <c r="M200" s="34">
        <f t="shared" si="44"/>
        <v>0</v>
      </c>
    </row>
    <row r="201" spans="1:15" x14ac:dyDescent="0.25">
      <c r="A201" s="4"/>
      <c r="B201" s="4"/>
      <c r="C201" s="4"/>
      <c r="D201" s="5"/>
      <c r="E201" s="4"/>
      <c r="F201" s="34">
        <f t="shared" si="43"/>
        <v>0</v>
      </c>
      <c r="H201" s="4"/>
      <c r="I201" s="4"/>
      <c r="J201" s="4"/>
      <c r="K201" s="5"/>
      <c r="L201" s="4"/>
      <c r="M201" s="34">
        <f t="shared" si="44"/>
        <v>0</v>
      </c>
    </row>
    <row r="202" spans="1:15" x14ac:dyDescent="0.25">
      <c r="A202" s="115" t="s">
        <v>181</v>
      </c>
      <c r="B202" s="116"/>
      <c r="C202" s="116"/>
      <c r="D202" s="116"/>
      <c r="E202" s="117"/>
      <c r="F202" s="34">
        <f t="shared" si="43"/>
        <v>0</v>
      </c>
      <c r="H202" s="115" t="s">
        <v>181</v>
      </c>
      <c r="I202" s="116"/>
      <c r="J202" s="116"/>
      <c r="K202" s="116"/>
      <c r="L202" s="117"/>
      <c r="M202" s="34">
        <f t="shared" si="44"/>
        <v>0</v>
      </c>
    </row>
    <row r="203" spans="1:15" x14ac:dyDescent="0.25">
      <c r="A203" s="4"/>
      <c r="B203" s="4"/>
      <c r="C203" s="4"/>
      <c r="D203" s="4"/>
      <c r="E203" s="4"/>
      <c r="F203" s="34">
        <f t="shared" si="43"/>
        <v>0</v>
      </c>
      <c r="H203" s="4"/>
      <c r="I203" s="4"/>
      <c r="J203" s="4"/>
      <c r="K203" s="4"/>
      <c r="L203" s="4"/>
      <c r="M203" s="34">
        <f t="shared" si="44"/>
        <v>0</v>
      </c>
    </row>
    <row r="204" spans="1:15" x14ac:dyDescent="0.25">
      <c r="A204" s="4"/>
      <c r="B204" s="4"/>
      <c r="C204" s="4"/>
      <c r="D204" s="4"/>
      <c r="E204" s="4"/>
      <c r="F204" s="34">
        <f t="shared" si="43"/>
        <v>0</v>
      </c>
      <c r="H204" s="4"/>
      <c r="I204" s="4"/>
      <c r="J204" s="4"/>
      <c r="K204" s="4"/>
      <c r="L204" s="4"/>
      <c r="M204" s="34">
        <f t="shared" si="44"/>
        <v>0</v>
      </c>
    </row>
    <row r="205" spans="1:15" x14ac:dyDescent="0.25">
      <c r="A205" s="112" t="s">
        <v>4</v>
      </c>
      <c r="B205" s="113"/>
      <c r="C205" s="113"/>
      <c r="D205" s="113"/>
      <c r="E205" s="114"/>
      <c r="F205" s="2">
        <f>SUM(F196:F204)</f>
        <v>0</v>
      </c>
      <c r="H205" s="112" t="s">
        <v>4</v>
      </c>
      <c r="I205" s="113"/>
      <c r="J205" s="113"/>
      <c r="K205" s="113"/>
      <c r="L205" s="114"/>
      <c r="M205" s="2">
        <f>SUM(M196:M204)</f>
        <v>1.56</v>
      </c>
      <c r="O205">
        <f>F205+M205</f>
        <v>1.56</v>
      </c>
    </row>
    <row r="206" spans="1:15" x14ac:dyDescent="0.25">
      <c r="A206" s="55"/>
      <c r="B206" s="55"/>
      <c r="C206" s="55"/>
      <c r="D206" s="55"/>
      <c r="E206" s="55"/>
      <c r="F206" s="56"/>
      <c r="H206" s="55"/>
      <c r="I206" s="55"/>
      <c r="J206" s="55"/>
      <c r="K206" s="55"/>
      <c r="L206" s="55"/>
      <c r="M206" s="56"/>
    </row>
    <row r="207" spans="1:15" x14ac:dyDescent="0.25">
      <c r="A207" s="41" t="s">
        <v>233</v>
      </c>
      <c r="B207" s="40"/>
      <c r="C207" s="40"/>
      <c r="D207" s="40"/>
      <c r="E207" s="40"/>
      <c r="H207" s="41" t="s">
        <v>234</v>
      </c>
      <c r="I207" s="40"/>
      <c r="J207" s="40"/>
      <c r="K207" s="40"/>
      <c r="L207" s="40"/>
    </row>
    <row r="208" spans="1:15" x14ac:dyDescent="0.25">
      <c r="A208" s="4" t="s">
        <v>79</v>
      </c>
      <c r="B208" s="30" t="s">
        <v>80</v>
      </c>
      <c r="C208" s="4" t="s">
        <v>81</v>
      </c>
      <c r="D208" s="4" t="s">
        <v>82</v>
      </c>
      <c r="E208" s="4" t="s">
        <v>83</v>
      </c>
      <c r="F208" s="3" t="s">
        <v>4</v>
      </c>
      <c r="H208" s="4" t="s">
        <v>79</v>
      </c>
      <c r="I208" s="30" t="s">
        <v>80</v>
      </c>
      <c r="J208" s="4" t="s">
        <v>81</v>
      </c>
      <c r="K208" s="4" t="s">
        <v>82</v>
      </c>
      <c r="L208" s="4" t="s">
        <v>83</v>
      </c>
      <c r="M208" s="3" t="s">
        <v>4</v>
      </c>
    </row>
    <row r="209" spans="1:13" x14ac:dyDescent="0.25">
      <c r="A209" s="115" t="s">
        <v>5</v>
      </c>
      <c r="B209" s="116"/>
      <c r="C209" s="116"/>
      <c r="D209" s="116"/>
      <c r="E209" s="117"/>
      <c r="F209" s="34">
        <f>SUM(A209,B209,C209,D209,E209)</f>
        <v>0</v>
      </c>
      <c r="H209" s="115" t="s">
        <v>5</v>
      </c>
      <c r="I209" s="116"/>
      <c r="J209" s="116"/>
      <c r="K209" s="116"/>
      <c r="L209" s="117"/>
      <c r="M209" s="34">
        <f>SUM(H209,I209,J209,K209,L209)</f>
        <v>0</v>
      </c>
    </row>
    <row r="210" spans="1:13" x14ac:dyDescent="0.25">
      <c r="A210" s="90" t="s">
        <v>236</v>
      </c>
      <c r="B210" s="4"/>
      <c r="C210" s="4">
        <f>2.5*2.5</f>
        <v>6.25</v>
      </c>
      <c r="D210" s="4"/>
      <c r="E210" s="4"/>
      <c r="F210" s="34">
        <f t="shared" ref="F210:F217" si="45">SUM(A210,B210,C210,D210,E210)</f>
        <v>6.25</v>
      </c>
      <c r="H210" s="4">
        <v>0</v>
      </c>
      <c r="I210" s="30">
        <v>0</v>
      </c>
      <c r="J210" s="4"/>
      <c r="K210" s="4"/>
      <c r="L210" s="4"/>
      <c r="M210" s="34">
        <f t="shared" ref="M210:M217" si="46">SUM(H210,I210,J210,K210,L210)</f>
        <v>0</v>
      </c>
    </row>
    <row r="211" spans="1:13" x14ac:dyDescent="0.25">
      <c r="A211" s="90" t="s">
        <v>237</v>
      </c>
      <c r="B211" s="30"/>
      <c r="C211" s="4">
        <f>2.4*2.5</f>
        <v>6</v>
      </c>
      <c r="D211" s="4"/>
      <c r="E211" s="4"/>
      <c r="F211" s="34">
        <f t="shared" si="45"/>
        <v>6</v>
      </c>
      <c r="H211" s="4"/>
      <c r="I211" s="30"/>
      <c r="J211" s="4"/>
      <c r="K211" s="4"/>
      <c r="L211" s="4"/>
      <c r="M211" s="34">
        <f t="shared" si="46"/>
        <v>0</v>
      </c>
    </row>
    <row r="212" spans="1:13" x14ac:dyDescent="0.25">
      <c r="A212" s="115" t="s">
        <v>108</v>
      </c>
      <c r="B212" s="116"/>
      <c r="C212" s="116"/>
      <c r="D212" s="116"/>
      <c r="E212" s="117"/>
      <c r="F212" s="34">
        <f t="shared" si="45"/>
        <v>0</v>
      </c>
      <c r="H212" s="115" t="s">
        <v>108</v>
      </c>
      <c r="I212" s="116"/>
      <c r="J212" s="116"/>
      <c r="K212" s="116"/>
      <c r="L212" s="117"/>
      <c r="M212" s="34">
        <f t="shared" si="46"/>
        <v>0</v>
      </c>
    </row>
    <row r="213" spans="1:13" x14ac:dyDescent="0.25">
      <c r="A213" s="4"/>
      <c r="B213" s="4"/>
      <c r="C213" s="4"/>
      <c r="D213" s="4"/>
      <c r="E213" s="4"/>
      <c r="F213" s="34">
        <f t="shared" si="45"/>
        <v>0</v>
      </c>
      <c r="H213" s="4"/>
      <c r="I213" s="4"/>
      <c r="J213" s="4"/>
      <c r="K213" s="4"/>
      <c r="L213" s="4"/>
      <c r="M213" s="34">
        <f t="shared" si="46"/>
        <v>0</v>
      </c>
    </row>
    <row r="214" spans="1:13" x14ac:dyDescent="0.25">
      <c r="A214" s="4"/>
      <c r="B214" s="4"/>
      <c r="C214" s="4"/>
      <c r="D214" s="5"/>
      <c r="E214" s="4"/>
      <c r="F214" s="34">
        <f t="shared" si="45"/>
        <v>0</v>
      </c>
      <c r="H214" s="4"/>
      <c r="I214" s="4"/>
      <c r="J214" s="4"/>
      <c r="K214" s="5"/>
      <c r="L214" s="4"/>
      <c r="M214" s="34">
        <f t="shared" si="46"/>
        <v>0</v>
      </c>
    </row>
    <row r="215" spans="1:13" x14ac:dyDescent="0.25">
      <c r="A215" s="115" t="s">
        <v>181</v>
      </c>
      <c r="B215" s="116"/>
      <c r="C215" s="116"/>
      <c r="D215" s="116"/>
      <c r="E215" s="117"/>
      <c r="F215" s="34">
        <f t="shared" si="45"/>
        <v>0</v>
      </c>
      <c r="H215" s="115" t="s">
        <v>181</v>
      </c>
      <c r="I215" s="116"/>
      <c r="J215" s="116"/>
      <c r="K215" s="116"/>
      <c r="L215" s="117"/>
      <c r="M215" s="34">
        <f t="shared" si="46"/>
        <v>0</v>
      </c>
    </row>
    <row r="216" spans="1:13" x14ac:dyDescent="0.25">
      <c r="A216" s="4"/>
      <c r="B216" s="4"/>
      <c r="C216" s="4"/>
      <c r="D216" s="4"/>
      <c r="E216" s="4"/>
      <c r="F216" s="34">
        <f t="shared" si="45"/>
        <v>0</v>
      </c>
      <c r="H216" s="4"/>
      <c r="I216" s="4"/>
      <c r="J216" s="4"/>
      <c r="K216" s="4"/>
      <c r="L216" s="4"/>
      <c r="M216" s="34">
        <f t="shared" si="46"/>
        <v>0</v>
      </c>
    </row>
    <row r="217" spans="1:13" x14ac:dyDescent="0.25">
      <c r="A217" s="4"/>
      <c r="B217" s="4"/>
      <c r="C217" s="4"/>
      <c r="D217" s="4"/>
      <c r="E217" s="4"/>
      <c r="F217" s="34">
        <f t="shared" si="45"/>
        <v>0</v>
      </c>
      <c r="H217" s="4"/>
      <c r="I217" s="4"/>
      <c r="J217" s="4"/>
      <c r="K217" s="4"/>
      <c r="L217" s="4"/>
      <c r="M217" s="34">
        <f t="shared" si="46"/>
        <v>0</v>
      </c>
    </row>
    <row r="218" spans="1:13" x14ac:dyDescent="0.25">
      <c r="A218" s="112" t="s">
        <v>4</v>
      </c>
      <c r="B218" s="113"/>
      <c r="C218" s="113"/>
      <c r="D218" s="113"/>
      <c r="E218" s="114"/>
      <c r="F218" s="2">
        <f>SUM(F209:F217)</f>
        <v>12.25</v>
      </c>
      <c r="H218" s="112" t="s">
        <v>4</v>
      </c>
      <c r="I218" s="113"/>
      <c r="J218" s="113"/>
      <c r="K218" s="113"/>
      <c r="L218" s="114"/>
      <c r="M218" s="2">
        <f>SUM(M209:M217)</f>
        <v>0</v>
      </c>
    </row>
    <row r="219" spans="1:13" x14ac:dyDescent="0.25">
      <c r="A219" s="55"/>
      <c r="B219" s="55"/>
      <c r="C219" s="55"/>
      <c r="D219" s="55"/>
      <c r="E219" s="55"/>
      <c r="F219" s="56"/>
      <c r="H219" s="55"/>
      <c r="I219" s="55"/>
      <c r="J219" s="55"/>
      <c r="K219" s="55"/>
      <c r="L219" s="55"/>
      <c r="M219" s="56"/>
    </row>
    <row r="220" spans="1:13" x14ac:dyDescent="0.25">
      <c r="A220" s="41" t="s">
        <v>235</v>
      </c>
      <c r="B220" s="40"/>
      <c r="C220" s="40"/>
      <c r="D220" s="40"/>
      <c r="E220" s="40"/>
      <c r="H220" s="41"/>
      <c r="I220" s="40"/>
      <c r="J220" s="40"/>
      <c r="K220" s="40"/>
      <c r="L220" s="40"/>
    </row>
    <row r="221" spans="1:13" x14ac:dyDescent="0.25">
      <c r="A221" s="4" t="s">
        <v>79</v>
      </c>
      <c r="B221" s="30" t="s">
        <v>80</v>
      </c>
      <c r="C221" s="4" t="s">
        <v>81</v>
      </c>
      <c r="D221" s="4" t="s">
        <v>82</v>
      </c>
      <c r="E221" s="4" t="s">
        <v>83</v>
      </c>
      <c r="F221" s="3" t="s">
        <v>4</v>
      </c>
      <c r="H221" s="4" t="s">
        <v>79</v>
      </c>
      <c r="I221" s="30" t="s">
        <v>80</v>
      </c>
      <c r="J221" s="4" t="s">
        <v>81</v>
      </c>
      <c r="K221" s="4" t="s">
        <v>82</v>
      </c>
      <c r="L221" s="4" t="s">
        <v>83</v>
      </c>
      <c r="M221" s="3" t="s">
        <v>4</v>
      </c>
    </row>
    <row r="222" spans="1:13" x14ac:dyDescent="0.25">
      <c r="A222" s="115" t="s">
        <v>5</v>
      </c>
      <c r="B222" s="116"/>
      <c r="C222" s="116"/>
      <c r="D222" s="116"/>
      <c r="E222" s="117"/>
      <c r="F222" s="34">
        <f>SUM(A222,B222,C222,D222,E222)</f>
        <v>0</v>
      </c>
      <c r="H222" s="115" t="s">
        <v>5</v>
      </c>
      <c r="I222" s="116"/>
      <c r="J222" s="116"/>
      <c r="K222" s="116"/>
      <c r="L222" s="117"/>
      <c r="M222" s="34">
        <f>SUM(H222,I222,J222,K222,L222)</f>
        <v>0</v>
      </c>
    </row>
    <row r="223" spans="1:13" x14ac:dyDescent="0.25">
      <c r="A223" s="4">
        <v>1</v>
      </c>
      <c r="B223" s="4">
        <v>1</v>
      </c>
      <c r="C223" s="4"/>
      <c r="D223" s="4"/>
      <c r="E223" s="4"/>
      <c r="F223" s="34">
        <f t="shared" ref="F223:F230" si="47">SUM(A223,B223,C223,D223,E223)</f>
        <v>2</v>
      </c>
      <c r="H223" s="4"/>
      <c r="I223" s="30"/>
      <c r="J223" s="4"/>
      <c r="K223" s="4"/>
      <c r="L223" s="4"/>
      <c r="M223" s="34">
        <f t="shared" ref="M223:M230" si="48">SUM(H223,I223,J223,K223,L223)</f>
        <v>0</v>
      </c>
    </row>
    <row r="224" spans="1:13" x14ac:dyDescent="0.25">
      <c r="A224" s="4"/>
      <c r="B224" s="30"/>
      <c r="C224" s="4"/>
      <c r="D224" s="4"/>
      <c r="E224" s="4"/>
      <c r="F224" s="34">
        <f t="shared" si="47"/>
        <v>0</v>
      </c>
      <c r="H224" s="4"/>
      <c r="I224" s="30"/>
      <c r="J224" s="4"/>
      <c r="K224" s="4"/>
      <c r="L224" s="4"/>
      <c r="M224" s="34">
        <f t="shared" si="48"/>
        <v>0</v>
      </c>
    </row>
    <row r="225" spans="1:13" x14ac:dyDescent="0.25">
      <c r="A225" s="115" t="s">
        <v>108</v>
      </c>
      <c r="B225" s="116"/>
      <c r="C225" s="116"/>
      <c r="D225" s="116"/>
      <c r="E225" s="117"/>
      <c r="F225" s="34">
        <f t="shared" si="47"/>
        <v>0</v>
      </c>
      <c r="H225" s="115" t="s">
        <v>108</v>
      </c>
      <c r="I225" s="116"/>
      <c r="J225" s="116"/>
      <c r="K225" s="116"/>
      <c r="L225" s="117"/>
      <c r="M225" s="34">
        <f t="shared" si="48"/>
        <v>0</v>
      </c>
    </row>
    <row r="226" spans="1:13" x14ac:dyDescent="0.25">
      <c r="A226" s="4"/>
      <c r="B226" s="4"/>
      <c r="C226" s="4"/>
      <c r="D226" s="4"/>
      <c r="E226" s="4"/>
      <c r="F226" s="34">
        <f t="shared" si="47"/>
        <v>0</v>
      </c>
      <c r="H226" s="4"/>
      <c r="I226" s="4"/>
      <c r="J226" s="4"/>
      <c r="K226" s="4"/>
      <c r="L226" s="4"/>
      <c r="M226" s="34">
        <f t="shared" si="48"/>
        <v>0</v>
      </c>
    </row>
    <row r="227" spans="1:13" x14ac:dyDescent="0.25">
      <c r="A227" s="4"/>
      <c r="B227" s="4"/>
      <c r="C227" s="4"/>
      <c r="D227" s="5"/>
      <c r="E227" s="4"/>
      <c r="F227" s="34">
        <f t="shared" si="47"/>
        <v>0</v>
      </c>
      <c r="H227" s="4"/>
      <c r="I227" s="4"/>
      <c r="J227" s="4"/>
      <c r="K227" s="5"/>
      <c r="L227" s="4"/>
      <c r="M227" s="34">
        <f t="shared" si="48"/>
        <v>0</v>
      </c>
    </row>
    <row r="228" spans="1:13" x14ac:dyDescent="0.25">
      <c r="A228" s="115" t="s">
        <v>181</v>
      </c>
      <c r="B228" s="116"/>
      <c r="C228" s="116"/>
      <c r="D228" s="116"/>
      <c r="E228" s="117"/>
      <c r="F228" s="34">
        <f t="shared" si="47"/>
        <v>0</v>
      </c>
      <c r="H228" s="115" t="s">
        <v>181</v>
      </c>
      <c r="I228" s="116"/>
      <c r="J228" s="116"/>
      <c r="K228" s="116"/>
      <c r="L228" s="117"/>
      <c r="M228" s="34">
        <f t="shared" si="48"/>
        <v>0</v>
      </c>
    </row>
    <row r="229" spans="1:13" x14ac:dyDescent="0.25">
      <c r="A229" s="4"/>
      <c r="B229" s="4"/>
      <c r="C229" s="4"/>
      <c r="D229" s="4"/>
      <c r="E229" s="4"/>
      <c r="F229" s="34">
        <f t="shared" si="47"/>
        <v>0</v>
      </c>
      <c r="H229" s="4"/>
      <c r="I229" s="4"/>
      <c r="J229" s="4"/>
      <c r="K229" s="4"/>
      <c r="L229" s="4"/>
      <c r="M229" s="34">
        <f t="shared" si="48"/>
        <v>0</v>
      </c>
    </row>
    <row r="230" spans="1:13" x14ac:dyDescent="0.25">
      <c r="A230" s="4"/>
      <c r="B230" s="4"/>
      <c r="C230" s="4"/>
      <c r="D230" s="4"/>
      <c r="E230" s="4"/>
      <c r="F230" s="34">
        <f t="shared" si="47"/>
        <v>0</v>
      </c>
      <c r="H230" s="4"/>
      <c r="I230" s="4"/>
      <c r="J230" s="4"/>
      <c r="K230" s="4"/>
      <c r="L230" s="4"/>
      <c r="M230" s="34">
        <f t="shared" si="48"/>
        <v>0</v>
      </c>
    </row>
    <row r="231" spans="1:13" x14ac:dyDescent="0.25">
      <c r="A231" s="112" t="s">
        <v>4</v>
      </c>
      <c r="B231" s="113"/>
      <c r="C231" s="113"/>
      <c r="D231" s="113"/>
      <c r="E231" s="114"/>
      <c r="F231" s="2">
        <f>SUM(F222:F230)</f>
        <v>2</v>
      </c>
      <c r="H231" s="112" t="s">
        <v>4</v>
      </c>
      <c r="I231" s="113"/>
      <c r="J231" s="113"/>
      <c r="K231" s="113"/>
      <c r="L231" s="114"/>
      <c r="M231" s="2">
        <f>SUM(M222:M230)</f>
        <v>0</v>
      </c>
    </row>
    <row r="232" spans="1:13" x14ac:dyDescent="0.25">
      <c r="A232" s="55"/>
      <c r="B232" s="55"/>
      <c r="C232" s="55"/>
      <c r="D232" s="55"/>
      <c r="E232" s="55"/>
      <c r="F232" s="56"/>
      <c r="H232" s="55"/>
      <c r="I232" s="55"/>
      <c r="J232" s="55"/>
      <c r="K232" s="55"/>
      <c r="L232" s="55"/>
      <c r="M232" s="56"/>
    </row>
    <row r="233" spans="1:13" x14ac:dyDescent="0.25">
      <c r="A233" s="41" t="s">
        <v>243</v>
      </c>
      <c r="B233" s="40"/>
      <c r="C233" s="40"/>
      <c r="D233" s="40"/>
      <c r="E233" s="40"/>
      <c r="H233" s="41" t="s">
        <v>244</v>
      </c>
      <c r="I233" s="40"/>
      <c r="J233" s="40"/>
      <c r="K233" s="40"/>
      <c r="L233" s="40"/>
    </row>
    <row r="234" spans="1:13" x14ac:dyDescent="0.25">
      <c r="A234" s="4"/>
      <c r="B234" s="4"/>
      <c r="C234" s="4"/>
      <c r="D234" s="4"/>
      <c r="E234" s="4"/>
      <c r="F234" s="3" t="s">
        <v>4</v>
      </c>
      <c r="H234" s="4"/>
      <c r="I234" s="4"/>
      <c r="J234" s="4"/>
      <c r="K234" s="4"/>
      <c r="L234" s="4"/>
      <c r="M234" s="3" t="s">
        <v>4</v>
      </c>
    </row>
    <row r="235" spans="1:13" x14ac:dyDescent="0.25">
      <c r="A235" s="4"/>
      <c r="B235" s="4"/>
      <c r="C235" s="4"/>
      <c r="D235" s="4"/>
      <c r="E235" s="4"/>
      <c r="F235" s="60">
        <f>SUM(A235,B235,C235,D235,E235)</f>
        <v>0</v>
      </c>
      <c r="H235" s="4"/>
      <c r="I235" s="4"/>
      <c r="J235" s="4"/>
      <c r="K235" s="4"/>
      <c r="L235" s="4"/>
      <c r="M235" s="60">
        <f>SUM(H235,I235,J235,K235,L235)</f>
        <v>0</v>
      </c>
    </row>
    <row r="236" spans="1:13" x14ac:dyDescent="0.25">
      <c r="A236" s="4"/>
      <c r="B236" s="30"/>
      <c r="C236" s="4"/>
      <c r="D236" s="4"/>
      <c r="E236" s="4"/>
      <c r="F236" s="60">
        <f t="shared" ref="F236:F239" si="49">SUM(A236,B236,C236,D236,E236)</f>
        <v>0</v>
      </c>
      <c r="H236" s="4"/>
      <c r="I236" s="30"/>
      <c r="J236" s="4"/>
      <c r="K236" s="4"/>
      <c r="L236" s="4"/>
      <c r="M236" s="60">
        <f t="shared" ref="M236:M239" si="50">SUM(H236,I236,J236,K236,L236)</f>
        <v>0</v>
      </c>
    </row>
    <row r="237" spans="1:13" x14ac:dyDescent="0.25">
      <c r="A237" s="4"/>
      <c r="B237" s="30"/>
      <c r="C237" s="4"/>
      <c r="D237" s="4"/>
      <c r="E237" s="4"/>
      <c r="F237" s="60">
        <f t="shared" si="49"/>
        <v>0</v>
      </c>
      <c r="H237" s="4"/>
      <c r="I237" s="30"/>
      <c r="J237" s="4"/>
      <c r="K237" s="4"/>
      <c r="L237" s="4"/>
      <c r="M237" s="60">
        <f t="shared" si="50"/>
        <v>0</v>
      </c>
    </row>
    <row r="238" spans="1:13" x14ac:dyDescent="0.25">
      <c r="A238" s="4"/>
      <c r="B238" s="30"/>
      <c r="C238" s="4"/>
      <c r="D238" s="4"/>
      <c r="E238" s="4"/>
      <c r="F238" s="60">
        <f t="shared" si="49"/>
        <v>0</v>
      </c>
      <c r="H238" s="4"/>
      <c r="I238" s="30"/>
      <c r="J238" s="4"/>
      <c r="K238" s="4"/>
      <c r="L238" s="4"/>
      <c r="M238" s="60">
        <f t="shared" si="50"/>
        <v>0</v>
      </c>
    </row>
    <row r="239" spans="1:13" x14ac:dyDescent="0.25">
      <c r="A239" s="4"/>
      <c r="B239" s="30"/>
      <c r="C239" s="4"/>
      <c r="D239" s="4"/>
      <c r="E239" s="4"/>
      <c r="F239" s="60">
        <f t="shared" si="49"/>
        <v>0</v>
      </c>
      <c r="H239" s="4"/>
      <c r="I239" s="30"/>
      <c r="J239" s="4"/>
      <c r="K239" s="4"/>
      <c r="L239" s="4"/>
      <c r="M239" s="60">
        <f t="shared" si="50"/>
        <v>0</v>
      </c>
    </row>
    <row r="240" spans="1:13" x14ac:dyDescent="0.25">
      <c r="A240" s="112" t="s">
        <v>4</v>
      </c>
      <c r="B240" s="113"/>
      <c r="C240" s="113"/>
      <c r="D240" s="113"/>
      <c r="E240" s="114"/>
      <c r="F240" s="61">
        <f>SUM(F235:F239)</f>
        <v>0</v>
      </c>
      <c r="H240" s="112" t="s">
        <v>4</v>
      </c>
      <c r="I240" s="113"/>
      <c r="J240" s="113"/>
      <c r="K240" s="113"/>
      <c r="L240" s="114"/>
      <c r="M240" s="61">
        <f>SUM(M235:M239)</f>
        <v>0</v>
      </c>
    </row>
    <row r="241" spans="1:13" x14ac:dyDescent="0.25">
      <c r="A241" s="55"/>
      <c r="B241" s="55"/>
      <c r="C241" s="55"/>
      <c r="D241" s="55"/>
      <c r="E241" s="55"/>
      <c r="F241" s="56"/>
    </row>
    <row r="242" spans="1:13" x14ac:dyDescent="0.25">
      <c r="A242" s="41" t="s">
        <v>184</v>
      </c>
      <c r="B242" s="40"/>
      <c r="C242" s="40"/>
      <c r="D242" s="40"/>
      <c r="E242" s="40"/>
    </row>
    <row r="243" spans="1:13" x14ac:dyDescent="0.25">
      <c r="A243" s="115" t="s">
        <v>5</v>
      </c>
      <c r="B243" s="116"/>
      <c r="C243" s="116"/>
      <c r="D243" s="116"/>
      <c r="E243" s="117"/>
      <c r="F243" s="3" t="s">
        <v>4</v>
      </c>
      <c r="H243" s="41" t="s">
        <v>265</v>
      </c>
      <c r="I243" s="40"/>
      <c r="J243" s="40"/>
      <c r="K243" s="40"/>
      <c r="L243" s="40"/>
    </row>
    <row r="244" spans="1:13" x14ac:dyDescent="0.25">
      <c r="A244" s="90" t="s">
        <v>242</v>
      </c>
      <c r="B244" s="4"/>
      <c r="C244" s="4"/>
      <c r="D244" s="4"/>
      <c r="E244" s="4"/>
      <c r="F244" s="34"/>
      <c r="H244" s="4"/>
      <c r="I244" s="4"/>
      <c r="J244" s="4"/>
      <c r="K244" s="4"/>
      <c r="L244" s="4"/>
      <c r="M244" s="3" t="s">
        <v>4</v>
      </c>
    </row>
    <row r="245" spans="1:13" x14ac:dyDescent="0.25">
      <c r="A245" s="4"/>
      <c r="B245" s="4"/>
      <c r="C245" s="4"/>
      <c r="D245" s="4"/>
      <c r="E245" s="4"/>
      <c r="F245" s="34">
        <f>A245*B245</f>
        <v>0</v>
      </c>
      <c r="H245" s="4">
        <f>6.45*6.06</f>
        <v>39.086999999999996</v>
      </c>
      <c r="I245" s="4"/>
      <c r="J245" s="4"/>
      <c r="K245" s="4"/>
      <c r="L245" s="4"/>
      <c r="M245" s="60">
        <f>SUM(H245,I245,J245,K245,L245)</f>
        <v>39.086999999999996</v>
      </c>
    </row>
    <row r="246" spans="1:13" x14ac:dyDescent="0.25">
      <c r="A246" s="4"/>
      <c r="B246" s="30"/>
      <c r="C246" s="4"/>
      <c r="D246" s="4"/>
      <c r="E246" s="4"/>
      <c r="F246" s="34">
        <f t="shared" ref="F246:F248" si="51">SUM(A246,B246,C246,D246,E246)</f>
        <v>0</v>
      </c>
      <c r="H246" s="4"/>
      <c r="I246" s="30"/>
      <c r="J246" s="4"/>
      <c r="K246" s="4"/>
      <c r="L246" s="4"/>
      <c r="M246" s="60">
        <f t="shared" ref="M246:M249" si="52">SUM(H246,I246,J246,K246,L246)</f>
        <v>0</v>
      </c>
    </row>
    <row r="247" spans="1:13" x14ac:dyDescent="0.25">
      <c r="A247" s="4"/>
      <c r="B247" s="30"/>
      <c r="C247" s="4"/>
      <c r="D247" s="4"/>
      <c r="E247" s="4"/>
      <c r="F247" s="34">
        <f t="shared" si="51"/>
        <v>0</v>
      </c>
      <c r="H247" s="4"/>
      <c r="I247" s="30"/>
      <c r="J247" s="4"/>
      <c r="K247" s="4"/>
      <c r="L247" s="4"/>
      <c r="M247" s="60">
        <f t="shared" si="52"/>
        <v>0</v>
      </c>
    </row>
    <row r="248" spans="1:13" x14ac:dyDescent="0.25">
      <c r="A248" s="4"/>
      <c r="B248" s="30"/>
      <c r="C248" s="4"/>
      <c r="D248" s="4"/>
      <c r="E248" s="4"/>
      <c r="F248" s="34">
        <f t="shared" si="51"/>
        <v>0</v>
      </c>
      <c r="H248" s="4"/>
      <c r="I248" s="30"/>
      <c r="J248" s="4"/>
      <c r="K248" s="4"/>
      <c r="L248" s="4"/>
      <c r="M248" s="60">
        <f t="shared" si="52"/>
        <v>0</v>
      </c>
    </row>
    <row r="249" spans="1:13" x14ac:dyDescent="0.25">
      <c r="A249" s="112" t="s">
        <v>4</v>
      </c>
      <c r="B249" s="113"/>
      <c r="C249" s="113"/>
      <c r="D249" s="113"/>
      <c r="E249" s="114"/>
      <c r="F249" s="2">
        <f>SUM(F244:F248)</f>
        <v>0</v>
      </c>
      <c r="H249" s="4"/>
      <c r="I249" s="30"/>
      <c r="J249" s="4"/>
      <c r="K249" s="4"/>
      <c r="L249" s="4"/>
      <c r="M249" s="60">
        <f t="shared" si="52"/>
        <v>0</v>
      </c>
    </row>
    <row r="250" spans="1:13" x14ac:dyDescent="0.25">
      <c r="H250" s="112" t="s">
        <v>4</v>
      </c>
      <c r="I250" s="113"/>
      <c r="J250" s="113"/>
      <c r="K250" s="113"/>
      <c r="L250" s="114"/>
      <c r="M250" s="61">
        <f>SUM(M245:M249)</f>
        <v>39.086999999999996</v>
      </c>
    </row>
    <row r="252" spans="1:13" x14ac:dyDescent="0.25">
      <c r="A252" s="27" t="s">
        <v>49</v>
      </c>
    </row>
    <row r="253" spans="1:13" x14ac:dyDescent="0.25">
      <c r="A253" s="27"/>
    </row>
    <row r="254" spans="1:13" x14ac:dyDescent="0.25">
      <c r="A254" s="27"/>
    </row>
    <row r="255" spans="1:13" x14ac:dyDescent="0.25">
      <c r="A255" s="27" t="s">
        <v>50</v>
      </c>
    </row>
    <row r="256" spans="1:13" x14ac:dyDescent="0.25">
      <c r="A256" s="29" t="s">
        <v>51</v>
      </c>
    </row>
    <row r="257" spans="1:1" x14ac:dyDescent="0.25">
      <c r="A257" s="27" t="s">
        <v>52</v>
      </c>
    </row>
  </sheetData>
  <mergeCells count="124">
    <mergeCell ref="A1:M1"/>
    <mergeCell ref="A23:E23"/>
    <mergeCell ref="A36:E36"/>
    <mergeCell ref="H23:L23"/>
    <mergeCell ref="H36:L36"/>
    <mergeCell ref="A30:E30"/>
    <mergeCell ref="H30:L30"/>
    <mergeCell ref="A141:E141"/>
    <mergeCell ref="H141:L141"/>
    <mergeCell ref="A49:E49"/>
    <mergeCell ref="H49:L49"/>
    <mergeCell ref="A90:E90"/>
    <mergeCell ref="H90:L90"/>
    <mergeCell ref="A115:E115"/>
    <mergeCell ref="H115:L115"/>
    <mergeCell ref="A128:E128"/>
    <mergeCell ref="H128:L128"/>
    <mergeCell ref="A62:E62"/>
    <mergeCell ref="A33:E33"/>
    <mergeCell ref="H33:L33"/>
    <mergeCell ref="A93:E93"/>
    <mergeCell ref="A106:E106"/>
    <mergeCell ref="H106:L106"/>
    <mergeCell ref="H93:L93"/>
    <mergeCell ref="A46:E46"/>
    <mergeCell ref="H46:L46"/>
    <mergeCell ref="A59:E59"/>
    <mergeCell ref="H59:L59"/>
    <mergeCell ref="A56:E56"/>
    <mergeCell ref="H56:L56"/>
    <mergeCell ref="A72:E72"/>
    <mergeCell ref="A78:E78"/>
    <mergeCell ref="H78:L78"/>
    <mergeCell ref="A43:E43"/>
    <mergeCell ref="H43:L43"/>
    <mergeCell ref="H135:L135"/>
    <mergeCell ref="A84:E84"/>
    <mergeCell ref="A87:E87"/>
    <mergeCell ref="H84:L84"/>
    <mergeCell ref="H87:L87"/>
    <mergeCell ref="A109:E109"/>
    <mergeCell ref="H109:L109"/>
    <mergeCell ref="A96:E96"/>
    <mergeCell ref="H96:L96"/>
    <mergeCell ref="A99:E99"/>
    <mergeCell ref="H99:L99"/>
    <mergeCell ref="A102:E102"/>
    <mergeCell ref="H102:L102"/>
    <mergeCell ref="H122:L122"/>
    <mergeCell ref="A119:E119"/>
    <mergeCell ref="H119:L119"/>
    <mergeCell ref="H62:L62"/>
    <mergeCell ref="A125:E125"/>
    <mergeCell ref="H125:L125"/>
    <mergeCell ref="A135:E135"/>
    <mergeCell ref="A65:E65"/>
    <mergeCell ref="A68:E68"/>
    <mergeCell ref="A192:E192"/>
    <mergeCell ref="A196:E196"/>
    <mergeCell ref="H196:L196"/>
    <mergeCell ref="A199:E199"/>
    <mergeCell ref="H199:L199"/>
    <mergeCell ref="A202:E202"/>
    <mergeCell ref="H202:L202"/>
    <mergeCell ref="A205:E205"/>
    <mergeCell ref="H205:L205"/>
    <mergeCell ref="H192:L192"/>
    <mergeCell ref="A183:E183"/>
    <mergeCell ref="A186:E186"/>
    <mergeCell ref="A189:E189"/>
    <mergeCell ref="H183:L183"/>
    <mergeCell ref="H186:L186"/>
    <mergeCell ref="H189:L189"/>
    <mergeCell ref="A162:E162"/>
    <mergeCell ref="H162:L162"/>
    <mergeCell ref="A165:E165"/>
    <mergeCell ref="H165:L165"/>
    <mergeCell ref="H174:L174"/>
    <mergeCell ref="H176:L176"/>
    <mergeCell ref="H179:L179"/>
    <mergeCell ref="H168:L168"/>
    <mergeCell ref="A178:E178"/>
    <mergeCell ref="A168:E168"/>
    <mergeCell ref="H178:L178"/>
    <mergeCell ref="A172:E172"/>
    <mergeCell ref="A174:E174"/>
    <mergeCell ref="A176:E176"/>
    <mergeCell ref="H172:L172"/>
    <mergeCell ref="A132:E132"/>
    <mergeCell ref="A159:E159"/>
    <mergeCell ref="A112:E112"/>
    <mergeCell ref="A146:E146"/>
    <mergeCell ref="A149:E149"/>
    <mergeCell ref="H149:L149"/>
    <mergeCell ref="A152:E152"/>
    <mergeCell ref="H152:L152"/>
    <mergeCell ref="H112:L112"/>
    <mergeCell ref="A138:E138"/>
    <mergeCell ref="H138:L138"/>
    <mergeCell ref="A122:E122"/>
    <mergeCell ref="A155:E155"/>
    <mergeCell ref="H155:L155"/>
    <mergeCell ref="H159:L159"/>
    <mergeCell ref="H250:L250"/>
    <mergeCell ref="H225:L225"/>
    <mergeCell ref="A209:E209"/>
    <mergeCell ref="H209:L209"/>
    <mergeCell ref="A212:E212"/>
    <mergeCell ref="H240:L240"/>
    <mergeCell ref="A228:E228"/>
    <mergeCell ref="H228:L228"/>
    <mergeCell ref="A231:E231"/>
    <mergeCell ref="H231:L231"/>
    <mergeCell ref="A218:E218"/>
    <mergeCell ref="H218:L218"/>
    <mergeCell ref="A222:E222"/>
    <mergeCell ref="H222:L222"/>
    <mergeCell ref="A249:E249"/>
    <mergeCell ref="A240:E240"/>
    <mergeCell ref="A243:E243"/>
    <mergeCell ref="A225:E225"/>
    <mergeCell ref="A215:E215"/>
    <mergeCell ref="H215:L215"/>
    <mergeCell ref="H212:L212"/>
  </mergeCells>
  <printOptions horizontalCentered="1"/>
  <pageMargins left="0" right="0" top="0.74803149606299213" bottom="0.74803149606299213" header="0.31496062992125984" footer="0.31496062992125984"/>
  <pageSetup scale="70" fitToHeight="0" orientation="landscape"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M2 depreciado</vt:lpstr>
      <vt:lpstr>Presup. Unitarios</vt:lpstr>
      <vt:lpstr>Presup. m2</vt:lpstr>
      <vt:lpstr>cantid. obra</vt:lpstr>
      <vt:lpstr>'cantid. obra'!Área_de_impresión</vt:lpstr>
      <vt:lpstr>'M2 depreciado'!Área_de_impresión</vt:lpstr>
      <vt:lpstr>'Presup. m2'!Área_de_impresión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Jeiver</dc:creator>
  <cp:lastModifiedBy>heivert andres zuniga lozada</cp:lastModifiedBy>
  <cp:lastPrinted>2018-02-20T12:23:25Z</cp:lastPrinted>
  <dcterms:created xsi:type="dcterms:W3CDTF">2015-10-12T10:19:19Z</dcterms:created>
  <dcterms:modified xsi:type="dcterms:W3CDTF">2024-08-28T04:00:32Z</dcterms:modified>
</cp:coreProperties>
</file>