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1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gha2-my.sharepoint.com/personal/vorozco_gha_com_co/Documents/Documents/GHA/LIQUIDACIONES/"/>
    </mc:Choice>
  </mc:AlternateContent>
  <xr:revisionPtr revIDLastSave="9" documentId="13_ncr:1_{491894EB-2366-4871-B06E-6D071CBBCA54}" xr6:coauthVersionLast="47" xr6:coauthVersionMax="47" xr10:uidLastSave="{C9071B6C-AE17-4DA4-A037-6E53BB0C4725}"/>
  <bookViews>
    <workbookView xWindow="-120" yWindow="-120" windowWidth="24240" windowHeight="13020" firstSheet="1" activeTab="1" xr2:uid="{00000000-000D-0000-FFFF-FFFF00000000}"/>
  </bookViews>
  <sheets>
    <sheet name="LIQ. PRETENSIONES DEMANDA" sheetId="13" r:id="rId1"/>
    <sheet name="PML" sheetId="15" r:id="rId2"/>
    <sheet name="PROM SALARIO" sheetId="14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0" i="15" l="1"/>
  <c r="D40" i="15"/>
  <c r="E39" i="15"/>
  <c r="D39" i="15"/>
  <c r="E31" i="15"/>
  <c r="E32" i="15" s="1"/>
  <c r="B45" i="15" s="1"/>
  <c r="F45" i="15" s="1"/>
  <c r="H30" i="15"/>
  <c r="I30" i="15" s="1"/>
  <c r="E34" i="15" s="1"/>
  <c r="E24" i="15"/>
  <c r="F24" i="15" s="1"/>
  <c r="F25" i="15" s="1"/>
  <c r="E20" i="15"/>
  <c r="E19" i="15"/>
  <c r="E18" i="15"/>
  <c r="E14" i="15"/>
  <c r="F14" i="15" s="1"/>
  <c r="D20" i="15" s="1"/>
  <c r="E13" i="15"/>
  <c r="F13" i="15" s="1"/>
  <c r="D19" i="15" s="1"/>
  <c r="F19" i="15" s="1"/>
  <c r="E12" i="15"/>
  <c r="F12" i="15" s="1"/>
  <c r="E8" i="15"/>
  <c r="F8" i="15" s="1"/>
  <c r="E7" i="15"/>
  <c r="F7" i="15" s="1"/>
  <c r="E6" i="15"/>
  <c r="F6" i="15" s="1"/>
  <c r="F20" i="15" l="1"/>
  <c r="F39" i="15"/>
  <c r="E33" i="15"/>
  <c r="F9" i="15"/>
  <c r="F34" i="15"/>
  <c r="F35" i="15" s="1"/>
  <c r="F40" i="15"/>
  <c r="F41" i="15" s="1"/>
  <c r="F15" i="15"/>
  <c r="D18" i="15"/>
  <c r="F18" i="15" s="1"/>
  <c r="F21" i="15" s="1"/>
  <c r="F47" i="15" l="1"/>
  <c r="E45" i="13"/>
  <c r="E46" i="13"/>
  <c r="D46" i="13"/>
  <c r="F46" i="13" s="1"/>
  <c r="E36" i="13"/>
  <c r="E25" i="13"/>
  <c r="E24" i="13"/>
  <c r="E23" i="13"/>
  <c r="E18" i="13"/>
  <c r="F18" i="13" s="1"/>
  <c r="E17" i="13"/>
  <c r="F17" i="13" s="1"/>
  <c r="E16" i="13"/>
  <c r="F16" i="13" s="1"/>
  <c r="F18" i="14"/>
  <c r="D45" i="13" s="1"/>
  <c r="F45" i="13" s="1"/>
  <c r="C18" i="14"/>
  <c r="D44" i="13" s="1"/>
  <c r="E8" i="13"/>
  <c r="E10" i="13"/>
  <c r="F10" i="13" s="1"/>
  <c r="E11" i="13"/>
  <c r="F11" i="13" s="1"/>
  <c r="E9" i="13"/>
  <c r="F9" i="13" s="1"/>
  <c r="E15" i="13" l="1"/>
  <c r="E29" i="13" l="1"/>
  <c r="F29" i="13" s="1"/>
  <c r="F30" i="13" s="1"/>
  <c r="E22" i="13"/>
  <c r="D25" i="13"/>
  <c r="D24" i="13"/>
  <c r="D23" i="13"/>
  <c r="F15" i="13"/>
  <c r="D22" i="13" s="1"/>
  <c r="F8" i="13"/>
  <c r="F12" i="13" s="1"/>
  <c r="F25" i="13" l="1"/>
  <c r="F23" i="13"/>
  <c r="F24" i="13"/>
  <c r="F19" i="13"/>
  <c r="F22" i="13"/>
  <c r="F26" i="13" l="1"/>
  <c r="E44" i="13"/>
  <c r="F44" i="13" s="1"/>
  <c r="E38" i="13"/>
  <c r="E37" i="13"/>
  <c r="H35" i="13"/>
  <c r="I35" i="13" s="1"/>
  <c r="E39" i="13" s="1"/>
  <c r="B51" i="13" l="1"/>
  <c r="F51" i="13" s="1"/>
  <c r="F47" i="13"/>
  <c r="F39" i="13"/>
  <c r="F40" i="13" s="1"/>
  <c r="F53" i="13" s="1"/>
</calcChain>
</file>

<file path=xl/sharedStrings.xml><?xml version="1.0" encoding="utf-8"?>
<sst xmlns="http://schemas.openxmlformats.org/spreadsheetml/2006/main" count="133" uniqueCount="48">
  <si>
    <t>LIQUIDACIÓN DE LAS PRETENSIONES DE LA DEMANDA</t>
  </si>
  <si>
    <t>DESDE</t>
  </si>
  <si>
    <t>HASTA</t>
  </si>
  <si>
    <t>SALARIO</t>
  </si>
  <si>
    <t>DÍAS</t>
  </si>
  <si>
    <t>PRIMAS</t>
  </si>
  <si>
    <t>Teniendo en cuenta que la demandante presuntamente debia devengar menos de 2 SMMLV, para el calculo de las primas y cesantías se incluyó el Aux. de transporte</t>
  </si>
  <si>
    <t>En la demanda solo acreditaron los salarios percibidos en el año 2020, 2019( agosto, septiembre, octubre y noviembre), 2018 (julio, agosto, septiembre, octubre), por lo que el resto de periodos se tomará como base el SMLMV</t>
  </si>
  <si>
    <t>TOTAL ADEUDADO</t>
  </si>
  <si>
    <t>CESANTÍAS</t>
  </si>
  <si>
    <t xml:space="preserve">*Nota:(i) Las pretensiones de la demanda están orientadas a solicitar el pago de  prestaciones sociales, vacaciones, indemnización artículo 64 y 65 del CTS e indemnización por no consignación de cesantías. </t>
  </si>
  <si>
    <t>INTERESES</t>
  </si>
  <si>
    <t>VACACIONES</t>
  </si>
  <si>
    <t>INDEMNIZACIÓN ARTÍCULO 64 DEL C.S.T.</t>
  </si>
  <si>
    <t>AÑO</t>
  </si>
  <si>
    <t>MES</t>
  </si>
  <si>
    <t>DÍA</t>
  </si>
  <si>
    <t>Tiempo Laborado en:</t>
  </si>
  <si>
    <t>Fecha de Terminación:</t>
  </si>
  <si>
    <t>Días</t>
  </si>
  <si>
    <t>Años</t>
  </si>
  <si>
    <t>Fecha de Ingreso:</t>
  </si>
  <si>
    <t>Ingreso Mensual:</t>
  </si>
  <si>
    <t>Ingreso Diario:</t>
  </si>
  <si>
    <t>Indemnización primer año</t>
  </si>
  <si>
    <t>Indemnización años adicionales:</t>
  </si>
  <si>
    <t>Total Indemnizacón:</t>
  </si>
  <si>
    <t>SANCIÓN POR NO CONSIGNACIÓN DE CESANTÍAS</t>
  </si>
  <si>
    <t>SANCIÓN</t>
  </si>
  <si>
    <t>INDEMNIZACIÓN DEL ARTÍCULO 65 DEL C.S.T.</t>
  </si>
  <si>
    <t>Salario diario</t>
  </si>
  <si>
    <t>x 720 días</t>
  </si>
  <si>
    <t>Total</t>
  </si>
  <si>
    <t>Total Liquidación:</t>
  </si>
  <si>
    <t>*Nota: Conforme al clausulado que nos envió la compañía, las pólizas amparan el pago de salarios, prestaciones sociales e indemnizaciones laborales. Sin embargo, por instrucción de la cía se incluyen las vacaciones para el calculo del PML</t>
  </si>
  <si>
    <t xml:space="preserve">*Nota:  La vigencia de la póliza No. 05 gu136799 inicia el 23/06/2017 y fenece el 23/06/2019. La actora solicita el pago de prestaciones sociales, vacaciones, indemnización del art. 64 y 65 del CST y la indemnización por consignación de cesantías
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</si>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</sst>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&quot;$&quot;\ #,##0.00;[Red]\-&quot;$&quot;\ #,##0.00"/>
    <numFmt numFmtId="165" formatCode="_-&quot;$&quot;\ * #,##0.00_-;\-&quot;$&quot;\ * #,##0.00_-;_-&quot;$&quot;\ * &quot;-&quot;??_-;_-@_-"/>
    <numFmt numFmtId="166" formatCode="_-* #,##0.00_-;\-* #,##0.00_-;_-* &quot;-&quot;??_-;_-@_-"/>
    <numFmt numFmtId="167" formatCode="_-* #,##0_-;\-* #,##0_-;_-* &quot;-&quot;??_-;_-@_-"/>
    <numFmt numFmtId="168" formatCode="_ &quot;$&quot;\ * #,##0_ ;_ &quot;$&quot;\ * \-#,##0_ ;_ &quot;$&quot;\ * &quot;-&quot;_ ;_ @_ "/>
    <numFmt numFmtId="169" formatCode="_ * #,##0_ ;_ * \-#,##0_ ;_ * &quot;-&quot;_ ;_ @_ "/>
    <numFmt numFmtId="170" formatCode="_ &quot;$&quot;\ * #,##0.00_ ;_ &quot;$&quot;\ * \-#,##0.00_ ;_ &quot;$&quot;\ * &quot;-&quot;??_ ;_ @_ "/>
    <numFmt numFmtId="171" formatCode="0.0"/>
    <numFmt numFmtId="172" formatCode="_-&quot;$&quot;\ * #,##0_-;\-&quot;$&quot;\ * #,##0_-;_-&quot;$&quot;\ * &quot;-&quot;??_-;_-@_-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b/>
      <u/>
      <sz val="9"/>
      <color theme="1"/>
      <name val="Arial"/>
      <family val="2"/>
    </font>
    <font>
      <b/>
      <sz val="9"/>
      <color theme="0"/>
      <name val="Arial"/>
      <family val="2"/>
    </font>
    <font>
      <sz val="8"/>
      <color theme="1"/>
      <name val="Arial"/>
      <family val="2"/>
    </font>
    <font>
      <sz val="8"/>
      <name val="Calibri"/>
      <family val="2"/>
      <scheme val="minor"/>
    </font>
    <font>
      <sz val="11"/>
      <color rgb="FF000000"/>
      <name val="Calibri"/>
      <family val="2"/>
      <scheme val="minor"/>
    </font>
    <font>
      <sz val="9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9E1F2"/>
        <bgColor rgb="FF000000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1">
    <xf numFmtId="0" fontId="0" fillId="0" borderId="0"/>
    <xf numFmtId="166" fontId="1" fillId="0" borderId="0" applyFont="0" applyFill="0" applyBorder="0" applyAlignment="0" applyProtection="0"/>
    <xf numFmtId="0" fontId="2" fillId="0" borderId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50">
    <xf numFmtId="0" fontId="0" fillId="0" borderId="0" xfId="0"/>
    <xf numFmtId="0" fontId="3" fillId="0" borderId="0" xfId="0" applyFont="1"/>
    <xf numFmtId="0" fontId="5" fillId="0" borderId="5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171" fontId="5" fillId="2" borderId="1" xfId="0" applyNumberFormat="1" applyFont="1" applyFill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3" fontId="4" fillId="0" borderId="1" xfId="0" applyNumberFormat="1" applyFon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2" fontId="5" fillId="0" borderId="5" xfId="0" applyNumberFormat="1" applyFont="1" applyBorder="1" applyAlignment="1">
      <alignment horizontal="center"/>
    </xf>
    <xf numFmtId="0" fontId="5" fillId="0" borderId="1" xfId="0" applyFont="1" applyBorder="1"/>
    <xf numFmtId="0" fontId="7" fillId="0" borderId="0" xfId="0" applyFont="1"/>
    <xf numFmtId="0" fontId="8" fillId="0" borderId="0" xfId="0" applyFont="1"/>
    <xf numFmtId="0" fontId="6" fillId="0" borderId="1" xfId="0" applyFont="1" applyBorder="1" applyAlignment="1">
      <alignment horizontal="center"/>
    </xf>
    <xf numFmtId="167" fontId="6" fillId="0" borderId="1" xfId="1" applyNumberFormat="1" applyFont="1" applyFill="1" applyBorder="1" applyAlignment="1">
      <alignment horizontal="center"/>
    </xf>
    <xf numFmtId="14" fontId="8" fillId="0" borderId="1" xfId="0" applyNumberFormat="1" applyFont="1" applyBorder="1" applyAlignment="1">
      <alignment horizontal="center"/>
    </xf>
    <xf numFmtId="167" fontId="8" fillId="0" borderId="1" xfId="6" applyNumberFormat="1" applyFont="1" applyBorder="1"/>
    <xf numFmtId="167" fontId="8" fillId="0" borderId="1" xfId="1" applyNumberFormat="1" applyFont="1" applyFill="1" applyBorder="1"/>
    <xf numFmtId="167" fontId="6" fillId="0" borderId="1" xfId="1" applyNumberFormat="1" applyFont="1" applyFill="1" applyBorder="1"/>
    <xf numFmtId="0" fontId="6" fillId="0" borderId="1" xfId="0" applyFont="1" applyBorder="1" applyAlignment="1">
      <alignment horizontal="center" vertical="center"/>
    </xf>
    <xf numFmtId="172" fontId="6" fillId="3" borderId="1" xfId="0" applyNumberFormat="1" applyFont="1" applyFill="1" applyBorder="1"/>
    <xf numFmtId="167" fontId="6" fillId="2" borderId="1" xfId="1" applyNumberFormat="1" applyFont="1" applyFill="1" applyBorder="1" applyAlignment="1">
      <alignment horizontal="center"/>
    </xf>
    <xf numFmtId="167" fontId="8" fillId="0" borderId="1" xfId="1" applyNumberFormat="1" applyFont="1" applyBorder="1"/>
    <xf numFmtId="167" fontId="6" fillId="3" borderId="1" xfId="1" applyNumberFormat="1" applyFont="1" applyFill="1" applyBorder="1"/>
    <xf numFmtId="167" fontId="8" fillId="0" borderId="1" xfId="1" applyNumberFormat="1" applyFont="1" applyFill="1" applyBorder="1" applyAlignment="1">
      <alignment vertical="center"/>
    </xf>
    <xf numFmtId="165" fontId="10" fillId="4" borderId="1" xfId="0" applyNumberFormat="1" applyFont="1" applyFill="1" applyBorder="1"/>
    <xf numFmtId="172" fontId="0" fillId="0" borderId="0" xfId="20" applyNumberFormat="1" applyFont="1"/>
    <xf numFmtId="0" fontId="11" fillId="0" borderId="8" xfId="0" applyFont="1" applyBorder="1" applyAlignment="1">
      <alignment wrapText="1"/>
    </xf>
    <xf numFmtId="0" fontId="6" fillId="2" borderId="1" xfId="0" applyFont="1" applyFill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9" fillId="3" borderId="3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1" fillId="0" borderId="8" xfId="0" applyFont="1" applyBorder="1" applyAlignment="1">
      <alignment horizontal="center" wrapText="1"/>
    </xf>
    <xf numFmtId="0" fontId="8" fillId="2" borderId="0" xfId="0" applyFont="1" applyFill="1" applyAlignment="1">
      <alignment horizontal="center" wrapText="1"/>
    </xf>
    <xf numFmtId="0" fontId="13" fillId="5" borderId="0" xfId="0" applyFont="1" applyFill="1" applyAlignment="1">
      <alignment horizontal="center" vertical="center" wrapText="1"/>
    </xf>
    <xf numFmtId="167" fontId="4" fillId="0" borderId="1" xfId="0" applyNumberFormat="1" applyFon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0" fontId="10" fillId="4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164" fontId="5" fillId="3" borderId="1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164" fontId="8" fillId="0" borderId="1" xfId="20" applyNumberFormat="1" applyFont="1" applyBorder="1" applyAlignment="1">
      <alignment horizontal="center"/>
    </xf>
    <xf numFmtId="165" fontId="8" fillId="0" borderId="1" xfId="2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14" fillId="5" borderId="0" xfId="0" applyFont="1" applyFill="1" applyAlignment="1">
      <alignment horizontal="center" wrapText="1"/>
    </xf>
  </cellXfs>
  <cellStyles count="21">
    <cellStyle name="Millares" xfId="1" builtinId="3"/>
    <cellStyle name="Millares [0] 2" xfId="3" xr:uid="{00000000-0005-0000-0000-000001000000}"/>
    <cellStyle name="Millares 2" xfId="8" xr:uid="{00000000-0005-0000-0000-000002000000}"/>
    <cellStyle name="Millares 3" xfId="10" xr:uid="{00000000-0005-0000-0000-000003000000}"/>
    <cellStyle name="Millares 4" xfId="6" xr:uid="{00000000-0005-0000-0000-000004000000}"/>
    <cellStyle name="Millares 5" xfId="12" xr:uid="{00000000-0005-0000-0000-000005000000}"/>
    <cellStyle name="Millares 6" xfId="15" xr:uid="{00000000-0005-0000-0000-000006000000}"/>
    <cellStyle name="Millares 7" xfId="16" xr:uid="{00000000-0005-0000-0000-000007000000}"/>
    <cellStyle name="Millares 8" xfId="18" xr:uid="{00000000-0005-0000-0000-000008000000}"/>
    <cellStyle name="Moneda" xfId="20" builtinId="4"/>
    <cellStyle name="Moneda [0] 2" xfId="5" xr:uid="{00000000-0005-0000-0000-00000A000000}"/>
    <cellStyle name="Moneda 2" xfId="4" xr:uid="{00000000-0005-0000-0000-00000B000000}"/>
    <cellStyle name="Moneda 3" xfId="9" xr:uid="{00000000-0005-0000-0000-00000C000000}"/>
    <cellStyle name="Moneda 4" xfId="11" xr:uid="{00000000-0005-0000-0000-00000D000000}"/>
    <cellStyle name="Moneda 5" xfId="7" xr:uid="{00000000-0005-0000-0000-00000E000000}"/>
    <cellStyle name="Moneda 6" xfId="13" xr:uid="{00000000-0005-0000-0000-00000F000000}"/>
    <cellStyle name="Moneda 7" xfId="14" xr:uid="{00000000-0005-0000-0000-000010000000}"/>
    <cellStyle name="Moneda 8" xfId="17" xr:uid="{00000000-0005-0000-0000-000011000000}"/>
    <cellStyle name="Moneda 9" xfId="19" xr:uid="{00000000-0005-0000-0000-000012000000}"/>
    <cellStyle name="Normal" xfId="0" builtinId="0"/>
    <cellStyle name="Normal 2" xfId="2" xr:uid="{00000000-0005-0000-0000-00001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142874</xdr:colOff>
      <xdr:row>0</xdr:row>
      <xdr:rowOff>0</xdr:rowOff>
    </xdr:from>
    <xdr:to>
      <xdr:col>5</xdr:col>
      <xdr:colOff>498396</xdr:colOff>
      <xdr:row>3</xdr:row>
      <xdr:rowOff>161925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BC6FE87-4940-4C20-A77D-19DC64D1EE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00249" y="0"/>
          <a:ext cx="2837737" cy="733425"/>
        </a:xfrm>
        <a:prstGeom prst="rect">
          <a:avLst/>
        </a:prstGeom>
      </xdr:spPr>
    </xdr:pic>
    <xdr:clientData/>
  </xdr:twoCellAnchor>
  <xdr:twoCellAnchor editAs="oneCell">
    <xdr:from>
      <xdr:col>2</xdr:col>
      <xdr:colOff>142874</xdr:colOff>
      <xdr:row>0</xdr:row>
      <xdr:rowOff>0</xdr:rowOff>
    </xdr:from>
    <xdr:to>
      <xdr:col>5</xdr:col>
      <xdr:colOff>498396</xdr:colOff>
      <xdr:row>3</xdr:row>
      <xdr:rowOff>161925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73CEBB6-5E63-4CB1-894E-D7078993C7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00249" y="0"/>
          <a:ext cx="2837737" cy="7334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5:M54"/>
  <sheetViews>
    <sheetView topLeftCell="B35" workbookViewId="0">
      <selection activeCell="M15" sqref="M15"/>
    </sheetView>
  </sheetViews>
  <sheetFormatPr defaultColWidth="11.42578125" defaultRowHeight="15"/>
  <cols>
    <col min="2" max="2" width="16.42578125" style="1" customWidth="1"/>
    <col min="3" max="4" width="11.42578125" style="1"/>
    <col min="5" max="5" width="13.85546875" style="1" customWidth="1"/>
    <col min="6" max="6" width="18.85546875" style="1" customWidth="1"/>
    <col min="7" max="7" width="17.42578125" style="1" customWidth="1"/>
  </cols>
  <sheetData>
    <row r="5" spans="1:12" s="1" customFormat="1" ht="15" customHeight="1">
      <c r="A5" s="14"/>
      <c r="B5" s="34" t="s">
        <v>0</v>
      </c>
      <c r="C5" s="34"/>
      <c r="D5" s="34"/>
      <c r="E5" s="34"/>
      <c r="F5" s="34"/>
      <c r="G5" s="14"/>
      <c r="H5" s="14"/>
      <c r="I5" s="14"/>
      <c r="J5" s="14"/>
    </row>
    <row r="6" spans="1:12" ht="15" customHeight="1">
      <c r="A6" s="14"/>
      <c r="B6" s="14"/>
      <c r="C6" s="14"/>
      <c r="D6" s="14"/>
      <c r="E6" s="14"/>
      <c r="F6" s="14"/>
      <c r="G6" s="14"/>
      <c r="H6" s="14"/>
      <c r="I6" s="14"/>
      <c r="J6" s="14"/>
    </row>
    <row r="7" spans="1:12" ht="15" customHeight="1">
      <c r="A7" s="14"/>
      <c r="B7" s="15" t="s">
        <v>1</v>
      </c>
      <c r="C7" s="15" t="s">
        <v>2</v>
      </c>
      <c r="D7" s="15" t="s">
        <v>3</v>
      </c>
      <c r="E7" s="15" t="s">
        <v>4</v>
      </c>
      <c r="F7" s="23" t="s">
        <v>5</v>
      </c>
      <c r="G7" s="36" t="s">
        <v>6</v>
      </c>
      <c r="H7" s="14"/>
      <c r="I7" s="14"/>
      <c r="J7" s="14"/>
    </row>
    <row r="8" spans="1:12">
      <c r="A8" s="14"/>
      <c r="B8" s="17">
        <v>42938</v>
      </c>
      <c r="C8" s="17">
        <v>43100</v>
      </c>
      <c r="D8" s="18">
        <v>820857</v>
      </c>
      <c r="E8" s="24">
        <f>DAYS360(B8,C8)</f>
        <v>159</v>
      </c>
      <c r="F8" s="19">
        <f>(D8*E8)/360</f>
        <v>362545.17499999999</v>
      </c>
      <c r="G8" s="36"/>
      <c r="H8" s="14"/>
      <c r="I8" s="37" t="s">
        <v>7</v>
      </c>
      <c r="J8" s="37"/>
      <c r="K8" s="37"/>
      <c r="L8" s="37"/>
    </row>
    <row r="9" spans="1:12">
      <c r="A9" s="14"/>
      <c r="B9" s="17">
        <v>43101</v>
      </c>
      <c r="C9" s="17">
        <v>43465</v>
      </c>
      <c r="D9" s="18">
        <v>891154</v>
      </c>
      <c r="E9" s="24">
        <f>DAYS360(B9,C9)</f>
        <v>360</v>
      </c>
      <c r="F9" s="19">
        <f t="shared" ref="F9:F11" si="0">(D9*E9)/360</f>
        <v>891154</v>
      </c>
      <c r="G9" s="36"/>
      <c r="H9" s="14"/>
      <c r="I9" s="37"/>
      <c r="J9" s="37"/>
      <c r="K9" s="37"/>
      <c r="L9" s="37"/>
    </row>
    <row r="10" spans="1:12">
      <c r="A10" s="14"/>
      <c r="B10" s="17">
        <v>43466</v>
      </c>
      <c r="C10" s="17">
        <v>43830</v>
      </c>
      <c r="D10" s="18">
        <v>930826</v>
      </c>
      <c r="E10" s="24">
        <f t="shared" ref="E10:E11" si="1">DAYS360(B10,C10)</f>
        <v>360</v>
      </c>
      <c r="F10" s="19">
        <f t="shared" si="0"/>
        <v>930826</v>
      </c>
      <c r="G10" s="36"/>
      <c r="H10" s="14"/>
      <c r="I10" s="37"/>
      <c r="J10" s="37"/>
      <c r="K10" s="37"/>
      <c r="L10" s="37"/>
    </row>
    <row r="11" spans="1:12">
      <c r="A11" s="14"/>
      <c r="B11" s="17">
        <v>43831</v>
      </c>
      <c r="C11" s="17">
        <v>43921</v>
      </c>
      <c r="D11" s="18">
        <v>1264015</v>
      </c>
      <c r="E11" s="24">
        <f t="shared" si="1"/>
        <v>90</v>
      </c>
      <c r="F11" s="19">
        <f t="shared" si="0"/>
        <v>316003.75</v>
      </c>
      <c r="G11" s="36"/>
      <c r="H11" s="14"/>
      <c r="I11" s="37"/>
      <c r="J11" s="37"/>
      <c r="K11" s="37"/>
      <c r="L11" s="37"/>
    </row>
    <row r="12" spans="1:12" ht="15" customHeight="1">
      <c r="A12" s="14"/>
      <c r="B12" s="35" t="s">
        <v>8</v>
      </c>
      <c r="C12" s="35"/>
      <c r="D12" s="35"/>
      <c r="E12" s="35"/>
      <c r="F12" s="25">
        <f>SUM(F8:F11)</f>
        <v>2500528.9249999998</v>
      </c>
      <c r="G12" s="36"/>
      <c r="H12" s="14"/>
      <c r="I12" s="14"/>
      <c r="J12" s="14"/>
    </row>
    <row r="13" spans="1:12" ht="15" customHeight="1">
      <c r="A13" s="14"/>
      <c r="B13" s="14"/>
      <c r="C13" s="14"/>
      <c r="D13" s="14"/>
      <c r="E13" s="14"/>
      <c r="F13" s="14"/>
      <c r="G13" s="14"/>
      <c r="H13" s="14"/>
      <c r="I13" s="14"/>
      <c r="J13" s="14"/>
    </row>
    <row r="14" spans="1:12">
      <c r="A14" s="14"/>
      <c r="B14" s="15" t="s">
        <v>1</v>
      </c>
      <c r="C14" s="15" t="s">
        <v>2</v>
      </c>
      <c r="D14" s="15" t="s">
        <v>3</v>
      </c>
      <c r="E14" s="15" t="s">
        <v>4</v>
      </c>
      <c r="F14" s="23" t="s">
        <v>9</v>
      </c>
      <c r="G14" s="36"/>
      <c r="H14" s="14"/>
      <c r="I14" s="14"/>
      <c r="J14" s="14"/>
      <c r="K14" s="1"/>
    </row>
    <row r="15" spans="1:12" ht="14.25" customHeight="1">
      <c r="A15" s="14"/>
      <c r="B15" s="17">
        <v>42938</v>
      </c>
      <c r="C15" s="17">
        <v>43100</v>
      </c>
      <c r="D15" s="18">
        <v>820857</v>
      </c>
      <c r="E15" s="24">
        <f t="shared" ref="E15" si="2">DAYS360(B15,C15)+1</f>
        <v>160</v>
      </c>
      <c r="F15" s="26">
        <f>(D15*E15)/360</f>
        <v>364825.33333333331</v>
      </c>
      <c r="G15" s="36"/>
      <c r="H15" s="14"/>
      <c r="I15" s="38" t="s">
        <v>10</v>
      </c>
      <c r="J15" s="38"/>
      <c r="K15" s="38"/>
    </row>
    <row r="16" spans="1:12" s="1" customFormat="1" ht="15" customHeight="1">
      <c r="A16" s="14"/>
      <c r="B16" s="17">
        <v>43101</v>
      </c>
      <c r="C16" s="17">
        <v>43465</v>
      </c>
      <c r="D16" s="18">
        <v>891154</v>
      </c>
      <c r="E16" s="24">
        <f>DAYS360(B16,C16)</f>
        <v>360</v>
      </c>
      <c r="F16" s="26">
        <f t="shared" ref="F16:F18" si="3">(D16*E16)/360</f>
        <v>891154</v>
      </c>
      <c r="G16" s="36"/>
      <c r="H16" s="14"/>
      <c r="I16" s="38"/>
      <c r="J16" s="38"/>
      <c r="K16" s="38"/>
    </row>
    <row r="17" spans="1:13" s="1" customFormat="1" ht="15" customHeight="1">
      <c r="A17" s="14"/>
      <c r="B17" s="17">
        <v>43466</v>
      </c>
      <c r="C17" s="17">
        <v>43830</v>
      </c>
      <c r="D17" s="18">
        <v>930826</v>
      </c>
      <c r="E17" s="24">
        <f>DAYS360(B17,C17)</f>
        <v>360</v>
      </c>
      <c r="F17" s="26">
        <f t="shared" si="3"/>
        <v>930826</v>
      </c>
      <c r="G17" s="36"/>
      <c r="H17" s="14"/>
      <c r="I17" s="38"/>
      <c r="J17" s="38"/>
      <c r="K17" s="38"/>
    </row>
    <row r="18" spans="1:13" s="1" customFormat="1" ht="15" customHeight="1">
      <c r="A18" s="14"/>
      <c r="B18" s="17">
        <v>43831</v>
      </c>
      <c r="C18" s="17">
        <v>43921</v>
      </c>
      <c r="D18" s="18">
        <v>1264015</v>
      </c>
      <c r="E18" s="24">
        <f>DAYS360(B18,C18)</f>
        <v>90</v>
      </c>
      <c r="F18" s="26">
        <f t="shared" si="3"/>
        <v>316003.75</v>
      </c>
      <c r="G18" s="36"/>
      <c r="H18" s="14"/>
      <c r="I18" s="38"/>
      <c r="J18" s="38"/>
      <c r="K18" s="38"/>
    </row>
    <row r="19" spans="1:13" s="1" customFormat="1" ht="15" customHeight="1">
      <c r="A19" s="14"/>
      <c r="B19" s="35" t="s">
        <v>8</v>
      </c>
      <c r="C19" s="35"/>
      <c r="D19" s="35"/>
      <c r="E19" s="35"/>
      <c r="F19" s="25">
        <f>SUM(F15:F18)</f>
        <v>2502809.083333333</v>
      </c>
      <c r="G19" s="36"/>
      <c r="H19" s="14"/>
      <c r="I19" s="38"/>
      <c r="J19" s="38"/>
      <c r="K19" s="38"/>
    </row>
    <row r="20" spans="1:13" s="1" customFormat="1" ht="12" customHeight="1">
      <c r="A20" s="14"/>
      <c r="B20" s="14"/>
      <c r="C20" s="14"/>
      <c r="D20" s="14"/>
      <c r="E20" s="14"/>
      <c r="F20" s="14"/>
      <c r="G20" s="14"/>
      <c r="H20" s="14"/>
      <c r="I20" s="38"/>
      <c r="J20" s="38"/>
      <c r="K20" s="38"/>
    </row>
    <row r="21" spans="1:13" s="1" customFormat="1" ht="12" customHeight="1">
      <c r="A21" s="14"/>
      <c r="B21" s="15" t="s">
        <v>1</v>
      </c>
      <c r="C21" s="15" t="s">
        <v>2</v>
      </c>
      <c r="D21" s="15" t="s">
        <v>9</v>
      </c>
      <c r="E21" s="15" t="s">
        <v>4</v>
      </c>
      <c r="F21" s="23" t="s">
        <v>11</v>
      </c>
      <c r="G21" s="14"/>
      <c r="H21" s="14"/>
      <c r="I21" s="38"/>
      <c r="J21" s="38"/>
      <c r="K21" s="38"/>
    </row>
    <row r="22" spans="1:13" s="1" customFormat="1" ht="12" customHeight="1">
      <c r="A22" s="14"/>
      <c r="B22" s="17">
        <v>42938</v>
      </c>
      <c r="C22" s="17">
        <v>43100</v>
      </c>
      <c r="D22" s="26">
        <f>+F15</f>
        <v>364825.33333333331</v>
      </c>
      <c r="E22" s="24">
        <f>DAYS360(B22,C22)+1</f>
        <v>160</v>
      </c>
      <c r="F22" s="24">
        <f>(D22*E22*0.12)/360</f>
        <v>19457.351111111111</v>
      </c>
      <c r="G22" s="14"/>
      <c r="H22" s="14"/>
      <c r="I22" s="38"/>
      <c r="J22" s="38"/>
      <c r="K22" s="38"/>
    </row>
    <row r="23" spans="1:13" s="1" customFormat="1" ht="12" customHeight="1">
      <c r="A23" s="14"/>
      <c r="B23" s="17">
        <v>43101</v>
      </c>
      <c r="C23" s="17">
        <v>43465</v>
      </c>
      <c r="D23" s="26">
        <f>+F16</f>
        <v>891154</v>
      </c>
      <c r="E23" s="24">
        <f>DAYS360(B23,C23)</f>
        <v>360</v>
      </c>
      <c r="F23" s="24">
        <f>(D23*E23*0.12)/360</f>
        <v>106938.48</v>
      </c>
      <c r="G23" s="14"/>
      <c r="H23" s="14"/>
      <c r="I23" s="38"/>
      <c r="J23" s="38"/>
      <c r="K23" s="38"/>
    </row>
    <row r="24" spans="1:13" s="1" customFormat="1" ht="12" customHeight="1">
      <c r="A24" s="14"/>
      <c r="B24" s="17">
        <v>43466</v>
      </c>
      <c r="C24" s="17">
        <v>43830</v>
      </c>
      <c r="D24" s="26">
        <f>+F17</f>
        <v>930826</v>
      </c>
      <c r="E24" s="24">
        <f>DAYS360(B24,C24)</f>
        <v>360</v>
      </c>
      <c r="F24" s="24">
        <f>(D24*E24*0.12)/360</f>
        <v>111699.11999999998</v>
      </c>
      <c r="G24" s="14"/>
      <c r="H24" s="14"/>
      <c r="I24" s="38"/>
      <c r="J24" s="38"/>
      <c r="K24" s="38"/>
    </row>
    <row r="25" spans="1:13" ht="13.5" customHeight="1">
      <c r="A25" s="14"/>
      <c r="B25" s="17">
        <v>43831</v>
      </c>
      <c r="C25" s="17">
        <v>43921</v>
      </c>
      <c r="D25" s="26">
        <f>+F18</f>
        <v>316003.75</v>
      </c>
      <c r="E25" s="24">
        <f>DAYS360(B25,C25)</f>
        <v>90</v>
      </c>
      <c r="F25" s="24">
        <f t="shared" ref="F25" si="4">(D25*E25*0.12)/360</f>
        <v>9480.1124999999993</v>
      </c>
      <c r="G25" s="14"/>
      <c r="H25" s="14"/>
      <c r="I25" s="38"/>
      <c r="J25" s="38"/>
      <c r="K25" s="38"/>
    </row>
    <row r="26" spans="1:13" s="1" customFormat="1" ht="12">
      <c r="A26" s="14"/>
      <c r="B26" s="35" t="s">
        <v>8</v>
      </c>
      <c r="C26" s="35"/>
      <c r="D26" s="35"/>
      <c r="E26" s="35"/>
      <c r="F26" s="25">
        <f>SUM(F22:F25)</f>
        <v>247575.06361111108</v>
      </c>
      <c r="G26" s="14"/>
      <c r="H26" s="14"/>
      <c r="I26" s="38"/>
      <c r="J26" s="38"/>
      <c r="K26" s="38"/>
    </row>
    <row r="27" spans="1:13" s="1" customFormat="1" ht="12">
      <c r="A27" s="14"/>
      <c r="B27" s="14"/>
      <c r="C27" s="14"/>
      <c r="D27" s="14"/>
      <c r="E27" s="14"/>
      <c r="F27" s="14"/>
      <c r="G27" s="14"/>
      <c r="H27" s="14"/>
      <c r="I27" s="14"/>
      <c r="J27" s="14"/>
    </row>
    <row r="28" spans="1:13" s="1" customFormat="1" ht="12">
      <c r="A28" s="14"/>
      <c r="B28" s="15" t="s">
        <v>1</v>
      </c>
      <c r="C28" s="15" t="s">
        <v>2</v>
      </c>
      <c r="D28" s="15" t="s">
        <v>3</v>
      </c>
      <c r="E28" s="15" t="s">
        <v>4</v>
      </c>
      <c r="F28" s="23" t="s">
        <v>12</v>
      </c>
      <c r="G28" s="14"/>
      <c r="H28" s="14"/>
      <c r="I28" s="14"/>
      <c r="J28" s="14"/>
    </row>
    <row r="29" spans="1:13" s="1" customFormat="1" ht="12">
      <c r="A29" s="14"/>
      <c r="B29" s="17">
        <v>42938</v>
      </c>
      <c r="C29" s="17">
        <v>43921</v>
      </c>
      <c r="D29" s="18">
        <v>1161161</v>
      </c>
      <c r="E29" s="24">
        <f>DAYS360(B29,C29)+1</f>
        <v>970</v>
      </c>
      <c r="F29" s="24">
        <f>(D29*E29)/720</f>
        <v>1564341.9027777778</v>
      </c>
      <c r="G29" s="14"/>
      <c r="H29" s="14"/>
      <c r="I29" s="14"/>
      <c r="J29" s="14"/>
    </row>
    <row r="30" spans="1:13" s="1" customFormat="1" ht="12">
      <c r="A30" s="14"/>
      <c r="B30" s="35" t="s">
        <v>8</v>
      </c>
      <c r="C30" s="35"/>
      <c r="D30" s="35"/>
      <c r="E30" s="35"/>
      <c r="F30" s="25">
        <f>SUM(F29)</f>
        <v>1564341.9027777778</v>
      </c>
      <c r="G30" s="14"/>
      <c r="H30" s="14"/>
      <c r="I30" s="14"/>
      <c r="J30" s="14"/>
    </row>
    <row r="31" spans="1:13">
      <c r="A31" s="14"/>
      <c r="B31" s="14"/>
      <c r="C31" s="14"/>
      <c r="D31" s="14"/>
      <c r="E31" s="14"/>
      <c r="F31" s="14"/>
      <c r="G31" s="14"/>
      <c r="H31" s="14"/>
      <c r="I31" s="14"/>
      <c r="J31" s="14"/>
      <c r="M31" s="1"/>
    </row>
    <row r="32" spans="1:13">
      <c r="A32" s="14"/>
      <c r="B32" s="30" t="s">
        <v>13</v>
      </c>
      <c r="C32" s="30"/>
      <c r="D32" s="30"/>
      <c r="E32" s="30"/>
      <c r="F32" s="30"/>
      <c r="G32" s="30"/>
      <c r="H32" s="30"/>
      <c r="I32" s="30"/>
      <c r="J32" s="14"/>
      <c r="M32" s="1"/>
    </row>
    <row r="33" spans="1:13">
      <c r="A33" s="14"/>
      <c r="B33" s="31"/>
      <c r="C33" s="31"/>
      <c r="D33" s="31"/>
      <c r="E33" s="2" t="s">
        <v>14</v>
      </c>
      <c r="F33" s="2" t="s">
        <v>15</v>
      </c>
      <c r="G33" s="2" t="s">
        <v>16</v>
      </c>
      <c r="H33" s="32" t="s">
        <v>17</v>
      </c>
      <c r="I33" s="32"/>
      <c r="J33" s="14"/>
      <c r="M33" s="1"/>
    </row>
    <row r="34" spans="1:13">
      <c r="A34" s="14"/>
      <c r="B34" s="33" t="s">
        <v>18</v>
      </c>
      <c r="C34" s="33"/>
      <c r="D34" s="33"/>
      <c r="E34" s="3">
        <v>2020</v>
      </c>
      <c r="F34" s="3">
        <v>3</v>
      </c>
      <c r="G34" s="4">
        <v>31</v>
      </c>
      <c r="H34" s="5" t="s">
        <v>19</v>
      </c>
      <c r="I34" s="6" t="s">
        <v>20</v>
      </c>
      <c r="J34" s="14"/>
      <c r="M34" s="1"/>
    </row>
    <row r="35" spans="1:13">
      <c r="A35" s="14"/>
      <c r="B35" s="33" t="s">
        <v>21</v>
      </c>
      <c r="C35" s="33"/>
      <c r="D35" s="33"/>
      <c r="E35" s="7">
        <v>2017</v>
      </c>
      <c r="F35" s="7">
        <v>7</v>
      </c>
      <c r="G35" s="8">
        <v>22</v>
      </c>
      <c r="H35" s="9">
        <f>(E34-E35)*360+(F34-F35)*30+(G34-G35+1)</f>
        <v>970</v>
      </c>
      <c r="I35" s="10">
        <f>H35/360</f>
        <v>2.6944444444444446</v>
      </c>
      <c r="J35" s="14"/>
      <c r="M35" s="1"/>
    </row>
    <row r="36" spans="1:13">
      <c r="A36" s="14"/>
      <c r="B36" s="33" t="s">
        <v>22</v>
      </c>
      <c r="C36" s="33"/>
      <c r="D36" s="33"/>
      <c r="E36" s="39">
        <f>+D29</f>
        <v>1161161</v>
      </c>
      <c r="F36" s="40"/>
      <c r="G36" s="40"/>
      <c r="H36" s="40"/>
      <c r="I36" s="40"/>
      <c r="J36" s="14"/>
      <c r="M36" s="1"/>
    </row>
    <row r="37" spans="1:13">
      <c r="A37" s="14"/>
      <c r="B37" s="33" t="s">
        <v>23</v>
      </c>
      <c r="C37" s="33"/>
      <c r="D37" s="33"/>
      <c r="E37" s="41">
        <f>E36/30</f>
        <v>38705.366666666669</v>
      </c>
      <c r="F37" s="41"/>
      <c r="G37" s="41"/>
      <c r="H37" s="41"/>
      <c r="I37" s="41"/>
      <c r="J37" s="14"/>
      <c r="M37" s="1"/>
    </row>
    <row r="38" spans="1:13">
      <c r="A38" s="14"/>
      <c r="B38" s="33" t="s">
        <v>24</v>
      </c>
      <c r="C38" s="33"/>
      <c r="D38" s="33"/>
      <c r="E38" s="41">
        <f>E36</f>
        <v>1161161</v>
      </c>
      <c r="F38" s="41"/>
      <c r="G38" s="41"/>
      <c r="H38" s="41"/>
      <c r="I38" s="41"/>
      <c r="J38" s="14"/>
      <c r="M38" s="1"/>
    </row>
    <row r="39" spans="1:13">
      <c r="A39" s="14"/>
      <c r="B39" s="33" t="s">
        <v>25</v>
      </c>
      <c r="C39" s="33"/>
      <c r="D39" s="33"/>
      <c r="E39" s="11">
        <f>I35-1</f>
        <v>1.6944444444444446</v>
      </c>
      <c r="F39" s="41">
        <f>E39*20*E37</f>
        <v>1311681.8703703706</v>
      </c>
      <c r="G39" s="41"/>
      <c r="H39" s="41"/>
      <c r="I39" s="41"/>
      <c r="J39" s="14"/>
    </row>
    <row r="40" spans="1:13">
      <c r="A40" s="14"/>
      <c r="B40" s="43" t="s">
        <v>26</v>
      </c>
      <c r="C40" s="43"/>
      <c r="D40" s="43"/>
      <c r="E40" s="12"/>
      <c r="F40" s="44">
        <f>SUM(F39)</f>
        <v>1311681.8703703706</v>
      </c>
      <c r="G40" s="44"/>
      <c r="H40" s="44"/>
      <c r="I40" s="44"/>
      <c r="J40" s="14"/>
    </row>
    <row r="41" spans="1:13">
      <c r="A41" s="14"/>
      <c r="B41" s="14"/>
      <c r="C41" s="14"/>
      <c r="D41" s="14"/>
      <c r="E41" s="14"/>
      <c r="F41" s="14"/>
      <c r="G41" s="14"/>
      <c r="H41" s="14"/>
      <c r="I41" s="14"/>
      <c r="J41" s="14"/>
    </row>
    <row r="42" spans="1:13">
      <c r="A42" s="14"/>
      <c r="B42" s="35" t="s">
        <v>27</v>
      </c>
      <c r="C42" s="35"/>
      <c r="D42" s="35"/>
      <c r="E42" s="35"/>
      <c r="F42" s="35"/>
      <c r="G42" s="14"/>
      <c r="H42" s="14"/>
      <c r="I42" s="14"/>
      <c r="J42" s="14"/>
    </row>
    <row r="43" spans="1:13">
      <c r="A43" s="14"/>
      <c r="B43" s="15" t="s">
        <v>1</v>
      </c>
      <c r="C43" s="15" t="s">
        <v>2</v>
      </c>
      <c r="D43" s="15" t="s">
        <v>3</v>
      </c>
      <c r="E43" s="15" t="s">
        <v>4</v>
      </c>
      <c r="F43" s="16" t="s">
        <v>28</v>
      </c>
      <c r="G43" s="14"/>
      <c r="H43" s="14"/>
      <c r="I43" s="14"/>
      <c r="J43" s="14"/>
    </row>
    <row r="44" spans="1:13">
      <c r="A44" s="14"/>
      <c r="B44" s="17">
        <v>43146</v>
      </c>
      <c r="C44" s="17">
        <v>43510</v>
      </c>
      <c r="D44" s="18">
        <f>+'PROM SALARIO'!C18</f>
        <v>802943.25</v>
      </c>
      <c r="E44" s="19">
        <f t="shared" ref="E44:E46" si="5">DAYS360(B44,C44)+1</f>
        <v>360</v>
      </c>
      <c r="F44" s="19">
        <f t="shared" ref="F44:F46" si="6">(D44/30)*E44</f>
        <v>9635319</v>
      </c>
      <c r="G44" s="14"/>
      <c r="H44" s="14"/>
      <c r="I44" s="14"/>
      <c r="J44" s="14"/>
    </row>
    <row r="45" spans="1:13">
      <c r="A45" s="14"/>
      <c r="B45" s="17">
        <v>43511</v>
      </c>
      <c r="C45" s="17">
        <v>43875</v>
      </c>
      <c r="D45" s="18">
        <f>+'PROM SALARIO'!F18</f>
        <v>833794.41666666663</v>
      </c>
      <c r="E45" s="19">
        <f t="shared" si="5"/>
        <v>360</v>
      </c>
      <c r="F45" s="19">
        <f t="shared" si="6"/>
        <v>10005533</v>
      </c>
      <c r="G45" s="14"/>
      <c r="H45" s="14"/>
      <c r="I45" s="14"/>
      <c r="J45" s="14"/>
    </row>
    <row r="46" spans="1:13">
      <c r="A46" s="14"/>
      <c r="B46" s="17">
        <v>43876</v>
      </c>
      <c r="C46" s="17">
        <v>43921</v>
      </c>
      <c r="D46" s="18">
        <f>+D29</f>
        <v>1161161</v>
      </c>
      <c r="E46" s="19">
        <f t="shared" si="5"/>
        <v>47</v>
      </c>
      <c r="F46" s="19">
        <f t="shared" si="6"/>
        <v>1819152.2333333334</v>
      </c>
      <c r="G46" s="14"/>
      <c r="H46" s="14"/>
      <c r="I46" s="14"/>
      <c r="J46" s="14"/>
    </row>
    <row r="47" spans="1:13">
      <c r="A47" s="14"/>
      <c r="B47" s="35" t="s">
        <v>8</v>
      </c>
      <c r="C47" s="35"/>
      <c r="D47" s="35"/>
      <c r="E47" s="35"/>
      <c r="F47" s="20">
        <f>SUM(F44:F45)</f>
        <v>19640852</v>
      </c>
      <c r="G47" s="14"/>
      <c r="H47" s="14"/>
      <c r="I47" s="14"/>
      <c r="J47" s="14"/>
    </row>
    <row r="48" spans="1:13">
      <c r="A48" s="14"/>
      <c r="B48" s="14"/>
      <c r="C48" s="14"/>
      <c r="D48" s="14"/>
      <c r="E48" s="14"/>
      <c r="F48" s="14"/>
      <c r="G48" s="14"/>
      <c r="H48" s="14"/>
      <c r="I48" s="14"/>
      <c r="J48" s="14"/>
    </row>
    <row r="49" spans="1:10" ht="14.45" customHeight="1">
      <c r="A49" s="14"/>
      <c r="B49" s="30" t="s">
        <v>29</v>
      </c>
      <c r="C49" s="30"/>
      <c r="D49" s="30"/>
      <c r="E49" s="30"/>
      <c r="F49" s="30"/>
      <c r="G49" s="14"/>
      <c r="H49" s="14"/>
      <c r="I49" s="14"/>
      <c r="J49" s="14"/>
    </row>
    <row r="50" spans="1:10">
      <c r="A50" s="14"/>
      <c r="B50" s="45" t="s">
        <v>30</v>
      </c>
      <c r="C50" s="45"/>
      <c r="D50" s="45" t="s">
        <v>31</v>
      </c>
      <c r="E50" s="45"/>
      <c r="F50" s="21" t="s">
        <v>32</v>
      </c>
      <c r="G50" s="14"/>
      <c r="H50" s="14"/>
      <c r="I50" s="14"/>
      <c r="J50" s="14"/>
    </row>
    <row r="51" spans="1:10">
      <c r="A51" s="14"/>
      <c r="B51" s="46">
        <f>E37</f>
        <v>38705.366666666669</v>
      </c>
      <c r="C51" s="47"/>
      <c r="D51" s="48">
        <v>720</v>
      </c>
      <c r="E51" s="48"/>
      <c r="F51" s="22">
        <f>B51*D51</f>
        <v>27867864</v>
      </c>
      <c r="G51" s="14"/>
      <c r="H51" s="14"/>
      <c r="I51" s="14"/>
      <c r="J51" s="14"/>
    </row>
    <row r="52" spans="1:10">
      <c r="A52" s="14"/>
      <c r="B52" s="14"/>
      <c r="C52" s="14"/>
      <c r="D52" s="14"/>
      <c r="E52" s="14"/>
      <c r="F52" s="14"/>
      <c r="G52" s="14"/>
      <c r="H52" s="14"/>
      <c r="I52" s="14"/>
      <c r="J52" s="14"/>
    </row>
    <row r="53" spans="1:10">
      <c r="A53" s="14"/>
      <c r="B53" s="42" t="s">
        <v>33</v>
      </c>
      <c r="C53" s="42"/>
      <c r="D53" s="42"/>
      <c r="E53" s="42"/>
      <c r="F53" s="27">
        <f>F12+F19+F26+F30+F40+F47+F51</f>
        <v>55635652.845092595</v>
      </c>
      <c r="G53" s="14"/>
      <c r="H53" s="14"/>
      <c r="I53" s="14"/>
      <c r="J53" s="14"/>
    </row>
    <row r="54" spans="1:10">
      <c r="A54" s="13"/>
      <c r="B54" s="14"/>
      <c r="C54" s="14"/>
      <c r="D54" s="14"/>
      <c r="E54" s="14"/>
      <c r="F54" s="14"/>
      <c r="G54" s="14"/>
      <c r="H54" s="13"/>
      <c r="I54" s="13"/>
    </row>
  </sheetData>
  <mergeCells count="32">
    <mergeCell ref="B38:D38"/>
    <mergeCell ref="E38:I38"/>
    <mergeCell ref="B39:D39"/>
    <mergeCell ref="F39:I39"/>
    <mergeCell ref="B53:E53"/>
    <mergeCell ref="B40:D40"/>
    <mergeCell ref="F40:I40"/>
    <mergeCell ref="B42:F42"/>
    <mergeCell ref="B47:E47"/>
    <mergeCell ref="B49:F49"/>
    <mergeCell ref="B50:C50"/>
    <mergeCell ref="D50:E50"/>
    <mergeCell ref="B51:C51"/>
    <mergeCell ref="D51:E51"/>
    <mergeCell ref="B35:D35"/>
    <mergeCell ref="B36:D36"/>
    <mergeCell ref="E36:I36"/>
    <mergeCell ref="B37:D37"/>
    <mergeCell ref="E37:I37"/>
    <mergeCell ref="B32:I32"/>
    <mergeCell ref="B33:D33"/>
    <mergeCell ref="H33:I33"/>
    <mergeCell ref="B34:D34"/>
    <mergeCell ref="B5:F5"/>
    <mergeCell ref="B12:E12"/>
    <mergeCell ref="B19:E19"/>
    <mergeCell ref="B26:E26"/>
    <mergeCell ref="B30:E30"/>
    <mergeCell ref="G7:G12"/>
    <mergeCell ref="G14:G19"/>
    <mergeCell ref="I8:L11"/>
    <mergeCell ref="I15:K26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D8ECD5-550D-4F46-A73F-206542610D6D}">
  <dimension ref="B3:P49"/>
  <sheetViews>
    <sheetView tabSelected="1" workbookViewId="0">
      <selection activeCell="F40" sqref="F40"/>
    </sheetView>
  </sheetViews>
  <sheetFormatPr defaultColWidth="11.42578125" defaultRowHeight="15"/>
  <cols>
    <col min="6" max="6" width="15.28515625" customWidth="1"/>
    <col min="7" max="7" width="22.7109375" customWidth="1"/>
  </cols>
  <sheetData>
    <row r="3" spans="2:16">
      <c r="B3" s="34" t="s">
        <v>0</v>
      </c>
      <c r="C3" s="34"/>
      <c r="D3" s="34"/>
      <c r="E3" s="34"/>
      <c r="F3" s="34"/>
      <c r="G3" s="14"/>
      <c r="H3" s="14"/>
      <c r="I3" s="14"/>
      <c r="J3" s="14"/>
      <c r="K3" s="1"/>
      <c r="L3" s="1"/>
    </row>
    <row r="4" spans="2:16">
      <c r="B4" s="14"/>
      <c r="C4" s="14"/>
      <c r="D4" s="14"/>
      <c r="E4" s="14"/>
      <c r="F4" s="14"/>
      <c r="G4" s="14"/>
      <c r="H4" s="14"/>
      <c r="I4" s="37" t="s">
        <v>7</v>
      </c>
      <c r="J4" s="37"/>
      <c r="K4" s="37"/>
      <c r="L4" s="37"/>
    </row>
    <row r="5" spans="2:16">
      <c r="B5" s="15" t="s">
        <v>1</v>
      </c>
      <c r="C5" s="15" t="s">
        <v>2</v>
      </c>
      <c r="D5" s="15" t="s">
        <v>3</v>
      </c>
      <c r="E5" s="15" t="s">
        <v>4</v>
      </c>
      <c r="F5" s="23" t="s">
        <v>5</v>
      </c>
      <c r="G5" s="36" t="s">
        <v>6</v>
      </c>
      <c r="H5" s="14"/>
      <c r="I5" s="37"/>
      <c r="J5" s="37"/>
      <c r="K5" s="37"/>
      <c r="L5" s="37"/>
    </row>
    <row r="6" spans="2:16" ht="15" customHeight="1">
      <c r="B6" s="17">
        <v>42938</v>
      </c>
      <c r="C6" s="17">
        <v>43100</v>
      </c>
      <c r="D6" s="18">
        <v>820857</v>
      </c>
      <c r="E6" s="24">
        <f>DAYS360(B6,C6)</f>
        <v>159</v>
      </c>
      <c r="F6" s="19">
        <f>(D6*E6)/360</f>
        <v>362545.17499999999</v>
      </c>
      <c r="G6" s="36"/>
      <c r="H6" s="14"/>
      <c r="I6" s="37"/>
      <c r="J6" s="37"/>
      <c r="K6" s="37"/>
      <c r="L6" s="37"/>
    </row>
    <row r="7" spans="2:16">
      <c r="B7" s="17">
        <v>43101</v>
      </c>
      <c r="C7" s="17">
        <v>43465</v>
      </c>
      <c r="D7" s="18">
        <v>891154</v>
      </c>
      <c r="E7" s="24">
        <f>DAYS360(B7,C7)</f>
        <v>360</v>
      </c>
      <c r="F7" s="19">
        <f t="shared" ref="F7:F8" si="0">(D7*E7)/360</f>
        <v>891154</v>
      </c>
      <c r="G7" s="36"/>
      <c r="H7" s="14"/>
      <c r="I7" s="37"/>
      <c r="J7" s="37"/>
      <c r="K7" s="37"/>
      <c r="L7" s="37"/>
    </row>
    <row r="8" spans="2:16">
      <c r="B8" s="17">
        <v>43466</v>
      </c>
      <c r="C8" s="17">
        <v>43639</v>
      </c>
      <c r="D8" s="18">
        <v>930826</v>
      </c>
      <c r="E8" s="24">
        <f t="shared" ref="E8" si="1">DAYS360(B8,C8)</f>
        <v>172</v>
      </c>
      <c r="F8" s="19">
        <f t="shared" si="0"/>
        <v>444727.97777777776</v>
      </c>
      <c r="G8" s="36"/>
      <c r="H8" s="14"/>
      <c r="I8" s="37"/>
      <c r="J8" s="37"/>
      <c r="K8" s="37"/>
      <c r="L8" s="37"/>
    </row>
    <row r="9" spans="2:16">
      <c r="B9" s="35" t="s">
        <v>8</v>
      </c>
      <c r="C9" s="35"/>
      <c r="D9" s="35"/>
      <c r="E9" s="35"/>
      <c r="F9" s="25">
        <f>SUM(F6:F8)</f>
        <v>1698427.1527777778</v>
      </c>
      <c r="G9" s="36"/>
      <c r="H9" s="14"/>
      <c r="I9" s="14"/>
      <c r="J9" s="14"/>
    </row>
    <row r="10" spans="2:16">
      <c r="B10" s="14"/>
      <c r="C10" s="14"/>
      <c r="D10" s="14"/>
      <c r="E10" s="14"/>
      <c r="F10" s="14"/>
      <c r="G10" s="14"/>
      <c r="H10" s="14"/>
      <c r="I10" s="14"/>
      <c r="J10" s="14"/>
    </row>
    <row r="11" spans="2:16">
      <c r="B11" s="15" t="s">
        <v>1</v>
      </c>
      <c r="C11" s="15" t="s">
        <v>2</v>
      </c>
      <c r="D11" s="15" t="s">
        <v>3</v>
      </c>
      <c r="E11" s="15" t="s">
        <v>4</v>
      </c>
      <c r="F11" s="23" t="s">
        <v>9</v>
      </c>
      <c r="G11" s="29"/>
      <c r="H11" s="14"/>
      <c r="I11" s="14"/>
      <c r="J11" s="14"/>
      <c r="K11" s="1"/>
    </row>
    <row r="12" spans="2:16">
      <c r="B12" s="17">
        <v>42938</v>
      </c>
      <c r="C12" s="17">
        <v>43100</v>
      </c>
      <c r="D12" s="18">
        <v>820857</v>
      </c>
      <c r="E12" s="24">
        <f t="shared" ref="E12" si="2">DAYS360(B12,C12)+1</f>
        <v>160</v>
      </c>
      <c r="F12" s="26">
        <f>(D12*E12)/360</f>
        <v>364825.33333333331</v>
      </c>
      <c r="G12" s="29"/>
      <c r="H12" s="14"/>
      <c r="I12" s="38" t="s">
        <v>34</v>
      </c>
      <c r="J12" s="38"/>
      <c r="K12" s="38"/>
      <c r="M12" s="49" t="s">
        <v>35</v>
      </c>
      <c r="N12" s="49"/>
      <c r="O12" s="49"/>
      <c r="P12" s="49"/>
    </row>
    <row r="13" spans="2:16">
      <c r="B13" s="17">
        <v>43101</v>
      </c>
      <c r="C13" s="17">
        <v>43465</v>
      </c>
      <c r="D13" s="18">
        <v>891154</v>
      </c>
      <c r="E13" s="24">
        <f>DAYS360(B13,C13)</f>
        <v>360</v>
      </c>
      <c r="F13" s="26">
        <f t="shared" ref="F13:F14" si="3">(D13*E13)/360</f>
        <v>891154</v>
      </c>
      <c r="G13" s="29"/>
      <c r="H13" s="14"/>
      <c r="I13" s="38"/>
      <c r="J13" s="38"/>
      <c r="K13" s="38"/>
      <c r="L13" s="1"/>
      <c r="M13" s="49"/>
      <c r="N13" s="49"/>
      <c r="O13" s="49"/>
      <c r="P13" s="49"/>
    </row>
    <row r="14" spans="2:16">
      <c r="B14" s="17">
        <v>43466</v>
      </c>
      <c r="C14" s="17">
        <v>43639</v>
      </c>
      <c r="D14" s="18">
        <v>930826</v>
      </c>
      <c r="E14" s="24">
        <f>DAYS360(B14,C14)</f>
        <v>172</v>
      </c>
      <c r="F14" s="26">
        <f t="shared" si="3"/>
        <v>444727.97777777776</v>
      </c>
      <c r="G14" s="29"/>
      <c r="H14" s="14"/>
      <c r="I14" s="38"/>
      <c r="J14" s="38"/>
      <c r="K14" s="38"/>
      <c r="L14" s="1"/>
      <c r="M14" s="49"/>
      <c r="N14" s="49"/>
      <c r="O14" s="49"/>
      <c r="P14" s="49"/>
    </row>
    <row r="15" spans="2:16">
      <c r="B15" s="35" t="s">
        <v>8</v>
      </c>
      <c r="C15" s="35"/>
      <c r="D15" s="35"/>
      <c r="E15" s="35"/>
      <c r="F15" s="25">
        <f>SUM(F12:F14)</f>
        <v>1700707.311111111</v>
      </c>
      <c r="G15" s="29"/>
      <c r="H15" s="14"/>
      <c r="I15" s="38"/>
      <c r="J15" s="38"/>
      <c r="K15" s="38"/>
      <c r="L15" s="1"/>
      <c r="M15" s="49"/>
      <c r="N15" s="49"/>
      <c r="O15" s="49"/>
      <c r="P15" s="49"/>
    </row>
    <row r="16" spans="2:16">
      <c r="B16" s="14"/>
      <c r="C16" s="14"/>
      <c r="D16" s="14"/>
      <c r="E16" s="14"/>
      <c r="F16" s="14"/>
      <c r="G16" s="14"/>
      <c r="H16" s="14"/>
      <c r="I16" s="38"/>
      <c r="J16" s="38"/>
      <c r="K16" s="38"/>
      <c r="L16" s="1"/>
      <c r="M16" s="49"/>
      <c r="N16" s="49"/>
      <c r="O16" s="49"/>
      <c r="P16" s="49"/>
    </row>
    <row r="17" spans="2:16">
      <c r="B17" s="15" t="s">
        <v>1</v>
      </c>
      <c r="C17" s="15" t="s">
        <v>2</v>
      </c>
      <c r="D17" s="15" t="s">
        <v>9</v>
      </c>
      <c r="E17" s="15" t="s">
        <v>4</v>
      </c>
      <c r="F17" s="23" t="s">
        <v>11</v>
      </c>
      <c r="G17" s="14"/>
      <c r="H17" s="14"/>
      <c r="I17" s="38"/>
      <c r="J17" s="38"/>
      <c r="K17" s="38"/>
      <c r="L17" s="1"/>
      <c r="M17" s="49"/>
      <c r="N17" s="49"/>
      <c r="O17" s="49"/>
      <c r="P17" s="49"/>
    </row>
    <row r="18" spans="2:16">
      <c r="B18" s="17">
        <v>42938</v>
      </c>
      <c r="C18" s="17">
        <v>43100</v>
      </c>
      <c r="D18" s="26">
        <f>+F12</f>
        <v>364825.33333333331</v>
      </c>
      <c r="E18" s="24">
        <f>DAYS360(B18,C18)+1</f>
        <v>160</v>
      </c>
      <c r="F18" s="24">
        <f>(D18*E18*0.12)/360</f>
        <v>19457.351111111111</v>
      </c>
      <c r="G18" s="14"/>
      <c r="H18" s="14"/>
      <c r="I18" s="38"/>
      <c r="J18" s="38"/>
      <c r="K18" s="38"/>
      <c r="L18" s="1"/>
    </row>
    <row r="19" spans="2:16">
      <c r="B19" s="17">
        <v>43101</v>
      </c>
      <c r="C19" s="17">
        <v>43465</v>
      </c>
      <c r="D19" s="26">
        <f>+F13</f>
        <v>891154</v>
      </c>
      <c r="E19" s="24">
        <f>DAYS360(B19,C19)</f>
        <v>360</v>
      </c>
      <c r="F19" s="24">
        <f>(D19*E19*0.12)/360</f>
        <v>106938.48</v>
      </c>
      <c r="G19" s="14"/>
      <c r="H19" s="14"/>
      <c r="I19" s="38"/>
      <c r="J19" s="38"/>
      <c r="K19" s="38"/>
      <c r="L19" s="1"/>
    </row>
    <row r="20" spans="2:16">
      <c r="B20" s="17">
        <v>43466</v>
      </c>
      <c r="C20" s="17">
        <v>43639</v>
      </c>
      <c r="D20" s="26">
        <f>+F14</f>
        <v>444727.97777777776</v>
      </c>
      <c r="E20" s="24">
        <f>DAYS360(B20,C20)</f>
        <v>172</v>
      </c>
      <c r="F20" s="24">
        <f>(D20*E20*0.12)/360</f>
        <v>25497.737392592589</v>
      </c>
      <c r="G20" s="14"/>
      <c r="H20" s="14"/>
      <c r="I20" s="38"/>
      <c r="J20" s="38"/>
      <c r="K20" s="38"/>
      <c r="L20" s="1"/>
    </row>
    <row r="21" spans="2:16">
      <c r="B21" s="35" t="s">
        <v>8</v>
      </c>
      <c r="C21" s="35"/>
      <c r="D21" s="35"/>
      <c r="E21" s="35"/>
      <c r="F21" s="25">
        <f>SUM(F18:F20)</f>
        <v>151893.56850370369</v>
      </c>
      <c r="G21" s="14"/>
      <c r="H21" s="14"/>
      <c r="I21" s="38"/>
      <c r="J21" s="38"/>
      <c r="K21" s="38"/>
      <c r="L21" s="1"/>
    </row>
    <row r="22" spans="2:16">
      <c r="B22" s="14"/>
      <c r="C22" s="14"/>
      <c r="D22" s="14"/>
      <c r="E22" s="14"/>
      <c r="F22" s="14"/>
      <c r="G22" s="14"/>
      <c r="H22" s="14"/>
      <c r="I22" s="14"/>
      <c r="J22" s="14"/>
      <c r="K22" s="1"/>
      <c r="L22" s="1"/>
    </row>
    <row r="23" spans="2:16">
      <c r="B23" s="15" t="s">
        <v>1</v>
      </c>
      <c r="C23" s="15" t="s">
        <v>2</v>
      </c>
      <c r="D23" s="15" t="s">
        <v>3</v>
      </c>
      <c r="E23" s="15" t="s">
        <v>4</v>
      </c>
      <c r="F23" s="23" t="s">
        <v>12</v>
      </c>
      <c r="G23" s="14"/>
      <c r="H23" s="14"/>
      <c r="I23" s="14"/>
      <c r="J23" s="14"/>
      <c r="K23" s="1"/>
      <c r="L23" s="1"/>
    </row>
    <row r="24" spans="2:16">
      <c r="B24" s="17">
        <v>42938</v>
      </c>
      <c r="C24" s="17">
        <v>43639</v>
      </c>
      <c r="D24" s="18">
        <v>1161161</v>
      </c>
      <c r="E24" s="24">
        <f>DAYS360(B24,C24)+1</f>
        <v>692</v>
      </c>
      <c r="F24" s="24">
        <f>(D24*E24)/720</f>
        <v>1116004.7388888889</v>
      </c>
      <c r="G24" s="14"/>
      <c r="H24" s="14"/>
      <c r="I24" s="14"/>
      <c r="J24" s="14"/>
      <c r="K24" s="1"/>
      <c r="L24" s="1"/>
    </row>
    <row r="25" spans="2:16">
      <c r="B25" s="35" t="s">
        <v>8</v>
      </c>
      <c r="C25" s="35"/>
      <c r="D25" s="35"/>
      <c r="E25" s="35"/>
      <c r="F25" s="25">
        <f>SUM(F24)</f>
        <v>1116004.7388888889</v>
      </c>
      <c r="G25" s="14"/>
      <c r="H25" s="14"/>
      <c r="I25" s="14"/>
      <c r="J25" s="14"/>
      <c r="K25" s="1"/>
      <c r="L25" s="1"/>
    </row>
    <row r="26" spans="2:16">
      <c r="B26" s="14"/>
      <c r="C26" s="14"/>
      <c r="D26" s="14"/>
      <c r="E26" s="14"/>
      <c r="F26" s="14"/>
      <c r="G26" s="14"/>
      <c r="H26" s="14"/>
      <c r="I26" s="14"/>
      <c r="J26" s="14"/>
    </row>
    <row r="27" spans="2:16">
      <c r="B27" s="30" t="s">
        <v>13</v>
      </c>
      <c r="C27" s="30"/>
      <c r="D27" s="30"/>
      <c r="E27" s="30"/>
      <c r="F27" s="30"/>
      <c r="G27" s="30"/>
      <c r="H27" s="30"/>
      <c r="I27" s="30"/>
      <c r="J27" s="14"/>
    </row>
    <row r="28" spans="2:16">
      <c r="B28" s="31"/>
      <c r="C28" s="31"/>
      <c r="D28" s="31"/>
      <c r="E28" s="2" t="s">
        <v>14</v>
      </c>
      <c r="F28" s="2" t="s">
        <v>15</v>
      </c>
      <c r="G28" s="2" t="s">
        <v>16</v>
      </c>
      <c r="H28" s="32" t="s">
        <v>17</v>
      </c>
      <c r="I28" s="32"/>
      <c r="J28" s="14"/>
    </row>
    <row r="29" spans="2:16">
      <c r="B29" s="33" t="s">
        <v>18</v>
      </c>
      <c r="C29" s="33"/>
      <c r="D29" s="33"/>
      <c r="E29" s="3">
        <v>2019</v>
      </c>
      <c r="F29" s="3">
        <v>6</v>
      </c>
      <c r="G29" s="4">
        <v>23</v>
      </c>
      <c r="H29" s="5" t="s">
        <v>19</v>
      </c>
      <c r="I29" s="6" t="s">
        <v>20</v>
      </c>
      <c r="J29" s="14"/>
    </row>
    <row r="30" spans="2:16">
      <c r="B30" s="33" t="s">
        <v>21</v>
      </c>
      <c r="C30" s="33"/>
      <c r="D30" s="33"/>
      <c r="E30" s="7">
        <v>2017</v>
      </c>
      <c r="F30" s="7">
        <v>7</v>
      </c>
      <c r="G30" s="8">
        <v>22</v>
      </c>
      <c r="H30" s="9">
        <f>(E29-E30)*360+(F29-F30)*30+(G29-G30+1)</f>
        <v>692</v>
      </c>
      <c r="I30" s="10">
        <f>H30/360</f>
        <v>1.9222222222222223</v>
      </c>
      <c r="J30" s="14"/>
    </row>
    <row r="31" spans="2:16">
      <c r="B31" s="33" t="s">
        <v>22</v>
      </c>
      <c r="C31" s="33"/>
      <c r="D31" s="33"/>
      <c r="E31" s="39">
        <f>+D24</f>
        <v>1161161</v>
      </c>
      <c r="F31" s="40"/>
      <c r="G31" s="40"/>
      <c r="H31" s="40"/>
      <c r="I31" s="40"/>
      <c r="J31" s="14"/>
    </row>
    <row r="32" spans="2:16">
      <c r="B32" s="33" t="s">
        <v>23</v>
      </c>
      <c r="C32" s="33"/>
      <c r="D32" s="33"/>
      <c r="E32" s="41">
        <f>E31/30</f>
        <v>38705.366666666669</v>
      </c>
      <c r="F32" s="41"/>
      <c r="G32" s="41"/>
      <c r="H32" s="41"/>
      <c r="I32" s="41"/>
      <c r="J32" s="14"/>
    </row>
    <row r="33" spans="2:10">
      <c r="B33" s="33" t="s">
        <v>24</v>
      </c>
      <c r="C33" s="33"/>
      <c r="D33" s="33"/>
      <c r="E33" s="41">
        <f>E31</f>
        <v>1161161</v>
      </c>
      <c r="F33" s="41"/>
      <c r="G33" s="41"/>
      <c r="H33" s="41"/>
      <c r="I33" s="41"/>
      <c r="J33" s="14"/>
    </row>
    <row r="34" spans="2:10">
      <c r="B34" s="33" t="s">
        <v>25</v>
      </c>
      <c r="C34" s="33"/>
      <c r="D34" s="33"/>
      <c r="E34" s="11">
        <f>I30-1</f>
        <v>0.92222222222222228</v>
      </c>
      <c r="F34" s="41">
        <f>E34*20*E32</f>
        <v>713898.98518518533</v>
      </c>
      <c r="G34" s="41"/>
      <c r="H34" s="41"/>
      <c r="I34" s="41"/>
      <c r="J34" s="14"/>
    </row>
    <row r="35" spans="2:10">
      <c r="B35" s="43" t="s">
        <v>26</v>
      </c>
      <c r="C35" s="43"/>
      <c r="D35" s="43"/>
      <c r="E35" s="12"/>
      <c r="F35" s="44">
        <f>SUM(F34)</f>
        <v>713898.98518518533</v>
      </c>
      <c r="G35" s="44"/>
      <c r="H35" s="44"/>
      <c r="I35" s="44"/>
      <c r="J35" s="14"/>
    </row>
    <row r="36" spans="2:10">
      <c r="B36" s="14"/>
      <c r="C36" s="14"/>
      <c r="D36" s="14"/>
      <c r="E36" s="14"/>
      <c r="F36" s="14"/>
      <c r="G36" s="14"/>
      <c r="H36" s="14"/>
      <c r="I36" s="14"/>
      <c r="J36" s="14"/>
    </row>
    <row r="37" spans="2:10">
      <c r="B37" s="35" t="s">
        <v>27</v>
      </c>
      <c r="C37" s="35"/>
      <c r="D37" s="35"/>
      <c r="E37" s="35"/>
      <c r="F37" s="35"/>
      <c r="G37" s="14"/>
      <c r="H37" s="14"/>
      <c r="I37" s="14"/>
      <c r="J37" s="14"/>
    </row>
    <row r="38" spans="2:10">
      <c r="B38" s="15" t="s">
        <v>1</v>
      </c>
      <c r="C38" s="15" t="s">
        <v>2</v>
      </c>
      <c r="D38" s="15" t="s">
        <v>3</v>
      </c>
      <c r="E38" s="15" t="s">
        <v>4</v>
      </c>
      <c r="F38" s="16" t="s">
        <v>28</v>
      </c>
      <c r="G38" s="14"/>
      <c r="H38" s="14"/>
      <c r="I38" s="14"/>
      <c r="J38" s="14"/>
    </row>
    <row r="39" spans="2:10">
      <c r="B39" s="17">
        <v>43146</v>
      </c>
      <c r="C39" s="17">
        <v>43510</v>
      </c>
      <c r="D39" s="18">
        <f>+'PROM SALARIO'!C16</f>
        <v>781242</v>
      </c>
      <c r="E39" s="19">
        <f t="shared" ref="E39:E40" si="4">DAYS360(B39,C39)+1</f>
        <v>360</v>
      </c>
      <c r="F39" s="19">
        <f t="shared" ref="F39:F40" si="5">(D39/30)*E39</f>
        <v>9374904</v>
      </c>
      <c r="G39" s="14"/>
      <c r="H39" s="14"/>
      <c r="I39" s="14"/>
      <c r="J39" s="14"/>
    </row>
    <row r="40" spans="2:10">
      <c r="B40" s="17">
        <v>43511</v>
      </c>
      <c r="C40" s="17">
        <v>43639</v>
      </c>
      <c r="D40" s="18">
        <f>+'PROM SALARIO'!F16</f>
        <v>828116</v>
      </c>
      <c r="E40" s="19">
        <f t="shared" si="4"/>
        <v>129</v>
      </c>
      <c r="F40" s="19">
        <f t="shared" si="5"/>
        <v>3560898.8</v>
      </c>
      <c r="G40" s="14"/>
      <c r="H40" s="14"/>
      <c r="I40" s="14"/>
      <c r="J40" s="14"/>
    </row>
    <row r="41" spans="2:10">
      <c r="B41" s="35" t="s">
        <v>8</v>
      </c>
      <c r="C41" s="35"/>
      <c r="D41" s="35"/>
      <c r="E41" s="35"/>
      <c r="F41" s="20">
        <f>SUM(F39:F40)</f>
        <v>12935802.800000001</v>
      </c>
      <c r="G41" s="14"/>
      <c r="H41" s="14"/>
      <c r="I41" s="14"/>
      <c r="J41" s="14"/>
    </row>
    <row r="42" spans="2:10">
      <c r="B42" s="14"/>
      <c r="C42" s="14"/>
      <c r="D42" s="14"/>
      <c r="E42" s="14"/>
      <c r="F42" s="14"/>
      <c r="G42" s="14"/>
      <c r="H42" s="14"/>
      <c r="I42" s="14"/>
      <c r="J42" s="14"/>
    </row>
    <row r="43" spans="2:10">
      <c r="B43" s="30" t="s">
        <v>29</v>
      </c>
      <c r="C43" s="30"/>
      <c r="D43" s="30"/>
      <c r="E43" s="30"/>
      <c r="F43" s="30"/>
      <c r="G43" s="14"/>
      <c r="H43" s="14"/>
      <c r="I43" s="14"/>
      <c r="J43" s="14"/>
    </row>
    <row r="44" spans="2:10">
      <c r="B44" s="45" t="s">
        <v>30</v>
      </c>
      <c r="C44" s="45"/>
      <c r="D44" s="45" t="s">
        <v>31</v>
      </c>
      <c r="E44" s="45"/>
      <c r="F44" s="21" t="s">
        <v>32</v>
      </c>
      <c r="G44" s="14"/>
      <c r="H44" s="14"/>
      <c r="I44" s="14"/>
      <c r="J44" s="14"/>
    </row>
    <row r="45" spans="2:10">
      <c r="B45" s="46">
        <f>E32</f>
        <v>38705.366666666669</v>
      </c>
      <c r="C45" s="47"/>
      <c r="D45" s="48">
        <v>720</v>
      </c>
      <c r="E45" s="48"/>
      <c r="F45" s="22">
        <f>B45*D45</f>
        <v>27867864</v>
      </c>
      <c r="G45" s="14"/>
      <c r="H45" s="14"/>
      <c r="I45" s="14"/>
      <c r="J45" s="14"/>
    </row>
    <row r="46" spans="2:10">
      <c r="B46" s="14"/>
      <c r="C46" s="14"/>
      <c r="D46" s="14"/>
      <c r="E46" s="14"/>
      <c r="F46" s="14"/>
      <c r="G46" s="14"/>
      <c r="H46" s="14"/>
      <c r="I46" s="14"/>
      <c r="J46" s="14"/>
    </row>
    <row r="47" spans="2:10">
      <c r="B47" s="42" t="s">
        <v>33</v>
      </c>
      <c r="C47" s="42"/>
      <c r="D47" s="42"/>
      <c r="E47" s="42"/>
      <c r="F47" s="27">
        <f>F9+F15+F21+F25+F35+F41+F45</f>
        <v>46184598.556466669</v>
      </c>
      <c r="G47" s="14"/>
      <c r="H47" s="14"/>
      <c r="I47" s="14"/>
      <c r="J47" s="14"/>
    </row>
    <row r="48" spans="2:10">
      <c r="B48" s="14"/>
      <c r="C48" s="14"/>
      <c r="D48" s="14"/>
      <c r="E48" s="14"/>
      <c r="F48" s="14"/>
      <c r="G48" s="14"/>
      <c r="H48" s="13"/>
      <c r="I48" s="13"/>
    </row>
    <row r="49" spans="2:7">
      <c r="B49" s="1"/>
      <c r="C49" s="1"/>
      <c r="D49" s="1"/>
      <c r="E49" s="1"/>
      <c r="F49" s="1"/>
      <c r="G49" s="1"/>
    </row>
  </sheetData>
  <mergeCells count="32">
    <mergeCell ref="B30:D30"/>
    <mergeCell ref="B3:F3"/>
    <mergeCell ref="G5:G9"/>
    <mergeCell ref="B9:E9"/>
    <mergeCell ref="I12:K21"/>
    <mergeCell ref="B15:E15"/>
    <mergeCell ref="B21:E21"/>
    <mergeCell ref="B45:C45"/>
    <mergeCell ref="D45:E45"/>
    <mergeCell ref="B47:E47"/>
    <mergeCell ref="B34:D34"/>
    <mergeCell ref="F34:I34"/>
    <mergeCell ref="B35:D35"/>
    <mergeCell ref="F35:I35"/>
    <mergeCell ref="B37:F37"/>
    <mergeCell ref="B41:E41"/>
    <mergeCell ref="M12:P17"/>
    <mergeCell ref="I4:L8"/>
    <mergeCell ref="B43:F43"/>
    <mergeCell ref="B44:C44"/>
    <mergeCell ref="D44:E44"/>
    <mergeCell ref="B31:D31"/>
    <mergeCell ref="E31:I31"/>
    <mergeCell ref="B32:D32"/>
    <mergeCell ref="E32:I32"/>
    <mergeCell ref="B33:D33"/>
    <mergeCell ref="E33:I33"/>
    <mergeCell ref="B25:E25"/>
    <mergeCell ref="B27:I27"/>
    <mergeCell ref="B28:D28"/>
    <mergeCell ref="H28:I28"/>
    <mergeCell ref="B29:D2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6AAC21-1591-4B19-BEC1-1A087961C09D}">
  <dimension ref="B4:F19"/>
  <sheetViews>
    <sheetView workbookViewId="0">
      <selection activeCell="E25" sqref="E25"/>
    </sheetView>
  </sheetViews>
  <sheetFormatPr defaultColWidth="11.42578125" defaultRowHeight="15"/>
  <cols>
    <col min="3" max="3" width="13" bestFit="1" customWidth="1"/>
    <col min="6" max="6" width="13" bestFit="1" customWidth="1"/>
  </cols>
  <sheetData>
    <row r="4" spans="2:6">
      <c r="B4">
        <v>2018</v>
      </c>
      <c r="E4">
        <v>2019</v>
      </c>
    </row>
    <row r="5" spans="2:6">
      <c r="B5" t="s">
        <v>36</v>
      </c>
      <c r="C5" s="28">
        <v>781242</v>
      </c>
      <c r="E5" t="s">
        <v>36</v>
      </c>
      <c r="F5" s="28">
        <v>828116</v>
      </c>
    </row>
    <row r="6" spans="2:6">
      <c r="B6" t="s">
        <v>37</v>
      </c>
      <c r="C6" s="28">
        <v>781242</v>
      </c>
      <c r="E6" t="s">
        <v>37</v>
      </c>
      <c r="F6" s="28">
        <v>828116</v>
      </c>
    </row>
    <row r="7" spans="2:6">
      <c r="B7" t="s">
        <v>38</v>
      </c>
      <c r="C7" s="28">
        <v>781242</v>
      </c>
      <c r="E7" t="s">
        <v>38</v>
      </c>
      <c r="F7" s="28">
        <v>828116</v>
      </c>
    </row>
    <row r="8" spans="2:6">
      <c r="B8" t="s">
        <v>39</v>
      </c>
      <c r="C8" s="28">
        <v>781242</v>
      </c>
      <c r="E8" t="s">
        <v>39</v>
      </c>
      <c r="F8" s="28">
        <v>828116</v>
      </c>
    </row>
    <row r="9" spans="2:6">
      <c r="B9" t="s">
        <v>40</v>
      </c>
      <c r="C9" s="28">
        <v>781242</v>
      </c>
      <c r="E9" t="s">
        <v>40</v>
      </c>
      <c r="F9" s="28">
        <v>828116</v>
      </c>
    </row>
    <row r="10" spans="2:6">
      <c r="B10" t="s">
        <v>41</v>
      </c>
      <c r="C10" s="28">
        <v>781242</v>
      </c>
      <c r="E10" t="s">
        <v>41</v>
      </c>
      <c r="F10" s="28">
        <v>828116</v>
      </c>
    </row>
    <row r="11" spans="2:6">
      <c r="B11" t="s">
        <v>42</v>
      </c>
      <c r="C11" s="28">
        <v>878897</v>
      </c>
      <c r="E11" t="s">
        <v>42</v>
      </c>
      <c r="F11" s="28">
        <v>828116</v>
      </c>
    </row>
    <row r="12" spans="2:6">
      <c r="B12" t="s">
        <v>43</v>
      </c>
      <c r="C12" s="28">
        <v>846346</v>
      </c>
      <c r="E12" t="s">
        <v>43</v>
      </c>
      <c r="F12" s="28">
        <v>879656</v>
      </c>
    </row>
    <row r="13" spans="2:6">
      <c r="B13" t="s">
        <v>44</v>
      </c>
      <c r="C13" s="28">
        <v>813794</v>
      </c>
      <c r="E13" t="s">
        <v>44</v>
      </c>
      <c r="F13" s="28">
        <v>879656</v>
      </c>
    </row>
    <row r="14" spans="2:6">
      <c r="B14" t="s">
        <v>45</v>
      </c>
      <c r="C14" s="28">
        <v>846346</v>
      </c>
      <c r="E14" t="s">
        <v>45</v>
      </c>
      <c r="F14" s="28">
        <v>776142</v>
      </c>
    </row>
    <row r="15" spans="2:6">
      <c r="B15" t="s">
        <v>46</v>
      </c>
      <c r="C15" s="28">
        <v>781242</v>
      </c>
      <c r="E15" t="s">
        <v>46</v>
      </c>
      <c r="F15" s="28">
        <v>845151</v>
      </c>
    </row>
    <row r="16" spans="2:6">
      <c r="B16" t="s">
        <v>47</v>
      </c>
      <c r="C16" s="28">
        <v>781242</v>
      </c>
      <c r="E16" t="s">
        <v>47</v>
      </c>
      <c r="F16" s="28">
        <v>828116</v>
      </c>
    </row>
    <row r="17" spans="3:6">
      <c r="C17" s="28"/>
      <c r="F17" s="28"/>
    </row>
    <row r="18" spans="3:6">
      <c r="C18" s="28">
        <f>AVERAGE(C5:C17)</f>
        <v>802943.25</v>
      </c>
      <c r="F18" s="28">
        <f>AVERAGE(F5:F17)</f>
        <v>833794.41666666663</v>
      </c>
    </row>
    <row r="19" spans="3:6">
      <c r="C19" s="28"/>
      <c r="F19" s="28"/>
    </row>
  </sheetData>
  <phoneticPr fontId="1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Rama Judicial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Sebastian Suarez Ossa</dc:creator>
  <cp:keywords/>
  <dc:description/>
  <cp:lastModifiedBy>Daniela Quintero Laverde</cp:lastModifiedBy>
  <cp:revision/>
  <dcterms:created xsi:type="dcterms:W3CDTF">2023-05-23T18:21:31Z</dcterms:created>
  <dcterms:modified xsi:type="dcterms:W3CDTF">2024-01-24T21:55:05Z</dcterms:modified>
  <cp:category/>
  <cp:contentStatus/>
</cp:coreProperties>
</file>