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romero\Downloads\"/>
    </mc:Choice>
  </mc:AlternateContent>
  <xr:revisionPtr revIDLastSave="0" documentId="13_ncr:1_{662B0A1F-E0CC-47AD-8C14-129336911838}" xr6:coauthVersionLast="47" xr6:coauthVersionMax="47" xr10:uidLastSave="{00000000-0000-0000-0000-000000000000}"/>
  <bookViews>
    <workbookView xWindow="-120" yWindow="-120" windowWidth="24240" windowHeight="13020" activeTab="1" xr2:uid="{69AAD36E-CAFA-43EB-832F-400E58192986}"/>
  </bookViews>
  <sheets>
    <sheet name="LIQ. PRETENSIONES DEMANDA" sheetId="13" r:id="rId1"/>
    <sheet name="PML" sheetId="14"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14" l="1"/>
  <c r="F19" i="14"/>
  <c r="F26" i="14" s="1"/>
  <c r="F15" i="14"/>
  <c r="F10" i="14"/>
  <c r="D23" i="14"/>
  <c r="D9" i="14"/>
  <c r="E23" i="14"/>
  <c r="E22" i="14"/>
  <c r="F22" i="14" s="1"/>
  <c r="D36" i="13"/>
  <c r="D35" i="13"/>
  <c r="D26" i="13"/>
  <c r="D10" i="13"/>
  <c r="D9" i="13"/>
  <c r="E45" i="13"/>
  <c r="E44" i="13"/>
  <c r="H42" i="13"/>
  <c r="I42" i="13" s="1"/>
  <c r="E46" i="13" s="1"/>
  <c r="E36" i="13"/>
  <c r="F36" i="13" s="1"/>
  <c r="E35" i="13"/>
  <c r="E34" i="13"/>
  <c r="F34" i="13" s="1"/>
  <c r="F23" i="14" l="1"/>
  <c r="F46" i="13"/>
  <c r="F35" i="13"/>
  <c r="F37" i="13" s="1"/>
  <c r="F47" i="13"/>
  <c r="F31" i="13" l="1"/>
  <c r="B31" i="13"/>
  <c r="E18" i="14"/>
  <c r="F18" i="14" s="1"/>
  <c r="E14" i="14"/>
  <c r="E13" i="14"/>
  <c r="E9" i="14"/>
  <c r="F9" i="14" s="1"/>
  <c r="E8" i="14"/>
  <c r="F8" i="14" s="1"/>
  <c r="G31" i="13" l="1"/>
  <c r="F14" i="14"/>
  <c r="F13" i="14"/>
  <c r="E26" i="13"/>
  <c r="F26" i="13" s="1"/>
  <c r="E25" i="13"/>
  <c r="F25" i="13" s="1"/>
  <c r="E20" i="13"/>
  <c r="F20" i="13" s="1"/>
  <c r="F21" i="13" s="1"/>
  <c r="E16" i="13"/>
  <c r="E15" i="13"/>
  <c r="E14" i="13"/>
  <c r="E10" i="13"/>
  <c r="F10" i="13" s="1"/>
  <c r="D16" i="13" s="1"/>
  <c r="E9" i="13"/>
  <c r="F9" i="13" s="1"/>
  <c r="D15" i="13" s="1"/>
  <c r="E8" i="13"/>
  <c r="F8" i="13" s="1"/>
  <c r="D14" i="13" s="1"/>
  <c r="F27" i="13" l="1"/>
  <c r="F16" i="13"/>
  <c r="F15" i="13"/>
  <c r="F11" i="13"/>
  <c r="F14" i="13"/>
  <c r="F17" i="13" l="1"/>
  <c r="F49" i="13" s="1"/>
</calcChain>
</file>

<file path=xl/sharedStrings.xml><?xml version="1.0" encoding="utf-8"?>
<sst xmlns="http://schemas.openxmlformats.org/spreadsheetml/2006/main" count="85" uniqueCount="40">
  <si>
    <t>LIQUIDACIÓN DE LAS PRETENSIONES DE LA DEMANDA</t>
  </si>
  <si>
    <t>DESDE</t>
  </si>
  <si>
    <t>HASTA</t>
  </si>
  <si>
    <t>SALARIO</t>
  </si>
  <si>
    <t>DÍAS</t>
  </si>
  <si>
    <t>TOTAL ADEUDADO</t>
  </si>
  <si>
    <t>CESANTÍAS</t>
  </si>
  <si>
    <t>INTERESES</t>
  </si>
  <si>
    <t>VACACIONES</t>
  </si>
  <si>
    <t>SANCIÓN POR NO CONSIGNACIÓN DE CESANTÍAS</t>
  </si>
  <si>
    <t>SANCIÓN</t>
  </si>
  <si>
    <t>Total Liquidación:</t>
  </si>
  <si>
    <t>LIQUIDACIÓN PARA FACTURACIÓN (CONFORME A LOS AMPAROS DE LA PÓLIZA)</t>
  </si>
  <si>
    <t>NOTA: Se precisa que no es posible cuantificar las demás pretensiones en atención a que desconocemos los cargos propios del FNA y en especifico desconocemos el cargo que la actora pretende le sea reconocido, adicionalmente desconocemos el factor salarial de los cargos ofrecidos por el FNA y por consiguiente se desconoce el factor salarial para liquidar. Tampoco se liquida todo las pretensiones que correspondan a acreencias extralegales de conformidad con la convención colectiva de trabajo.</t>
  </si>
  <si>
    <t>*Nota: Conforme al clausulado que nos envió la compañía, las pólizas amparan el pago de salarios y prestaciones sociales. Sin embargo, por instrucción de la cía se incluyen las vacaciones para el calculo del PML</t>
  </si>
  <si>
    <t xml:space="preserve">*Nota: La vigencia de la póliza No. 03 GU071538 inicia el 16/08/2017 y fenece el 21/03/2018 sin tener en cuenta el término de prescripción trienal. Las prestaciones que solicita la parte demandante, se encuentran dentro de la vigencia de la póliza para un interregno especifico ya que solicita salarios y prestaciones sociales dejados de percibir desde el día de vinculación a la empresa (14/11/2017) hasta la fecha en que terminó el vínculo laboral (11/11/2019), por lo cual las fechas que se tomarán para efectuar el cálculo será desde el 14/11/2017 hasta el 21/03/2018. </t>
  </si>
  <si>
    <t>INDEMNIZACIÓN DEL DECRETO 797 DE 1949</t>
  </si>
  <si>
    <t>Salario diario</t>
  </si>
  <si>
    <t>Fecha finalización contrato</t>
  </si>
  <si>
    <t>90 días para el pago hasta</t>
  </si>
  <si>
    <t>Fecha de liquidación</t>
  </si>
  <si>
    <t>Días</t>
  </si>
  <si>
    <t>Total</t>
  </si>
  <si>
    <t xml:space="preserve"> </t>
  </si>
  <si>
    <t>PRIMAS</t>
  </si>
  <si>
    <t>INDEMNIZACIÓN ARTÍCULO 64 DEL C.S.T.</t>
  </si>
  <si>
    <t>AÑO</t>
  </si>
  <si>
    <t>MES</t>
  </si>
  <si>
    <t>DÍA</t>
  </si>
  <si>
    <t>Tiempo Laborado en:</t>
  </si>
  <si>
    <t>Años</t>
  </si>
  <si>
    <t>Fecha de Ingreso:</t>
  </si>
  <si>
    <t>Ingreso Mensual:</t>
  </si>
  <si>
    <t>Ingreso Diario:</t>
  </si>
  <si>
    <t>Indemnización primer año</t>
  </si>
  <si>
    <t>Indemnización años adicionales:</t>
  </si>
  <si>
    <t>Total Indemnizacón:</t>
  </si>
  <si>
    <t>Fecha de Términación contrato:</t>
  </si>
  <si>
    <t>NOTA: Para el 2017 la demandante de conformidad con los hechos de la demanda percibía más de 2SMLM, sin embargo, para los años 2018 y 2019 percibía menos de los 2SMLM por lo cual se liquidan las cesantías con el auxilio de transporte</t>
  </si>
  <si>
    <t>NOTA: Indemnización moratoria del Decreto 797 de 1949 para trabajadores oficiales, el empleador tendrá 90 días para efectuar el pago de salarios, prestaciones e indemnizaciones, de no hacerlo corre la moratoria desde el día 91 hasta la fecha efectiva de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</si>
</sst>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8" formatCode="&quot;$&quot;\ #,##0.00;[Red]\-&quot;$&quot;\ #,##0.00"/>
    <numFmt numFmtId="44" formatCode="_-&quot;$&quot;\ * #,##0.00_-;\-&quot;$&quot;\ * #,##0.00_-;_-&quot;$&quot;\ * &quot;-&quot;??_-;_-@_-"/>
    <numFmt numFmtId="43" formatCode="_-* #,##0.00_-;\-* #,##0.00_-;_-* &quot;-&quot;??_-;_-@_-"/>
    <numFmt numFmtId="164" formatCode="_-* #,##0_-;\-* #,##0_-;_-* &quot;-&quot;??_-;_-@_-"/>
    <numFmt numFmtId="165" formatCode="_ &quot;$&quot;\ * #,##0_ ;_ &quot;$&quot;\ * \-#,##0_ ;_ &quot;$&quot;\ * &quot;-&quot;_ ;_ @_ "/>
    <numFmt numFmtId="166" formatCode="_ * #,##0_ ;_ * \-#,##0_ ;_ * &quot;-&quot;_ ;_ @_ "/>
    <numFmt numFmtId="167" formatCode="_ &quot;$&quot;\ * #,##0.00_ ;_ &quot;$&quot;\ * \-#,##0.00_ ;_ &quot;$&quot;\ * &quot;-&quot;??_ ;_ @_ "/>
    <numFmt numFmtId="168" formatCode="0.0"/>
  </numFmts>
  <fonts count="13" x14ac:knownFonts="1">
    <font>
      <sz val="11"/>
      <color theme="1"/>
      <name val="Calibri"/>
      <family val="2"/>
      <scheme val="minor"/>
    </font>
    <font>
      <sz val="11"/>
      <color theme="1"/>
      <name val="Calibri"/>
      <family val="2"/>
      <scheme val="minor"/>
    </font>
    <font>
      <sz val="10"/>
      <name val="Arial"/>
      <family val="2"/>
    </font>
    <font>
      <b/>
      <sz val="9"/>
      <color theme="1"/>
      <name val="Calibri"/>
      <family val="2"/>
      <scheme val="minor"/>
    </font>
    <font>
      <sz val="9"/>
      <color theme="1"/>
      <name val="Calibri"/>
      <family val="2"/>
      <scheme val="minor"/>
    </font>
    <font>
      <b/>
      <u/>
      <sz val="9"/>
      <color theme="1"/>
      <name val="Calibri"/>
      <family val="2"/>
      <scheme val="minor"/>
    </font>
    <font>
      <b/>
      <sz val="10"/>
      <color theme="0"/>
      <name val="Calibri"/>
      <family val="2"/>
      <scheme val="minor"/>
    </font>
    <font>
      <sz val="9"/>
      <color rgb="FF000000"/>
      <name val="Calibri"/>
      <family val="2"/>
      <scheme val="minor"/>
    </font>
    <font>
      <b/>
      <sz val="9"/>
      <color rgb="FF000000"/>
      <name val="Calibri"/>
      <family val="2"/>
      <scheme val="minor"/>
    </font>
    <font>
      <sz val="9"/>
      <color rgb="FF444444"/>
      <name val="Calibri"/>
      <family val="2"/>
      <scheme val="minor"/>
    </font>
    <font>
      <sz val="9"/>
      <name val="Arial"/>
      <family val="2"/>
    </font>
    <font>
      <b/>
      <sz val="9"/>
      <name val="Arial"/>
      <family val="2"/>
    </font>
    <font>
      <b/>
      <sz val="9"/>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79998168889431442"/>
        <bgColor rgb="FF000000"/>
      </patternFill>
    </fill>
    <fill>
      <patternFill patternType="solid">
        <fgColor rgb="FFD9E1F2"/>
        <bgColor rgb="FF000000"/>
      </patternFill>
    </fill>
    <fill>
      <patternFill patternType="solid">
        <fgColor rgb="FF92D05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0">
    <xf numFmtId="0" fontId="0" fillId="0" borderId="0"/>
    <xf numFmtId="43" fontId="1" fillId="0" borderId="0" applyFont="0" applyFill="0" applyBorder="0" applyAlignment="0" applyProtection="0"/>
    <xf numFmtId="0" fontId="2" fillId="0" borderId="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8">
    <xf numFmtId="0" fontId="0" fillId="0" borderId="0" xfId="0"/>
    <xf numFmtId="0" fontId="3" fillId="0" borderId="1" xfId="0" applyFont="1" applyBorder="1" applyAlignment="1">
      <alignment horizontal="center"/>
    </xf>
    <xf numFmtId="164" fontId="3" fillId="2" borderId="1" xfId="1" applyNumberFormat="1" applyFont="1" applyFill="1" applyBorder="1" applyAlignment="1">
      <alignment horizontal="center"/>
    </xf>
    <xf numFmtId="164" fontId="4" fillId="0" borderId="1" xfId="1" applyNumberFormat="1" applyFont="1" applyBorder="1"/>
    <xf numFmtId="164" fontId="4" fillId="0" borderId="1" xfId="1" applyNumberFormat="1" applyFont="1" applyFill="1" applyBorder="1"/>
    <xf numFmtId="164" fontId="3" fillId="3" borderId="1" xfId="1" applyNumberFormat="1" applyFont="1" applyFill="1" applyBorder="1"/>
    <xf numFmtId="0" fontId="4" fillId="0" borderId="0" xfId="0" applyFont="1"/>
    <xf numFmtId="44" fontId="6" fillId="4" borderId="1" xfId="0" applyNumberFormat="1" applyFont="1" applyFill="1" applyBorder="1"/>
    <xf numFmtId="14" fontId="4" fillId="0" borderId="1" xfId="0" applyNumberFormat="1" applyFont="1" applyBorder="1" applyAlignment="1">
      <alignment horizontal="center"/>
    </xf>
    <xf numFmtId="164" fontId="3" fillId="0" borderId="1" xfId="1" applyNumberFormat="1" applyFont="1" applyBorder="1" applyAlignment="1">
      <alignment horizontal="center"/>
    </xf>
    <xf numFmtId="14" fontId="4" fillId="0" borderId="1" xfId="0" applyNumberFormat="1" applyFont="1" applyBorder="1" applyAlignment="1">
      <alignment horizontal="center" vertical="center"/>
    </xf>
    <xf numFmtId="164" fontId="4" fillId="0" borderId="1" xfId="6" applyNumberFormat="1" applyFont="1" applyBorder="1" applyAlignment="1">
      <alignment vertical="center"/>
    </xf>
    <xf numFmtId="164" fontId="4" fillId="0" borderId="1" xfId="1" applyNumberFormat="1" applyFont="1" applyBorder="1" applyAlignment="1">
      <alignment vertical="center"/>
    </xf>
    <xf numFmtId="164" fontId="4" fillId="0" borderId="1" xfId="1" applyNumberFormat="1" applyFont="1" applyFill="1" applyBorder="1" applyAlignment="1">
      <alignment vertical="center"/>
    </xf>
    <xf numFmtId="0" fontId="3" fillId="0" borderId="0" xfId="0" applyFont="1" applyAlignment="1">
      <alignment horizontal="center"/>
    </xf>
    <xf numFmtId="164" fontId="3" fillId="0" borderId="0" xfId="1" applyNumberFormat="1" applyFont="1" applyFill="1" applyBorder="1"/>
    <xf numFmtId="0" fontId="7"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8" fontId="7" fillId="0" borderId="1" xfId="0" applyNumberFormat="1" applyFont="1" applyBorder="1"/>
    <xf numFmtId="14" fontId="7" fillId="0" borderId="1" xfId="0" applyNumberFormat="1" applyFont="1" applyBorder="1"/>
    <xf numFmtId="14" fontId="7" fillId="0" borderId="1" xfId="0" applyNumberFormat="1" applyFont="1" applyBorder="1" applyAlignment="1">
      <alignment horizontal="center"/>
    </xf>
    <xf numFmtId="6" fontId="8" fillId="7" borderId="1" xfId="0" applyNumberFormat="1" applyFont="1" applyFill="1" applyBorder="1"/>
    <xf numFmtId="0" fontId="6" fillId="4" borderId="1"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8" fillId="6" borderId="3" xfId="0" applyFont="1" applyFill="1" applyBorder="1" applyAlignment="1">
      <alignment horizontal="center"/>
    </xf>
    <xf numFmtId="0" fontId="8" fillId="6" borderId="4" xfId="0" applyFont="1" applyFill="1" applyBorder="1" applyAlignment="1">
      <alignment horizontal="center"/>
    </xf>
    <xf numFmtId="0" fontId="8" fillId="6" borderId="5" xfId="0" applyFont="1" applyFill="1" applyBorder="1" applyAlignment="1">
      <alignment horizontal="center"/>
    </xf>
    <xf numFmtId="0" fontId="5" fillId="3" borderId="2" xfId="0" applyFont="1" applyFill="1" applyBorder="1" applyAlignment="1">
      <alignment horizontal="center"/>
    </xf>
    <xf numFmtId="0" fontId="7" fillId="6"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0" borderId="1" xfId="0" applyFont="1" applyBorder="1"/>
    <xf numFmtId="8" fontId="7" fillId="0" borderId="0" xfId="0" applyNumberFormat="1" applyFont="1" applyBorder="1"/>
    <xf numFmtId="14" fontId="7" fillId="0" borderId="0" xfId="0" applyNumberFormat="1" applyFont="1" applyBorder="1"/>
    <xf numFmtId="14" fontId="7" fillId="0" borderId="0" xfId="0" applyNumberFormat="1" applyFont="1" applyBorder="1" applyAlignment="1">
      <alignment horizontal="center"/>
    </xf>
    <xf numFmtId="0" fontId="9" fillId="0" borderId="0" xfId="0" applyFont="1" applyBorder="1"/>
    <xf numFmtId="6" fontId="8" fillId="0" borderId="0" xfId="0" applyNumberFormat="1" applyFont="1" applyFill="1" applyBorder="1"/>
    <xf numFmtId="0" fontId="10" fillId="0" borderId="6" xfId="0" applyFont="1" applyBorder="1" applyAlignment="1">
      <alignment horizontal="center"/>
    </xf>
    <xf numFmtId="0" fontId="11" fillId="0" borderId="6" xfId="0" applyFont="1" applyBorder="1" applyAlignment="1">
      <alignment horizontal="center"/>
    </xf>
    <xf numFmtId="0" fontId="12" fillId="0" borderId="7" xfId="0" applyFont="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11" fillId="2" borderId="1" xfId="0" applyFont="1" applyFill="1" applyBorder="1" applyAlignment="1">
      <alignment horizontal="center"/>
    </xf>
    <xf numFmtId="168" fontId="11" fillId="2" borderId="1" xfId="0" applyNumberFormat="1" applyFont="1" applyFill="1" applyBorder="1"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3" fontId="10" fillId="0" borderId="1" xfId="0" applyNumberFormat="1" applyFont="1" applyBorder="1" applyAlignment="1">
      <alignment horizontal="center"/>
    </xf>
    <xf numFmtId="2" fontId="10" fillId="0" borderId="1" xfId="0" applyNumberFormat="1" applyFont="1" applyBorder="1" applyAlignment="1">
      <alignment horizontal="center"/>
    </xf>
    <xf numFmtId="8" fontId="10" fillId="0" borderId="1" xfId="0" applyNumberFormat="1" applyFont="1" applyBorder="1" applyAlignment="1">
      <alignment horizontal="center"/>
    </xf>
    <xf numFmtId="8" fontId="11" fillId="0" borderId="1" xfId="0" applyNumberFormat="1" applyFont="1" applyBorder="1" applyAlignment="1">
      <alignment horizontal="center"/>
    </xf>
    <xf numFmtId="2" fontId="11" fillId="0" borderId="6" xfId="0" applyNumberFormat="1" applyFont="1" applyBorder="1" applyAlignment="1">
      <alignment horizontal="center"/>
    </xf>
    <xf numFmtId="0" fontId="11" fillId="0" borderId="1" xfId="0" applyFont="1" applyBorder="1" applyAlignment="1">
      <alignment horizontal="center"/>
    </xf>
    <xf numFmtId="0" fontId="11" fillId="0" borderId="1" xfId="0" applyFont="1" applyBorder="1"/>
    <xf numFmtId="8" fontId="11" fillId="3" borderId="1" xfId="0" applyNumberFormat="1" applyFont="1" applyFill="1" applyBorder="1" applyAlignment="1">
      <alignment horizontal="center"/>
    </xf>
    <xf numFmtId="0" fontId="4" fillId="2" borderId="1"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1"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1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3" fillId="0" borderId="0" xfId="0" applyFont="1" applyBorder="1" applyAlignment="1">
      <alignment horizontal="center"/>
    </xf>
  </cellXfs>
  <cellStyles count="20">
    <cellStyle name="Millares" xfId="1" builtinId="3"/>
    <cellStyle name="Millares [0] 2" xfId="3" xr:uid="{3555D9B7-EA0C-4C21-A235-0CD6BE1EC253}"/>
    <cellStyle name="Millares 2" xfId="8" xr:uid="{52E748A6-508A-43EC-9983-10807D820023}"/>
    <cellStyle name="Millares 3" xfId="10" xr:uid="{489BD241-C3FF-4DFE-89AE-EA3930EC2C75}"/>
    <cellStyle name="Millares 4" xfId="6" xr:uid="{30B7C3BA-0FB0-470D-88BE-FBEF74427B88}"/>
    <cellStyle name="Millares 5" xfId="12" xr:uid="{79326964-5294-479E-B982-0A5948E6458E}"/>
    <cellStyle name="Millares 6" xfId="15" xr:uid="{ABFDC7D0-759F-45EB-9979-8CD3F87889E5}"/>
    <cellStyle name="Millares 7" xfId="16" xr:uid="{72D20068-0C5D-4F50-AC02-07E6A4FFC489}"/>
    <cellStyle name="Millares 8" xfId="18" xr:uid="{35BB74B3-9C98-4F2D-A783-3BFFF53753E9}"/>
    <cellStyle name="Moneda [0] 2" xfId="5" xr:uid="{40580231-C906-4C03-A65D-3EA45064320D}"/>
    <cellStyle name="Moneda 2" xfId="4" xr:uid="{60B0EB24-56E2-4FB9-B187-077D7FCBAA83}"/>
    <cellStyle name="Moneda 3" xfId="9" xr:uid="{B553DF60-E9E3-43DE-950B-5D5A0815FFF2}"/>
    <cellStyle name="Moneda 4" xfId="11" xr:uid="{91876A93-028D-40C8-982D-CCA51D4D575D}"/>
    <cellStyle name="Moneda 5" xfId="7" xr:uid="{A7350134-E2AE-4379-A4D5-B823FC54C5D3}"/>
    <cellStyle name="Moneda 6" xfId="13" xr:uid="{BF3C704B-FB29-4786-98E8-8A8CE20070B2}"/>
    <cellStyle name="Moneda 7" xfId="14" xr:uid="{B8E0172D-6407-491A-BE97-75C736043314}"/>
    <cellStyle name="Moneda 8" xfId="17" xr:uid="{13FC20D7-8F78-4A7B-9489-8EA425E6F4E0}"/>
    <cellStyle name="Moneda 9" xfId="19" xr:uid="{5C85B2B9-8DBA-412C-B5D6-E57318BB5169}"/>
    <cellStyle name="Normal" xfId="0" builtinId="0"/>
    <cellStyle name="Normal 2" xfId="2"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3" name="Imagen 2">
          <a:extLst>
            <a:ext uri="{FF2B5EF4-FFF2-40B4-BE49-F238E27FC236}">
              <a16:creationId xmlns:a16="http://schemas.microsoft.com/office/drawing/2014/main" id="{2BC6FE87-4940-4C20-A77D-19DC64D1EE31}"/>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twoCellAnchor editAs="oneCell">
    <xdr:from>
      <xdr:col>2</xdr:col>
      <xdr:colOff>142874</xdr:colOff>
      <xdr:row>0</xdr:row>
      <xdr:rowOff>0</xdr:rowOff>
    </xdr:from>
    <xdr:to>
      <xdr:col>4</xdr:col>
      <xdr:colOff>1456611</xdr:colOff>
      <xdr:row>3</xdr:row>
      <xdr:rowOff>161925</xdr:rowOff>
    </xdr:to>
    <xdr:pic>
      <xdr:nvPicPr>
        <xdr:cNvPr id="4" name="Imagen 3">
          <a:extLst>
            <a:ext uri="{FF2B5EF4-FFF2-40B4-BE49-F238E27FC236}">
              <a16:creationId xmlns:a16="http://schemas.microsoft.com/office/drawing/2014/main" id="{373CEBB6-5E63-4CB1-894E-D7078993C78D}"/>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142874</xdr:colOff>
      <xdr:row>0</xdr:row>
      <xdr:rowOff>0</xdr:rowOff>
    </xdr:from>
    <xdr:to>
      <xdr:col>4</xdr:col>
      <xdr:colOff>1456611</xdr:colOff>
      <xdr:row>3</xdr:row>
      <xdr:rowOff>161925</xdr:rowOff>
    </xdr:to>
    <xdr:pic>
      <xdr:nvPicPr>
        <xdr:cNvPr id="2" name="Imagen 1">
          <a:extLst>
            <a:ext uri="{FF2B5EF4-FFF2-40B4-BE49-F238E27FC236}">
              <a16:creationId xmlns:a16="http://schemas.microsoft.com/office/drawing/2014/main" id="{F0FB7E26-7830-4B96-A5A0-CAD339BFE458}"/>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B2B37-9785-45BC-BFA6-DC90688BB203}">
  <dimension ref="B5:N49"/>
  <sheetViews>
    <sheetView topLeftCell="A10" zoomScaleNormal="100" workbookViewId="0">
      <selection activeCell="D20" sqref="D20"/>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4.5703125" style="6" customWidth="1"/>
  </cols>
  <sheetData>
    <row r="5" spans="2:14" s="6" customFormat="1" ht="15" customHeight="1" x14ac:dyDescent="0.2">
      <c r="B5" s="29" t="s">
        <v>0</v>
      </c>
      <c r="C5" s="29"/>
      <c r="D5" s="29"/>
      <c r="E5" s="29"/>
      <c r="F5" s="29"/>
    </row>
    <row r="6" spans="2:14" s="6" customFormat="1" ht="15" customHeight="1" x14ac:dyDescent="0.2"/>
    <row r="7" spans="2:14" s="6" customFormat="1" ht="15" customHeight="1" x14ac:dyDescent="0.2">
      <c r="B7" s="1" t="s">
        <v>1</v>
      </c>
      <c r="C7" s="1" t="s">
        <v>2</v>
      </c>
      <c r="D7" s="1" t="s">
        <v>3</v>
      </c>
      <c r="E7" s="1" t="s">
        <v>4</v>
      </c>
      <c r="F7" s="2" t="s">
        <v>6</v>
      </c>
      <c r="I7" s="57" t="s">
        <v>38</v>
      </c>
      <c r="J7" s="57"/>
      <c r="K7" s="57"/>
    </row>
    <row r="8" spans="2:14" s="6" customFormat="1" ht="12" customHeight="1" x14ac:dyDescent="0.2">
      <c r="B8" s="10">
        <v>43053</v>
      </c>
      <c r="C8" s="10">
        <v>43100</v>
      </c>
      <c r="D8" s="11">
        <v>1480000</v>
      </c>
      <c r="E8" s="12">
        <f>DAYS360(B8,C8)+1</f>
        <v>48</v>
      </c>
      <c r="F8" s="13">
        <f>(D8*E8)/360</f>
        <v>197333.33333333334</v>
      </c>
      <c r="I8" s="57"/>
      <c r="J8" s="57"/>
      <c r="K8" s="57"/>
    </row>
    <row r="9" spans="2:14" s="6" customFormat="1" ht="12" customHeight="1" x14ac:dyDescent="0.2">
      <c r="B9" s="10">
        <v>43101</v>
      </c>
      <c r="C9" s="10">
        <v>43465</v>
      </c>
      <c r="D9" s="11">
        <f>1480000+88211</f>
        <v>1568211</v>
      </c>
      <c r="E9" s="12">
        <f>DAYS360(B9,C9)+1</f>
        <v>361</v>
      </c>
      <c r="F9" s="13">
        <f>(D9*E9)/360</f>
        <v>1572567.1416666666</v>
      </c>
      <c r="I9" s="57"/>
      <c r="J9" s="57"/>
      <c r="K9" s="57"/>
    </row>
    <row r="10" spans="2:14" x14ac:dyDescent="0.25">
      <c r="B10" s="10">
        <v>43466</v>
      </c>
      <c r="C10" s="10">
        <v>43780</v>
      </c>
      <c r="D10" s="11">
        <f>1480000+97032</f>
        <v>1577032</v>
      </c>
      <c r="E10" s="12">
        <f>DAYS360(B10,C10)+1</f>
        <v>311</v>
      </c>
      <c r="F10" s="13">
        <f>(D10*E10)/360</f>
        <v>1362380.4222222222</v>
      </c>
      <c r="G10"/>
      <c r="I10" s="57"/>
      <c r="J10" s="57"/>
      <c r="K10" s="57"/>
    </row>
    <row r="11" spans="2:14" x14ac:dyDescent="0.25">
      <c r="B11" s="25" t="s">
        <v>5</v>
      </c>
      <c r="C11" s="25"/>
      <c r="D11" s="25"/>
      <c r="E11" s="25"/>
      <c r="F11" s="5">
        <f>SUM(F8:F10)</f>
        <v>3132280.8972222218</v>
      </c>
      <c r="G11"/>
      <c r="I11" s="57"/>
      <c r="J11" s="57"/>
      <c r="K11" s="57"/>
    </row>
    <row r="12" spans="2:14" x14ac:dyDescent="0.25">
      <c r="G12"/>
      <c r="I12" s="57"/>
      <c r="J12" s="57"/>
      <c r="K12" s="57"/>
    </row>
    <row r="13" spans="2:14" x14ac:dyDescent="0.25">
      <c r="B13" s="1" t="s">
        <v>1</v>
      </c>
      <c r="C13" s="1" t="s">
        <v>2</v>
      </c>
      <c r="D13" s="1" t="s">
        <v>6</v>
      </c>
      <c r="E13" s="1" t="s">
        <v>4</v>
      </c>
      <c r="F13" s="2" t="s">
        <v>7</v>
      </c>
      <c r="G13"/>
    </row>
    <row r="14" spans="2:14" x14ac:dyDescent="0.25">
      <c r="B14" s="10">
        <v>43053</v>
      </c>
      <c r="C14" s="10">
        <v>43100</v>
      </c>
      <c r="D14" s="13">
        <f>+F8</f>
        <v>197333.33333333334</v>
      </c>
      <c r="E14" s="3">
        <f>DAYS360(B14,C14)+1</f>
        <v>48</v>
      </c>
      <c r="F14" s="3">
        <f>(D14*E14*0.12)/360</f>
        <v>3157.3333333333335</v>
      </c>
      <c r="G14"/>
      <c r="I14" s="60" t="s">
        <v>13</v>
      </c>
      <c r="J14" s="61"/>
      <c r="K14" s="61"/>
      <c r="L14" s="61"/>
      <c r="M14" s="61"/>
      <c r="N14" s="62"/>
    </row>
    <row r="15" spans="2:14" x14ac:dyDescent="0.25">
      <c r="B15" s="10">
        <v>43101</v>
      </c>
      <c r="C15" s="10">
        <v>43465</v>
      </c>
      <c r="D15" s="13">
        <f>+F9</f>
        <v>1572567.1416666666</v>
      </c>
      <c r="E15" s="3">
        <f>DAYS360(B15,C15)+1</f>
        <v>361</v>
      </c>
      <c r="F15" s="3">
        <f>(D15*E15*0.12)/360</f>
        <v>189232.2460472222</v>
      </c>
      <c r="G15"/>
      <c r="I15" s="58"/>
      <c r="J15" s="59"/>
      <c r="K15" s="59"/>
      <c r="L15" s="59"/>
      <c r="M15" s="59"/>
      <c r="N15" s="63"/>
    </row>
    <row r="16" spans="2:14" ht="15" customHeight="1" x14ac:dyDescent="0.25">
      <c r="B16" s="10">
        <v>43466</v>
      </c>
      <c r="C16" s="10">
        <v>43780</v>
      </c>
      <c r="D16" s="13">
        <f>+F10</f>
        <v>1362380.4222222222</v>
      </c>
      <c r="E16" s="3">
        <f>DAYS360(B16,C16)+1</f>
        <v>311</v>
      </c>
      <c r="F16" s="3">
        <f>(D16*E16*0.12)/360</f>
        <v>141233.43710370371</v>
      </c>
      <c r="G16"/>
      <c r="I16" s="58"/>
      <c r="J16" s="59"/>
      <c r="K16" s="59"/>
      <c r="L16" s="59"/>
      <c r="M16" s="59"/>
      <c r="N16" s="63"/>
    </row>
    <row r="17" spans="2:14" x14ac:dyDescent="0.25">
      <c r="B17" s="25" t="s">
        <v>5</v>
      </c>
      <c r="C17" s="25"/>
      <c r="D17" s="25"/>
      <c r="E17" s="25"/>
      <c r="F17" s="5">
        <f>SUM(F14:F16)</f>
        <v>333623.01648425928</v>
      </c>
      <c r="G17"/>
      <c r="I17" s="58"/>
      <c r="J17" s="59"/>
      <c r="K17" s="59"/>
      <c r="L17" s="59"/>
      <c r="M17" s="59"/>
      <c r="N17" s="63"/>
    </row>
    <row r="18" spans="2:14" x14ac:dyDescent="0.25">
      <c r="G18"/>
      <c r="I18" s="58"/>
      <c r="J18" s="59"/>
      <c r="K18" s="59"/>
      <c r="L18" s="59"/>
      <c r="M18" s="59"/>
      <c r="N18" s="63"/>
    </row>
    <row r="19" spans="2:14" x14ac:dyDescent="0.25">
      <c r="B19" s="1" t="s">
        <v>1</v>
      </c>
      <c r="C19" s="1" t="s">
        <v>2</v>
      </c>
      <c r="D19" s="1" t="s">
        <v>3</v>
      </c>
      <c r="E19" s="1" t="s">
        <v>4</v>
      </c>
      <c r="F19" s="2" t="s">
        <v>8</v>
      </c>
      <c r="G19"/>
      <c r="I19" s="58"/>
      <c r="J19" s="59"/>
      <c r="K19" s="59"/>
      <c r="L19" s="59"/>
      <c r="M19" s="59"/>
      <c r="N19" s="63"/>
    </row>
    <row r="20" spans="2:14" x14ac:dyDescent="0.25">
      <c r="B20" s="8">
        <v>43053</v>
      </c>
      <c r="C20" s="8">
        <v>43780</v>
      </c>
      <c r="D20" s="11">
        <v>1480000</v>
      </c>
      <c r="E20" s="3">
        <f>DAYS360(B20,C20)+1</f>
        <v>718</v>
      </c>
      <c r="F20" s="3">
        <f>(D20*E20)/720</f>
        <v>1475888.888888889</v>
      </c>
      <c r="G20"/>
      <c r="I20" s="58"/>
      <c r="J20" s="59"/>
      <c r="K20" s="59"/>
      <c r="L20" s="59"/>
      <c r="M20" s="59"/>
      <c r="N20" s="63"/>
    </row>
    <row r="21" spans="2:14" x14ac:dyDescent="0.25">
      <c r="B21" s="25" t="s">
        <v>5</v>
      </c>
      <c r="C21" s="25"/>
      <c r="D21" s="25"/>
      <c r="E21" s="25"/>
      <c r="F21" s="5">
        <f>SUM(F20)</f>
        <v>1475888.888888889</v>
      </c>
      <c r="G21"/>
      <c r="I21" s="64"/>
      <c r="J21" s="65"/>
      <c r="K21" s="65"/>
      <c r="L21" s="65"/>
      <c r="M21" s="65"/>
      <c r="N21" s="66"/>
    </row>
    <row r="23" spans="2:14" x14ac:dyDescent="0.25">
      <c r="B23" s="24" t="s">
        <v>9</v>
      </c>
      <c r="C23" s="24"/>
      <c r="D23" s="24"/>
      <c r="E23" s="24"/>
      <c r="F23" s="24"/>
      <c r="I23" s="30" t="s">
        <v>39</v>
      </c>
      <c r="J23" s="30"/>
      <c r="K23" s="30"/>
      <c r="L23" s="30"/>
    </row>
    <row r="24" spans="2:14" x14ac:dyDescent="0.25">
      <c r="B24" s="1" t="s">
        <v>1</v>
      </c>
      <c r="C24" s="1" t="s">
        <v>2</v>
      </c>
      <c r="D24" s="1" t="s">
        <v>3</v>
      </c>
      <c r="E24" s="1" t="s">
        <v>4</v>
      </c>
      <c r="F24" s="9" t="s">
        <v>10</v>
      </c>
      <c r="I24" s="30"/>
      <c r="J24" s="30"/>
      <c r="K24" s="30"/>
      <c r="L24" s="30"/>
    </row>
    <row r="25" spans="2:14" ht="15" customHeight="1" x14ac:dyDescent="0.25">
      <c r="B25" s="10">
        <v>43146</v>
      </c>
      <c r="C25" s="10">
        <v>43510</v>
      </c>
      <c r="D25" s="11">
        <v>1480000</v>
      </c>
      <c r="E25" s="3">
        <f t="shared" ref="E25:E26" si="0">DAYS360(B25,C25)+1</f>
        <v>360</v>
      </c>
      <c r="F25" s="3">
        <f t="shared" ref="F25:F26" si="1">(D25/30)*E25</f>
        <v>17760000</v>
      </c>
      <c r="I25" s="30"/>
      <c r="J25" s="30"/>
      <c r="K25" s="30"/>
      <c r="L25" s="30"/>
    </row>
    <row r="26" spans="2:14" x14ac:dyDescent="0.25">
      <c r="B26" s="10">
        <v>43511</v>
      </c>
      <c r="C26" s="10">
        <v>43780</v>
      </c>
      <c r="D26" s="11">
        <f>1480000+88211</f>
        <v>1568211</v>
      </c>
      <c r="E26" s="3">
        <f t="shared" si="0"/>
        <v>267</v>
      </c>
      <c r="F26" s="3">
        <f t="shared" si="1"/>
        <v>13957077.899999999</v>
      </c>
      <c r="I26" s="30"/>
      <c r="J26" s="30"/>
      <c r="K26" s="30"/>
      <c r="L26" s="30"/>
    </row>
    <row r="27" spans="2:14" x14ac:dyDescent="0.25">
      <c r="B27" s="25" t="s">
        <v>5</v>
      </c>
      <c r="C27" s="25"/>
      <c r="D27" s="25"/>
      <c r="E27" s="25"/>
      <c r="F27" s="5">
        <f>SUM(F25:F26)</f>
        <v>31717077.899999999</v>
      </c>
      <c r="I27" s="30"/>
      <c r="J27" s="30"/>
      <c r="K27" s="30"/>
      <c r="L27" s="30"/>
    </row>
    <row r="28" spans="2:14" x14ac:dyDescent="0.25">
      <c r="B28" s="14"/>
      <c r="C28" s="14"/>
      <c r="D28" s="14"/>
      <c r="E28" s="14"/>
      <c r="F28" s="15"/>
    </row>
    <row r="29" spans="2:14" x14ac:dyDescent="0.25">
      <c r="B29" s="26" t="s">
        <v>16</v>
      </c>
      <c r="C29" s="27"/>
      <c r="D29" s="27"/>
      <c r="E29" s="27"/>
      <c r="F29" s="27"/>
      <c r="G29" s="28"/>
      <c r="H29" s="16"/>
    </row>
    <row r="30" spans="2:14" ht="36" x14ac:dyDescent="0.25">
      <c r="B30" s="17" t="s">
        <v>17</v>
      </c>
      <c r="C30" s="18" t="s">
        <v>18</v>
      </c>
      <c r="D30" s="18" t="s">
        <v>19</v>
      </c>
      <c r="E30" s="18" t="s">
        <v>20</v>
      </c>
      <c r="F30" s="17" t="s">
        <v>21</v>
      </c>
      <c r="G30" s="17" t="s">
        <v>22</v>
      </c>
      <c r="H30" s="16"/>
    </row>
    <row r="31" spans="2:14" x14ac:dyDescent="0.25">
      <c r="B31" s="19">
        <f>D26/30</f>
        <v>52273.7</v>
      </c>
      <c r="C31" s="20">
        <v>43780</v>
      </c>
      <c r="D31" s="21">
        <v>43872</v>
      </c>
      <c r="E31" s="21">
        <v>45258</v>
      </c>
      <c r="F31" s="33">
        <f>DAYS360(D31,E31)</f>
        <v>1367</v>
      </c>
      <c r="G31" s="22">
        <f>B31*F31</f>
        <v>71458147.899999991</v>
      </c>
      <c r="H31" s="16"/>
    </row>
    <row r="32" spans="2:14" x14ac:dyDescent="0.25">
      <c r="B32" s="34"/>
      <c r="C32" s="35"/>
      <c r="D32" s="36"/>
      <c r="E32" s="36"/>
      <c r="F32" s="37"/>
      <c r="G32" s="38"/>
      <c r="H32" s="16"/>
    </row>
    <row r="33" spans="2:9" x14ac:dyDescent="0.25">
      <c r="B33" s="1" t="s">
        <v>23</v>
      </c>
      <c r="C33" s="1" t="s">
        <v>2</v>
      </c>
      <c r="D33" s="1" t="s">
        <v>3</v>
      </c>
      <c r="E33" s="1" t="s">
        <v>4</v>
      </c>
      <c r="F33" s="2" t="s">
        <v>24</v>
      </c>
      <c r="G33"/>
    </row>
    <row r="34" spans="2:9" x14ac:dyDescent="0.25">
      <c r="B34" s="10">
        <v>43053</v>
      </c>
      <c r="C34" s="10">
        <v>43100</v>
      </c>
      <c r="D34" s="11">
        <v>1480000</v>
      </c>
      <c r="E34" s="3">
        <f>DAYS360(B34,C34)+1</f>
        <v>48</v>
      </c>
      <c r="F34" s="4">
        <f t="shared" ref="F34:F36" si="2">(D34*E34)/360</f>
        <v>197333.33333333334</v>
      </c>
      <c r="G34"/>
    </row>
    <row r="35" spans="2:9" x14ac:dyDescent="0.25">
      <c r="B35" s="10">
        <v>43101</v>
      </c>
      <c r="C35" s="10">
        <v>43465</v>
      </c>
      <c r="D35" s="11">
        <f>1480000+88211</f>
        <v>1568211</v>
      </c>
      <c r="E35" s="3">
        <f t="shared" ref="E35:E36" si="3">DAYS360(B35,C35)+1</f>
        <v>361</v>
      </c>
      <c r="F35" s="4">
        <f t="shared" si="2"/>
        <v>1572567.1416666666</v>
      </c>
      <c r="G35"/>
    </row>
    <row r="36" spans="2:9" x14ac:dyDescent="0.25">
      <c r="B36" s="10">
        <v>43466</v>
      </c>
      <c r="C36" s="10">
        <v>43780</v>
      </c>
      <c r="D36" s="11">
        <f>1480000+97032</f>
        <v>1577032</v>
      </c>
      <c r="E36" s="3">
        <f t="shared" si="3"/>
        <v>311</v>
      </c>
      <c r="F36" s="4">
        <f t="shared" si="2"/>
        <v>1362380.4222222222</v>
      </c>
      <c r="G36"/>
    </row>
    <row r="37" spans="2:9" x14ac:dyDescent="0.25">
      <c r="B37" s="25" t="s">
        <v>5</v>
      </c>
      <c r="C37" s="25"/>
      <c r="D37" s="25"/>
      <c r="E37" s="25"/>
      <c r="F37" s="5">
        <f>SUM(F34:F36)</f>
        <v>3132280.8972222218</v>
      </c>
      <c r="G37"/>
    </row>
    <row r="38" spans="2:9" x14ac:dyDescent="0.25">
      <c r="B38"/>
      <c r="C38"/>
      <c r="D38"/>
      <c r="E38"/>
      <c r="F38"/>
      <c r="G38"/>
    </row>
    <row r="39" spans="2:9" x14ac:dyDescent="0.25">
      <c r="B39" s="24" t="s">
        <v>25</v>
      </c>
      <c r="C39" s="24"/>
      <c r="D39" s="24"/>
      <c r="E39" s="24"/>
      <c r="F39" s="24"/>
      <c r="G39" s="24"/>
      <c r="H39" s="24"/>
      <c r="I39" s="24"/>
    </row>
    <row r="40" spans="2:9" x14ac:dyDescent="0.25">
      <c r="B40" s="39"/>
      <c r="C40" s="39"/>
      <c r="D40" s="39"/>
      <c r="E40" s="40" t="s">
        <v>26</v>
      </c>
      <c r="F40" s="40" t="s">
        <v>27</v>
      </c>
      <c r="G40" s="40" t="s">
        <v>28</v>
      </c>
      <c r="H40" s="41" t="s">
        <v>29</v>
      </c>
      <c r="I40" s="41"/>
    </row>
    <row r="41" spans="2:9" x14ac:dyDescent="0.25">
      <c r="B41" s="42" t="s">
        <v>37</v>
      </c>
      <c r="C41" s="42"/>
      <c r="D41" s="42"/>
      <c r="E41" s="43">
        <v>2019</v>
      </c>
      <c r="F41" s="43">
        <v>11</v>
      </c>
      <c r="G41" s="44">
        <v>11</v>
      </c>
      <c r="H41" s="45" t="s">
        <v>21</v>
      </c>
      <c r="I41" s="46" t="s">
        <v>30</v>
      </c>
    </row>
    <row r="42" spans="2:9" x14ac:dyDescent="0.25">
      <c r="B42" s="42" t="s">
        <v>31</v>
      </c>
      <c r="C42" s="42"/>
      <c r="D42" s="42"/>
      <c r="E42" s="47">
        <v>2017</v>
      </c>
      <c r="F42" s="47">
        <v>11</v>
      </c>
      <c r="G42" s="48">
        <v>14</v>
      </c>
      <c r="H42" s="49">
        <f>(E41-E42)*360+(F41-F42)*30+(G41-G42+1)</f>
        <v>718</v>
      </c>
      <c r="I42" s="50">
        <f>H42/360</f>
        <v>1.9944444444444445</v>
      </c>
    </row>
    <row r="43" spans="2:9" x14ac:dyDescent="0.25">
      <c r="B43" s="42" t="s">
        <v>32</v>
      </c>
      <c r="C43" s="42"/>
      <c r="D43" s="42"/>
      <c r="E43" s="51">
        <v>1577032</v>
      </c>
      <c r="F43" s="51"/>
      <c r="G43" s="51"/>
      <c r="H43" s="51"/>
      <c r="I43" s="51"/>
    </row>
    <row r="44" spans="2:9" x14ac:dyDescent="0.25">
      <c r="B44" s="42" t="s">
        <v>33</v>
      </c>
      <c r="C44" s="42"/>
      <c r="D44" s="42"/>
      <c r="E44" s="52">
        <f>E43/30</f>
        <v>52567.73333333333</v>
      </c>
      <c r="F44" s="52"/>
      <c r="G44" s="52"/>
      <c r="H44" s="52"/>
      <c r="I44" s="52"/>
    </row>
    <row r="45" spans="2:9" x14ac:dyDescent="0.25">
      <c r="B45" s="42" t="s">
        <v>34</v>
      </c>
      <c r="C45" s="42"/>
      <c r="D45" s="42"/>
      <c r="E45" s="52">
        <f>E43</f>
        <v>1577032</v>
      </c>
      <c r="F45" s="52"/>
      <c r="G45" s="52"/>
      <c r="H45" s="52"/>
      <c r="I45" s="52"/>
    </row>
    <row r="46" spans="2:9" x14ac:dyDescent="0.25">
      <c r="B46" s="42" t="s">
        <v>35</v>
      </c>
      <c r="C46" s="42"/>
      <c r="D46" s="42"/>
      <c r="E46" s="53">
        <f>I42-1</f>
        <v>0.99444444444444446</v>
      </c>
      <c r="F46" s="52">
        <f>E46*20*E44</f>
        <v>1045513.8074074073</v>
      </c>
      <c r="G46" s="52"/>
      <c r="H46" s="52"/>
      <c r="I46" s="52"/>
    </row>
    <row r="47" spans="2:9" x14ac:dyDescent="0.25">
      <c r="B47" s="54" t="s">
        <v>36</v>
      </c>
      <c r="C47" s="54"/>
      <c r="D47" s="54"/>
      <c r="E47" s="55"/>
      <c r="F47" s="56">
        <f>E45+F46</f>
        <v>2622545.8074074071</v>
      </c>
      <c r="G47" s="56"/>
      <c r="H47" s="56"/>
      <c r="I47" s="56"/>
    </row>
    <row r="48" spans="2:9" x14ac:dyDescent="0.25">
      <c r="B48" s="34"/>
      <c r="C48" s="35"/>
      <c r="D48" s="36"/>
      <c r="E48" s="36"/>
      <c r="F48" s="37"/>
      <c r="G48" s="38"/>
      <c r="H48" s="16"/>
    </row>
    <row r="49" spans="2:6" x14ac:dyDescent="0.25">
      <c r="B49" s="23" t="s">
        <v>11</v>
      </c>
      <c r="C49" s="23"/>
      <c r="D49" s="23"/>
      <c r="E49" s="23"/>
      <c r="F49" s="7">
        <f>F11+F17+F21+F27+G31+F37+F47</f>
        <v>113871845.30722499</v>
      </c>
    </row>
  </sheetData>
  <mergeCells count="27">
    <mergeCell ref="I23:L27"/>
    <mergeCell ref="B45:D45"/>
    <mergeCell ref="E45:I45"/>
    <mergeCell ref="B46:D46"/>
    <mergeCell ref="F46:I46"/>
    <mergeCell ref="B47:D47"/>
    <mergeCell ref="F47:I47"/>
    <mergeCell ref="B5:F5"/>
    <mergeCell ref="B11:E11"/>
    <mergeCell ref="B17:E17"/>
    <mergeCell ref="I7:K12"/>
    <mergeCell ref="I14:N21"/>
    <mergeCell ref="B49:E49"/>
    <mergeCell ref="B23:F23"/>
    <mergeCell ref="B27:E27"/>
    <mergeCell ref="B21:E21"/>
    <mergeCell ref="B29:G29"/>
    <mergeCell ref="B37:E37"/>
    <mergeCell ref="B39:I39"/>
    <mergeCell ref="B40:D40"/>
    <mergeCell ref="H40:I40"/>
    <mergeCell ref="B41:D41"/>
    <mergeCell ref="B42:D42"/>
    <mergeCell ref="B43:D43"/>
    <mergeCell ref="E43:I43"/>
    <mergeCell ref="B44:D44"/>
    <mergeCell ref="E44:I4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879A0-D96F-49E7-A073-236F0494A2E3}">
  <dimension ref="B5:K26"/>
  <sheetViews>
    <sheetView tabSelected="1" workbookViewId="0">
      <selection activeCell="K21" sqref="K21"/>
    </sheetView>
  </sheetViews>
  <sheetFormatPr baseColWidth="10" defaultColWidth="11.42578125" defaultRowHeight="15" x14ac:dyDescent="0.25"/>
  <cols>
    <col min="2" max="2" width="16.42578125" style="6" customWidth="1"/>
    <col min="3" max="4" width="11.42578125" style="6"/>
    <col min="5" max="5" width="22.7109375" style="6" bestFit="1" customWidth="1"/>
    <col min="6" max="6" width="18.85546875" style="6" customWidth="1"/>
    <col min="7" max="7" width="11.42578125" style="6"/>
    <col min="10" max="10" width="13.140625" bestFit="1" customWidth="1"/>
    <col min="11" max="11" width="15.28515625" bestFit="1" customWidth="1"/>
    <col min="12" max="12" width="22.7109375" bestFit="1" customWidth="1"/>
  </cols>
  <sheetData>
    <row r="5" spans="2:11" x14ac:dyDescent="0.25">
      <c r="B5" s="29" t="s">
        <v>12</v>
      </c>
      <c r="C5" s="29"/>
      <c r="D5" s="29"/>
      <c r="E5" s="29"/>
      <c r="F5" s="29"/>
      <c r="H5" s="31" t="s">
        <v>14</v>
      </c>
      <c r="I5" s="31"/>
      <c r="J5" s="31"/>
      <c r="K5" s="31"/>
    </row>
    <row r="6" spans="2:11" x14ac:dyDescent="0.25">
      <c r="B6"/>
      <c r="C6"/>
      <c r="D6"/>
      <c r="E6"/>
      <c r="F6"/>
      <c r="G6"/>
      <c r="H6" s="31"/>
      <c r="I6" s="31"/>
      <c r="J6" s="31"/>
      <c r="K6" s="31"/>
    </row>
    <row r="7" spans="2:11" x14ac:dyDescent="0.25">
      <c r="B7" s="1" t="s">
        <v>1</v>
      </c>
      <c r="C7" s="1" t="s">
        <v>2</v>
      </c>
      <c r="D7" s="1" t="s">
        <v>3</v>
      </c>
      <c r="E7" s="1" t="s">
        <v>4</v>
      </c>
      <c r="F7" s="2" t="s">
        <v>6</v>
      </c>
      <c r="G7"/>
      <c r="H7" s="31"/>
      <c r="I7" s="31"/>
      <c r="J7" s="31"/>
      <c r="K7" s="31"/>
    </row>
    <row r="8" spans="2:11" x14ac:dyDescent="0.25">
      <c r="B8" s="10">
        <v>43053</v>
      </c>
      <c r="C8" s="10">
        <v>43100</v>
      </c>
      <c r="D8" s="11">
        <v>1480000</v>
      </c>
      <c r="E8" s="3">
        <f t="shared" ref="E8" si="0">DAYS360(B8,C8)+1</f>
        <v>48</v>
      </c>
      <c r="F8" s="4">
        <f t="shared" ref="F8" si="1">(D8*E8)/360</f>
        <v>197333.33333333334</v>
      </c>
      <c r="G8"/>
      <c r="H8" s="31"/>
      <c r="I8" s="31"/>
      <c r="J8" s="31"/>
      <c r="K8" s="31"/>
    </row>
    <row r="9" spans="2:11" x14ac:dyDescent="0.25">
      <c r="B9" s="10">
        <v>43101</v>
      </c>
      <c r="C9" s="10">
        <v>43180</v>
      </c>
      <c r="D9" s="11">
        <f>1480000+88211</f>
        <v>1568211</v>
      </c>
      <c r="E9" s="3">
        <f t="shared" ref="E9" si="2">DAYS360(B9,C9)+1</f>
        <v>81</v>
      </c>
      <c r="F9" s="4">
        <f t="shared" ref="F9" si="3">(D9*E9)/360</f>
        <v>352847.47499999998</v>
      </c>
      <c r="G9"/>
    </row>
    <row r="10" spans="2:11" x14ac:dyDescent="0.25">
      <c r="B10" s="25" t="s">
        <v>5</v>
      </c>
      <c r="C10" s="25"/>
      <c r="D10" s="25"/>
      <c r="E10" s="25"/>
      <c r="F10" s="5">
        <f>SUM(F8:F9)</f>
        <v>550180.80833333335</v>
      </c>
      <c r="H10" s="32" t="s">
        <v>15</v>
      </c>
      <c r="I10" s="32"/>
      <c r="J10" s="32"/>
      <c r="K10" s="32"/>
    </row>
    <row r="11" spans="2:11" x14ac:dyDescent="0.25">
      <c r="H11" s="32"/>
      <c r="I11" s="32"/>
      <c r="J11" s="32"/>
      <c r="K11" s="32"/>
    </row>
    <row r="12" spans="2:11" x14ac:dyDescent="0.25">
      <c r="B12" s="1" t="s">
        <v>1</v>
      </c>
      <c r="C12" s="1" t="s">
        <v>2</v>
      </c>
      <c r="D12" s="1" t="s">
        <v>6</v>
      </c>
      <c r="E12" s="1" t="s">
        <v>4</v>
      </c>
      <c r="F12" s="2" t="s">
        <v>7</v>
      </c>
      <c r="H12" s="32"/>
      <c r="I12" s="32"/>
      <c r="J12" s="32"/>
      <c r="K12" s="32"/>
    </row>
    <row r="13" spans="2:11" x14ac:dyDescent="0.25">
      <c r="B13" s="10">
        <v>43053</v>
      </c>
      <c r="C13" s="10">
        <v>43100</v>
      </c>
      <c r="D13" s="4">
        <v>214154.8</v>
      </c>
      <c r="E13" s="3">
        <f t="shared" ref="E13" si="4">DAYS360(B13,C13)+1</f>
        <v>48</v>
      </c>
      <c r="F13" s="3">
        <f t="shared" ref="F13" si="5">(D13*E13*0.12)/360</f>
        <v>3426.4767999999995</v>
      </c>
      <c r="H13" s="32"/>
      <c r="I13" s="32"/>
      <c r="J13" s="32"/>
      <c r="K13" s="32"/>
    </row>
    <row r="14" spans="2:11" x14ac:dyDescent="0.25">
      <c r="B14" s="10">
        <v>43101</v>
      </c>
      <c r="C14" s="10">
        <v>43180</v>
      </c>
      <c r="D14" s="4">
        <v>336699.9</v>
      </c>
      <c r="E14" s="3">
        <f t="shared" ref="E14" si="6">DAYS360(B14,C14)+1</f>
        <v>81</v>
      </c>
      <c r="F14" s="3">
        <f t="shared" ref="F14" si="7">(D14*E14*0.12)/360</f>
        <v>9090.8973000000005</v>
      </c>
      <c r="H14" s="32"/>
      <c r="I14" s="32"/>
      <c r="J14" s="32"/>
      <c r="K14" s="32"/>
    </row>
    <row r="15" spans="2:11" x14ac:dyDescent="0.25">
      <c r="B15" s="25" t="s">
        <v>5</v>
      </c>
      <c r="C15" s="25"/>
      <c r="D15" s="25"/>
      <c r="E15" s="25"/>
      <c r="F15" s="5">
        <f>SUM(F13:F14)</f>
        <v>12517.374100000001</v>
      </c>
      <c r="H15" s="32"/>
      <c r="I15" s="32"/>
      <c r="J15" s="32"/>
      <c r="K15" s="32"/>
    </row>
    <row r="16" spans="2:11" x14ac:dyDescent="0.25">
      <c r="H16" s="32"/>
      <c r="I16" s="32"/>
      <c r="J16" s="32"/>
      <c r="K16" s="32"/>
    </row>
    <row r="17" spans="2:11" x14ac:dyDescent="0.25">
      <c r="B17" s="1" t="s">
        <v>1</v>
      </c>
      <c r="C17" s="1" t="s">
        <v>2</v>
      </c>
      <c r="D17" s="1" t="s">
        <v>3</v>
      </c>
      <c r="E17" s="1" t="s">
        <v>4</v>
      </c>
      <c r="F17" s="2" t="s">
        <v>8</v>
      </c>
      <c r="G17"/>
      <c r="H17" s="32"/>
      <c r="I17" s="32"/>
      <c r="J17" s="32"/>
      <c r="K17" s="32"/>
    </row>
    <row r="18" spans="2:11" x14ac:dyDescent="0.25">
      <c r="B18" s="8">
        <v>43053</v>
      </c>
      <c r="C18" s="10">
        <v>43180</v>
      </c>
      <c r="D18" s="11">
        <v>1480000</v>
      </c>
      <c r="E18" s="3">
        <f>DAYS360(B18,C18)+1</f>
        <v>128</v>
      </c>
      <c r="F18" s="3">
        <f>(D18*E18)/720</f>
        <v>263111.11111111112</v>
      </c>
      <c r="G18"/>
    </row>
    <row r="19" spans="2:11" x14ac:dyDescent="0.25">
      <c r="B19" s="25" t="s">
        <v>5</v>
      </c>
      <c r="C19" s="25"/>
      <c r="D19" s="25"/>
      <c r="E19" s="25"/>
      <c r="F19" s="5">
        <f>SUM(F18)</f>
        <v>263111.11111111112</v>
      </c>
      <c r="G19"/>
    </row>
    <row r="20" spans="2:11" x14ac:dyDescent="0.25">
      <c r="B20" s="67"/>
      <c r="C20" s="67"/>
      <c r="D20" s="67"/>
      <c r="E20" s="67"/>
      <c r="F20" s="15"/>
      <c r="G20"/>
    </row>
    <row r="21" spans="2:11" x14ac:dyDescent="0.25">
      <c r="B21" s="1" t="s">
        <v>1</v>
      </c>
      <c r="C21" s="1" t="s">
        <v>2</v>
      </c>
      <c r="D21" s="1" t="s">
        <v>3</v>
      </c>
      <c r="E21" s="1" t="s">
        <v>4</v>
      </c>
      <c r="F21" s="2" t="s">
        <v>24</v>
      </c>
      <c r="G21"/>
    </row>
    <row r="22" spans="2:11" x14ac:dyDescent="0.25">
      <c r="B22" s="10">
        <v>43053</v>
      </c>
      <c r="C22" s="10">
        <v>43100</v>
      </c>
      <c r="D22" s="11">
        <v>1480000</v>
      </c>
      <c r="E22" s="3">
        <f>DAYS360(B22,C22)+1</f>
        <v>48</v>
      </c>
      <c r="F22" s="4">
        <f t="shared" ref="F22:F23" si="8">(D22*E22)/360</f>
        <v>197333.33333333334</v>
      </c>
      <c r="G22"/>
    </row>
    <row r="23" spans="2:11" x14ac:dyDescent="0.25">
      <c r="B23" s="10">
        <v>43101</v>
      </c>
      <c r="C23" s="10">
        <v>43180</v>
      </c>
      <c r="D23" s="11">
        <f>1480000+88211</f>
        <v>1568211</v>
      </c>
      <c r="E23" s="3">
        <f t="shared" ref="E23" si="9">DAYS360(B23,C23)+1</f>
        <v>81</v>
      </c>
      <c r="F23" s="4">
        <f t="shared" si="8"/>
        <v>352847.47499999998</v>
      </c>
      <c r="G23"/>
    </row>
    <row r="24" spans="2:11" ht="15.75" customHeight="1" x14ac:dyDescent="0.25">
      <c r="B24" s="25" t="s">
        <v>5</v>
      </c>
      <c r="C24" s="25"/>
      <c r="D24" s="25"/>
      <c r="E24" s="25"/>
      <c r="F24" s="5">
        <f>SUM(F22:F23)</f>
        <v>550180.80833333335</v>
      </c>
      <c r="G24"/>
    </row>
    <row r="25" spans="2:11" ht="15.75" customHeight="1" x14ac:dyDescent="0.25">
      <c r="B25" s="67"/>
      <c r="C25" s="67"/>
      <c r="D25" s="67"/>
      <c r="E25" s="67"/>
      <c r="F25" s="15"/>
      <c r="G25"/>
    </row>
    <row r="26" spans="2:11" x14ac:dyDescent="0.25">
      <c r="B26" s="23" t="s">
        <v>11</v>
      </c>
      <c r="C26" s="23"/>
      <c r="D26" s="23"/>
      <c r="E26" s="23"/>
      <c r="F26" s="7">
        <f>F10+F15+F19+F24</f>
        <v>1375990.1018777778</v>
      </c>
    </row>
  </sheetData>
  <mergeCells count="8">
    <mergeCell ref="B5:F5"/>
    <mergeCell ref="B26:E26"/>
    <mergeCell ref="B10:E10"/>
    <mergeCell ref="H5:K8"/>
    <mergeCell ref="B15:E15"/>
    <mergeCell ref="B19:E19"/>
    <mergeCell ref="H10:K17"/>
    <mergeCell ref="B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Giovanna Carolina Romero Ciodaro</cp:lastModifiedBy>
  <cp:revision/>
  <dcterms:created xsi:type="dcterms:W3CDTF">2023-05-23T18:21:31Z</dcterms:created>
  <dcterms:modified xsi:type="dcterms:W3CDTF">2023-11-28T19:22:23Z</dcterms:modified>
  <cp:category/>
  <cp:contentStatus/>
</cp:coreProperties>
</file>