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gha2-my.sharepoint.com/personal/nesquivel_gha_com_co/Documents/GHA ABOGADOS/2. CONTESTACION DEMANDAS/SOLIDARIDAD/MATIAS RODRIGUEZ VALENCIA/"/>
    </mc:Choice>
  </mc:AlternateContent>
  <xr:revisionPtr revIDLastSave="10" documentId="13_ncr:1_{A31CDB3A-060D-4DC1-A0E3-83E7D100D3C2}" xr6:coauthVersionLast="47" xr6:coauthVersionMax="47" xr10:uidLastSave="{D9A3290D-D79D-4885-A913-8C2309722A79}"/>
  <bookViews>
    <workbookView xWindow="20370" yWindow="-120" windowWidth="20730" windowHeight="11040" xr2:uid="{69AAD36E-CAFA-43EB-832F-400E58192986}"/>
  </bookViews>
  <sheets>
    <sheet name="LIQ. PRETENSIONES DEMANDA" sheetId="10" r:id="rId1"/>
    <sheet name="PML"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0" l="1"/>
  <c r="F35" i="11"/>
  <c r="E32" i="11"/>
  <c r="F32" i="11" s="1"/>
  <c r="F33" i="11" s="1"/>
  <c r="E28" i="11"/>
  <c r="E27" i="11"/>
  <c r="E26" i="11"/>
  <c r="E22" i="11"/>
  <c r="F22" i="11" s="1"/>
  <c r="D28" i="11" s="1"/>
  <c r="E21" i="11"/>
  <c r="F21" i="11" s="1"/>
  <c r="D27" i="11" s="1"/>
  <c r="E20" i="11"/>
  <c r="F20" i="11" s="1"/>
  <c r="D26" i="11" s="1"/>
  <c r="E16" i="11"/>
  <c r="F16" i="11" s="1"/>
  <c r="E15" i="11"/>
  <c r="F15" i="11" s="1"/>
  <c r="F17" i="11" s="1"/>
  <c r="E14" i="11"/>
  <c r="F14" i="11" s="1"/>
  <c r="E10" i="11"/>
  <c r="F10" i="11" s="1"/>
  <c r="E9" i="11"/>
  <c r="F9" i="11" s="1"/>
  <c r="E8" i="11"/>
  <c r="F8" i="11" s="1"/>
  <c r="F11" i="11" s="1"/>
  <c r="E45" i="10"/>
  <c r="E44" i="10"/>
  <c r="H42" i="10"/>
  <c r="I42" i="10" s="1"/>
  <c r="E46" i="10" s="1"/>
  <c r="F46" i="10" s="1"/>
  <c r="F47" i="10" s="1"/>
  <c r="F23" i="11" l="1"/>
  <c r="F27" i="11"/>
  <c r="F28" i="11"/>
  <c r="F26" i="11"/>
  <c r="B51" i="10"/>
  <c r="F51" i="10" s="1"/>
  <c r="E31" i="10"/>
  <c r="E30" i="10"/>
  <c r="E29" i="10"/>
  <c r="E24" i="10"/>
  <c r="F24" i="10" s="1"/>
  <c r="D31" i="10" s="1"/>
  <c r="E23" i="10"/>
  <c r="F23" i="10" s="1"/>
  <c r="D30" i="10" s="1"/>
  <c r="E22" i="10"/>
  <c r="F22" i="10" s="1"/>
  <c r="D29" i="10" s="1"/>
  <c r="E10" i="10"/>
  <c r="F10" i="10" s="1"/>
  <c r="E9" i="10"/>
  <c r="F9" i="10" s="1"/>
  <c r="E8" i="10"/>
  <c r="F8" i="10" s="1"/>
  <c r="E11" i="10"/>
  <c r="F11" i="10" s="1"/>
  <c r="F29" i="11" l="1"/>
  <c r="F31" i="10"/>
  <c r="F30" i="10"/>
  <c r="F29" i="10"/>
  <c r="F12" i="10"/>
  <c r="E17" i="10" l="1"/>
  <c r="F17" i="10" s="1"/>
  <c r="E16" i="10"/>
  <c r="F16" i="10" s="1"/>
  <c r="E15" i="10"/>
  <c r="F15" i="10" s="1"/>
  <c r="E18" i="10" l="1"/>
  <c r="F18" i="10" s="1"/>
  <c r="F19" i="10" s="1"/>
  <c r="E36" i="10"/>
  <c r="E32" i="10"/>
  <c r="E25" i="10"/>
  <c r="F25" i="10" s="1"/>
  <c r="D32" i="10" s="1"/>
  <c r="F32" i="10" l="1"/>
  <c r="F33" i="10" s="1"/>
  <c r="F36" i="10"/>
  <c r="F37" i="10" s="1"/>
  <c r="F53" i="10" l="1"/>
</calcChain>
</file>

<file path=xl/sharedStrings.xml><?xml version="1.0" encoding="utf-8"?>
<sst xmlns="http://schemas.openxmlformats.org/spreadsheetml/2006/main" count="84" uniqueCount="33">
  <si>
    <t>LIQUIDACIÓN DE LAS PRETENSIONES DE LA DEMANDA</t>
  </si>
  <si>
    <t>DESDE</t>
  </si>
  <si>
    <t>HASTA</t>
  </si>
  <si>
    <t>SALARIO</t>
  </si>
  <si>
    <t>DÍAS</t>
  </si>
  <si>
    <t>TOTAL ADEUDADO</t>
  </si>
  <si>
    <t>PRIMAS</t>
  </si>
  <si>
    <t>CESANTÍAS</t>
  </si>
  <si>
    <t>INTERESES</t>
  </si>
  <si>
    <t>VACACIONES</t>
  </si>
  <si>
    <t>INDEMNIZACIÓN ARTÍCULO 64 DEL C.S.T.</t>
  </si>
  <si>
    <t>AÑO</t>
  </si>
  <si>
    <t>MES</t>
  </si>
  <si>
    <t>DÍA</t>
  </si>
  <si>
    <t>Tiempo Laborado en:</t>
  </si>
  <si>
    <t>Días</t>
  </si>
  <si>
    <t>Años</t>
  </si>
  <si>
    <t>Fecha de Ingreso:</t>
  </si>
  <si>
    <t>Ingreso Mensual:</t>
  </si>
  <si>
    <t>Ingreso Diario:</t>
  </si>
  <si>
    <t>Indemnización primer año</t>
  </si>
  <si>
    <t>Indemnización años adicionales:</t>
  </si>
  <si>
    <t>Total Indemnizacón:</t>
  </si>
  <si>
    <t>Salario diario</t>
  </si>
  <si>
    <t>Total</t>
  </si>
  <si>
    <t>Total Liquidación:</t>
  </si>
  <si>
    <t>LIQUIDACIÓN PARA FACTURACIÓN (CONFORME A LOS AMPAROS DE LA PÓLIZA)</t>
  </si>
  <si>
    <t>SALARIOS</t>
  </si>
  <si>
    <t>INDEMNIZACIÓN DEL ARTÍCULO 26 DE LA LEY 361 DE 1997. (180 DÍAS DE SALARIO)</t>
  </si>
  <si>
    <t>x 180 DÍAS</t>
  </si>
  <si>
    <t>*Nota: Conforme al clausulado que nos envió la compañía, las pólizas amparan el pago de salarios, prestaciones sociales e indemnizacíon del art 64 C.S.T. Sin embargo, por instrucción de la cía se incluyen las vacaciones para el calculo del PML</t>
  </si>
  <si>
    <t>Fecha de terminación:</t>
  </si>
  <si>
    <t xml:space="preserve">*Nota: La vigencia de la póliza inicia el 01/01/2019 y fenece el 31/12/2022. En este sentido y teniendo en cuenta que el actor solicita el pago de las acreencias desde el día siguiente a la terminación hasta el reintegro, la liquidación del PML se efectua desde el 08/02/2020 (Día siguiente a la terminación del contrato) hasta el 31/12/2022 (Fecha fin de la vigencia de la póliza). Se precisa que por instrucciones de la compañía se liquida teniendo en cuenta la vigencia completa del amparo por salarios, prestaciones sociales e indemnización del artículo 64 del C.S.T. (la liquidacion del artículo 64 del C.S.T., no se realiza por cuanto es una pretensión excluyente)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</si>
</sst>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_ &quot;$&quot;\ * #,##0_ ;_ &quot;$&quot;\ * \-#,##0_ ;_ &quot;$&quot;\ * &quot;-&quot;_ ;_ @_ "/>
    <numFmt numFmtId="167" formatCode="_ * #,##0_ ;_ * \-#,##0_ ;_ * &quot;-&quot;_ ;_ @_ "/>
    <numFmt numFmtId="168" formatCode="_ &quot;$&quot;\ * #,##0.00_ ;_ &quot;$&quot;\ * \-#,##0.00_ ;_ &quot;$&quot;\ * &quot;-&quot;??_ ;_ @_ "/>
    <numFmt numFmtId="169" formatCode="0.0"/>
  </numFmts>
  <fonts count="12" x14ac:knownFonts="1">
    <font>
      <sz val="11"/>
      <color theme="1"/>
      <name val="Calibri"/>
      <family val="2"/>
      <scheme val="minor"/>
    </font>
    <font>
      <sz val="11"/>
      <color theme="1"/>
      <name val="Calibri"/>
      <family val="2"/>
      <scheme val="minor"/>
    </font>
    <font>
      <sz val="10"/>
      <name val="Arial"/>
      <family val="2"/>
    </font>
    <font>
      <b/>
      <sz val="9"/>
      <color theme="1"/>
      <name val="Calibri"/>
      <family val="2"/>
      <scheme val="minor"/>
    </font>
    <font>
      <sz val="9"/>
      <color theme="1"/>
      <name val="Calibri"/>
      <family val="2"/>
      <scheme val="minor"/>
    </font>
    <font>
      <b/>
      <u/>
      <sz val="9"/>
      <color theme="1"/>
      <name val="Calibri"/>
      <family val="2"/>
      <scheme val="minor"/>
    </font>
    <font>
      <b/>
      <sz val="9"/>
      <name val="Arial"/>
      <family val="2"/>
    </font>
    <font>
      <sz val="9"/>
      <name val="Arial"/>
      <family val="2"/>
    </font>
    <font>
      <b/>
      <sz val="9"/>
      <color theme="1"/>
      <name val="Arial"/>
      <family val="2"/>
    </font>
    <font>
      <b/>
      <sz val="10"/>
      <color theme="0"/>
      <name val="Calibri"/>
      <family val="2"/>
      <scheme val="minor"/>
    </font>
    <font>
      <sz val="9"/>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D9E1F2"/>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1">
    <xf numFmtId="0" fontId="0" fillId="0" borderId="0" xfId="0"/>
    <xf numFmtId="0" fontId="3" fillId="0" borderId="1" xfId="0" applyFont="1" applyBorder="1" applyAlignment="1">
      <alignment horizontal="center"/>
    </xf>
    <xf numFmtId="164" fontId="3" fillId="2" borderId="1" xfId="1" applyNumberFormat="1" applyFont="1" applyFill="1" applyBorder="1" applyAlignment="1">
      <alignment horizontal="center"/>
    </xf>
    <xf numFmtId="164" fontId="4" fillId="0" borderId="1" xfId="1" applyNumberFormat="1" applyFont="1" applyBorder="1"/>
    <xf numFmtId="164" fontId="4" fillId="0" borderId="1" xfId="1" applyNumberFormat="1" applyFont="1" applyFill="1" applyBorder="1"/>
    <xf numFmtId="164" fontId="3" fillId="3" borderId="1" xfId="1" applyNumberFormat="1" applyFont="1" applyFill="1" applyBorder="1"/>
    <xf numFmtId="0" fontId="4" fillId="0" borderId="0" xfId="0" applyFont="1"/>
    <xf numFmtId="0" fontId="3" fillId="0" borderId="1" xfId="0" applyFont="1" applyBorder="1" applyAlignment="1">
      <alignment horizontal="center" vertical="center"/>
    </xf>
    <xf numFmtId="0" fontId="7" fillId="0" borderId="1" xfId="0" applyFont="1" applyBorder="1" applyAlignment="1">
      <alignment horizontal="center"/>
    </xf>
    <xf numFmtId="0" fontId="6" fillId="0" borderId="1" xfId="0" applyFont="1" applyBorder="1"/>
    <xf numFmtId="0" fontId="6" fillId="0" borderId="0" xfId="0" applyFont="1" applyAlignment="1">
      <alignment horizontal="center"/>
    </xf>
    <xf numFmtId="0" fontId="6" fillId="0" borderId="0" xfId="0" applyFont="1"/>
    <xf numFmtId="8" fontId="6" fillId="0" borderId="0" xfId="0" applyNumberFormat="1" applyFont="1" applyAlignment="1">
      <alignment horizontal="center"/>
    </xf>
    <xf numFmtId="0" fontId="7" fillId="0" borderId="4" xfId="0" applyFont="1" applyBorder="1" applyAlignment="1">
      <alignment horizontal="center"/>
    </xf>
    <xf numFmtId="2" fontId="6" fillId="0" borderId="5" xfId="0" applyNumberFormat="1" applyFont="1" applyBorder="1" applyAlignment="1">
      <alignment horizontal="center"/>
    </xf>
    <xf numFmtId="44" fontId="9" fillId="4" borderId="1" xfId="0" applyNumberFormat="1" applyFont="1" applyFill="1" applyBorder="1"/>
    <xf numFmtId="0" fontId="6" fillId="0" borderId="5" xfId="0" applyFont="1" applyBorder="1" applyAlignment="1">
      <alignment horizontal="center"/>
    </xf>
    <xf numFmtId="0" fontId="7" fillId="0" borderId="2" xfId="0" applyFont="1" applyBorder="1" applyAlignment="1">
      <alignment horizontal="center"/>
    </xf>
    <xf numFmtId="0" fontId="7" fillId="0" borderId="6" xfId="0" applyFont="1" applyBorder="1" applyAlignment="1">
      <alignment horizontal="center"/>
    </xf>
    <xf numFmtId="0" fontId="6" fillId="2" borderId="1" xfId="0" applyFont="1" applyFill="1" applyBorder="1" applyAlignment="1">
      <alignment horizontal="center"/>
    </xf>
    <xf numFmtId="169" fontId="6" fillId="2" borderId="1" xfId="0" applyNumberFormat="1" applyFont="1" applyFill="1" applyBorder="1" applyAlignment="1">
      <alignment horizontal="center"/>
    </xf>
    <xf numFmtId="3" fontId="7" fillId="0" borderId="1" xfId="0" applyNumberFormat="1" applyFont="1" applyBorder="1" applyAlignment="1">
      <alignment horizontal="center"/>
    </xf>
    <xf numFmtId="2" fontId="7" fillId="0" borderId="1" xfId="0" applyNumberFormat="1" applyFont="1" applyBorder="1" applyAlignment="1">
      <alignment horizontal="center"/>
    </xf>
    <xf numFmtId="165" fontId="3" fillId="3" borderId="1" xfId="0" applyNumberFormat="1" applyFont="1" applyFill="1" applyBorder="1"/>
    <xf numFmtId="164" fontId="3" fillId="2" borderId="1" xfId="7" applyNumberFormat="1" applyFont="1" applyFill="1" applyBorder="1" applyAlignment="1">
      <alignment horizontal="center"/>
    </xf>
    <xf numFmtId="164" fontId="3" fillId="3" borderId="1" xfId="7" applyNumberFormat="1" applyFont="1" applyFill="1" applyBorder="1"/>
    <xf numFmtId="14" fontId="4" fillId="0" borderId="1" xfId="0" applyNumberFormat="1" applyFont="1" applyBorder="1" applyAlignment="1">
      <alignment horizontal="center"/>
    </xf>
    <xf numFmtId="164" fontId="4" fillId="0" borderId="1" xfId="0" applyNumberFormat="1" applyFont="1" applyBorder="1" applyAlignment="1">
      <alignment horizontal="center"/>
    </xf>
    <xf numFmtId="164" fontId="9" fillId="4" borderId="1" xfId="0" applyNumberFormat="1" applyFont="1" applyFill="1" applyBorder="1"/>
    <xf numFmtId="0" fontId="9" fillId="4" borderId="1" xfId="0" applyFont="1" applyFill="1" applyBorder="1" applyAlignment="1">
      <alignment horizontal="center"/>
    </xf>
    <xf numFmtId="8" fontId="6" fillId="0" borderId="1" xfId="0" applyNumberFormat="1" applyFont="1" applyBorder="1" applyAlignment="1">
      <alignment horizontal="center"/>
    </xf>
    <xf numFmtId="8" fontId="6" fillId="3" borderId="1" xfId="0" applyNumberFormat="1" applyFont="1" applyFill="1" applyBorder="1" applyAlignment="1">
      <alignment horizontal="center"/>
    </xf>
    <xf numFmtId="0" fontId="5" fillId="3" borderId="3" xfId="0" applyFont="1" applyFill="1" applyBorder="1" applyAlignment="1">
      <alignment horizontal="center"/>
    </xf>
    <xf numFmtId="0" fontId="3" fillId="0" borderId="1" xfId="0" applyFont="1" applyBorder="1" applyAlignment="1">
      <alignment horizontal="center"/>
    </xf>
    <xf numFmtId="0" fontId="6" fillId="0" borderId="1" xfId="0" applyFont="1" applyBorder="1" applyAlignment="1">
      <alignment horizontal="center"/>
    </xf>
    <xf numFmtId="0" fontId="3" fillId="2" borderId="1" xfId="0" applyFont="1" applyFill="1" applyBorder="1" applyAlignment="1">
      <alignment horizontal="center"/>
    </xf>
    <xf numFmtId="0" fontId="7" fillId="0" borderId="1" xfId="0" applyFont="1" applyBorder="1" applyAlignment="1">
      <alignment horizontal="center"/>
    </xf>
    <xf numFmtId="0" fontId="7" fillId="0" borderId="5" xfId="0" applyFont="1" applyBorder="1" applyAlignment="1">
      <alignment horizontal="center"/>
    </xf>
    <xf numFmtId="0" fontId="8" fillId="0" borderId="7" xfId="0" applyFont="1" applyBorder="1" applyAlignment="1">
      <alignment horizontal="center"/>
    </xf>
    <xf numFmtId="0" fontId="3" fillId="2" borderId="2"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165" fontId="4" fillId="0" borderId="2" xfId="2" applyNumberFormat="1" applyFont="1" applyBorder="1" applyAlignment="1">
      <alignment horizontal="center"/>
    </xf>
    <xf numFmtId="165" fontId="4" fillId="0" borderId="9" xfId="2" applyNumberFormat="1" applyFont="1" applyBorder="1" applyAlignment="1">
      <alignment horizontal="center"/>
    </xf>
    <xf numFmtId="0" fontId="4" fillId="0" borderId="2" xfId="0" applyFont="1" applyBorder="1" applyAlignment="1">
      <alignment horizontal="center"/>
    </xf>
    <xf numFmtId="0" fontId="4" fillId="0" borderId="9" xfId="0" applyFont="1" applyBorder="1" applyAlignment="1">
      <alignment horizontal="center"/>
    </xf>
    <xf numFmtId="8" fontId="7" fillId="0" borderId="1" xfId="0" applyNumberFormat="1" applyFont="1" applyBorder="1" applyAlignment="1">
      <alignment horizontal="center"/>
    </xf>
    <xf numFmtId="0" fontId="11" fillId="5" borderId="0" xfId="0" applyFont="1" applyFill="1" applyAlignment="1">
      <alignment horizontal="center" vertical="center" wrapText="1"/>
    </xf>
    <xf numFmtId="0" fontId="10" fillId="5" borderId="0" xfId="0" applyFont="1" applyFill="1" applyAlignment="1">
      <alignment horizontal="center" vertical="top" wrapText="1"/>
    </xf>
  </cellXfs>
  <cellStyles count="32">
    <cellStyle name="Millares" xfId="1" builtinId="3"/>
    <cellStyle name="Millares [0] 2" xfId="4" xr:uid="{3555D9B7-EA0C-4C21-A235-0CD6BE1EC253}"/>
    <cellStyle name="Millares 2" xfId="12" xr:uid="{4D4B5934-55E5-46A8-BEBB-28D3461D3206}"/>
    <cellStyle name="Millares 2 2" xfId="24" xr:uid="{E30B7E2E-3D7F-475D-B5CC-E9100C1740AE}"/>
    <cellStyle name="Millares 3" xfId="14" xr:uid="{8C88180E-8886-4249-B8BC-DC0D68BE574F}"/>
    <cellStyle name="Millares 3 2" xfId="26" xr:uid="{3DBC7BE8-6815-48C9-8786-2FB29160CF17}"/>
    <cellStyle name="Millares 4" xfId="7" xr:uid="{0BDCEB6B-0809-461C-B8C3-FECE5DCAFF8E}"/>
    <cellStyle name="Millares 4 2" xfId="22" xr:uid="{85B660FB-1EC1-4B98-801F-840BEF42AB3C}"/>
    <cellStyle name="Millares 4 3" xfId="10" xr:uid="{2248CCA8-C773-46B4-80F9-A6C08F90C562}"/>
    <cellStyle name="Millares 5" xfId="16" xr:uid="{54959DE4-744A-413F-B742-3C38B049C7BF}"/>
    <cellStyle name="Millares 5 2" xfId="28" xr:uid="{891C3A49-91FF-4EA5-B3B5-80989951BE49}"/>
    <cellStyle name="Millares 6" xfId="19" xr:uid="{3C42B753-70F2-4439-8FAC-E4E8F66DD1DB}"/>
    <cellStyle name="Millares 6 2" xfId="31" xr:uid="{8A9EFA8E-193E-4B3B-AC36-507F52664DBA}"/>
    <cellStyle name="Millares 7" xfId="20" xr:uid="{CD015248-5986-4CA4-85B3-ECCCF4E61A08}"/>
    <cellStyle name="Millares 8" xfId="8" xr:uid="{BE0B442D-47B9-47B6-A895-BE445C7E6678}"/>
    <cellStyle name="Moneda" xfId="2" builtinId="4"/>
    <cellStyle name="Moneda [0] 2" xfId="6" xr:uid="{40580231-C906-4C03-A65D-3EA45064320D}"/>
    <cellStyle name="Moneda 2" xfId="5" xr:uid="{60B0EB24-56E2-4FB9-B187-077D7FCBAA83}"/>
    <cellStyle name="Moneda 3" xfId="13" xr:uid="{92D96232-E142-4308-9AB3-B426DF8CC92C}"/>
    <cellStyle name="Moneda 3 2" xfId="25" xr:uid="{D9AB37B7-A7F6-4333-A442-4E73ACEF8F4F}"/>
    <cellStyle name="Moneda 4" xfId="15" xr:uid="{A06274C8-C664-4778-9182-60D71F680A60}"/>
    <cellStyle name="Moneda 4 2" xfId="27" xr:uid="{8C266B54-FE3B-4AFC-A754-5B9B0ECEFD30}"/>
    <cellStyle name="Moneda 5" xfId="11" xr:uid="{7AE96CDA-2077-4F82-A331-FB070A637868}"/>
    <cellStyle name="Moneda 5 2" xfId="23" xr:uid="{ED99CDF7-BE03-4B32-BE1C-16A49943BCB4}"/>
    <cellStyle name="Moneda 6" xfId="17" xr:uid="{F62319D3-7C71-4BCC-ABC4-248954664817}"/>
    <cellStyle name="Moneda 6 2" xfId="29" xr:uid="{888CE433-6C7D-4E74-97DB-622156210C18}"/>
    <cellStyle name="Moneda 7" xfId="18" xr:uid="{59D1B5BE-EAD5-4799-A790-64884ECA0BB6}"/>
    <cellStyle name="Moneda 7 2" xfId="30" xr:uid="{9F92E5E1-B6D8-41E1-8FE7-0F4A1DC54EB7}"/>
    <cellStyle name="Moneda 8" xfId="21" xr:uid="{33C2D5AD-708F-41F0-B218-5537DEB840C9}"/>
    <cellStyle name="Moneda 9" xfId="9" xr:uid="{F3422826-D29F-4653-B5EF-50F32350CE94}"/>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1456611</xdr:colOff>
      <xdr:row>3</xdr:row>
      <xdr:rowOff>161925</xdr:rowOff>
    </xdr:to>
    <xdr:pic>
      <xdr:nvPicPr>
        <xdr:cNvPr id="2" name="Imagen 1">
          <a:extLst>
            <a:ext uri="{FF2B5EF4-FFF2-40B4-BE49-F238E27FC236}">
              <a16:creationId xmlns:a16="http://schemas.microsoft.com/office/drawing/2014/main" id="{11F31F2A-C7FD-DF26-E5CF-E26BD90D6C2C}"/>
            </a:ext>
          </a:extLst>
        </xdr:cNvPr>
        <xdr:cNvPicPr>
          <a:picLocks noChangeAspect="1"/>
        </xdr:cNvPicPr>
      </xdr:nvPicPr>
      <xdr:blipFill>
        <a:blip xmlns:r="http://schemas.openxmlformats.org/officeDocument/2006/relationships" r:embed="rId1"/>
        <a:stretch>
          <a:fillRect/>
        </a:stretch>
      </xdr:blipFill>
      <xdr:spPr>
        <a:xfrm>
          <a:off x="16259174" y="0"/>
          <a:ext cx="2837737"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1456611</xdr:colOff>
      <xdr:row>3</xdr:row>
      <xdr:rowOff>161925</xdr:rowOff>
    </xdr:to>
    <xdr:pic>
      <xdr:nvPicPr>
        <xdr:cNvPr id="2" name="Imagen 1">
          <a:extLst>
            <a:ext uri="{FF2B5EF4-FFF2-40B4-BE49-F238E27FC236}">
              <a16:creationId xmlns:a16="http://schemas.microsoft.com/office/drawing/2014/main" id="{F005370E-E5B7-4543-B955-A66C362669CA}"/>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B59CC-80A3-46FE-AADB-EF5FED6064B5}">
  <dimension ref="B5:I53"/>
  <sheetViews>
    <sheetView tabSelected="1" topLeftCell="A34" zoomScale="115" zoomScaleNormal="115" workbookViewId="0">
      <selection activeCell="H36" sqref="H36"/>
    </sheetView>
  </sheetViews>
  <sheetFormatPr baseColWidth="10" defaultColWidth="11.42578125" defaultRowHeight="15" x14ac:dyDescent="0.25"/>
  <cols>
    <col min="2" max="2" width="16.42578125" style="6" customWidth="1"/>
    <col min="3" max="4" width="11.42578125" style="6"/>
    <col min="5" max="5" width="22.7109375" style="6" bestFit="1" customWidth="1"/>
    <col min="6" max="6" width="18.85546875" style="6" customWidth="1"/>
    <col min="7" max="7" width="11.42578125" style="6"/>
    <col min="10" max="10" width="13.140625" bestFit="1" customWidth="1"/>
    <col min="11" max="11" width="15.28515625" bestFit="1" customWidth="1"/>
    <col min="12" max="12" width="22.7109375" bestFit="1" customWidth="1"/>
  </cols>
  <sheetData>
    <row r="5" spans="2:7" ht="15" customHeight="1" x14ac:dyDescent="0.25">
      <c r="B5" s="32" t="s">
        <v>0</v>
      </c>
      <c r="C5" s="32"/>
      <c r="D5" s="32"/>
      <c r="E5" s="32"/>
      <c r="F5" s="32"/>
    </row>
    <row r="6" spans="2:7" x14ac:dyDescent="0.25">
      <c r="B6"/>
      <c r="C6"/>
      <c r="D6"/>
      <c r="E6"/>
      <c r="F6"/>
    </row>
    <row r="7" spans="2:7" x14ac:dyDescent="0.25">
      <c r="B7" s="1" t="s">
        <v>1</v>
      </c>
      <c r="C7" s="1" t="s">
        <v>2</v>
      </c>
      <c r="D7" s="1" t="s">
        <v>3</v>
      </c>
      <c r="E7" s="1" t="s">
        <v>4</v>
      </c>
      <c r="F7" s="24" t="s">
        <v>27</v>
      </c>
    </row>
    <row r="8" spans="2:7" x14ac:dyDescent="0.25">
      <c r="B8" s="26">
        <v>43869</v>
      </c>
      <c r="C8" s="26">
        <v>44196</v>
      </c>
      <c r="D8" s="3">
        <v>877803</v>
      </c>
      <c r="E8" s="3">
        <f t="shared" ref="E8" si="0">DAYS360(B8,C8)+1</f>
        <v>324</v>
      </c>
      <c r="F8" s="4">
        <f t="shared" ref="F8:F9" si="1">(D8/30)*E8</f>
        <v>9480272.4000000004</v>
      </c>
    </row>
    <row r="9" spans="2:7" x14ac:dyDescent="0.25">
      <c r="B9" s="26">
        <v>44197</v>
      </c>
      <c r="C9" s="26">
        <v>44561</v>
      </c>
      <c r="D9" s="3">
        <v>908526</v>
      </c>
      <c r="E9" s="3">
        <f>DAYS360(B9,C9)</f>
        <v>360</v>
      </c>
      <c r="F9" s="4">
        <f t="shared" si="1"/>
        <v>10902312</v>
      </c>
    </row>
    <row r="10" spans="2:7" x14ac:dyDescent="0.25">
      <c r="B10" s="26">
        <v>44562</v>
      </c>
      <c r="C10" s="26">
        <v>44926</v>
      </c>
      <c r="D10" s="3">
        <v>1000000</v>
      </c>
      <c r="E10" s="3">
        <f>DAYS360(B10,C10)</f>
        <v>360</v>
      </c>
      <c r="F10" s="4">
        <f>(D10/30)*E10</f>
        <v>12000000</v>
      </c>
    </row>
    <row r="11" spans="2:7" x14ac:dyDescent="0.25">
      <c r="B11" s="26">
        <v>44927</v>
      </c>
      <c r="C11" s="26">
        <v>45245</v>
      </c>
      <c r="D11" s="3">
        <v>1160000</v>
      </c>
      <c r="E11" s="3">
        <f t="shared" ref="E11" si="2">DAYS360(B11,C11)+1</f>
        <v>315</v>
      </c>
      <c r="F11" s="4">
        <f t="shared" ref="F11" si="3">(D11/30)*E11</f>
        <v>12180000</v>
      </c>
    </row>
    <row r="12" spans="2:7" x14ac:dyDescent="0.25">
      <c r="B12" s="33" t="s">
        <v>5</v>
      </c>
      <c r="C12" s="33"/>
      <c r="D12" s="33"/>
      <c r="E12" s="33"/>
      <c r="F12" s="25">
        <f>SUM(F8:F11)</f>
        <v>44562584.399999999</v>
      </c>
    </row>
    <row r="13" spans="2:7" x14ac:dyDescent="0.25">
      <c r="B13"/>
      <c r="C13"/>
      <c r="D13"/>
      <c r="E13"/>
      <c r="F13"/>
      <c r="G13"/>
    </row>
    <row r="14" spans="2:7" x14ac:dyDescent="0.25">
      <c r="B14" s="1" t="s">
        <v>1</v>
      </c>
      <c r="C14" s="1" t="s">
        <v>2</v>
      </c>
      <c r="D14" s="1" t="s">
        <v>3</v>
      </c>
      <c r="E14" s="1" t="s">
        <v>4</v>
      </c>
      <c r="F14" s="2" t="s">
        <v>6</v>
      </c>
    </row>
    <row r="15" spans="2:7" x14ac:dyDescent="0.25">
      <c r="B15" s="26">
        <v>43869</v>
      </c>
      <c r="C15" s="26">
        <v>44196</v>
      </c>
      <c r="D15" s="3">
        <v>877803</v>
      </c>
      <c r="E15" s="3">
        <f t="shared" ref="E15" si="4">DAYS360(B15,C15)+1</f>
        <v>324</v>
      </c>
      <c r="F15" s="4">
        <f t="shared" ref="F15:F17" si="5">(D15*E15)/360</f>
        <v>790022.7</v>
      </c>
    </row>
    <row r="16" spans="2:7" x14ac:dyDescent="0.25">
      <c r="B16" s="26">
        <v>44197</v>
      </c>
      <c r="C16" s="26">
        <v>44561</v>
      </c>
      <c r="D16" s="3">
        <v>908526</v>
      </c>
      <c r="E16" s="3">
        <f>DAYS360(B16,C16)</f>
        <v>360</v>
      </c>
      <c r="F16" s="4">
        <f t="shared" si="5"/>
        <v>908526</v>
      </c>
    </row>
    <row r="17" spans="2:6" x14ac:dyDescent="0.25">
      <c r="B17" s="26">
        <v>44562</v>
      </c>
      <c r="C17" s="26">
        <v>44926</v>
      </c>
      <c r="D17" s="3">
        <v>1000000</v>
      </c>
      <c r="E17" s="3">
        <f>DAYS360(B17,C17)</f>
        <v>360</v>
      </c>
      <c r="F17" s="4">
        <f t="shared" si="5"/>
        <v>1000000</v>
      </c>
    </row>
    <row r="18" spans="2:6" x14ac:dyDescent="0.25">
      <c r="B18" s="26">
        <v>44927</v>
      </c>
      <c r="C18" s="26">
        <v>45245</v>
      </c>
      <c r="D18" s="3">
        <v>1160000</v>
      </c>
      <c r="E18" s="3">
        <f>DAYS360(B18,C18)+1</f>
        <v>315</v>
      </c>
      <c r="F18" s="4">
        <f>(D18*E18)/360</f>
        <v>1015000</v>
      </c>
    </row>
    <row r="19" spans="2:6" x14ac:dyDescent="0.25">
      <c r="B19" s="33" t="s">
        <v>5</v>
      </c>
      <c r="C19" s="33"/>
      <c r="D19" s="33"/>
      <c r="E19" s="33"/>
      <c r="F19" s="5">
        <f>SUM(F15:F18)</f>
        <v>3713548.7</v>
      </c>
    </row>
    <row r="21" spans="2:6" x14ac:dyDescent="0.25">
      <c r="B21" s="1" t="s">
        <v>1</v>
      </c>
      <c r="C21" s="1" t="s">
        <v>2</v>
      </c>
      <c r="D21" s="1" t="s">
        <v>3</v>
      </c>
      <c r="E21" s="1" t="s">
        <v>4</v>
      </c>
      <c r="F21" s="2" t="s">
        <v>7</v>
      </c>
    </row>
    <row r="22" spans="2:6" x14ac:dyDescent="0.25">
      <c r="B22" s="26">
        <v>43869</v>
      </c>
      <c r="C22" s="26">
        <v>44196</v>
      </c>
      <c r="D22" s="3">
        <v>877803</v>
      </c>
      <c r="E22" s="3">
        <f t="shared" ref="E22" si="6">DAYS360(B22,C22)+1</f>
        <v>324</v>
      </c>
      <c r="F22" s="4">
        <f t="shared" ref="F22:F24" si="7">(D22*E22)/360</f>
        <v>790022.7</v>
      </c>
    </row>
    <row r="23" spans="2:6" x14ac:dyDescent="0.25">
      <c r="B23" s="26">
        <v>44197</v>
      </c>
      <c r="C23" s="26">
        <v>44561</v>
      </c>
      <c r="D23" s="3">
        <v>908526</v>
      </c>
      <c r="E23" s="3">
        <f t="shared" ref="E23:E24" si="8">DAYS360(B23,C23)</f>
        <v>360</v>
      </c>
      <c r="F23" s="4">
        <f t="shared" si="7"/>
        <v>908526</v>
      </c>
    </row>
    <row r="24" spans="2:6" x14ac:dyDescent="0.25">
      <c r="B24" s="26">
        <v>44562</v>
      </c>
      <c r="C24" s="26">
        <v>44926</v>
      </c>
      <c r="D24" s="3">
        <v>1000000</v>
      </c>
      <c r="E24" s="3">
        <f t="shared" si="8"/>
        <v>360</v>
      </c>
      <c r="F24" s="4">
        <f t="shared" si="7"/>
        <v>1000000</v>
      </c>
    </row>
    <row r="25" spans="2:6" x14ac:dyDescent="0.25">
      <c r="B25" s="26">
        <v>44927</v>
      </c>
      <c r="C25" s="26">
        <v>45245</v>
      </c>
      <c r="D25" s="3">
        <v>1160000</v>
      </c>
      <c r="E25" s="3">
        <f>DAYS360(B25,C25)+1</f>
        <v>315</v>
      </c>
      <c r="F25" s="4">
        <f>(D25*E25)/360</f>
        <v>1015000</v>
      </c>
    </row>
    <row r="26" spans="2:6" x14ac:dyDescent="0.25">
      <c r="B26" s="33" t="s">
        <v>5</v>
      </c>
      <c r="C26" s="33"/>
      <c r="D26" s="33"/>
      <c r="E26" s="33"/>
      <c r="F26" s="5">
        <f>SUM(F22:F25)</f>
        <v>3713548.7</v>
      </c>
    </row>
    <row r="28" spans="2:6" x14ac:dyDescent="0.25">
      <c r="B28" s="1" t="s">
        <v>1</v>
      </c>
      <c r="C28" s="1" t="s">
        <v>2</v>
      </c>
      <c r="D28" s="1" t="s">
        <v>7</v>
      </c>
      <c r="E28" s="1" t="s">
        <v>4</v>
      </c>
      <c r="F28" s="2" t="s">
        <v>8</v>
      </c>
    </row>
    <row r="29" spans="2:6" x14ac:dyDescent="0.25">
      <c r="B29" s="26">
        <v>43869</v>
      </c>
      <c r="C29" s="26">
        <v>44196</v>
      </c>
      <c r="D29" s="27">
        <f>F22</f>
        <v>790022.7</v>
      </c>
      <c r="E29" s="3">
        <f t="shared" ref="E29" si="9">DAYS360(B29,C29)+1</f>
        <v>324</v>
      </c>
      <c r="F29" s="3">
        <f t="shared" ref="F29:F31" si="10">(D29*E29*0.12)/360</f>
        <v>85322.4516</v>
      </c>
    </row>
    <row r="30" spans="2:6" x14ac:dyDescent="0.25">
      <c r="B30" s="26">
        <v>44197</v>
      </c>
      <c r="C30" s="26">
        <v>44561</v>
      </c>
      <c r="D30" s="27">
        <f>F23</f>
        <v>908526</v>
      </c>
      <c r="E30" s="3">
        <f t="shared" ref="E30:E31" si="11">DAYS360(B30,C30)</f>
        <v>360</v>
      </c>
      <c r="F30" s="3">
        <f t="shared" si="10"/>
        <v>109023.11999999998</v>
      </c>
    </row>
    <row r="31" spans="2:6" x14ac:dyDescent="0.25">
      <c r="B31" s="26">
        <v>44562</v>
      </c>
      <c r="C31" s="26">
        <v>44926</v>
      </c>
      <c r="D31" s="27">
        <f>F24</f>
        <v>1000000</v>
      </c>
      <c r="E31" s="3">
        <f t="shared" si="11"/>
        <v>360</v>
      </c>
      <c r="F31" s="3">
        <f t="shared" si="10"/>
        <v>120000</v>
      </c>
    </row>
    <row r="32" spans="2:6" x14ac:dyDescent="0.25">
      <c r="B32" s="26">
        <v>44927</v>
      </c>
      <c r="C32" s="26">
        <v>45245</v>
      </c>
      <c r="D32" s="3">
        <f>F25</f>
        <v>1015000</v>
      </c>
      <c r="E32" s="3">
        <f>DAYS360(B32,C32)+1</f>
        <v>315</v>
      </c>
      <c r="F32" s="3">
        <f>(D32*E32*0.12)/360</f>
        <v>106575</v>
      </c>
    </row>
    <row r="33" spans="2:9" x14ac:dyDescent="0.25">
      <c r="B33" s="33" t="s">
        <v>5</v>
      </c>
      <c r="C33" s="33"/>
      <c r="D33" s="33"/>
      <c r="E33" s="33"/>
      <c r="F33" s="5">
        <f>SUM(F29:F32)</f>
        <v>420920.57159999997</v>
      </c>
    </row>
    <row r="35" spans="2:9" x14ac:dyDescent="0.25">
      <c r="B35" s="1" t="s">
        <v>1</v>
      </c>
      <c r="C35" s="1" t="s">
        <v>2</v>
      </c>
      <c r="D35" s="1" t="s">
        <v>3</v>
      </c>
      <c r="E35" s="1" t="s">
        <v>4</v>
      </c>
      <c r="F35" s="2" t="s">
        <v>9</v>
      </c>
    </row>
    <row r="36" spans="2:9" x14ac:dyDescent="0.25">
      <c r="B36" s="26">
        <v>43869</v>
      </c>
      <c r="C36" s="26">
        <v>45245</v>
      </c>
      <c r="D36" s="3">
        <v>1160000</v>
      </c>
      <c r="E36" s="3">
        <f t="shared" ref="E36" si="12">DAYS360(B36,C36)+1</f>
        <v>1358</v>
      </c>
      <c r="F36" s="3">
        <f>(D36*E36)/720</f>
        <v>2187888.888888889</v>
      </c>
    </row>
    <row r="37" spans="2:9" x14ac:dyDescent="0.25">
      <c r="B37" s="33" t="s">
        <v>5</v>
      </c>
      <c r="C37" s="33"/>
      <c r="D37" s="33"/>
      <c r="E37" s="33"/>
      <c r="F37" s="5">
        <f>SUM(F36:F36)</f>
        <v>2187888.888888889</v>
      </c>
    </row>
    <row r="39" spans="2:9" x14ac:dyDescent="0.25">
      <c r="B39" s="35" t="s">
        <v>10</v>
      </c>
      <c r="C39" s="35"/>
      <c r="D39" s="35"/>
      <c r="E39" s="35"/>
      <c r="F39" s="35"/>
      <c r="G39" s="35"/>
      <c r="H39" s="35"/>
      <c r="I39" s="35"/>
    </row>
    <row r="40" spans="2:9" x14ac:dyDescent="0.25">
      <c r="B40" s="37"/>
      <c r="C40" s="37"/>
      <c r="D40" s="37"/>
      <c r="E40" s="16" t="s">
        <v>11</v>
      </c>
      <c r="F40" s="16" t="s">
        <v>12</v>
      </c>
      <c r="G40" s="16" t="s">
        <v>13</v>
      </c>
      <c r="H40" s="38" t="s">
        <v>14</v>
      </c>
      <c r="I40" s="38"/>
    </row>
    <row r="41" spans="2:9" x14ac:dyDescent="0.25">
      <c r="B41" s="36" t="s">
        <v>31</v>
      </c>
      <c r="C41" s="36"/>
      <c r="D41" s="36"/>
      <c r="E41" s="8">
        <v>2020</v>
      </c>
      <c r="F41" s="8">
        <v>2</v>
      </c>
      <c r="G41" s="17">
        <v>7</v>
      </c>
      <c r="H41" s="19" t="s">
        <v>15</v>
      </c>
      <c r="I41" s="20" t="s">
        <v>16</v>
      </c>
    </row>
    <row r="42" spans="2:9" x14ac:dyDescent="0.25">
      <c r="B42" s="36" t="s">
        <v>17</v>
      </c>
      <c r="C42" s="36"/>
      <c r="D42" s="36"/>
      <c r="E42" s="13">
        <v>2016</v>
      </c>
      <c r="F42" s="13">
        <v>12</v>
      </c>
      <c r="G42" s="18">
        <v>18</v>
      </c>
      <c r="H42" s="21">
        <f>(E41-E42)*360+(F41-F42)*30+(G41-G42+1)</f>
        <v>1130</v>
      </c>
      <c r="I42" s="22">
        <f>H42/360</f>
        <v>3.1388888888888888</v>
      </c>
    </row>
    <row r="43" spans="2:9" x14ac:dyDescent="0.25">
      <c r="B43" s="36" t="s">
        <v>18</v>
      </c>
      <c r="C43" s="36"/>
      <c r="D43" s="36"/>
      <c r="E43" s="48">
        <v>877803</v>
      </c>
      <c r="F43" s="48"/>
      <c r="G43" s="48"/>
      <c r="H43" s="48"/>
      <c r="I43" s="48"/>
    </row>
    <row r="44" spans="2:9" x14ac:dyDescent="0.25">
      <c r="B44" s="36" t="s">
        <v>19</v>
      </c>
      <c r="C44" s="36"/>
      <c r="D44" s="36"/>
      <c r="E44" s="30">
        <f>E43/30</f>
        <v>29260.1</v>
      </c>
      <c r="F44" s="30"/>
      <c r="G44" s="30"/>
      <c r="H44" s="30"/>
      <c r="I44" s="30"/>
    </row>
    <row r="45" spans="2:9" x14ac:dyDescent="0.25">
      <c r="B45" s="36" t="s">
        <v>20</v>
      </c>
      <c r="C45" s="36"/>
      <c r="D45" s="36"/>
      <c r="E45" s="30">
        <f>E43</f>
        <v>877803</v>
      </c>
      <c r="F45" s="30"/>
      <c r="G45" s="30"/>
      <c r="H45" s="30"/>
      <c r="I45" s="30"/>
    </row>
    <row r="46" spans="2:9" x14ac:dyDescent="0.25">
      <c r="B46" s="36" t="s">
        <v>21</v>
      </c>
      <c r="C46" s="36"/>
      <c r="D46" s="36"/>
      <c r="E46" s="14">
        <f>I42-1</f>
        <v>2.1388888888888888</v>
      </c>
      <c r="F46" s="30">
        <f>E46*20*E44</f>
        <v>1251682.0555555555</v>
      </c>
      <c r="G46" s="30"/>
      <c r="H46" s="30"/>
      <c r="I46" s="30"/>
    </row>
    <row r="47" spans="2:9" x14ac:dyDescent="0.25">
      <c r="B47" s="34" t="s">
        <v>22</v>
      </c>
      <c r="C47" s="34"/>
      <c r="D47" s="34"/>
      <c r="E47" s="9"/>
      <c r="F47" s="31">
        <f>E45+F46</f>
        <v>2129485.0555555555</v>
      </c>
      <c r="G47" s="31"/>
      <c r="H47" s="31"/>
      <c r="I47" s="31"/>
    </row>
    <row r="48" spans="2:9" x14ac:dyDescent="0.25">
      <c r="B48" s="10"/>
      <c r="C48" s="10"/>
      <c r="D48" s="10"/>
      <c r="E48" s="11"/>
      <c r="F48" s="12"/>
    </row>
    <row r="49" spans="2:6" x14ac:dyDescent="0.25">
      <c r="B49" s="39" t="s">
        <v>28</v>
      </c>
      <c r="C49" s="40"/>
      <c r="D49" s="40"/>
      <c r="E49" s="40"/>
      <c r="F49" s="41"/>
    </row>
    <row r="50" spans="2:6" x14ac:dyDescent="0.25">
      <c r="B50" s="42" t="s">
        <v>23</v>
      </c>
      <c r="C50" s="43"/>
      <c r="D50" s="42" t="s">
        <v>29</v>
      </c>
      <c r="E50" s="43"/>
      <c r="F50" s="7" t="s">
        <v>24</v>
      </c>
    </row>
    <row r="51" spans="2:6" x14ac:dyDescent="0.25">
      <c r="B51" s="44">
        <f>(877803/30)</f>
        <v>29260.1</v>
      </c>
      <c r="C51" s="45"/>
      <c r="D51" s="46">
        <v>180</v>
      </c>
      <c r="E51" s="47"/>
      <c r="F51" s="23">
        <f>B51*D51</f>
        <v>5266818</v>
      </c>
    </row>
    <row r="53" spans="2:6" x14ac:dyDescent="0.25">
      <c r="B53" s="29" t="s">
        <v>25</v>
      </c>
      <c r="C53" s="29"/>
      <c r="D53" s="29"/>
      <c r="E53" s="29"/>
      <c r="F53" s="15">
        <f>SUM(F12+F19+F26+F33+F37+F47+F51)</f>
        <v>61994794.316044442</v>
      </c>
    </row>
  </sheetData>
  <mergeCells count="27">
    <mergeCell ref="B12:E12"/>
    <mergeCell ref="B49:F49"/>
    <mergeCell ref="B50:C50"/>
    <mergeCell ref="D50:E50"/>
    <mergeCell ref="B51:C51"/>
    <mergeCell ref="D51:E51"/>
    <mergeCell ref="B42:D42"/>
    <mergeCell ref="B43:D43"/>
    <mergeCell ref="E43:I43"/>
    <mergeCell ref="E44:I44"/>
    <mergeCell ref="E45:I45"/>
    <mergeCell ref="B53:E53"/>
    <mergeCell ref="F46:I46"/>
    <mergeCell ref="F47:I47"/>
    <mergeCell ref="B5:F5"/>
    <mergeCell ref="B19:E19"/>
    <mergeCell ref="B47:D47"/>
    <mergeCell ref="B39:I39"/>
    <mergeCell ref="B44:D44"/>
    <mergeCell ref="B45:D45"/>
    <mergeCell ref="B46:D46"/>
    <mergeCell ref="B26:E26"/>
    <mergeCell ref="B33:E33"/>
    <mergeCell ref="B37:E37"/>
    <mergeCell ref="B40:D40"/>
    <mergeCell ref="B41:D41"/>
    <mergeCell ref="H40:I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3FD3-8855-44BC-B455-39A85235DB09}">
  <dimension ref="A5:P35"/>
  <sheetViews>
    <sheetView zoomScale="115" zoomScaleNormal="115" workbookViewId="0">
      <selection activeCell="G10" sqref="G10"/>
    </sheetView>
  </sheetViews>
  <sheetFormatPr baseColWidth="10" defaultColWidth="11.42578125" defaultRowHeight="15" x14ac:dyDescent="0.25"/>
  <cols>
    <col min="2" max="2" width="16.42578125" style="6" customWidth="1"/>
    <col min="3" max="4" width="11.42578125" style="6"/>
    <col min="5" max="5" width="22.7109375" style="6" bestFit="1" customWidth="1"/>
    <col min="6" max="6" width="18.85546875" style="6" customWidth="1"/>
    <col min="7" max="7" width="11.42578125" style="6"/>
    <col min="10" max="10" width="13.140625" bestFit="1" customWidth="1"/>
    <col min="11" max="11" width="15.28515625" bestFit="1" customWidth="1"/>
    <col min="12" max="12" width="22.7109375" bestFit="1" customWidth="1"/>
  </cols>
  <sheetData>
    <row r="5" spans="1:16" x14ac:dyDescent="0.25">
      <c r="B5" s="32" t="s">
        <v>26</v>
      </c>
      <c r="C5" s="32"/>
      <c r="D5" s="32"/>
      <c r="E5" s="32"/>
      <c r="F5" s="32"/>
    </row>
    <row r="7" spans="1:16" ht="15" customHeight="1" x14ac:dyDescent="0.25">
      <c r="B7" s="1" t="s">
        <v>1</v>
      </c>
      <c r="C7" s="1" t="s">
        <v>2</v>
      </c>
      <c r="D7" s="1" t="s">
        <v>3</v>
      </c>
      <c r="E7" s="1" t="s">
        <v>4</v>
      </c>
      <c r="F7" s="24" t="s">
        <v>27</v>
      </c>
      <c r="H7" s="49" t="s">
        <v>30</v>
      </c>
      <c r="I7" s="49"/>
      <c r="J7" s="49"/>
      <c r="K7" s="49"/>
    </row>
    <row r="8" spans="1:16" x14ac:dyDescent="0.25">
      <c r="B8" s="26">
        <v>43869</v>
      </c>
      <c r="C8" s="26">
        <v>44196</v>
      </c>
      <c r="D8" s="3">
        <v>877803</v>
      </c>
      <c r="E8" s="3">
        <f t="shared" ref="E8" si="0">DAYS360(B8,C8)+1</f>
        <v>324</v>
      </c>
      <c r="F8" s="4">
        <f t="shared" ref="F8:F9" si="1">(D8/30)*E8</f>
        <v>9480272.4000000004</v>
      </c>
      <c r="H8" s="49"/>
      <c r="I8" s="49"/>
      <c r="J8" s="49"/>
      <c r="K8" s="49"/>
    </row>
    <row r="9" spans="1:16" s="6" customFormat="1" ht="15" customHeight="1" x14ac:dyDescent="0.25">
      <c r="A9"/>
      <c r="B9" s="26">
        <v>44197</v>
      </c>
      <c r="C9" s="26">
        <v>44561</v>
      </c>
      <c r="D9" s="3">
        <v>908526</v>
      </c>
      <c r="E9" s="3">
        <f>DAYS360(B9,C9)</f>
        <v>360</v>
      </c>
      <c r="F9" s="4">
        <f t="shared" si="1"/>
        <v>10902312</v>
      </c>
      <c r="H9" s="49"/>
      <c r="I9" s="49"/>
      <c r="J9" s="49"/>
      <c r="K9" s="49"/>
      <c r="L9"/>
      <c r="M9"/>
      <c r="N9"/>
      <c r="O9"/>
      <c r="P9"/>
    </row>
    <row r="10" spans="1:16" x14ac:dyDescent="0.25">
      <c r="B10" s="26">
        <v>44562</v>
      </c>
      <c r="C10" s="26">
        <v>44926</v>
      </c>
      <c r="D10" s="3">
        <v>1000000</v>
      </c>
      <c r="E10" s="3">
        <f>DAYS360(B10,C10)</f>
        <v>360</v>
      </c>
      <c r="F10" s="4">
        <f>(D10/30)*E10</f>
        <v>12000000</v>
      </c>
      <c r="H10" s="49"/>
      <c r="I10" s="49"/>
      <c r="J10" s="49"/>
      <c r="K10" s="49"/>
    </row>
    <row r="11" spans="1:16" s="6" customFormat="1" x14ac:dyDescent="0.25">
      <c r="A11"/>
      <c r="B11" s="33" t="s">
        <v>5</v>
      </c>
      <c r="C11" s="33"/>
      <c r="D11" s="33"/>
      <c r="E11" s="33"/>
      <c r="F11" s="25">
        <f>SUM(F8:F10)</f>
        <v>32382584.399999999</v>
      </c>
      <c r="H11" s="49"/>
      <c r="I11" s="49"/>
      <c r="J11" s="49"/>
      <c r="K11" s="49"/>
      <c r="L11"/>
      <c r="M11"/>
      <c r="N11"/>
      <c r="O11"/>
      <c r="P11"/>
    </row>
    <row r="12" spans="1:16" s="6" customFormat="1" x14ac:dyDescent="0.25">
      <c r="A12"/>
      <c r="B12"/>
      <c r="C12"/>
      <c r="D12"/>
      <c r="E12"/>
      <c r="F12"/>
      <c r="G12"/>
      <c r="L12"/>
      <c r="M12"/>
      <c r="N12"/>
      <c r="O12"/>
      <c r="P12"/>
    </row>
    <row r="13" spans="1:16" s="6" customFormat="1" ht="15" customHeight="1" x14ac:dyDescent="0.25">
      <c r="A13"/>
      <c r="B13" s="1" t="s">
        <v>1</v>
      </c>
      <c r="C13" s="1" t="s">
        <v>2</v>
      </c>
      <c r="D13" s="1" t="s">
        <v>3</v>
      </c>
      <c r="E13" s="1" t="s">
        <v>4</v>
      </c>
      <c r="F13" s="2" t="s">
        <v>6</v>
      </c>
      <c r="H13" s="50" t="s">
        <v>32</v>
      </c>
      <c r="I13" s="50"/>
      <c r="J13" s="50"/>
      <c r="K13" s="50"/>
      <c r="L13"/>
      <c r="M13"/>
      <c r="N13"/>
      <c r="O13"/>
      <c r="P13"/>
    </row>
    <row r="14" spans="1:16" s="6" customFormat="1" x14ac:dyDescent="0.25">
      <c r="A14"/>
      <c r="B14" s="26">
        <v>43869</v>
      </c>
      <c r="C14" s="26">
        <v>44196</v>
      </c>
      <c r="D14" s="3">
        <v>877803</v>
      </c>
      <c r="E14" s="3">
        <f t="shared" ref="E14" si="2">DAYS360(B14,C14)+1</f>
        <v>324</v>
      </c>
      <c r="F14" s="4">
        <f t="shared" ref="F14:F16" si="3">(D14*E14)/360</f>
        <v>790022.7</v>
      </c>
      <c r="H14" s="50"/>
      <c r="I14" s="50"/>
      <c r="J14" s="50"/>
      <c r="K14" s="50"/>
      <c r="L14"/>
      <c r="M14"/>
      <c r="N14"/>
      <c r="O14"/>
      <c r="P14"/>
    </row>
    <row r="15" spans="1:16" ht="15" customHeight="1" x14ac:dyDescent="0.25">
      <c r="B15" s="26">
        <v>44197</v>
      </c>
      <c r="C15" s="26">
        <v>44561</v>
      </c>
      <c r="D15" s="3">
        <v>908526</v>
      </c>
      <c r="E15" s="3">
        <f>DAYS360(B15,C15)</f>
        <v>360</v>
      </c>
      <c r="F15" s="4">
        <f t="shared" si="3"/>
        <v>908526</v>
      </c>
      <c r="H15" s="50"/>
      <c r="I15" s="50"/>
      <c r="J15" s="50"/>
      <c r="K15" s="50"/>
    </row>
    <row r="16" spans="1:16" s="6" customFormat="1" x14ac:dyDescent="0.25">
      <c r="A16"/>
      <c r="B16" s="26">
        <v>44562</v>
      </c>
      <c r="C16" s="26">
        <v>44926</v>
      </c>
      <c r="D16" s="3">
        <v>1000000</v>
      </c>
      <c r="E16" s="3">
        <f>DAYS360(B16,C16)</f>
        <v>360</v>
      </c>
      <c r="F16" s="4">
        <f t="shared" si="3"/>
        <v>1000000</v>
      </c>
      <c r="H16" s="50"/>
      <c r="I16" s="50"/>
      <c r="J16" s="50"/>
      <c r="K16" s="50"/>
      <c r="L16"/>
      <c r="M16"/>
      <c r="N16"/>
      <c r="O16"/>
      <c r="P16"/>
    </row>
    <row r="17" spans="1:16" s="6" customFormat="1" x14ac:dyDescent="0.25">
      <c r="A17"/>
      <c r="B17" s="33" t="s">
        <v>5</v>
      </c>
      <c r="C17" s="33"/>
      <c r="D17" s="33"/>
      <c r="E17" s="33"/>
      <c r="F17" s="5">
        <f>SUM(F14:F16)</f>
        <v>2698548.7</v>
      </c>
      <c r="H17" s="50"/>
      <c r="I17" s="50"/>
      <c r="J17" s="50"/>
      <c r="K17" s="50"/>
      <c r="L17"/>
      <c r="M17"/>
      <c r="N17"/>
      <c r="O17"/>
      <c r="P17"/>
    </row>
    <row r="18" spans="1:16" s="6" customFormat="1" x14ac:dyDescent="0.25">
      <c r="A18"/>
      <c r="H18" s="50"/>
      <c r="I18" s="50"/>
      <c r="J18" s="50"/>
      <c r="K18" s="50"/>
      <c r="L18"/>
      <c r="M18"/>
      <c r="N18"/>
      <c r="O18"/>
      <c r="P18"/>
    </row>
    <row r="19" spans="1:16" s="6" customFormat="1" x14ac:dyDescent="0.25">
      <c r="A19"/>
      <c r="B19" s="1" t="s">
        <v>1</v>
      </c>
      <c r="C19" s="1" t="s">
        <v>2</v>
      </c>
      <c r="D19" s="1" t="s">
        <v>3</v>
      </c>
      <c r="E19" s="1" t="s">
        <v>4</v>
      </c>
      <c r="F19" s="2" t="s">
        <v>7</v>
      </c>
      <c r="H19" s="50"/>
      <c r="I19" s="50"/>
      <c r="J19" s="50"/>
      <c r="K19" s="50"/>
      <c r="L19"/>
      <c r="M19"/>
      <c r="N19"/>
      <c r="O19"/>
      <c r="P19"/>
    </row>
    <row r="20" spans="1:16" x14ac:dyDescent="0.25">
      <c r="B20" s="26">
        <v>43869</v>
      </c>
      <c r="C20" s="26">
        <v>44196</v>
      </c>
      <c r="D20" s="3">
        <v>877803</v>
      </c>
      <c r="E20" s="3">
        <f t="shared" ref="E20" si="4">DAYS360(B20,C20)+1</f>
        <v>324</v>
      </c>
      <c r="F20" s="4">
        <f t="shared" ref="F20:F22" si="5">(D20*E20)/360</f>
        <v>790022.7</v>
      </c>
      <c r="H20" s="50"/>
      <c r="I20" s="50"/>
      <c r="J20" s="50"/>
      <c r="K20" s="50"/>
    </row>
    <row r="21" spans="1:16" x14ac:dyDescent="0.25">
      <c r="B21" s="26">
        <v>44197</v>
      </c>
      <c r="C21" s="26">
        <v>44561</v>
      </c>
      <c r="D21" s="3">
        <v>908526</v>
      </c>
      <c r="E21" s="3">
        <f t="shared" ref="E21:E22" si="6">DAYS360(B21,C21)</f>
        <v>360</v>
      </c>
      <c r="F21" s="4">
        <f t="shared" si="5"/>
        <v>908526</v>
      </c>
    </row>
    <row r="22" spans="1:16" x14ac:dyDescent="0.25">
      <c r="B22" s="26">
        <v>44562</v>
      </c>
      <c r="C22" s="26">
        <v>44926</v>
      </c>
      <c r="D22" s="3">
        <v>1000000</v>
      </c>
      <c r="E22" s="3">
        <f t="shared" si="6"/>
        <v>360</v>
      </c>
      <c r="F22" s="4">
        <f t="shared" si="5"/>
        <v>1000000</v>
      </c>
    </row>
    <row r="23" spans="1:16" x14ac:dyDescent="0.25">
      <c r="B23" s="33" t="s">
        <v>5</v>
      </c>
      <c r="C23" s="33"/>
      <c r="D23" s="33"/>
      <c r="E23" s="33"/>
      <c r="F23" s="5">
        <f>SUM(F20:F22)</f>
        <v>2698548.7</v>
      </c>
    </row>
    <row r="25" spans="1:16" x14ac:dyDescent="0.25">
      <c r="B25" s="1" t="s">
        <v>1</v>
      </c>
      <c r="C25" s="1" t="s">
        <v>2</v>
      </c>
      <c r="D25" s="1" t="s">
        <v>7</v>
      </c>
      <c r="E25" s="1" t="s">
        <v>4</v>
      </c>
      <c r="F25" s="2" t="s">
        <v>8</v>
      </c>
    </row>
    <row r="26" spans="1:16" x14ac:dyDescent="0.25">
      <c r="B26" s="26">
        <v>43869</v>
      </c>
      <c r="C26" s="26">
        <v>44196</v>
      </c>
      <c r="D26" s="27">
        <f>F20</f>
        <v>790022.7</v>
      </c>
      <c r="E26" s="3">
        <f t="shared" ref="E26" si="7">DAYS360(B26,C26)+1</f>
        <v>324</v>
      </c>
      <c r="F26" s="3">
        <f t="shared" ref="F26:F28" si="8">(D26*E26*0.12)/360</f>
        <v>85322.4516</v>
      </c>
    </row>
    <row r="27" spans="1:16" x14ac:dyDescent="0.25">
      <c r="B27" s="26">
        <v>44197</v>
      </c>
      <c r="C27" s="26">
        <v>44561</v>
      </c>
      <c r="D27" s="27">
        <f>F21</f>
        <v>908526</v>
      </c>
      <c r="E27" s="3">
        <f t="shared" ref="E27:E28" si="9">DAYS360(B27,C27)</f>
        <v>360</v>
      </c>
      <c r="F27" s="3">
        <f t="shared" si="8"/>
        <v>109023.11999999998</v>
      </c>
    </row>
    <row r="28" spans="1:16" x14ac:dyDescent="0.25">
      <c r="B28" s="26">
        <v>44562</v>
      </c>
      <c r="C28" s="26">
        <v>44926</v>
      </c>
      <c r="D28" s="27">
        <f>F22</f>
        <v>1000000</v>
      </c>
      <c r="E28" s="3">
        <f t="shared" si="9"/>
        <v>360</v>
      </c>
      <c r="F28" s="3">
        <f t="shared" si="8"/>
        <v>120000</v>
      </c>
    </row>
    <row r="29" spans="1:16" x14ac:dyDescent="0.25">
      <c r="B29" s="33" t="s">
        <v>5</v>
      </c>
      <c r="C29" s="33"/>
      <c r="D29" s="33"/>
      <c r="E29" s="33"/>
      <c r="F29" s="5">
        <f>SUM(F26:F28)</f>
        <v>314345.57159999997</v>
      </c>
    </row>
    <row r="31" spans="1:16" x14ac:dyDescent="0.25">
      <c r="B31" s="1" t="s">
        <v>1</v>
      </c>
      <c r="C31" s="1" t="s">
        <v>2</v>
      </c>
      <c r="D31" s="1" t="s">
        <v>3</v>
      </c>
      <c r="E31" s="1" t="s">
        <v>4</v>
      </c>
      <c r="F31" s="2" t="s">
        <v>9</v>
      </c>
    </row>
    <row r="32" spans="1:16" x14ac:dyDescent="0.25">
      <c r="B32" s="26">
        <v>43869</v>
      </c>
      <c r="C32" s="26">
        <v>44926</v>
      </c>
      <c r="D32" s="3">
        <v>1000000</v>
      </c>
      <c r="E32" s="3">
        <f t="shared" ref="E32" si="10">DAYS360(B32,C32)+1</f>
        <v>1044</v>
      </c>
      <c r="F32" s="3">
        <f>(D32*E32)/720</f>
        <v>1450000</v>
      </c>
    </row>
    <row r="33" spans="2:6" x14ac:dyDescent="0.25">
      <c r="B33" s="33" t="s">
        <v>5</v>
      </c>
      <c r="C33" s="33"/>
      <c r="D33" s="33"/>
      <c r="E33" s="33"/>
      <c r="F33" s="5">
        <f>SUM(F32:F32)</f>
        <v>1450000</v>
      </c>
    </row>
    <row r="35" spans="2:6" x14ac:dyDescent="0.25">
      <c r="B35" s="29" t="s">
        <v>25</v>
      </c>
      <c r="C35" s="29"/>
      <c r="D35" s="29"/>
      <c r="E35" s="29"/>
      <c r="F35" s="28">
        <f>SUM(F11+F17+F23+F29+F33)</f>
        <v>39544027.371600002</v>
      </c>
    </row>
  </sheetData>
  <mergeCells count="9">
    <mergeCell ref="B33:E33"/>
    <mergeCell ref="B35:E35"/>
    <mergeCell ref="H7:K11"/>
    <mergeCell ref="B29:E29"/>
    <mergeCell ref="H13:K20"/>
    <mergeCell ref="B5:F5"/>
    <mergeCell ref="B11:E11"/>
    <mergeCell ref="B17:E17"/>
    <mergeCell ref="B23:E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 PRETENSIONES DEMANDA</vt:lpstr>
      <vt:lpstr>PML</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Natalia Esquivel Vega</cp:lastModifiedBy>
  <cp:revision/>
  <dcterms:created xsi:type="dcterms:W3CDTF">2023-05-23T18:21:31Z</dcterms:created>
  <dcterms:modified xsi:type="dcterms:W3CDTF">2023-11-15T19:30:58Z</dcterms:modified>
  <cp:category/>
  <cp:contentStatus/>
</cp:coreProperties>
</file>