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nesquivel_gha_com_co/Documents/GHA ABOGADOS/2. CONTESTACION DEMANDAS/SOLIDARIDAD/MATIAS RODRIGUEZ VALENCIA/"/>
    </mc:Choice>
  </mc:AlternateContent>
  <xr:revisionPtr revIDLastSave="139" documentId="13_ncr:1_{A31CDB3A-060D-4DC1-A0E3-83E7D100D3C2}" xr6:coauthVersionLast="47" xr6:coauthVersionMax="47" xr10:uidLastSave="{DBCAE453-EA6C-4FF9-83C3-B0C961328803}"/>
  <bookViews>
    <workbookView xWindow="20370" yWindow="-120" windowWidth="20730" windowHeight="11040" activeTab="1" xr2:uid="{69AAD36E-CAFA-43EB-832F-400E58192986}"/>
  </bookViews>
  <sheets>
    <sheet name="LIQ. PRETENSIONES DEMANDA" sheetId="10" r:id="rId1"/>
    <sheet name="PML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0" l="1"/>
  <c r="E40" i="10"/>
  <c r="E30" i="10"/>
  <c r="F30" i="10" s="1"/>
  <c r="D39" i="10" s="1"/>
  <c r="E31" i="10"/>
  <c r="F31" i="10" s="1"/>
  <c r="D40" i="10" s="1"/>
  <c r="E21" i="10"/>
  <c r="F21" i="10" s="1"/>
  <c r="E22" i="10"/>
  <c r="F22" i="10" s="1"/>
  <c r="E12" i="10"/>
  <c r="F12" i="10" s="1"/>
  <c r="E13" i="10"/>
  <c r="F13" i="10" s="1"/>
  <c r="E11" i="10"/>
  <c r="F11" i="10" s="1"/>
  <c r="E32" i="11"/>
  <c r="F32" i="11" s="1"/>
  <c r="F33" i="11" s="1"/>
  <c r="E28" i="11"/>
  <c r="E27" i="11"/>
  <c r="E26" i="11"/>
  <c r="E22" i="11"/>
  <c r="F22" i="11" s="1"/>
  <c r="D28" i="11" s="1"/>
  <c r="E21" i="11"/>
  <c r="F21" i="11" s="1"/>
  <c r="D27" i="11" s="1"/>
  <c r="E20" i="11"/>
  <c r="F20" i="11" s="1"/>
  <c r="D26" i="11" s="1"/>
  <c r="E16" i="11"/>
  <c r="F16" i="11" s="1"/>
  <c r="E15" i="11"/>
  <c r="F15" i="11" s="1"/>
  <c r="E14" i="11"/>
  <c r="F14" i="11" s="1"/>
  <c r="E10" i="11"/>
  <c r="F10" i="11" s="1"/>
  <c r="E9" i="11"/>
  <c r="F9" i="11" s="1"/>
  <c r="E8" i="11"/>
  <c r="F8" i="11" s="1"/>
  <c r="F11" i="11" s="1"/>
  <c r="E53" i="10"/>
  <c r="E52" i="10"/>
  <c r="H50" i="10"/>
  <c r="I50" i="10" s="1"/>
  <c r="E54" i="10" s="1"/>
  <c r="F54" i="10" s="1"/>
  <c r="F55" i="10" s="1"/>
  <c r="F17" i="11" l="1"/>
  <c r="F40" i="10"/>
  <c r="F39" i="10"/>
  <c r="F23" i="11"/>
  <c r="F27" i="11"/>
  <c r="F28" i="11"/>
  <c r="F26" i="11"/>
  <c r="B59" i="10"/>
  <c r="F59" i="10" s="1"/>
  <c r="E37" i="10"/>
  <c r="E36" i="10"/>
  <c r="E35" i="10"/>
  <c r="E28" i="10"/>
  <c r="F28" i="10" s="1"/>
  <c r="D37" i="10" s="1"/>
  <c r="E27" i="10"/>
  <c r="F27" i="10" s="1"/>
  <c r="D36" i="10" s="1"/>
  <c r="E26" i="10"/>
  <c r="F26" i="10" s="1"/>
  <c r="D35" i="10" s="1"/>
  <c r="E10" i="10"/>
  <c r="F10" i="10" s="1"/>
  <c r="E9" i="10"/>
  <c r="F9" i="10" s="1"/>
  <c r="E8" i="10"/>
  <c r="F8" i="10" s="1"/>
  <c r="F14" i="10" s="1"/>
  <c r="F29" i="11" l="1"/>
  <c r="F35" i="11" s="1"/>
  <c r="F37" i="10"/>
  <c r="F36" i="10"/>
  <c r="F35" i="10"/>
  <c r="E19" i="10" l="1"/>
  <c r="F19" i="10" s="1"/>
  <c r="E18" i="10"/>
  <c r="F18" i="10" s="1"/>
  <c r="E17" i="10"/>
  <c r="F17" i="10" s="1"/>
  <c r="E20" i="10" l="1"/>
  <c r="F20" i="10" s="1"/>
  <c r="F23" i="10" s="1"/>
  <c r="E44" i="10"/>
  <c r="E38" i="10"/>
  <c r="E29" i="10"/>
  <c r="F29" i="10" s="1"/>
  <c r="F32" i="10" l="1"/>
  <c r="D38" i="10"/>
  <c r="F38" i="10"/>
  <c r="F41" i="10" s="1"/>
  <c r="F44" i="10"/>
  <c r="F45" i="10" s="1"/>
  <c r="F61" i="10" l="1"/>
</calcChain>
</file>

<file path=xl/sharedStrings.xml><?xml version="1.0" encoding="utf-8"?>
<sst xmlns="http://schemas.openxmlformats.org/spreadsheetml/2006/main" count="84" uniqueCount="33">
  <si>
    <t>LIQUIDACIÓN DE LAS PRETENSIONES DE LA DEMANDA</t>
  </si>
  <si>
    <t>DESDE</t>
  </si>
  <si>
    <t>HASTA</t>
  </si>
  <si>
    <t>SALARIO</t>
  </si>
  <si>
    <t>DÍAS</t>
  </si>
  <si>
    <t>SALARIOS</t>
  </si>
  <si>
    <t>TOTAL ADEUDADO</t>
  </si>
  <si>
    <t>PRIMAS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</si>
  <si>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</si>
  <si>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</si>
  <si>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</si>
  <si>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</si>
  <si>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</si>
  <si>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</si>
  <si>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</si>
  <si>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</si>
  <si>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</si>
  <si>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</si>
  <si>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</si>
  <si>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</si>
  <si>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</si>
  <si>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</si>
  <si>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</si>
  <si>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</si>
  <si>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</si>
  <si>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26 DE LA LEY 361 DE 1997. (180 DÍAS DE SALARIO)</t>
  </si>
  <si>
    <t>Salario diario</t>
  </si>
  <si>
    <t>x 180 DÍAS</t>
  </si>
  <si>
    <t>Total</t>
  </si>
  <si>
    <t>Total Liquidación:</t>
  </si>
  <si>
    <t>LIQUIDACIÓN PARA FACTURACIÓN (CONFORME A LOS AMPAROS DE LA PÓLIZA)</t>
  </si>
  <si>
    <t>*Nota: Conforme al clausulado de la póliza, se tiene que esta ampara el pago de salarios, prestaciones sociales e indemnizacíon del art 64 C.S.T. Sin embargo, por instrucción de la cía se incluyen las vacaciones para el calculo del PML</t>
  </si>
  <si>
    <t xml:space="preserve">*Nota: La vigencia de la póliza inicia el 01/01/2019 y fenece el 31/12/2019. En este sentido y teniendo en cuenta que el actor solicita el pago de las acreencias desde el día siguiente a la terminación hasta el reintegro, la liquidación del PML se efectua desde el 08/02/2020 (Día siguiente a la terminación del contrato) hasta el 31/12/2022 (Fecha fin del término de prescripción trienal respecto de acreencias laborales conforme a lo dispuesto en el artículo 488 del C.S.T). Se precisa que se liquida teniendo en cuenta la vigencia completa del amparo por salarios, prestaciones sociales e indemnización del artículo 64 del C.S.T. (la liquidacion del artículo 64 del C.S.T., no se realiza por cuanto es una pretensión excluyente)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</si>
</sst>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??_-;_-@_-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0.0"/>
    <numFmt numFmtId="177" formatCode="_([$$-409]* #,##0_);_([$$-409]* \(#,##0\);_([$$-409]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167" fontId="3" fillId="2" borderId="1" xfId="1" applyNumberFormat="1" applyFont="1" applyFill="1" applyBorder="1" applyAlignment="1">
      <alignment horizontal="center"/>
    </xf>
    <xf numFmtId="167" fontId="4" fillId="0" borderId="1" xfId="1" applyNumberFormat="1" applyFont="1" applyBorder="1"/>
    <xf numFmtId="167" fontId="4" fillId="0" borderId="1" xfId="1" applyNumberFormat="1" applyFont="1" applyFill="1" applyBorder="1"/>
    <xf numFmtId="167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65" fontId="9" fillId="4" borderId="1" xfId="0" applyNumberFormat="1" applyFont="1" applyFill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72" fontId="6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8" fontId="3" fillId="3" borderId="1" xfId="0" applyNumberFormat="1" applyFont="1" applyFill="1" applyBorder="1"/>
    <xf numFmtId="167" fontId="3" fillId="2" borderId="1" xfId="7" applyNumberFormat="1" applyFont="1" applyFill="1" applyBorder="1" applyAlignment="1">
      <alignment horizontal="center"/>
    </xf>
    <xf numFmtId="167" fontId="3" fillId="3" borderId="1" xfId="7" applyNumberFormat="1" applyFont="1" applyFill="1" applyBorder="1"/>
    <xf numFmtId="14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8" fontId="4" fillId="0" borderId="2" xfId="2" applyNumberFormat="1" applyFont="1" applyBorder="1" applyAlignment="1">
      <alignment horizontal="center"/>
    </xf>
    <xf numFmtId="168" fontId="4" fillId="0" borderId="9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top" wrapText="1"/>
    </xf>
    <xf numFmtId="167" fontId="0" fillId="0" borderId="0" xfId="0" applyNumberFormat="1"/>
    <xf numFmtId="177" fontId="0" fillId="0" borderId="0" xfId="0" applyNumberFormat="1"/>
  </cellXfs>
  <cellStyles count="32">
    <cellStyle name="Millares" xfId="1" builtinId="3"/>
    <cellStyle name="Millares [0] 2" xfId="4" xr:uid="{3555D9B7-EA0C-4C21-A235-0CD6BE1EC253}"/>
    <cellStyle name="Millares 2" xfId="12" xr:uid="{4D4B5934-55E5-46A8-BEBB-28D3461D3206}"/>
    <cellStyle name="Millares 2 2" xfId="24" xr:uid="{E30B7E2E-3D7F-475D-B5CC-E9100C1740AE}"/>
    <cellStyle name="Millares 3" xfId="14" xr:uid="{8C88180E-8886-4249-B8BC-DC0D68BE574F}"/>
    <cellStyle name="Millares 3 2" xfId="26" xr:uid="{3DBC7BE8-6815-48C9-8786-2FB29160CF17}"/>
    <cellStyle name="Millares 4" xfId="7" xr:uid="{0BDCEB6B-0809-461C-B8C3-FECE5DCAFF8E}"/>
    <cellStyle name="Millares 4 2" xfId="22" xr:uid="{85B660FB-1EC1-4B98-801F-840BEF42AB3C}"/>
    <cellStyle name="Millares 4 3" xfId="10" xr:uid="{2248CCA8-C773-46B4-80F9-A6C08F90C562}"/>
    <cellStyle name="Millares 5" xfId="16" xr:uid="{54959DE4-744A-413F-B742-3C38B049C7BF}"/>
    <cellStyle name="Millares 5 2" xfId="28" xr:uid="{891C3A49-91FF-4EA5-B3B5-80989951BE49}"/>
    <cellStyle name="Millares 6" xfId="19" xr:uid="{3C42B753-70F2-4439-8FAC-E4E8F66DD1DB}"/>
    <cellStyle name="Millares 6 2" xfId="31" xr:uid="{8A9EFA8E-193E-4B3B-AC36-507F52664DBA}"/>
    <cellStyle name="Millares 7" xfId="20" xr:uid="{CD015248-5986-4CA4-85B3-ECCCF4E61A08}"/>
    <cellStyle name="Millares 8" xfId="8" xr:uid="{BE0B442D-47B9-47B6-A895-BE445C7E6678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3" xr:uid="{92D96232-E142-4308-9AB3-B426DF8CC92C}"/>
    <cellStyle name="Moneda 3 2" xfId="25" xr:uid="{D9AB37B7-A7F6-4333-A442-4E73ACEF8F4F}"/>
    <cellStyle name="Moneda 4" xfId="15" xr:uid="{A06274C8-C664-4778-9182-60D71F680A60}"/>
    <cellStyle name="Moneda 4 2" xfId="27" xr:uid="{8C266B54-FE3B-4AFC-A754-5B9B0ECEFD30}"/>
    <cellStyle name="Moneda 5" xfId="11" xr:uid="{7AE96CDA-2077-4F82-A331-FB070A637868}"/>
    <cellStyle name="Moneda 5 2" xfId="23" xr:uid="{ED99CDF7-BE03-4B32-BE1C-16A49943BCB4}"/>
    <cellStyle name="Moneda 6" xfId="17" xr:uid="{F62319D3-7C71-4BCC-ABC4-248954664817}"/>
    <cellStyle name="Moneda 6 2" xfId="29" xr:uid="{888CE433-6C7D-4E74-97DB-622156210C18}"/>
    <cellStyle name="Moneda 7" xfId="18" xr:uid="{59D1B5BE-EAD5-4799-A790-64884ECA0BB6}"/>
    <cellStyle name="Moneda 7 2" xfId="30" xr:uid="{9F92E5E1-B6D8-41E1-8FE7-0F4A1DC54EB7}"/>
    <cellStyle name="Moneda 8" xfId="21" xr:uid="{33C2D5AD-708F-41F0-B218-5537DEB840C9}"/>
    <cellStyle name="Moneda 9" xfId="9" xr:uid="{F3422826-D29F-4653-B5EF-50F32350CE94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1F2A-C7FD-DF26-E5CF-E26BD90D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4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5370E-E5B7-4543-B955-A66C3626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9CC-80A3-46FE-AADB-EF5FED6064B5}">
  <dimension ref="B5:J61"/>
  <sheetViews>
    <sheetView topLeftCell="A41" zoomScale="115" zoomScaleNormal="115" workbookViewId="0">
      <selection activeCell="J60" sqref="J60"/>
    </sheetView>
  </sheetViews>
  <sheetFormatPr defaultColWidth="11.42578125" defaultRowHeight="1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8" max="8" width="12.7109375" bestFit="1" customWidth="1"/>
    <col min="10" max="10" width="14.28515625" bestFit="1" customWidth="1"/>
    <col min="11" max="11" width="15.28515625" bestFit="1" customWidth="1"/>
    <col min="12" max="12" width="22.7109375" bestFit="1" customWidth="1"/>
  </cols>
  <sheetData>
    <row r="5" spans="2:7" ht="15" customHeight="1">
      <c r="B5" s="44" t="s">
        <v>0</v>
      </c>
      <c r="C5" s="44"/>
      <c r="D5" s="44"/>
      <c r="E5" s="44"/>
      <c r="F5" s="44"/>
    </row>
    <row r="6" spans="2:7">
      <c r="B6"/>
      <c r="C6"/>
      <c r="D6"/>
      <c r="E6"/>
      <c r="F6"/>
    </row>
    <row r="7" spans="2:7">
      <c r="B7" s="1" t="s">
        <v>1</v>
      </c>
      <c r="C7" s="1" t="s">
        <v>2</v>
      </c>
      <c r="D7" s="1" t="s">
        <v>3</v>
      </c>
      <c r="E7" s="1" t="s">
        <v>4</v>
      </c>
      <c r="F7" s="24" t="s">
        <v>5</v>
      </c>
    </row>
    <row r="8" spans="2:7">
      <c r="B8" s="26">
        <v>43869</v>
      </c>
      <c r="C8" s="26">
        <v>44196</v>
      </c>
      <c r="D8" s="3">
        <v>877803</v>
      </c>
      <c r="E8" s="3">
        <f t="shared" ref="E8" si="0">DAYS360(B8,C8)+1</f>
        <v>324</v>
      </c>
      <c r="F8" s="4">
        <f t="shared" ref="F8:F9" si="1">(D8/30)*E8</f>
        <v>9480272.4000000004</v>
      </c>
    </row>
    <row r="9" spans="2:7">
      <c r="B9" s="26">
        <v>44197</v>
      </c>
      <c r="C9" s="26">
        <v>44561</v>
      </c>
      <c r="D9" s="3">
        <v>908526</v>
      </c>
      <c r="E9" s="3">
        <f>DAYS360(B9,C9)</f>
        <v>360</v>
      </c>
      <c r="F9" s="4">
        <f t="shared" si="1"/>
        <v>10902312</v>
      </c>
    </row>
    <row r="10" spans="2:7">
      <c r="B10" s="26">
        <v>44562</v>
      </c>
      <c r="C10" s="26">
        <v>44926</v>
      </c>
      <c r="D10" s="3">
        <v>1000000</v>
      </c>
      <c r="E10" s="3">
        <f>DAYS360(B10,C10)</f>
        <v>360</v>
      </c>
      <c r="F10" s="4">
        <f>(D10/30)*E10</f>
        <v>12000000</v>
      </c>
    </row>
    <row r="11" spans="2:7">
      <c r="B11" s="26">
        <v>44927</v>
      </c>
      <c r="C11" s="26">
        <v>45291</v>
      </c>
      <c r="D11" s="3">
        <v>1160000</v>
      </c>
      <c r="E11" s="3">
        <f>DAYS360(B11,C11)+1</f>
        <v>361</v>
      </c>
      <c r="F11" s="4">
        <f>(D11/30)*E11</f>
        <v>13958666.666666666</v>
      </c>
    </row>
    <row r="12" spans="2:7">
      <c r="B12" s="26">
        <v>45292</v>
      </c>
      <c r="C12" s="26">
        <v>45657</v>
      </c>
      <c r="D12" s="3">
        <v>1300000</v>
      </c>
      <c r="E12" s="3">
        <f t="shared" ref="E12:E13" si="2">DAYS360(B12,C12)+1</f>
        <v>361</v>
      </c>
      <c r="F12" s="4">
        <f>(D12/30)*E12</f>
        <v>15643333.333333334</v>
      </c>
    </row>
    <row r="13" spans="2:7">
      <c r="B13" s="26">
        <v>45658</v>
      </c>
      <c r="C13" s="26">
        <v>45820</v>
      </c>
      <c r="D13" s="3">
        <v>1423500</v>
      </c>
      <c r="E13" s="3">
        <f t="shared" si="2"/>
        <v>162</v>
      </c>
      <c r="F13" s="4">
        <f>(D13/30)*E13</f>
        <v>7686900</v>
      </c>
    </row>
    <row r="14" spans="2:7">
      <c r="B14" s="29" t="s">
        <v>6</v>
      </c>
      <c r="C14" s="29"/>
      <c r="D14" s="29"/>
      <c r="E14" s="29"/>
      <c r="F14" s="25">
        <f>SUM(F8:F13)</f>
        <v>69671484.400000006</v>
      </c>
    </row>
    <row r="15" spans="2:7">
      <c r="B15"/>
      <c r="C15"/>
      <c r="D15"/>
      <c r="E15"/>
      <c r="F15"/>
      <c r="G15"/>
    </row>
    <row r="16" spans="2:7">
      <c r="B16" s="1" t="s">
        <v>1</v>
      </c>
      <c r="C16" s="1" t="s">
        <v>2</v>
      </c>
      <c r="D16" s="1" t="s">
        <v>3</v>
      </c>
      <c r="E16" s="1" t="s">
        <v>4</v>
      </c>
      <c r="F16" s="2" t="s">
        <v>7</v>
      </c>
    </row>
    <row r="17" spans="2:10">
      <c r="B17" s="26">
        <v>43869</v>
      </c>
      <c r="C17" s="26">
        <v>44196</v>
      </c>
      <c r="D17" s="3">
        <v>980657</v>
      </c>
      <c r="E17" s="3">
        <f t="shared" ref="E17" si="3">DAYS360(B17,C17)+1</f>
        <v>324</v>
      </c>
      <c r="F17" s="4">
        <f t="shared" ref="F17:F19" si="4">(D17*E17)/360</f>
        <v>882591.3</v>
      </c>
      <c r="I17" s="51"/>
      <c r="J17" s="52"/>
    </row>
    <row r="18" spans="2:10">
      <c r="B18" s="26">
        <v>44197</v>
      </c>
      <c r="C18" s="26">
        <v>44561</v>
      </c>
      <c r="D18" s="3">
        <v>1014980</v>
      </c>
      <c r="E18" s="3">
        <f>DAYS360(B18,C18)</f>
        <v>360</v>
      </c>
      <c r="F18" s="4">
        <f t="shared" si="4"/>
        <v>1014980</v>
      </c>
      <c r="I18" s="51"/>
      <c r="J18" s="52"/>
    </row>
    <row r="19" spans="2:10">
      <c r="B19" s="26">
        <v>44562</v>
      </c>
      <c r="C19" s="26">
        <v>44926</v>
      </c>
      <c r="D19" s="3">
        <v>1117172</v>
      </c>
      <c r="E19" s="3">
        <f>DAYS360(B19,C19)</f>
        <v>360</v>
      </c>
      <c r="F19" s="4">
        <f t="shared" si="4"/>
        <v>1117172</v>
      </c>
      <c r="I19" s="51"/>
      <c r="J19" s="52"/>
    </row>
    <row r="20" spans="2:10">
      <c r="B20" s="26">
        <v>44927</v>
      </c>
      <c r="C20" s="26">
        <v>45291</v>
      </c>
      <c r="D20" s="3">
        <v>1300606</v>
      </c>
      <c r="E20" s="3">
        <f>DAYS360(B20,C20)+1</f>
        <v>361</v>
      </c>
      <c r="F20" s="4">
        <f>(D20*E20)/360</f>
        <v>1304218.7944444444</v>
      </c>
      <c r="I20" s="51"/>
      <c r="J20" s="52"/>
    </row>
    <row r="21" spans="2:10">
      <c r="B21" s="26">
        <v>45292</v>
      </c>
      <c r="C21" s="26">
        <v>45657</v>
      </c>
      <c r="D21" s="3">
        <v>1462000</v>
      </c>
      <c r="E21" s="3">
        <f t="shared" ref="E21:E22" si="5">DAYS360(B21,C21)+1</f>
        <v>361</v>
      </c>
      <c r="F21" s="4">
        <f t="shared" ref="F21:F22" si="6">(D21*E21)/360</f>
        <v>1466061.111111111</v>
      </c>
      <c r="I21" s="51"/>
      <c r="J21" s="52"/>
    </row>
    <row r="22" spans="2:10">
      <c r="B22" s="26">
        <v>45658</v>
      </c>
      <c r="C22" s="26">
        <v>45820</v>
      </c>
      <c r="D22" s="3">
        <v>1623500</v>
      </c>
      <c r="E22" s="3">
        <f t="shared" si="5"/>
        <v>162</v>
      </c>
      <c r="F22" s="4">
        <f t="shared" si="6"/>
        <v>730575</v>
      </c>
      <c r="I22" s="51"/>
      <c r="J22" s="52"/>
    </row>
    <row r="23" spans="2:10">
      <c r="B23" s="29" t="s">
        <v>6</v>
      </c>
      <c r="C23" s="29"/>
      <c r="D23" s="29"/>
      <c r="E23" s="29"/>
      <c r="F23" s="5">
        <f>SUM(F17:F22)</f>
        <v>6515598.2055555554</v>
      </c>
    </row>
    <row r="25" spans="2:10">
      <c r="B25" s="1" t="s">
        <v>1</v>
      </c>
      <c r="C25" s="1" t="s">
        <v>2</v>
      </c>
      <c r="D25" s="1" t="s">
        <v>3</v>
      </c>
      <c r="E25" s="1" t="s">
        <v>4</v>
      </c>
      <c r="F25" s="2" t="s">
        <v>8</v>
      </c>
    </row>
    <row r="26" spans="2:10">
      <c r="B26" s="26">
        <v>43869</v>
      </c>
      <c r="C26" s="26">
        <v>44196</v>
      </c>
      <c r="D26" s="3">
        <v>980657</v>
      </c>
      <c r="E26" s="3">
        <f t="shared" ref="E26" si="7">DAYS360(B26,C26)+1</f>
        <v>324</v>
      </c>
      <c r="F26" s="4">
        <f t="shared" ref="F26:F28" si="8">(D26*E26)/360</f>
        <v>882591.3</v>
      </c>
    </row>
    <row r="27" spans="2:10">
      <c r="B27" s="26">
        <v>44197</v>
      </c>
      <c r="C27" s="26">
        <v>44561</v>
      </c>
      <c r="D27" s="3">
        <v>1014980</v>
      </c>
      <c r="E27" s="3">
        <f t="shared" ref="E27:E28" si="9">DAYS360(B27,C27)</f>
        <v>360</v>
      </c>
      <c r="F27" s="4">
        <f t="shared" si="8"/>
        <v>1014980</v>
      </c>
    </row>
    <row r="28" spans="2:10">
      <c r="B28" s="26">
        <v>44562</v>
      </c>
      <c r="C28" s="26">
        <v>44926</v>
      </c>
      <c r="D28" s="3">
        <v>1117172</v>
      </c>
      <c r="E28" s="3">
        <f t="shared" si="9"/>
        <v>360</v>
      </c>
      <c r="F28" s="4">
        <f t="shared" si="8"/>
        <v>1117172</v>
      </c>
    </row>
    <row r="29" spans="2:10">
      <c r="B29" s="26">
        <v>44927</v>
      </c>
      <c r="C29" s="26">
        <v>45291</v>
      </c>
      <c r="D29" s="3">
        <v>1300606</v>
      </c>
      <c r="E29" s="3">
        <f>DAYS360(B29,C29)+1</f>
        <v>361</v>
      </c>
      <c r="F29" s="4">
        <f>(D29*E29)/360</f>
        <v>1304218.7944444444</v>
      </c>
    </row>
    <row r="30" spans="2:10">
      <c r="B30" s="26">
        <v>45292</v>
      </c>
      <c r="C30" s="26">
        <v>45657</v>
      </c>
      <c r="D30" s="3">
        <v>1462000</v>
      </c>
      <c r="E30" s="3">
        <f t="shared" ref="E30:E31" si="10">DAYS360(B30,C30)+1</f>
        <v>361</v>
      </c>
      <c r="F30" s="4">
        <f t="shared" ref="F30:F31" si="11">(D30*E30)/360</f>
        <v>1466061.111111111</v>
      </c>
    </row>
    <row r="31" spans="2:10">
      <c r="B31" s="26">
        <v>45658</v>
      </c>
      <c r="C31" s="26">
        <v>45820</v>
      </c>
      <c r="D31" s="3">
        <v>1623500</v>
      </c>
      <c r="E31" s="3">
        <f t="shared" si="10"/>
        <v>162</v>
      </c>
      <c r="F31" s="4">
        <f t="shared" si="11"/>
        <v>730575</v>
      </c>
    </row>
    <row r="32" spans="2:10">
      <c r="B32" s="29" t="s">
        <v>6</v>
      </c>
      <c r="C32" s="29"/>
      <c r="D32" s="29"/>
      <c r="E32" s="29"/>
      <c r="F32" s="5">
        <f>SUM(F26:F31)</f>
        <v>6515598.2055555554</v>
      </c>
    </row>
    <row r="34" spans="2:9">
      <c r="B34" s="1" t="s">
        <v>1</v>
      </c>
      <c r="C34" s="1" t="s">
        <v>2</v>
      </c>
      <c r="D34" s="1" t="s">
        <v>8</v>
      </c>
      <c r="E34" s="1" t="s">
        <v>4</v>
      </c>
      <c r="F34" s="2" t="s">
        <v>9</v>
      </c>
    </row>
    <row r="35" spans="2:9">
      <c r="B35" s="26">
        <v>43869</v>
      </c>
      <c r="C35" s="26">
        <v>44196</v>
      </c>
      <c r="D35" s="27">
        <f>F26</f>
        <v>882591.3</v>
      </c>
      <c r="E35" s="3">
        <f t="shared" ref="E35" si="12">DAYS360(B35,C35)+1</f>
        <v>324</v>
      </c>
      <c r="F35" s="3">
        <f t="shared" ref="F35:F37" si="13">(D35*E35*0.12)/360</f>
        <v>95319.86039999999</v>
      </c>
    </row>
    <row r="36" spans="2:9">
      <c r="B36" s="26">
        <v>44197</v>
      </c>
      <c r="C36" s="26">
        <v>44561</v>
      </c>
      <c r="D36" s="27">
        <f>F27</f>
        <v>1014980</v>
      </c>
      <c r="E36" s="3">
        <f t="shared" ref="E36:E37" si="14">DAYS360(B36,C36)</f>
        <v>360</v>
      </c>
      <c r="F36" s="3">
        <f t="shared" si="13"/>
        <v>121797.6</v>
      </c>
    </row>
    <row r="37" spans="2:9">
      <c r="B37" s="26">
        <v>44562</v>
      </c>
      <c r="C37" s="26">
        <v>44926</v>
      </c>
      <c r="D37" s="27">
        <f>F28</f>
        <v>1117172</v>
      </c>
      <c r="E37" s="3">
        <f t="shared" si="14"/>
        <v>360</v>
      </c>
      <c r="F37" s="3">
        <f t="shared" si="13"/>
        <v>134060.63999999998</v>
      </c>
    </row>
    <row r="38" spans="2:9">
      <c r="B38" s="26">
        <v>44927</v>
      </c>
      <c r="C38" s="26">
        <v>45291</v>
      </c>
      <c r="D38" s="27">
        <f>F29</f>
        <v>1304218.7944444444</v>
      </c>
      <c r="E38" s="3">
        <f>DAYS360(B38,C38)+1</f>
        <v>361</v>
      </c>
      <c r="F38" s="3">
        <f>(D38*E38*0.12)/360</f>
        <v>156940.99493148146</v>
      </c>
    </row>
    <row r="39" spans="2:9">
      <c r="B39" s="26">
        <v>45292</v>
      </c>
      <c r="C39" s="26">
        <v>45657</v>
      </c>
      <c r="D39" s="27">
        <f>F30</f>
        <v>1466061.111111111</v>
      </c>
      <c r="E39" s="3">
        <f t="shared" ref="E39:E40" si="15">DAYS360(B39,C39)+1</f>
        <v>361</v>
      </c>
      <c r="F39" s="3">
        <f t="shared" ref="F39:F40" si="16">(D39*E39*0.12)/360</f>
        <v>176416.02037037033</v>
      </c>
    </row>
    <row r="40" spans="2:9">
      <c r="B40" s="26">
        <v>45658</v>
      </c>
      <c r="C40" s="26">
        <v>45820</v>
      </c>
      <c r="D40" s="27">
        <f>F31</f>
        <v>730575</v>
      </c>
      <c r="E40" s="3">
        <f t="shared" si="15"/>
        <v>162</v>
      </c>
      <c r="F40" s="3">
        <f t="shared" si="16"/>
        <v>39451.050000000003</v>
      </c>
    </row>
    <row r="41" spans="2:9">
      <c r="B41" s="29" t="s">
        <v>6</v>
      </c>
      <c r="C41" s="29"/>
      <c r="D41" s="29"/>
      <c r="E41" s="29"/>
      <c r="F41" s="5">
        <f>SUM(F35:F40)</f>
        <v>723986.16570185183</v>
      </c>
    </row>
    <row r="43" spans="2:9">
      <c r="B43" s="1" t="s">
        <v>1</v>
      </c>
      <c r="C43" s="1" t="s">
        <v>2</v>
      </c>
      <c r="D43" s="1" t="s">
        <v>3</v>
      </c>
      <c r="E43" s="1" t="s">
        <v>4</v>
      </c>
      <c r="F43" s="2" t="s">
        <v>10</v>
      </c>
    </row>
    <row r="44" spans="2:9">
      <c r="B44" s="26">
        <v>43869</v>
      </c>
      <c r="C44" s="26">
        <v>45820</v>
      </c>
      <c r="D44" s="3">
        <v>1423500</v>
      </c>
      <c r="E44" s="3">
        <f t="shared" ref="E44" si="17">DAYS360(B44,C44)+1</f>
        <v>1925</v>
      </c>
      <c r="F44" s="3">
        <f>(D44*E44)/720</f>
        <v>3805885.4166666665</v>
      </c>
    </row>
    <row r="45" spans="2:9">
      <c r="B45" s="29" t="s">
        <v>6</v>
      </c>
      <c r="C45" s="29"/>
      <c r="D45" s="29"/>
      <c r="E45" s="29"/>
      <c r="F45" s="5">
        <f>SUM(F44:F44)</f>
        <v>3805885.4166666665</v>
      </c>
    </row>
    <row r="47" spans="2:9">
      <c r="B47" s="46" t="s">
        <v>11</v>
      </c>
      <c r="C47" s="46"/>
      <c r="D47" s="46"/>
      <c r="E47" s="46"/>
      <c r="F47" s="46"/>
      <c r="G47" s="46"/>
      <c r="H47" s="46"/>
      <c r="I47" s="46"/>
    </row>
    <row r="48" spans="2:9">
      <c r="B48" s="47"/>
      <c r="C48" s="47"/>
      <c r="D48" s="47"/>
      <c r="E48" s="16" t="s">
        <v>12</v>
      </c>
      <c r="F48" s="16" t="s">
        <v>13</v>
      </c>
      <c r="G48" s="16" t="s">
        <v>14</v>
      </c>
      <c r="H48" s="48" t="s">
        <v>15</v>
      </c>
      <c r="I48" s="48"/>
    </row>
    <row r="49" spans="2:9">
      <c r="B49" s="39" t="s">
        <v>16</v>
      </c>
      <c r="C49" s="39"/>
      <c r="D49" s="39"/>
      <c r="E49" s="8">
        <v>2020</v>
      </c>
      <c r="F49" s="8">
        <v>2</v>
      </c>
      <c r="G49" s="17">
        <v>7</v>
      </c>
      <c r="H49" s="19" t="s">
        <v>17</v>
      </c>
      <c r="I49" s="20" t="s">
        <v>18</v>
      </c>
    </row>
    <row r="50" spans="2:9">
      <c r="B50" s="39" t="s">
        <v>19</v>
      </c>
      <c r="C50" s="39"/>
      <c r="D50" s="39"/>
      <c r="E50" s="13">
        <v>2016</v>
      </c>
      <c r="F50" s="13">
        <v>12</v>
      </c>
      <c r="G50" s="18">
        <v>18</v>
      </c>
      <c r="H50" s="21">
        <f>(E49-E50)*360+(F49-F50)*30+(G49-G50+1)</f>
        <v>1130</v>
      </c>
      <c r="I50" s="22">
        <f>H50/360</f>
        <v>3.1388888888888888</v>
      </c>
    </row>
    <row r="51" spans="2:9">
      <c r="B51" s="39" t="s">
        <v>20</v>
      </c>
      <c r="C51" s="39"/>
      <c r="D51" s="39"/>
      <c r="E51" s="40">
        <v>877803</v>
      </c>
      <c r="F51" s="40"/>
      <c r="G51" s="40"/>
      <c r="H51" s="40"/>
      <c r="I51" s="40"/>
    </row>
    <row r="52" spans="2:9">
      <c r="B52" s="39" t="s">
        <v>21</v>
      </c>
      <c r="C52" s="39"/>
      <c r="D52" s="39"/>
      <c r="E52" s="41">
        <f>E51/30</f>
        <v>29260.1</v>
      </c>
      <c r="F52" s="41"/>
      <c r="G52" s="41"/>
      <c r="H52" s="41"/>
      <c r="I52" s="41"/>
    </row>
    <row r="53" spans="2:9">
      <c r="B53" s="39" t="s">
        <v>22</v>
      </c>
      <c r="C53" s="39"/>
      <c r="D53" s="39"/>
      <c r="E53" s="41">
        <f>E51</f>
        <v>877803</v>
      </c>
      <c r="F53" s="41"/>
      <c r="G53" s="41"/>
      <c r="H53" s="41"/>
      <c r="I53" s="41"/>
    </row>
    <row r="54" spans="2:9">
      <c r="B54" s="39" t="s">
        <v>23</v>
      </c>
      <c r="C54" s="39"/>
      <c r="D54" s="39"/>
      <c r="E54" s="14">
        <f>I50-1</f>
        <v>2.1388888888888888</v>
      </c>
      <c r="F54" s="41">
        <f>E54*20*E52</f>
        <v>1251682.0555555555</v>
      </c>
      <c r="G54" s="41"/>
      <c r="H54" s="41"/>
      <c r="I54" s="41"/>
    </row>
    <row r="55" spans="2:9">
      <c r="B55" s="45" t="s">
        <v>24</v>
      </c>
      <c r="C55" s="45"/>
      <c r="D55" s="45"/>
      <c r="E55" s="9"/>
      <c r="F55" s="43">
        <f>E53+F54</f>
        <v>2129485.0555555555</v>
      </c>
      <c r="G55" s="43"/>
      <c r="H55" s="43"/>
      <c r="I55" s="43"/>
    </row>
    <row r="56" spans="2:9">
      <c r="B56" s="10"/>
      <c r="C56" s="10"/>
      <c r="D56" s="10"/>
      <c r="E56" s="11"/>
      <c r="F56" s="12"/>
    </row>
    <row r="57" spans="2:9">
      <c r="B57" s="30" t="s">
        <v>25</v>
      </c>
      <c r="C57" s="31"/>
      <c r="D57" s="31"/>
      <c r="E57" s="31"/>
      <c r="F57" s="32"/>
    </row>
    <row r="58" spans="2:9">
      <c r="B58" s="33" t="s">
        <v>26</v>
      </c>
      <c r="C58" s="34"/>
      <c r="D58" s="33" t="s">
        <v>27</v>
      </c>
      <c r="E58" s="34"/>
      <c r="F58" s="7" t="s">
        <v>28</v>
      </c>
    </row>
    <row r="59" spans="2:9">
      <c r="B59" s="35">
        <f>(877803/30)</f>
        <v>29260.1</v>
      </c>
      <c r="C59" s="36"/>
      <c r="D59" s="37">
        <v>180</v>
      </c>
      <c r="E59" s="38"/>
      <c r="F59" s="23">
        <f>B59*D59</f>
        <v>5266818</v>
      </c>
    </row>
    <row r="61" spans="2:9">
      <c r="B61" s="42" t="s">
        <v>29</v>
      </c>
      <c r="C61" s="42"/>
      <c r="D61" s="42"/>
      <c r="E61" s="42"/>
      <c r="F61" s="15">
        <f>SUM(F14+F23+F32+F41+F45+F55+F59)</f>
        <v>94628855.449035197</v>
      </c>
    </row>
  </sheetData>
  <mergeCells count="27">
    <mergeCell ref="B61:E61"/>
    <mergeCell ref="F54:I54"/>
    <mergeCell ref="F55:I55"/>
    <mergeCell ref="B5:F5"/>
    <mergeCell ref="B23:E23"/>
    <mergeCell ref="B55:D55"/>
    <mergeCell ref="B47:I47"/>
    <mergeCell ref="B52:D52"/>
    <mergeCell ref="B53:D53"/>
    <mergeCell ref="B54:D54"/>
    <mergeCell ref="B32:E32"/>
    <mergeCell ref="B41:E41"/>
    <mergeCell ref="B45:E45"/>
    <mergeCell ref="B48:D48"/>
    <mergeCell ref="B49:D49"/>
    <mergeCell ref="H48:I48"/>
    <mergeCell ref="B14:E14"/>
    <mergeCell ref="B57:F57"/>
    <mergeCell ref="B58:C58"/>
    <mergeCell ref="D58:E58"/>
    <mergeCell ref="B59:C59"/>
    <mergeCell ref="D59:E59"/>
    <mergeCell ref="B50:D50"/>
    <mergeCell ref="B51:D51"/>
    <mergeCell ref="E51:I51"/>
    <mergeCell ref="E52:I52"/>
    <mergeCell ref="E53:I5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FD3-8855-44BC-B455-39A85235DB09}">
  <dimension ref="A5:P35"/>
  <sheetViews>
    <sheetView tabSelected="1" topLeftCell="A11" zoomScale="115" zoomScaleNormal="115" workbookViewId="0">
      <selection activeCell="H13" sqref="H13:K21"/>
    </sheetView>
  </sheetViews>
  <sheetFormatPr defaultColWidth="11.42578125" defaultRowHeight="1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10" max="10" width="13.140625" bestFit="1" customWidth="1"/>
    <col min="11" max="11" width="15.28515625" bestFit="1" customWidth="1"/>
    <col min="12" max="12" width="22.7109375" bestFit="1" customWidth="1"/>
  </cols>
  <sheetData>
    <row r="5" spans="1:16">
      <c r="B5" s="44" t="s">
        <v>30</v>
      </c>
      <c r="C5" s="44"/>
      <c r="D5" s="44"/>
      <c r="E5" s="44"/>
      <c r="F5" s="44"/>
    </row>
    <row r="7" spans="1:16" ht="15" customHeight="1">
      <c r="B7" s="1" t="s">
        <v>1</v>
      </c>
      <c r="C7" s="1" t="s">
        <v>2</v>
      </c>
      <c r="D7" s="1" t="s">
        <v>3</v>
      </c>
      <c r="E7" s="1" t="s">
        <v>4</v>
      </c>
      <c r="F7" s="24" t="s">
        <v>5</v>
      </c>
      <c r="H7" s="49" t="s">
        <v>31</v>
      </c>
      <c r="I7" s="49"/>
      <c r="J7" s="49"/>
      <c r="K7" s="49"/>
    </row>
    <row r="8" spans="1:16">
      <c r="B8" s="26">
        <v>43869</v>
      </c>
      <c r="C8" s="26">
        <v>44196</v>
      </c>
      <c r="D8" s="3">
        <v>877803</v>
      </c>
      <c r="E8" s="3">
        <f t="shared" ref="E8" si="0">DAYS360(B8,C8)+1</f>
        <v>324</v>
      </c>
      <c r="F8" s="4">
        <f t="shared" ref="F8:F9" si="1">(D8/30)*E8</f>
        <v>9480272.4000000004</v>
      </c>
      <c r="H8" s="49"/>
      <c r="I8" s="49"/>
      <c r="J8" s="49"/>
      <c r="K8" s="49"/>
    </row>
    <row r="9" spans="1:16" s="6" customFormat="1" ht="15" customHeight="1">
      <c r="A9"/>
      <c r="B9" s="26">
        <v>44197</v>
      </c>
      <c r="C9" s="26">
        <v>44561</v>
      </c>
      <c r="D9" s="3">
        <v>908526</v>
      </c>
      <c r="E9" s="3">
        <f>DAYS360(B9,C9)</f>
        <v>360</v>
      </c>
      <c r="F9" s="4">
        <f t="shared" si="1"/>
        <v>10902312</v>
      </c>
      <c r="H9" s="49"/>
      <c r="I9" s="49"/>
      <c r="J9" s="49"/>
      <c r="K9" s="49"/>
      <c r="L9"/>
      <c r="M9"/>
      <c r="N9"/>
      <c r="O9"/>
      <c r="P9"/>
    </row>
    <row r="10" spans="1:16">
      <c r="B10" s="26">
        <v>44562</v>
      </c>
      <c r="C10" s="26">
        <v>44926</v>
      </c>
      <c r="D10" s="3">
        <v>1000000</v>
      </c>
      <c r="E10" s="3">
        <f>DAYS360(B10,C10)</f>
        <v>360</v>
      </c>
      <c r="F10" s="4">
        <f>(D10/30)*E10</f>
        <v>12000000</v>
      </c>
      <c r="H10" s="49"/>
      <c r="I10" s="49"/>
      <c r="J10" s="49"/>
      <c r="K10" s="49"/>
    </row>
    <row r="11" spans="1:16" s="6" customFormat="1">
      <c r="A11"/>
      <c r="B11" s="29" t="s">
        <v>6</v>
      </c>
      <c r="C11" s="29"/>
      <c r="D11" s="29"/>
      <c r="E11" s="29"/>
      <c r="F11" s="25">
        <f>SUM(F8:F10)</f>
        <v>32382584.399999999</v>
      </c>
      <c r="H11" s="49"/>
      <c r="I11" s="49"/>
      <c r="J11" s="49"/>
      <c r="K11" s="49"/>
      <c r="L11"/>
      <c r="M11"/>
      <c r="N11"/>
      <c r="O11"/>
      <c r="P11"/>
    </row>
    <row r="12" spans="1:16" s="6" customFormat="1">
      <c r="A12"/>
      <c r="B12"/>
      <c r="C12"/>
      <c r="D12"/>
      <c r="E12"/>
      <c r="F12"/>
      <c r="G12"/>
      <c r="L12"/>
      <c r="M12"/>
      <c r="N12"/>
      <c r="O12"/>
      <c r="P12"/>
    </row>
    <row r="13" spans="1:16" s="6" customFormat="1" ht="15" customHeight="1">
      <c r="A13"/>
      <c r="B13" s="1" t="s">
        <v>1</v>
      </c>
      <c r="C13" s="1" t="s">
        <v>2</v>
      </c>
      <c r="D13" s="1" t="s">
        <v>3</v>
      </c>
      <c r="E13" s="1" t="s">
        <v>4</v>
      </c>
      <c r="F13" s="2" t="s">
        <v>7</v>
      </c>
      <c r="H13" s="50" t="s">
        <v>32</v>
      </c>
      <c r="I13" s="50"/>
      <c r="J13" s="50"/>
      <c r="K13" s="50"/>
      <c r="L13"/>
      <c r="M13"/>
      <c r="N13"/>
      <c r="O13"/>
      <c r="P13"/>
    </row>
    <row r="14" spans="1:16" s="6" customFormat="1">
      <c r="A14"/>
      <c r="B14" s="26">
        <v>43869</v>
      </c>
      <c r="C14" s="26">
        <v>44196</v>
      </c>
      <c r="D14" s="3">
        <v>980657</v>
      </c>
      <c r="E14" s="3">
        <f t="shared" ref="E14" si="2">DAYS360(B14,C14)+1</f>
        <v>324</v>
      </c>
      <c r="F14" s="4">
        <f t="shared" ref="F14:F16" si="3">(D14*E14)/360</f>
        <v>882591.3</v>
      </c>
      <c r="H14" s="50"/>
      <c r="I14" s="50"/>
      <c r="J14" s="50"/>
      <c r="K14" s="50"/>
      <c r="L14"/>
      <c r="M14"/>
      <c r="N14"/>
      <c r="O14"/>
      <c r="P14"/>
    </row>
    <row r="15" spans="1:16" ht="15" customHeight="1">
      <c r="B15" s="26">
        <v>44197</v>
      </c>
      <c r="C15" s="26">
        <v>44561</v>
      </c>
      <c r="D15" s="3">
        <v>1014980</v>
      </c>
      <c r="E15" s="3">
        <f>DAYS360(B15,C15)</f>
        <v>360</v>
      </c>
      <c r="F15" s="4">
        <f t="shared" si="3"/>
        <v>1014980</v>
      </c>
      <c r="H15" s="50"/>
      <c r="I15" s="50"/>
      <c r="J15" s="50"/>
      <c r="K15" s="50"/>
    </row>
    <row r="16" spans="1:16" s="6" customFormat="1">
      <c r="A16"/>
      <c r="B16" s="26">
        <v>44562</v>
      </c>
      <c r="C16" s="26">
        <v>44926</v>
      </c>
      <c r="D16" s="3">
        <v>1117172</v>
      </c>
      <c r="E16" s="3">
        <f>DAYS360(B16,C16)</f>
        <v>360</v>
      </c>
      <c r="F16" s="4">
        <f t="shared" si="3"/>
        <v>1117172</v>
      </c>
      <c r="H16" s="50"/>
      <c r="I16" s="50"/>
      <c r="J16" s="50"/>
      <c r="K16" s="50"/>
      <c r="L16"/>
      <c r="M16"/>
      <c r="N16"/>
      <c r="O16"/>
      <c r="P16"/>
    </row>
    <row r="17" spans="1:16" s="6" customFormat="1">
      <c r="A17"/>
      <c r="B17" s="29" t="s">
        <v>6</v>
      </c>
      <c r="C17" s="29"/>
      <c r="D17" s="29"/>
      <c r="E17" s="29"/>
      <c r="F17" s="5">
        <f>SUM(F14:F16)</f>
        <v>3014743.3</v>
      </c>
      <c r="H17" s="50"/>
      <c r="I17" s="50"/>
      <c r="J17" s="50"/>
      <c r="K17" s="50"/>
      <c r="L17"/>
      <c r="M17"/>
      <c r="N17"/>
      <c r="O17"/>
      <c r="P17"/>
    </row>
    <row r="18" spans="1:16" s="6" customFormat="1">
      <c r="A18"/>
      <c r="H18" s="50"/>
      <c r="I18" s="50"/>
      <c r="J18" s="50"/>
      <c r="K18" s="50"/>
      <c r="L18"/>
      <c r="M18"/>
      <c r="N18"/>
      <c r="O18"/>
      <c r="P18"/>
    </row>
    <row r="19" spans="1:16" s="6" customFormat="1">
      <c r="A19"/>
      <c r="B19" s="1" t="s">
        <v>1</v>
      </c>
      <c r="C19" s="1" t="s">
        <v>2</v>
      </c>
      <c r="D19" s="1" t="s">
        <v>3</v>
      </c>
      <c r="E19" s="1" t="s">
        <v>4</v>
      </c>
      <c r="F19" s="2" t="s">
        <v>8</v>
      </c>
      <c r="H19" s="50"/>
      <c r="I19" s="50"/>
      <c r="J19" s="50"/>
      <c r="K19" s="50"/>
      <c r="L19"/>
      <c r="M19"/>
      <c r="N19"/>
      <c r="O19"/>
      <c r="P19"/>
    </row>
    <row r="20" spans="1:16">
      <c r="B20" s="26">
        <v>43869</v>
      </c>
      <c r="C20" s="26">
        <v>44196</v>
      </c>
      <c r="D20" s="3">
        <v>980657</v>
      </c>
      <c r="E20" s="3">
        <f t="shared" ref="E20" si="4">DAYS360(B20,C20)+1</f>
        <v>324</v>
      </c>
      <c r="F20" s="4">
        <f t="shared" ref="F20:F22" si="5">(D20*E20)/360</f>
        <v>882591.3</v>
      </c>
      <c r="H20" s="50"/>
      <c r="I20" s="50"/>
      <c r="J20" s="50"/>
      <c r="K20" s="50"/>
    </row>
    <row r="21" spans="1:16">
      <c r="B21" s="26">
        <v>44197</v>
      </c>
      <c r="C21" s="26">
        <v>44561</v>
      </c>
      <c r="D21" s="3">
        <v>1014980</v>
      </c>
      <c r="E21" s="3">
        <f t="shared" ref="E21:E22" si="6">DAYS360(B21,C21)</f>
        <v>360</v>
      </c>
      <c r="F21" s="4">
        <f t="shared" si="5"/>
        <v>1014980</v>
      </c>
      <c r="H21" s="50"/>
      <c r="I21" s="50"/>
      <c r="J21" s="50"/>
      <c r="K21" s="50"/>
    </row>
    <row r="22" spans="1:16">
      <c r="B22" s="26">
        <v>44562</v>
      </c>
      <c r="C22" s="26">
        <v>44926</v>
      </c>
      <c r="D22" s="3">
        <v>1117172</v>
      </c>
      <c r="E22" s="3">
        <f t="shared" si="6"/>
        <v>360</v>
      </c>
      <c r="F22" s="4">
        <f t="shared" si="5"/>
        <v>1117172</v>
      </c>
    </row>
    <row r="23" spans="1:16">
      <c r="B23" s="29" t="s">
        <v>6</v>
      </c>
      <c r="C23" s="29"/>
      <c r="D23" s="29"/>
      <c r="E23" s="29"/>
      <c r="F23" s="5">
        <f>SUM(F20:F22)</f>
        <v>3014743.3</v>
      </c>
    </row>
    <row r="25" spans="1:16">
      <c r="B25" s="1" t="s">
        <v>1</v>
      </c>
      <c r="C25" s="1" t="s">
        <v>2</v>
      </c>
      <c r="D25" s="1" t="s">
        <v>8</v>
      </c>
      <c r="E25" s="1" t="s">
        <v>4</v>
      </c>
      <c r="F25" s="2" t="s">
        <v>9</v>
      </c>
    </row>
    <row r="26" spans="1:16">
      <c r="B26" s="26">
        <v>43869</v>
      </c>
      <c r="C26" s="26">
        <v>44196</v>
      </c>
      <c r="D26" s="27">
        <f>F20</f>
        <v>882591.3</v>
      </c>
      <c r="E26" s="3">
        <f t="shared" ref="E26" si="7">DAYS360(B26,C26)+1</f>
        <v>324</v>
      </c>
      <c r="F26" s="3">
        <f t="shared" ref="F26:F28" si="8">(D26*E26*0.12)/360</f>
        <v>95319.86039999999</v>
      </c>
    </row>
    <row r="27" spans="1:16">
      <c r="B27" s="26">
        <v>44197</v>
      </c>
      <c r="C27" s="26">
        <v>44561</v>
      </c>
      <c r="D27" s="27">
        <f>F21</f>
        <v>1014980</v>
      </c>
      <c r="E27" s="3">
        <f t="shared" ref="E27:E28" si="9">DAYS360(B27,C27)</f>
        <v>360</v>
      </c>
      <c r="F27" s="3">
        <f t="shared" si="8"/>
        <v>121797.6</v>
      </c>
    </row>
    <row r="28" spans="1:16">
      <c r="B28" s="26">
        <v>44562</v>
      </c>
      <c r="C28" s="26">
        <v>44926</v>
      </c>
      <c r="D28" s="27">
        <f>F22</f>
        <v>1117172</v>
      </c>
      <c r="E28" s="3">
        <f t="shared" si="9"/>
        <v>360</v>
      </c>
      <c r="F28" s="3">
        <f t="shared" si="8"/>
        <v>134060.63999999998</v>
      </c>
    </row>
    <row r="29" spans="1:16">
      <c r="B29" s="29" t="s">
        <v>6</v>
      </c>
      <c r="C29" s="29"/>
      <c r="D29" s="29"/>
      <c r="E29" s="29"/>
      <c r="F29" s="5">
        <f>SUM(F26:F28)</f>
        <v>351178.1004</v>
      </c>
    </row>
    <row r="31" spans="1:16">
      <c r="B31" s="1" t="s">
        <v>1</v>
      </c>
      <c r="C31" s="1" t="s">
        <v>2</v>
      </c>
      <c r="D31" s="1" t="s">
        <v>3</v>
      </c>
      <c r="E31" s="1" t="s">
        <v>4</v>
      </c>
      <c r="F31" s="2" t="s">
        <v>10</v>
      </c>
    </row>
    <row r="32" spans="1:16">
      <c r="B32" s="26">
        <v>43869</v>
      </c>
      <c r="C32" s="26">
        <v>44926</v>
      </c>
      <c r="D32" s="3">
        <v>1000000</v>
      </c>
      <c r="E32" s="3">
        <f t="shared" ref="E32" si="10">DAYS360(B32,C32)+1</f>
        <v>1044</v>
      </c>
      <c r="F32" s="3">
        <f>(D32*E32)/720</f>
        <v>1450000</v>
      </c>
    </row>
    <row r="33" spans="2:6">
      <c r="B33" s="29" t="s">
        <v>6</v>
      </c>
      <c r="C33" s="29"/>
      <c r="D33" s="29"/>
      <c r="E33" s="29"/>
      <c r="F33" s="5">
        <f>SUM(F32:F32)</f>
        <v>1450000</v>
      </c>
    </row>
    <row r="35" spans="2:6">
      <c r="B35" s="42" t="s">
        <v>29</v>
      </c>
      <c r="C35" s="42"/>
      <c r="D35" s="42"/>
      <c r="E35" s="42"/>
      <c r="F35" s="28">
        <f>SUM(F11+F17+F23+F29+F33)</f>
        <v>40213249.100399993</v>
      </c>
    </row>
  </sheetData>
  <mergeCells count="9">
    <mergeCell ref="B5:F5"/>
    <mergeCell ref="B11:E11"/>
    <mergeCell ref="B17:E17"/>
    <mergeCell ref="B23:E23"/>
    <mergeCell ref="H13:K21"/>
    <mergeCell ref="B33:E33"/>
    <mergeCell ref="B35:E35"/>
    <mergeCell ref="H7:K11"/>
    <mergeCell ref="B29:E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Jeffry Lemus Gómez</cp:lastModifiedBy>
  <cp:revision/>
  <dcterms:created xsi:type="dcterms:W3CDTF">2023-05-23T18:21:31Z</dcterms:created>
  <dcterms:modified xsi:type="dcterms:W3CDTF">2025-06-12T23:07:06Z</dcterms:modified>
  <cp:category/>
  <cp:contentStatus/>
</cp:coreProperties>
</file>