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C6E49E92-6985-4831-990E-FBDEBD8FCF31}" xr6:coauthVersionLast="47" xr6:coauthVersionMax="47" xr10:uidLastSave="{00000000-0000-0000-0000-000000000000}"/>
  <bookViews>
    <workbookView xWindow="-120" yWindow="-120" windowWidth="24240" windowHeight="13020" xr2:uid="{69AAD36E-CAFA-43EB-832F-400E58192986}"/>
  </bookViews>
  <sheets>
    <sheet name="LIQ. PRETENSIONES DEMANDA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2" l="1"/>
  <c r="G19" i="12"/>
  <c r="G26" i="12"/>
  <c r="G33" i="12"/>
  <c r="G59" i="12"/>
  <c r="E48" i="12" l="1"/>
  <c r="O39" i="12"/>
  <c r="O27" i="12"/>
  <c r="O15" i="12"/>
  <c r="O10" i="12"/>
  <c r="E12" i="12"/>
  <c r="F48" i="12"/>
  <c r="G49" i="12" s="1"/>
  <c r="F43" i="12" l="1"/>
  <c r="F42" i="12"/>
  <c r="F41" i="12"/>
  <c r="E18" i="12" l="1"/>
  <c r="E11" i="12"/>
  <c r="E17" i="12" l="1"/>
  <c r="G43" i="12"/>
  <c r="E10" i="12"/>
  <c r="E9" i="12"/>
  <c r="F31" i="12"/>
  <c r="F30" i="12"/>
  <c r="F24" i="12"/>
  <c r="F23" i="12"/>
  <c r="F15" i="12"/>
  <c r="F18" i="12"/>
  <c r="F17" i="12"/>
  <c r="F16" i="12"/>
  <c r="F56" i="12"/>
  <c r="J54" i="12"/>
  <c r="K54" i="12" s="1"/>
  <c r="F58" i="12" s="1"/>
  <c r="E15" i="12" l="1"/>
  <c r="G41" i="12"/>
  <c r="E16" i="12"/>
  <c r="G42" i="12"/>
  <c r="F57" i="12"/>
  <c r="G58" i="12"/>
  <c r="G44" i="12" l="1"/>
  <c r="F32" i="12"/>
  <c r="F29" i="12"/>
  <c r="F25" i="12"/>
  <c r="F22" i="12"/>
  <c r="F36" i="12"/>
  <c r="E31" i="12" l="1"/>
  <c r="E30" i="12"/>
  <c r="E29" i="12"/>
  <c r="E32" i="12"/>
  <c r="E36" i="12" s="1"/>
  <c r="G36" i="12" s="1"/>
  <c r="G37" i="12" s="1"/>
  <c r="G15" i="12" l="1"/>
  <c r="G16" i="12"/>
  <c r="E23" i="12" s="1"/>
  <c r="G17" i="12"/>
  <c r="E24" i="12" s="1"/>
  <c r="E22" i="12" l="1"/>
  <c r="G22" i="12" s="1"/>
  <c r="G24" i="12"/>
  <c r="G31" i="12" s="1"/>
  <c r="G23" i="12"/>
  <c r="G30" i="12" s="1"/>
  <c r="G29" i="12"/>
  <c r="G18" i="12"/>
  <c r="E25" i="12" l="1"/>
  <c r="G25" i="12" s="1"/>
  <c r="G32" i="12" l="1"/>
</calcChain>
</file>

<file path=xl/sharedStrings.xml><?xml version="1.0" encoding="utf-8"?>
<sst xmlns="http://schemas.openxmlformats.org/spreadsheetml/2006/main" count="64" uniqueCount="38">
  <si>
    <t>DESDE</t>
  </si>
  <si>
    <t>HASTA</t>
  </si>
  <si>
    <t>TOTAL ADEUDADO</t>
  </si>
  <si>
    <t>DÍAS</t>
  </si>
  <si>
    <t>CESANTÍAS</t>
  </si>
  <si>
    <t>INTERESES CESANTÍAS</t>
  </si>
  <si>
    <t>PRIMA</t>
  </si>
  <si>
    <t>VACACIONES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</si>
  <si>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</si>
  <si>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</si>
  <si>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</si>
  <si>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</si>
  <si>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</si>
  <si>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</si>
  <si>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</si>
  <si>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</si>
  <si>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</si>
  <si>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</si>
  <si>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</si>
  <si>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</si>
  <si>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</si>
  <si>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</si>
  <si>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Total Liquidación:</t>
  </si>
  <si>
    <t>LIQUIDACIÓN DE LAS PRETENSIONES DESDE 29/05/2014 AL 17/10/2017</t>
  </si>
  <si>
    <t>FECHA</t>
  </si>
  <si>
    <t>BONIFICACIÓN</t>
  </si>
  <si>
    <t>RELACIÓN BONIFICACIONES</t>
  </si>
  <si>
    <t>PROM. ANUAL</t>
  </si>
  <si>
    <t>BONIFICACIONES</t>
  </si>
  <si>
    <t>SANCIÓN POR NO CONSIGNACIÓN DE CESANTÍAS</t>
  </si>
  <si>
    <t>SALARIO</t>
  </si>
  <si>
    <t>SANCIÓN</t>
  </si>
  <si>
    <t>BONIFICACIÓN PROM ANUAL</t>
  </si>
  <si>
    <t>ULT PROM BONIFICACIÓN</t>
  </si>
  <si>
    <t>CAPITAL</t>
  </si>
  <si>
    <t>INTERESES MORATORIOS ART. 65 CST</t>
  </si>
  <si>
    <t xml:space="preserve">Nota 2: Se liquidan intereses moratorios consagrados en el artículo 65 del CST, comoquiera que, la demandante radicó la demanda dos años después de finalizado el vínculo laboral.
                               </t>
  </si>
  <si>
    <t xml:space="preserve">Nota 1: Las pretensiones de la demanda se encuentran encaminadas a RELIQUIDACIÓN de prestaciones sociales, vacaciones y aportes a pensión por los conceptos de BONIFICACIÓN y al pago de la indemnización del artículo 64 y 65 del CST y la sanción por no consignaicón de cesantías.
La liquidación se realizó con el promedio de las bonificaciones que no se tuvieron en cuenta según los hechos de la demanda
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</si>
</sst>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/>
    <xf numFmtId="164" fontId="4" fillId="0" borderId="1" xfId="1" applyNumberFormat="1" applyFont="1" applyBorder="1"/>
    <xf numFmtId="0" fontId="7" fillId="0" borderId="1" xfId="0" applyFont="1" applyBorder="1" applyAlignment="1">
      <alignment horizontal="center"/>
    </xf>
    <xf numFmtId="164" fontId="7" fillId="3" borderId="1" xfId="6" applyNumberFormat="1" applyFont="1" applyFill="1" applyBorder="1" applyAlignment="1">
      <alignment horizontal="center" vertical="center"/>
    </xf>
    <xf numFmtId="164" fontId="7" fillId="0" borderId="0" xfId="6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164" fontId="4" fillId="0" borderId="1" xfId="1" applyNumberFormat="1" applyFont="1" applyFill="1" applyBorder="1"/>
    <xf numFmtId="164" fontId="7" fillId="0" borderId="0" xfId="1" applyNumberFormat="1" applyFont="1" applyFill="1" applyBorder="1"/>
    <xf numFmtId="164" fontId="9" fillId="4" borderId="1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7" fillId="2" borderId="8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9" fontId="12" fillId="2" borderId="1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0" fontId="12" fillId="0" borderId="1" xfId="0" applyFont="1" applyBorder="1"/>
    <xf numFmtId="164" fontId="4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14" fontId="3" fillId="0" borderId="1" xfId="0" applyNumberFormat="1" applyFont="1" applyBorder="1"/>
    <xf numFmtId="164" fontId="3" fillId="0" borderId="1" xfId="1" applyNumberFormat="1" applyFont="1" applyBorder="1"/>
    <xf numFmtId="0" fontId="14" fillId="0" borderId="0" xfId="0" applyFont="1" applyAlignment="1">
      <alignment horizontal="center" vertical="center"/>
    </xf>
    <xf numFmtId="165" fontId="14" fillId="0" borderId="0" xfId="18" applyNumberFormat="1" applyFont="1" applyAlignment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165" fontId="4" fillId="0" borderId="0" xfId="18" applyNumberFormat="1" applyFont="1" applyAlignment="1">
      <alignment horizontal="center" vertical="center"/>
    </xf>
    <xf numFmtId="165" fontId="14" fillId="0" borderId="1" xfId="18" applyNumberFormat="1" applyFont="1" applyBorder="1" applyAlignment="1">
      <alignment horizontal="center" vertical="center"/>
    </xf>
    <xf numFmtId="17" fontId="14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/>
    </xf>
    <xf numFmtId="14" fontId="4" fillId="0" borderId="1" xfId="0" applyNumberFormat="1" applyFont="1" applyBorder="1"/>
    <xf numFmtId="14" fontId="4" fillId="0" borderId="2" xfId="0" applyNumberFormat="1" applyFont="1" applyBorder="1"/>
    <xf numFmtId="14" fontId="4" fillId="0" borderId="4" xfId="0" applyNumberFormat="1" applyFont="1" applyBorder="1"/>
    <xf numFmtId="164" fontId="4" fillId="0" borderId="4" xfId="1" applyNumberFormat="1" applyFont="1" applyFill="1" applyBorder="1"/>
    <xf numFmtId="17" fontId="1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18" applyNumberFormat="1" applyFont="1" applyBorder="1" applyAlignment="1">
      <alignment horizontal="center" vertical="center"/>
    </xf>
    <xf numFmtId="164" fontId="10" fillId="3" borderId="1" xfId="1" applyNumberFormat="1" applyFont="1" applyFill="1" applyBorder="1"/>
    <xf numFmtId="0" fontId="10" fillId="0" borderId="1" xfId="0" applyFont="1" applyBorder="1" applyAlignment="1">
      <alignment horizontal="center"/>
    </xf>
    <xf numFmtId="165" fontId="14" fillId="0" borderId="1" xfId="18" applyNumberFormat="1" applyFont="1" applyBorder="1" applyAlignment="1">
      <alignment horizontal="center" vertical="center"/>
    </xf>
    <xf numFmtId="165" fontId="14" fillId="0" borderId="7" xfId="18" applyNumberFormat="1" applyFont="1" applyBorder="1" applyAlignment="1">
      <alignment horizontal="center" vertical="center"/>
    </xf>
    <xf numFmtId="165" fontId="14" fillId="0" borderId="9" xfId="18" applyNumberFormat="1" applyFont="1" applyBorder="1" applyAlignment="1">
      <alignment horizontal="center" vertical="center"/>
    </xf>
    <xf numFmtId="165" fontId="14" fillId="0" borderId="8" xfId="18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8" fontId="12" fillId="3" borderId="2" xfId="0" applyNumberFormat="1" applyFont="1" applyFill="1" applyBorder="1" applyAlignment="1">
      <alignment horizontal="center"/>
    </xf>
    <xf numFmtId="8" fontId="12" fillId="3" borderId="4" xfId="0" applyNumberFormat="1" applyFont="1" applyFill="1" applyBorder="1" applyAlignment="1">
      <alignment horizontal="center"/>
    </xf>
    <xf numFmtId="8" fontId="12" fillId="3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8" fontId="12" fillId="0" borderId="2" xfId="0" applyNumberFormat="1" applyFont="1" applyBorder="1" applyAlignment="1">
      <alignment horizontal="center"/>
    </xf>
    <xf numFmtId="8" fontId="12" fillId="0" borderId="4" xfId="0" applyNumberFormat="1" applyFont="1" applyBorder="1" applyAlignment="1">
      <alignment horizontal="center"/>
    </xf>
    <xf numFmtId="8" fontId="12" fillId="0" borderId="5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8" fontId="11" fillId="0" borderId="2" xfId="0" applyNumberFormat="1" applyFont="1" applyBorder="1" applyAlignment="1">
      <alignment horizontal="center"/>
    </xf>
    <xf numFmtId="8" fontId="11" fillId="0" borderId="4" xfId="0" applyNumberFormat="1" applyFont="1" applyBorder="1" applyAlignment="1">
      <alignment horizontal="center"/>
    </xf>
    <xf numFmtId="8" fontId="11" fillId="0" borderId="5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</cellXfs>
  <cellStyles count="19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FFF4BEC4-3F5B-40BE-AC92-6362DAEDDD14}"/>
    <cellStyle name="Moneda" xfId="18" builtinId="4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2F89C845-0DCC-444B-8884-C9A0330B6C73}"/>
    <cellStyle name="Normal" xfId="0" builtinId="0"/>
    <cellStyle name="Normal 2" xfId="2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320754</xdr:colOff>
      <xdr:row>4</xdr:row>
      <xdr:rowOff>13758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sheetPr>
    <pageSetUpPr fitToPage="1"/>
  </sheetPr>
  <dimension ref="A3:P74"/>
  <sheetViews>
    <sheetView tabSelected="1" topLeftCell="A45" zoomScale="90" zoomScaleNormal="90" workbookViewId="0">
      <selection activeCell="G62" sqref="G62"/>
    </sheetView>
  </sheetViews>
  <sheetFormatPr baseColWidth="10" defaultColWidth="11.42578125" defaultRowHeight="14.25" x14ac:dyDescent="0.2"/>
  <cols>
    <col min="1" max="1" width="4.5703125" style="42" customWidth="1"/>
    <col min="2" max="2" width="15.42578125" style="42" customWidth="1"/>
    <col min="3" max="3" width="16.7109375" style="1" bestFit="1" customWidth="1"/>
    <col min="4" max="4" width="15.28515625" style="1" customWidth="1"/>
    <col min="5" max="5" width="24.5703125" style="1" customWidth="1"/>
    <col min="6" max="6" width="10.7109375" style="1" customWidth="1"/>
    <col min="7" max="7" width="21.5703125" style="1" bestFit="1" customWidth="1"/>
    <col min="8" max="8" width="7.7109375" style="1" customWidth="1"/>
    <col min="9" max="9" width="4.140625" style="1" customWidth="1"/>
    <col min="10" max="10" width="19.85546875" style="42" bestFit="1" customWidth="1"/>
    <col min="11" max="11" width="17.42578125" style="42" customWidth="1"/>
    <col min="12" max="12" width="21.28515625" style="42" customWidth="1"/>
    <col min="13" max="13" width="8" style="42" bestFit="1" customWidth="1"/>
    <col min="14" max="14" width="15.7109375" style="40" bestFit="1" customWidth="1"/>
    <col min="15" max="15" width="16.5703125" style="40" customWidth="1"/>
    <col min="16" max="16" width="15" style="41" bestFit="1" customWidth="1"/>
    <col min="17" max="16384" width="11.42578125" style="42"/>
  </cols>
  <sheetData>
    <row r="3" spans="1:16" x14ac:dyDescent="0.2">
      <c r="A3" s="1"/>
      <c r="B3" s="1"/>
      <c r="J3" s="1"/>
      <c r="K3" s="1"/>
      <c r="L3" s="1"/>
      <c r="M3" s="1"/>
    </row>
    <row r="4" spans="1:16" x14ac:dyDescent="0.2">
      <c r="A4" s="1"/>
      <c r="B4" s="1"/>
      <c r="J4" s="1"/>
      <c r="K4" s="1"/>
      <c r="L4" s="1"/>
      <c r="M4" s="1"/>
      <c r="N4" s="34"/>
    </row>
    <row r="5" spans="1:16" s="1" customFormat="1" ht="15" customHeight="1" x14ac:dyDescent="0.2">
      <c r="C5" s="64" t="s">
        <v>23</v>
      </c>
      <c r="D5" s="64"/>
      <c r="E5" s="64"/>
      <c r="F5" s="64"/>
      <c r="G5" s="64"/>
      <c r="M5" s="42"/>
      <c r="N5" s="34"/>
      <c r="O5" s="43"/>
      <c r="P5" s="44"/>
    </row>
    <row r="6" spans="1:16" ht="15" customHeight="1" x14ac:dyDescent="0.2">
      <c r="A6" s="1"/>
      <c r="B6" s="1"/>
      <c r="H6" s="9"/>
      <c r="J6" s="1"/>
      <c r="K6" s="1"/>
      <c r="L6" s="1"/>
    </row>
    <row r="7" spans="1:16" ht="14.25" customHeight="1" x14ac:dyDescent="0.2">
      <c r="A7" s="1"/>
      <c r="B7" s="1"/>
      <c r="C7" s="63" t="s">
        <v>28</v>
      </c>
      <c r="D7" s="63"/>
      <c r="E7" s="63"/>
      <c r="F7" s="9"/>
      <c r="G7" s="9"/>
      <c r="H7" s="9"/>
      <c r="I7" s="9"/>
      <c r="J7" s="83" t="s">
        <v>37</v>
      </c>
      <c r="K7" s="83"/>
      <c r="L7" s="1"/>
      <c r="M7" s="61" t="s">
        <v>26</v>
      </c>
      <c r="N7" s="61"/>
      <c r="O7" s="61"/>
    </row>
    <row r="8" spans="1:16" ht="24" customHeight="1" x14ac:dyDescent="0.2">
      <c r="A8" s="1"/>
      <c r="B8" s="1"/>
      <c r="C8" s="3" t="s">
        <v>0</v>
      </c>
      <c r="D8" s="3" t="s">
        <v>1</v>
      </c>
      <c r="E8" s="3" t="s">
        <v>32</v>
      </c>
      <c r="F8" s="9"/>
      <c r="G8" s="9"/>
      <c r="H8" s="9"/>
      <c r="I8" s="9"/>
      <c r="J8" s="83"/>
      <c r="K8" s="83"/>
      <c r="L8" s="1"/>
      <c r="M8" s="61"/>
      <c r="N8" s="61"/>
      <c r="O8" s="61"/>
    </row>
    <row r="9" spans="1:16" x14ac:dyDescent="0.2">
      <c r="A9" s="1"/>
      <c r="B9" s="1"/>
      <c r="C9" s="4">
        <v>41768</v>
      </c>
      <c r="D9" s="4">
        <v>42004</v>
      </c>
      <c r="E9" s="35">
        <f>O10</f>
        <v>60099.4</v>
      </c>
      <c r="F9" s="9"/>
      <c r="G9" s="9"/>
      <c r="H9" s="9"/>
      <c r="I9" s="9"/>
      <c r="J9" s="83"/>
      <c r="K9" s="83"/>
      <c r="L9" s="1"/>
      <c r="M9" s="53" t="s">
        <v>24</v>
      </c>
      <c r="N9" s="54" t="s">
        <v>25</v>
      </c>
      <c r="O9" s="54" t="s">
        <v>27</v>
      </c>
    </row>
    <row r="10" spans="1:16" x14ac:dyDescent="0.2">
      <c r="A10" s="1"/>
      <c r="B10" s="1"/>
      <c r="C10" s="4">
        <v>42005</v>
      </c>
      <c r="D10" s="4">
        <v>42369</v>
      </c>
      <c r="E10" s="35">
        <f>O15</f>
        <v>113181.5</v>
      </c>
      <c r="F10" s="9"/>
      <c r="G10" s="9"/>
      <c r="H10" s="9"/>
      <c r="I10" s="9"/>
      <c r="J10" s="83"/>
      <c r="K10" s="83"/>
      <c r="L10" s="1"/>
      <c r="M10" s="46">
        <v>41852</v>
      </c>
      <c r="N10" s="45">
        <v>34444</v>
      </c>
      <c r="O10" s="57">
        <f>AVERAGE(N10:N14)</f>
        <v>60099.4</v>
      </c>
    </row>
    <row r="11" spans="1:16" x14ac:dyDescent="0.2">
      <c r="A11" s="1"/>
      <c r="B11" s="1"/>
      <c r="C11" s="4">
        <v>42370</v>
      </c>
      <c r="D11" s="4">
        <v>42735</v>
      </c>
      <c r="E11" s="35">
        <f>O27</f>
        <v>99524</v>
      </c>
      <c r="F11" s="9"/>
      <c r="G11" s="9"/>
      <c r="H11" s="9"/>
      <c r="I11" s="9"/>
      <c r="J11" s="83"/>
      <c r="K11" s="83"/>
      <c r="L11" s="1"/>
      <c r="M11" s="46">
        <v>41883</v>
      </c>
      <c r="N11" s="45">
        <v>34444</v>
      </c>
      <c r="O11" s="57"/>
    </row>
    <row r="12" spans="1:16" x14ac:dyDescent="0.2">
      <c r="A12" s="1"/>
      <c r="B12" s="1"/>
      <c r="C12" s="4">
        <v>42736</v>
      </c>
      <c r="D12" s="4">
        <v>43025</v>
      </c>
      <c r="E12" s="35">
        <f>O39</f>
        <v>145472.20000000001</v>
      </c>
      <c r="F12" s="9"/>
      <c r="G12" s="9"/>
      <c r="H12" s="9"/>
      <c r="I12" s="9"/>
      <c r="J12" s="83"/>
      <c r="K12" s="83"/>
      <c r="L12" s="1"/>
      <c r="M12" s="46">
        <v>41913</v>
      </c>
      <c r="N12" s="45">
        <v>34444</v>
      </c>
      <c r="O12" s="57"/>
    </row>
    <row r="13" spans="1:16" x14ac:dyDescent="0.2">
      <c r="A13" s="1"/>
      <c r="B13" s="1"/>
      <c r="C13" s="10"/>
      <c r="D13" s="10"/>
      <c r="E13" s="10"/>
      <c r="F13" s="10"/>
      <c r="G13" s="10"/>
      <c r="H13" s="9"/>
      <c r="I13" s="9"/>
      <c r="J13" s="83"/>
      <c r="K13" s="83"/>
      <c r="L13" s="1"/>
      <c r="M13" s="46">
        <v>41944</v>
      </c>
      <c r="N13" s="45">
        <v>70805</v>
      </c>
      <c r="O13" s="57"/>
    </row>
    <row r="14" spans="1:16" ht="15.75" customHeight="1" x14ac:dyDescent="0.2">
      <c r="A14" s="1"/>
      <c r="B14" s="1"/>
      <c r="C14" s="7" t="s">
        <v>0</v>
      </c>
      <c r="D14" s="7" t="s">
        <v>1</v>
      </c>
      <c r="E14" s="7" t="s">
        <v>25</v>
      </c>
      <c r="F14" s="7" t="s">
        <v>3</v>
      </c>
      <c r="G14" s="11" t="s">
        <v>4</v>
      </c>
      <c r="H14" s="9"/>
      <c r="I14" s="9"/>
      <c r="J14" s="83"/>
      <c r="K14" s="83"/>
      <c r="L14" s="1"/>
      <c r="M14" s="46">
        <v>41974</v>
      </c>
      <c r="N14" s="45">
        <v>126360</v>
      </c>
      <c r="O14" s="57"/>
    </row>
    <row r="15" spans="1:16" ht="15.75" customHeight="1" x14ac:dyDescent="0.2">
      <c r="A15" s="1"/>
      <c r="C15" s="4">
        <v>41768</v>
      </c>
      <c r="D15" s="4">
        <v>42004</v>
      </c>
      <c r="E15" s="5">
        <f>E9</f>
        <v>60099.4</v>
      </c>
      <c r="F15" s="6">
        <f t="shared" ref="F15" si="0">DAYS360(C15,D15)+1</f>
        <v>233</v>
      </c>
      <c r="G15" s="13">
        <f t="shared" ref="G15:G18" si="1">(E15*F15)/360</f>
        <v>38897.667222222226</v>
      </c>
      <c r="H15" s="9"/>
      <c r="I15" s="32"/>
      <c r="J15" s="83"/>
      <c r="K15" s="83"/>
      <c r="L15" s="1"/>
      <c r="M15" s="46">
        <v>42005</v>
      </c>
      <c r="N15" s="45">
        <v>126360</v>
      </c>
      <c r="O15" s="57">
        <f>AVERAGE(N15:N26)</f>
        <v>113181.5</v>
      </c>
    </row>
    <row r="16" spans="1:16" ht="15.75" customHeight="1" x14ac:dyDescent="0.2">
      <c r="A16" s="1"/>
      <c r="C16" s="4">
        <v>42005</v>
      </c>
      <c r="D16" s="4">
        <v>42369</v>
      </c>
      <c r="E16" s="5">
        <f>E10</f>
        <v>113181.5</v>
      </c>
      <c r="F16" s="6">
        <f>DAYS360(C16,D16)</f>
        <v>360</v>
      </c>
      <c r="G16" s="13">
        <f t="shared" si="1"/>
        <v>113181.5</v>
      </c>
      <c r="H16" s="9"/>
      <c r="I16" s="31"/>
      <c r="J16" s="1"/>
      <c r="K16" s="1"/>
      <c r="L16" s="1"/>
      <c r="M16" s="46">
        <v>42036</v>
      </c>
      <c r="N16" s="45">
        <v>155556</v>
      </c>
      <c r="O16" s="57"/>
    </row>
    <row r="17" spans="1:15" ht="15.75" customHeight="1" x14ac:dyDescent="0.2">
      <c r="A17" s="1"/>
      <c r="C17" s="4">
        <v>42370</v>
      </c>
      <c r="D17" s="4">
        <v>42735</v>
      </c>
      <c r="E17" s="5">
        <f>E11</f>
        <v>99524</v>
      </c>
      <c r="F17" s="6">
        <f>DAYS360(C17,D17)</f>
        <v>360</v>
      </c>
      <c r="G17" s="13">
        <f t="shared" si="1"/>
        <v>99524</v>
      </c>
      <c r="H17" s="9"/>
      <c r="I17" s="31"/>
      <c r="J17" s="1"/>
      <c r="K17" s="1"/>
      <c r="L17" s="1"/>
      <c r="M17" s="46">
        <v>42064</v>
      </c>
      <c r="N17" s="45">
        <v>144444</v>
      </c>
      <c r="O17" s="57"/>
    </row>
    <row r="18" spans="1:15" ht="15.75" customHeight="1" x14ac:dyDescent="0.2">
      <c r="A18" s="1"/>
      <c r="C18" s="4">
        <v>42736</v>
      </c>
      <c r="D18" s="4">
        <v>43025</v>
      </c>
      <c r="E18" s="5">
        <f>E12</f>
        <v>145472.20000000001</v>
      </c>
      <c r="F18" s="6">
        <f>DAYS360(C18,D18)</f>
        <v>286</v>
      </c>
      <c r="G18" s="13">
        <f t="shared" si="1"/>
        <v>115569.58111111113</v>
      </c>
      <c r="H18" s="9"/>
      <c r="I18" s="31"/>
      <c r="J18" s="83" t="s">
        <v>36</v>
      </c>
      <c r="K18" s="83"/>
      <c r="L18" s="1"/>
      <c r="M18" s="46">
        <v>42095</v>
      </c>
      <c r="N18" s="45">
        <v>144444</v>
      </c>
      <c r="O18" s="57"/>
    </row>
    <row r="19" spans="1:15" ht="15.75" customHeight="1" x14ac:dyDescent="0.2">
      <c r="A19" s="1"/>
      <c r="C19" s="7" t="s">
        <v>2</v>
      </c>
      <c r="D19" s="7"/>
      <c r="E19" s="7"/>
      <c r="F19" s="7"/>
      <c r="G19" s="8">
        <f>SUM(G15:G18)</f>
        <v>367172.74833333335</v>
      </c>
      <c r="H19" s="9"/>
      <c r="I19" s="31"/>
      <c r="J19" s="83"/>
      <c r="K19" s="83"/>
      <c r="L19" s="1"/>
      <c r="M19" s="46">
        <v>42125</v>
      </c>
      <c r="N19" s="45">
        <v>44444</v>
      </c>
      <c r="O19" s="57"/>
    </row>
    <row r="20" spans="1:15" ht="15.75" customHeight="1" x14ac:dyDescent="0.2">
      <c r="A20" s="1"/>
      <c r="C20" s="10"/>
      <c r="D20" s="10"/>
      <c r="E20" s="10"/>
      <c r="F20" s="10"/>
      <c r="G20" s="10"/>
      <c r="H20" s="9"/>
      <c r="I20" s="14"/>
      <c r="J20" s="83"/>
      <c r="K20" s="83"/>
      <c r="L20" s="1"/>
      <c r="M20" s="46">
        <v>42156</v>
      </c>
      <c r="N20" s="45">
        <v>75000</v>
      </c>
      <c r="O20" s="57"/>
    </row>
    <row r="21" spans="1:15" ht="15.75" customHeight="1" x14ac:dyDescent="0.2">
      <c r="A21" s="1"/>
      <c r="C21" s="7" t="s">
        <v>0</v>
      </c>
      <c r="D21" s="7" t="s">
        <v>1</v>
      </c>
      <c r="E21" s="7" t="s">
        <v>4</v>
      </c>
      <c r="F21" s="7" t="s">
        <v>3</v>
      </c>
      <c r="G21" s="11" t="s">
        <v>5</v>
      </c>
      <c r="H21" s="9"/>
      <c r="I21" s="14"/>
      <c r="J21" s="83"/>
      <c r="K21" s="83"/>
      <c r="L21" s="1"/>
      <c r="M21" s="46">
        <v>42186</v>
      </c>
      <c r="N21" s="45">
        <v>112500</v>
      </c>
      <c r="O21" s="57"/>
    </row>
    <row r="22" spans="1:15" ht="15.75" customHeight="1" x14ac:dyDescent="0.2">
      <c r="A22" s="1"/>
      <c r="C22" s="4">
        <v>41768</v>
      </c>
      <c r="D22" s="4">
        <v>42004</v>
      </c>
      <c r="E22" s="5">
        <f>G15</f>
        <v>38897.667222222226</v>
      </c>
      <c r="F22" s="6">
        <f t="shared" ref="F22" si="2">DAYS360(C22,D22)+1</f>
        <v>233</v>
      </c>
      <c r="G22" s="13">
        <f>(E22*F22*0.12)/360</f>
        <v>3021.0521542592596</v>
      </c>
      <c r="H22" s="9"/>
      <c r="I22" s="32"/>
      <c r="J22" s="83"/>
      <c r="K22" s="83"/>
      <c r="L22" s="1"/>
      <c r="M22" s="46">
        <v>42217</v>
      </c>
      <c r="N22" s="45">
        <v>164521</v>
      </c>
      <c r="O22" s="57"/>
    </row>
    <row r="23" spans="1:15" ht="15.75" customHeight="1" x14ac:dyDescent="0.2">
      <c r="A23" s="1"/>
      <c r="C23" s="4">
        <v>42005</v>
      </c>
      <c r="D23" s="4">
        <v>42369</v>
      </c>
      <c r="E23" s="5">
        <f>G16</f>
        <v>113181.5</v>
      </c>
      <c r="F23" s="6">
        <f>DAYS360(C23,D23)</f>
        <v>360</v>
      </c>
      <c r="G23" s="13">
        <f t="shared" ref="G23:G25" si="3">(E23*F23)/360</f>
        <v>113181.5</v>
      </c>
      <c r="H23" s="9"/>
      <c r="I23" s="31"/>
      <c r="J23" s="83"/>
      <c r="K23" s="83"/>
      <c r="L23" s="1"/>
      <c r="M23" s="46">
        <v>42248</v>
      </c>
      <c r="N23" s="45">
        <v>89521</v>
      </c>
      <c r="O23" s="57"/>
    </row>
    <row r="24" spans="1:15" ht="15.75" customHeight="1" x14ac:dyDescent="0.2">
      <c r="A24" s="1"/>
      <c r="C24" s="4">
        <v>42370</v>
      </c>
      <c r="D24" s="4">
        <v>42735</v>
      </c>
      <c r="E24" s="5">
        <f>G17</f>
        <v>99524</v>
      </c>
      <c r="F24" s="6">
        <f>DAYS360(C24,D24)</f>
        <v>360</v>
      </c>
      <c r="G24" s="13">
        <f t="shared" si="3"/>
        <v>99524</v>
      </c>
      <c r="H24" s="9"/>
      <c r="I24" s="31"/>
      <c r="J24" s="1"/>
      <c r="K24" s="1"/>
      <c r="L24" s="1"/>
      <c r="M24" s="46">
        <v>42278</v>
      </c>
      <c r="N24" s="45">
        <v>89521</v>
      </c>
      <c r="O24" s="57"/>
    </row>
    <row r="25" spans="1:15" ht="15.75" customHeight="1" x14ac:dyDescent="0.2">
      <c r="A25" s="1"/>
      <c r="C25" s="4">
        <v>42736</v>
      </c>
      <c r="D25" s="4">
        <v>43025</v>
      </c>
      <c r="E25" s="5">
        <f>G18</f>
        <v>115569.58111111113</v>
      </c>
      <c r="F25" s="6">
        <f>DAYS360(C25,D25)</f>
        <v>286</v>
      </c>
      <c r="G25" s="13">
        <f t="shared" si="3"/>
        <v>91813.611660493843</v>
      </c>
      <c r="H25" s="9"/>
      <c r="I25" s="31"/>
      <c r="J25" s="1"/>
      <c r="K25" s="1"/>
      <c r="L25" s="1"/>
      <c r="M25" s="46">
        <v>42309</v>
      </c>
      <c r="N25" s="45">
        <v>112500</v>
      </c>
      <c r="O25" s="57"/>
    </row>
    <row r="26" spans="1:15" ht="15.75" customHeight="1" x14ac:dyDescent="0.2">
      <c r="A26" s="1"/>
      <c r="C26" s="7" t="s">
        <v>2</v>
      </c>
      <c r="D26" s="7"/>
      <c r="E26" s="7"/>
      <c r="F26" s="7"/>
      <c r="G26" s="8">
        <f>SUM(G22:G25)</f>
        <v>307540.16381475312</v>
      </c>
      <c r="H26" s="9"/>
      <c r="I26" s="31"/>
      <c r="J26" s="1"/>
      <c r="K26" s="1"/>
      <c r="L26" s="1"/>
      <c r="M26" s="46">
        <v>42339</v>
      </c>
      <c r="N26" s="45">
        <v>99367</v>
      </c>
      <c r="O26" s="57"/>
    </row>
    <row r="27" spans="1:15" ht="15.75" customHeight="1" x14ac:dyDescent="0.2">
      <c r="A27" s="1"/>
      <c r="C27" s="16"/>
      <c r="D27" s="16"/>
      <c r="E27" s="16"/>
      <c r="F27" s="16"/>
      <c r="G27" s="16"/>
      <c r="H27" s="9"/>
      <c r="I27" s="14"/>
      <c r="J27" s="1"/>
      <c r="K27" s="1"/>
      <c r="L27" s="1"/>
      <c r="M27" s="46">
        <v>42370</v>
      </c>
      <c r="N27" s="45">
        <v>99367</v>
      </c>
      <c r="O27" s="57">
        <f>AVERAGE(N27:N38)</f>
        <v>99524</v>
      </c>
    </row>
    <row r="28" spans="1:15" ht="15.75" customHeight="1" x14ac:dyDescent="0.2">
      <c r="A28" s="1"/>
      <c r="C28" s="17" t="s">
        <v>0</v>
      </c>
      <c r="D28" s="17" t="s">
        <v>1</v>
      </c>
      <c r="E28" s="17" t="s">
        <v>25</v>
      </c>
      <c r="F28" s="17" t="s">
        <v>3</v>
      </c>
      <c r="G28" s="18" t="s">
        <v>6</v>
      </c>
      <c r="H28" s="9"/>
      <c r="I28" s="14"/>
      <c r="J28" s="1"/>
      <c r="K28" s="1"/>
      <c r="L28" s="1"/>
      <c r="M28" s="46">
        <v>42401</v>
      </c>
      <c r="N28" s="45">
        <v>99367</v>
      </c>
      <c r="O28" s="57"/>
    </row>
    <row r="29" spans="1:15" ht="15.75" customHeight="1" x14ac:dyDescent="0.2">
      <c r="A29" s="1"/>
      <c r="C29" s="4">
        <v>41768</v>
      </c>
      <c r="D29" s="4">
        <v>42004</v>
      </c>
      <c r="E29" s="5">
        <f>E15</f>
        <v>60099.4</v>
      </c>
      <c r="F29" s="6">
        <f t="shared" ref="F29" si="4">DAYS360(C29,D29)+1</f>
        <v>233</v>
      </c>
      <c r="G29" s="13">
        <f t="shared" ref="G29:G32" si="5">(E29*F29)/360</f>
        <v>38897.667222222226</v>
      </c>
      <c r="H29" s="9"/>
      <c r="I29" s="32"/>
      <c r="J29" s="1"/>
      <c r="K29" s="1"/>
      <c r="L29" s="1"/>
      <c r="M29" s="46">
        <v>42430</v>
      </c>
      <c r="N29" s="45">
        <v>75000</v>
      </c>
      <c r="O29" s="57"/>
    </row>
    <row r="30" spans="1:15" ht="15.75" customHeight="1" x14ac:dyDescent="0.2">
      <c r="A30" s="1"/>
      <c r="C30" s="4">
        <v>42005</v>
      </c>
      <c r="D30" s="4">
        <v>42369</v>
      </c>
      <c r="E30" s="5">
        <f>E16</f>
        <v>113181.5</v>
      </c>
      <c r="F30" s="6">
        <f>DAYS360(C30,D30)</f>
        <v>360</v>
      </c>
      <c r="G30" s="13">
        <f t="shared" si="5"/>
        <v>113181.5</v>
      </c>
      <c r="H30" s="9"/>
      <c r="I30" s="31"/>
      <c r="J30" s="1"/>
      <c r="K30" s="1"/>
      <c r="L30" s="1"/>
      <c r="M30" s="46">
        <v>42461</v>
      </c>
      <c r="N30" s="45">
        <v>98333</v>
      </c>
      <c r="O30" s="57"/>
    </row>
    <row r="31" spans="1:15" ht="15.75" customHeight="1" x14ac:dyDescent="0.2">
      <c r="A31" s="1"/>
      <c r="C31" s="4">
        <v>42370</v>
      </c>
      <c r="D31" s="4">
        <v>42735</v>
      </c>
      <c r="E31" s="5">
        <f>E17</f>
        <v>99524</v>
      </c>
      <c r="F31" s="6">
        <f>DAYS360(C31,D31)</f>
        <v>360</v>
      </c>
      <c r="G31" s="13">
        <f t="shared" si="5"/>
        <v>99524</v>
      </c>
      <c r="H31" s="9"/>
      <c r="I31" s="31"/>
      <c r="J31" s="1"/>
      <c r="K31" s="1"/>
      <c r="L31" s="1"/>
      <c r="M31" s="46">
        <v>42491</v>
      </c>
      <c r="N31" s="45">
        <v>103333</v>
      </c>
      <c r="O31" s="57"/>
    </row>
    <row r="32" spans="1:15" ht="15.75" customHeight="1" x14ac:dyDescent="0.2">
      <c r="A32" s="1"/>
      <c r="C32" s="4">
        <v>42736</v>
      </c>
      <c r="D32" s="4">
        <v>43025</v>
      </c>
      <c r="E32" s="5">
        <f>E18</f>
        <v>145472.20000000001</v>
      </c>
      <c r="F32" s="6">
        <f>DAYS360(C32,D32)</f>
        <v>286</v>
      </c>
      <c r="G32" s="13">
        <f t="shared" si="5"/>
        <v>115569.58111111113</v>
      </c>
      <c r="H32" s="9"/>
      <c r="I32" s="31"/>
      <c r="J32" s="1"/>
      <c r="K32" s="1"/>
      <c r="L32" s="1"/>
      <c r="M32" s="46">
        <v>42522</v>
      </c>
      <c r="N32" s="45">
        <v>183333</v>
      </c>
      <c r="O32" s="57"/>
    </row>
    <row r="33" spans="1:15" ht="15.75" customHeight="1" x14ac:dyDescent="0.2">
      <c r="A33" s="1"/>
      <c r="C33" s="7" t="s">
        <v>2</v>
      </c>
      <c r="D33" s="7"/>
      <c r="E33" s="7"/>
      <c r="F33" s="7"/>
      <c r="G33" s="8">
        <f>SUM(G29:G32)</f>
        <v>367172.74833333335</v>
      </c>
      <c r="H33" s="9"/>
      <c r="I33" s="31"/>
      <c r="J33" s="1"/>
      <c r="K33" s="1"/>
      <c r="L33" s="12"/>
      <c r="M33" s="46">
        <v>42552</v>
      </c>
      <c r="N33" s="45">
        <v>166667</v>
      </c>
      <c r="O33" s="57"/>
    </row>
    <row r="34" spans="1:15" ht="15.75" customHeight="1" x14ac:dyDescent="0.2">
      <c r="A34" s="1"/>
      <c r="C34" s="16"/>
      <c r="D34" s="16"/>
      <c r="E34" s="16"/>
      <c r="F34" s="16"/>
      <c r="G34" s="16"/>
      <c r="H34" s="9"/>
      <c r="I34" s="14"/>
      <c r="J34" s="12"/>
      <c r="K34" s="12"/>
      <c r="L34" s="12"/>
      <c r="M34" s="46">
        <v>42583</v>
      </c>
      <c r="N34" s="45">
        <v>0</v>
      </c>
      <c r="O34" s="57"/>
    </row>
    <row r="35" spans="1:15" ht="15.75" customHeight="1" x14ac:dyDescent="0.2">
      <c r="A35" s="1"/>
      <c r="C35" s="17" t="s">
        <v>0</v>
      </c>
      <c r="D35" s="17" t="s">
        <v>1</v>
      </c>
      <c r="E35" s="17" t="s">
        <v>33</v>
      </c>
      <c r="F35" s="17" t="s">
        <v>3</v>
      </c>
      <c r="G35" s="18" t="s">
        <v>7</v>
      </c>
      <c r="H35" s="9"/>
      <c r="I35" s="14"/>
      <c r="J35" s="12"/>
      <c r="K35" s="12"/>
      <c r="L35" s="12"/>
      <c r="M35" s="46">
        <v>42614</v>
      </c>
      <c r="N35" s="45">
        <v>0</v>
      </c>
      <c r="O35" s="57"/>
    </row>
    <row r="36" spans="1:15" ht="15.75" customHeight="1" x14ac:dyDescent="0.2">
      <c r="A36" s="1"/>
      <c r="C36" s="4">
        <v>41768</v>
      </c>
      <c r="D36" s="4">
        <v>43025</v>
      </c>
      <c r="E36" s="5">
        <f>E32</f>
        <v>145472.20000000001</v>
      </c>
      <c r="F36" s="6">
        <f t="shared" ref="F36" si="6">DAYS360(C36,D36)+1</f>
        <v>1239</v>
      </c>
      <c r="G36" s="13">
        <f>(E36*F36)/720</f>
        <v>250333.41083333336</v>
      </c>
      <c r="I36" s="32"/>
      <c r="J36" s="12"/>
      <c r="K36" s="12"/>
      <c r="L36" s="12"/>
      <c r="M36" s="46">
        <v>42644</v>
      </c>
      <c r="N36" s="45">
        <v>34444</v>
      </c>
      <c r="O36" s="57"/>
    </row>
    <row r="37" spans="1:15" ht="15.75" customHeight="1" x14ac:dyDescent="0.2">
      <c r="A37" s="1"/>
      <c r="C37" s="62" t="s">
        <v>2</v>
      </c>
      <c r="D37" s="62"/>
      <c r="E37" s="62"/>
      <c r="F37" s="62"/>
      <c r="G37" s="8">
        <f>G36</f>
        <v>250333.41083333336</v>
      </c>
      <c r="I37" s="31"/>
      <c r="J37" s="12"/>
      <c r="K37" s="12"/>
      <c r="L37" s="12"/>
      <c r="M37" s="46">
        <v>42675</v>
      </c>
      <c r="N37" s="45">
        <v>139444</v>
      </c>
      <c r="O37" s="57"/>
    </row>
    <row r="38" spans="1:15" ht="15.75" customHeight="1" x14ac:dyDescent="0.2">
      <c r="A38" s="1"/>
      <c r="H38" s="9"/>
      <c r="I38" s="14"/>
      <c r="J38" s="12"/>
      <c r="K38" s="12"/>
      <c r="L38" s="12"/>
      <c r="M38" s="46">
        <v>42705</v>
      </c>
      <c r="N38" s="45">
        <v>195000</v>
      </c>
      <c r="O38" s="57"/>
    </row>
    <row r="39" spans="1:15" ht="15.75" customHeight="1" x14ac:dyDescent="0.2">
      <c r="A39" s="1"/>
      <c r="C39" s="63" t="s">
        <v>29</v>
      </c>
      <c r="D39" s="63"/>
      <c r="E39" s="63"/>
      <c r="F39" s="63"/>
      <c r="G39" s="63"/>
      <c r="H39" s="9"/>
      <c r="I39" s="14"/>
      <c r="J39" s="12"/>
      <c r="K39" s="12"/>
      <c r="L39" s="12"/>
      <c r="M39" s="46">
        <v>42736</v>
      </c>
      <c r="N39" s="45">
        <v>160556</v>
      </c>
      <c r="O39" s="58">
        <f>AVERAGE(N39:N48)</f>
        <v>145472.20000000001</v>
      </c>
    </row>
    <row r="40" spans="1:15" ht="15.75" customHeight="1" x14ac:dyDescent="0.2">
      <c r="A40" s="1"/>
      <c r="C40" s="7" t="s">
        <v>0</v>
      </c>
      <c r="D40" s="7" t="s">
        <v>1</v>
      </c>
      <c r="E40" s="7" t="s">
        <v>30</v>
      </c>
      <c r="F40" s="7" t="s">
        <v>3</v>
      </c>
      <c r="G40" s="47" t="s">
        <v>31</v>
      </c>
      <c r="H40" s="9"/>
      <c r="I40" s="14"/>
      <c r="J40" s="12"/>
      <c r="K40" s="12"/>
      <c r="L40" s="12"/>
      <c r="M40" s="46">
        <v>42767</v>
      </c>
      <c r="N40" s="45">
        <v>165556</v>
      </c>
      <c r="O40" s="59"/>
    </row>
    <row r="41" spans="1:15" ht="15.75" customHeight="1" x14ac:dyDescent="0.2">
      <c r="A41" s="1"/>
      <c r="C41" s="48">
        <v>42050</v>
      </c>
      <c r="D41" s="48">
        <v>42414</v>
      </c>
      <c r="E41" s="6">
        <v>757532</v>
      </c>
      <c r="F41" s="6">
        <f>DAYS360(C41,D41)+1</f>
        <v>360</v>
      </c>
      <c r="G41" s="6">
        <f>(E41/30)*F41</f>
        <v>9090384</v>
      </c>
      <c r="H41" s="9"/>
      <c r="I41" s="14"/>
      <c r="J41" s="12"/>
      <c r="K41" s="12"/>
      <c r="L41" s="12"/>
      <c r="M41" s="46">
        <v>42795</v>
      </c>
      <c r="N41" s="45">
        <v>110000</v>
      </c>
      <c r="O41" s="59"/>
    </row>
    <row r="42" spans="1:15" ht="15.75" customHeight="1" x14ac:dyDescent="0.2">
      <c r="A42" s="1"/>
      <c r="C42" s="48">
        <v>42415</v>
      </c>
      <c r="D42" s="48">
        <v>42780</v>
      </c>
      <c r="E42" s="6">
        <v>788979</v>
      </c>
      <c r="F42" s="6">
        <f t="shared" ref="F42:F43" si="7">DAYS360(C42,D42)+1</f>
        <v>360</v>
      </c>
      <c r="G42" s="6">
        <f t="shared" ref="G42:G43" si="8">(E42/30)*F42</f>
        <v>9467748</v>
      </c>
      <c r="H42" s="9"/>
      <c r="I42" s="14"/>
      <c r="J42" s="12"/>
      <c r="K42" s="12"/>
      <c r="L42" s="12"/>
      <c r="M42" s="46">
        <v>42826</v>
      </c>
      <c r="N42" s="45">
        <v>170000</v>
      </c>
      <c r="O42" s="59"/>
    </row>
    <row r="43" spans="1:15" x14ac:dyDescent="0.2">
      <c r="A43" s="1"/>
      <c r="B43" s="1"/>
      <c r="C43" s="48">
        <v>42781</v>
      </c>
      <c r="D43" s="48">
        <v>43025</v>
      </c>
      <c r="E43" s="13">
        <v>883189</v>
      </c>
      <c r="F43" s="13">
        <f t="shared" si="7"/>
        <v>243</v>
      </c>
      <c r="G43" s="13">
        <f t="shared" si="8"/>
        <v>7153830.9000000004</v>
      </c>
      <c r="J43" s="1"/>
      <c r="K43" s="1"/>
      <c r="L43" s="1"/>
      <c r="M43" s="46">
        <v>42856</v>
      </c>
      <c r="N43" s="45">
        <v>141375</v>
      </c>
      <c r="O43" s="59"/>
    </row>
    <row r="44" spans="1:15" x14ac:dyDescent="0.2">
      <c r="A44" s="1"/>
      <c r="B44" s="1"/>
      <c r="C44" s="62" t="s">
        <v>2</v>
      </c>
      <c r="D44" s="62"/>
      <c r="E44" s="62"/>
      <c r="F44" s="62"/>
      <c r="G44" s="8">
        <f>G43+G42+G41</f>
        <v>25711962.899999999</v>
      </c>
      <c r="J44" s="1"/>
      <c r="K44" s="1"/>
      <c r="L44" s="1"/>
      <c r="M44" s="46">
        <v>42887</v>
      </c>
      <c r="N44" s="45">
        <v>304125</v>
      </c>
      <c r="O44" s="59"/>
    </row>
    <row r="45" spans="1:15" x14ac:dyDescent="0.2">
      <c r="A45" s="1"/>
      <c r="B45" s="1"/>
      <c r="C45" s="49"/>
      <c r="D45" s="50"/>
      <c r="E45" s="51"/>
      <c r="F45" s="51"/>
      <c r="G45" s="51"/>
      <c r="J45" s="1"/>
      <c r="K45" s="1"/>
      <c r="L45" s="1"/>
      <c r="M45" s="46">
        <v>42917</v>
      </c>
      <c r="N45" s="45">
        <v>92296</v>
      </c>
      <c r="O45" s="59"/>
    </row>
    <row r="46" spans="1:15" ht="14.25" customHeight="1" x14ac:dyDescent="0.2">
      <c r="A46" s="1"/>
      <c r="B46" s="1"/>
      <c r="C46" s="63" t="s">
        <v>35</v>
      </c>
      <c r="D46" s="63"/>
      <c r="E46" s="63"/>
      <c r="F46" s="63"/>
      <c r="G46" s="63"/>
      <c r="J46" s="1"/>
      <c r="K46" s="1"/>
      <c r="L46" s="1"/>
      <c r="M46" s="46">
        <v>42948</v>
      </c>
      <c r="N46" s="45">
        <v>66938</v>
      </c>
      <c r="O46" s="59"/>
    </row>
    <row r="47" spans="1:15" x14ac:dyDescent="0.2">
      <c r="A47" s="1"/>
      <c r="B47" s="1"/>
      <c r="C47" s="36" t="s">
        <v>0</v>
      </c>
      <c r="D47" s="36" t="s">
        <v>1</v>
      </c>
      <c r="E47" s="36" t="s">
        <v>34</v>
      </c>
      <c r="F47" s="36" t="s">
        <v>3</v>
      </c>
      <c r="G47" s="37" t="s">
        <v>31</v>
      </c>
      <c r="J47" s="1"/>
      <c r="K47" s="1"/>
      <c r="L47" s="1"/>
      <c r="M47" s="46">
        <v>42979</v>
      </c>
      <c r="N47" s="45">
        <v>106938</v>
      </c>
      <c r="O47" s="59"/>
    </row>
    <row r="48" spans="1:15" x14ac:dyDescent="0.2">
      <c r="A48" s="1"/>
      <c r="B48" s="1"/>
      <c r="C48" s="38">
        <v>43026</v>
      </c>
      <c r="D48" s="38">
        <v>45475</v>
      </c>
      <c r="E48" s="39">
        <f>+G33+G26+G19</f>
        <v>1041885.6604814199</v>
      </c>
      <c r="F48" s="39">
        <f>DAYS360(C48,D48)</f>
        <v>2414</v>
      </c>
      <c r="G48" s="39">
        <v>1876909</v>
      </c>
      <c r="J48" s="1"/>
      <c r="K48" s="1"/>
      <c r="L48" s="1"/>
      <c r="M48" s="46">
        <v>43009</v>
      </c>
      <c r="N48" s="45">
        <v>136938</v>
      </c>
      <c r="O48" s="60"/>
    </row>
    <row r="49" spans="1:15" x14ac:dyDescent="0.2">
      <c r="A49" s="1"/>
      <c r="B49" s="1"/>
      <c r="C49" s="56" t="s">
        <v>2</v>
      </c>
      <c r="D49" s="56"/>
      <c r="E49" s="56"/>
      <c r="F49" s="56"/>
      <c r="G49" s="55">
        <f>SUM(G48:G48)</f>
        <v>1876909</v>
      </c>
      <c r="J49" s="1"/>
      <c r="K49" s="1"/>
      <c r="L49" s="1"/>
      <c r="M49" s="40"/>
    </row>
    <row r="50" spans="1:15" x14ac:dyDescent="0.2">
      <c r="A50" s="1"/>
      <c r="B50" s="1"/>
      <c r="J50" s="1"/>
      <c r="K50" s="1"/>
      <c r="L50" s="1"/>
      <c r="M50" s="40"/>
    </row>
    <row r="51" spans="1:15" ht="13.5" customHeight="1" x14ac:dyDescent="0.2">
      <c r="A51" s="1"/>
      <c r="B51" s="1"/>
      <c r="C51" s="76" t="s">
        <v>8</v>
      </c>
      <c r="D51" s="77"/>
      <c r="E51" s="77"/>
      <c r="F51" s="77"/>
      <c r="G51" s="77"/>
      <c r="H51" s="77"/>
      <c r="I51" s="77"/>
      <c r="J51" s="77"/>
      <c r="K51" s="78"/>
      <c r="L51" s="1"/>
      <c r="M51" s="40"/>
    </row>
    <row r="52" spans="1:15" x14ac:dyDescent="0.2">
      <c r="A52" s="1"/>
      <c r="B52" s="1"/>
      <c r="C52" s="79"/>
      <c r="D52" s="79"/>
      <c r="E52" s="79"/>
      <c r="F52" s="19" t="s">
        <v>9</v>
      </c>
      <c r="G52" s="19" t="s">
        <v>10</v>
      </c>
      <c r="H52" s="19" t="s">
        <v>11</v>
      </c>
      <c r="I52" s="33"/>
      <c r="J52" s="20" t="s">
        <v>12</v>
      </c>
      <c r="K52" s="20"/>
      <c r="L52" s="1"/>
      <c r="M52" s="40"/>
    </row>
    <row r="53" spans="1:15" x14ac:dyDescent="0.2">
      <c r="A53" s="1"/>
      <c r="B53" s="1"/>
      <c r="C53" s="72" t="s">
        <v>13</v>
      </c>
      <c r="D53" s="72"/>
      <c r="E53" s="72"/>
      <c r="F53" s="21">
        <v>2017</v>
      </c>
      <c r="G53" s="21">
        <v>10</v>
      </c>
      <c r="H53" s="22">
        <v>17</v>
      </c>
      <c r="I53" s="22"/>
      <c r="J53" s="23" t="s">
        <v>14</v>
      </c>
      <c r="K53" s="24" t="s">
        <v>15</v>
      </c>
      <c r="L53" s="1"/>
      <c r="M53" s="40"/>
    </row>
    <row r="54" spans="1:15" x14ac:dyDescent="0.2">
      <c r="A54" s="1"/>
      <c r="B54" s="1"/>
      <c r="C54" s="72" t="s">
        <v>16</v>
      </c>
      <c r="D54" s="72"/>
      <c r="E54" s="72"/>
      <c r="F54" s="25">
        <v>2014</v>
      </c>
      <c r="G54" s="25">
        <v>5</v>
      </c>
      <c r="H54" s="26">
        <v>4</v>
      </c>
      <c r="I54" s="26"/>
      <c r="J54" s="27">
        <f>(F53-F54)*360+(G53-G54)*30+(H53-H54+1)</f>
        <v>1244</v>
      </c>
      <c r="K54" s="28">
        <f>J54/360</f>
        <v>3.4555555555555557</v>
      </c>
      <c r="L54" s="1"/>
      <c r="M54" s="40"/>
    </row>
    <row r="55" spans="1:15" ht="13.5" customHeight="1" x14ac:dyDescent="0.2">
      <c r="A55" s="1"/>
      <c r="B55" s="1"/>
      <c r="C55" s="72" t="s">
        <v>17</v>
      </c>
      <c r="D55" s="72"/>
      <c r="E55" s="72"/>
      <c r="F55" s="80">
        <v>883190</v>
      </c>
      <c r="G55" s="81"/>
      <c r="H55" s="81"/>
      <c r="I55" s="81"/>
      <c r="J55" s="81"/>
      <c r="K55" s="82"/>
      <c r="L55" s="1"/>
      <c r="M55" s="40"/>
    </row>
    <row r="56" spans="1:15" x14ac:dyDescent="0.2">
      <c r="A56" s="1"/>
      <c r="B56" s="1"/>
      <c r="C56" s="72" t="s">
        <v>18</v>
      </c>
      <c r="D56" s="72"/>
      <c r="E56" s="72"/>
      <c r="F56" s="73">
        <f>F55/30</f>
        <v>29439.666666666668</v>
      </c>
      <c r="G56" s="74"/>
      <c r="H56" s="74"/>
      <c r="I56" s="74"/>
      <c r="J56" s="74"/>
      <c r="K56" s="75"/>
      <c r="L56" s="1"/>
      <c r="M56" s="40"/>
    </row>
    <row r="57" spans="1:15" x14ac:dyDescent="0.2">
      <c r="A57" s="1"/>
      <c r="B57" s="1"/>
      <c r="C57" s="72" t="s">
        <v>19</v>
      </c>
      <c r="D57" s="72"/>
      <c r="E57" s="72"/>
      <c r="F57" s="73">
        <f>F55</f>
        <v>883190</v>
      </c>
      <c r="G57" s="74"/>
      <c r="H57" s="74"/>
      <c r="I57" s="74"/>
      <c r="J57" s="74"/>
      <c r="K57" s="75"/>
      <c r="L57" s="1"/>
      <c r="M57" s="40"/>
    </row>
    <row r="58" spans="1:15" x14ac:dyDescent="0.2">
      <c r="A58" s="1"/>
      <c r="B58" s="1"/>
      <c r="C58" s="72" t="s">
        <v>20</v>
      </c>
      <c r="D58" s="72"/>
      <c r="E58" s="72"/>
      <c r="F58" s="29">
        <f>K54-1</f>
        <v>2.4555555555555557</v>
      </c>
      <c r="G58" s="73">
        <f>F58*20*F56</f>
        <v>1445814.7407407409</v>
      </c>
      <c r="H58" s="74"/>
      <c r="I58" s="74"/>
      <c r="J58" s="74"/>
      <c r="K58" s="75"/>
      <c r="L58" s="1"/>
      <c r="M58" s="40"/>
    </row>
    <row r="59" spans="1:15" x14ac:dyDescent="0.2">
      <c r="A59" s="1"/>
      <c r="B59" s="1"/>
      <c r="C59" s="68" t="s">
        <v>21</v>
      </c>
      <c r="D59" s="68"/>
      <c r="E59" s="68"/>
      <c r="F59" s="30"/>
      <c r="G59" s="69">
        <f>F57+G58</f>
        <v>2329004.7407407407</v>
      </c>
      <c r="H59" s="70"/>
      <c r="I59" s="70"/>
      <c r="J59" s="70"/>
      <c r="K59" s="71"/>
      <c r="M59" s="40"/>
    </row>
    <row r="60" spans="1:15" x14ac:dyDescent="0.2">
      <c r="A60" s="1"/>
      <c r="B60" s="1"/>
      <c r="C60" s="10"/>
      <c r="D60" s="10"/>
      <c r="E60" s="10"/>
      <c r="F60" s="10"/>
      <c r="G60" s="14"/>
      <c r="H60" s="42"/>
      <c r="I60" s="42"/>
      <c r="O60" s="52"/>
    </row>
    <row r="61" spans="1:15" x14ac:dyDescent="0.2">
      <c r="A61" s="1"/>
      <c r="B61" s="1"/>
      <c r="C61" s="65" t="s">
        <v>22</v>
      </c>
      <c r="D61" s="66"/>
      <c r="E61" s="66"/>
      <c r="F61" s="67"/>
      <c r="G61" s="15">
        <f>G59+G49+G44+G37+G33+G26+G19</f>
        <v>31210095.712055493</v>
      </c>
      <c r="H61" s="42"/>
      <c r="I61" s="42"/>
      <c r="O61" s="52"/>
    </row>
    <row r="62" spans="1:15" x14ac:dyDescent="0.2">
      <c r="A62" s="1"/>
      <c r="B62" s="1"/>
      <c r="H62" s="42"/>
      <c r="I62" s="42"/>
      <c r="O62" s="52"/>
    </row>
    <row r="63" spans="1:15" x14ac:dyDescent="0.2">
      <c r="B63" s="2"/>
      <c r="C63" s="2"/>
      <c r="D63" s="2"/>
      <c r="E63" s="2"/>
      <c r="F63" s="2"/>
      <c r="G63" s="2"/>
      <c r="H63" s="42"/>
      <c r="I63" s="42"/>
      <c r="O63" s="52"/>
    </row>
    <row r="64" spans="1:15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4"/>
      <c r="O64" s="52"/>
    </row>
    <row r="65" spans="2:15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4"/>
      <c r="O65" s="52"/>
    </row>
    <row r="66" spans="2:15" x14ac:dyDescent="0.2">
      <c r="O66" s="52"/>
    </row>
    <row r="67" spans="2:15" x14ac:dyDescent="0.2">
      <c r="O67" s="52"/>
    </row>
    <row r="68" spans="2:15" x14ac:dyDescent="0.2">
      <c r="O68" s="52"/>
    </row>
    <row r="69" spans="2:15" x14ac:dyDescent="0.2">
      <c r="O69" s="52"/>
    </row>
    <row r="70" spans="2:15" x14ac:dyDescent="0.2">
      <c r="O70" s="52"/>
    </row>
    <row r="71" spans="2:15" x14ac:dyDescent="0.2">
      <c r="O71" s="52"/>
    </row>
    <row r="72" spans="2:15" x14ac:dyDescent="0.2">
      <c r="O72" s="52"/>
    </row>
    <row r="73" spans="2:15" x14ac:dyDescent="0.2">
      <c r="O73" s="52"/>
    </row>
    <row r="74" spans="2:15" x14ac:dyDescent="0.2">
      <c r="O74" s="52"/>
    </row>
  </sheetData>
  <mergeCells count="29">
    <mergeCell ref="C5:G5"/>
    <mergeCell ref="C61:F61"/>
    <mergeCell ref="C59:E59"/>
    <mergeCell ref="G59:K59"/>
    <mergeCell ref="C56:E56"/>
    <mergeCell ref="F56:K56"/>
    <mergeCell ref="C57:E57"/>
    <mergeCell ref="F57:K57"/>
    <mergeCell ref="C58:E58"/>
    <mergeCell ref="G58:K58"/>
    <mergeCell ref="C51:K51"/>
    <mergeCell ref="C52:E52"/>
    <mergeCell ref="C53:E53"/>
    <mergeCell ref="C54:E54"/>
    <mergeCell ref="C55:E55"/>
    <mergeCell ref="F55:K55"/>
    <mergeCell ref="C49:F49"/>
    <mergeCell ref="J7:K15"/>
    <mergeCell ref="O10:O14"/>
    <mergeCell ref="O15:O26"/>
    <mergeCell ref="O27:O38"/>
    <mergeCell ref="O39:O48"/>
    <mergeCell ref="M7:O8"/>
    <mergeCell ref="C37:F37"/>
    <mergeCell ref="C7:E7"/>
    <mergeCell ref="C39:G39"/>
    <mergeCell ref="C44:F44"/>
    <mergeCell ref="C46:G46"/>
    <mergeCell ref="J18:K23"/>
  </mergeCells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2024-07-04T19:10:44Z</dcterms:modified>
  <cp:category/>
  <cp:contentStatus/>
</cp:coreProperties>
</file>