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WWG00M.ROOTDOM.NET\BFS-HOME\CE01959-R0244583\ICM\Desktop\Ercilia\"/>
    </mc:Choice>
  </mc:AlternateContent>
  <xr:revisionPtr revIDLastSave="0" documentId="8_{F5FCBD3A-BD8D-4393-859B-4993B1385BD2}" xr6:coauthVersionLast="36" xr6:coauthVersionMax="36" xr10:uidLastSave="{00000000-0000-0000-0000-000000000000}"/>
  <bookViews>
    <workbookView xWindow="-120" yWindow="-120" windowWidth="20730" windowHeight="11160" xr2:uid="{00000000-000D-0000-FFFF-FFFF00000000}"/>
  </bookViews>
  <sheets>
    <sheet name="Pérdida" sheetId="5" r:id="rId1"/>
  </sheets>
  <definedNames>
    <definedName name="_xlnm._FilterDatabase" localSheetId="0" hidden="1">Pérdida!$A$9:$I$128</definedName>
    <definedName name="_xlnm.Print_Area" localSheetId="0">Pérdida!$A$10:$I$126</definedName>
    <definedName name="_xlnm.Print_Titles" localSheetId="0">Pérdida!$1:$9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5" l="1"/>
  <c r="F71" i="5"/>
  <c r="G11" i="5"/>
  <c r="G12" i="5"/>
  <c r="G13" i="5"/>
  <c r="G17" i="5"/>
  <c r="G19" i="5"/>
  <c r="G39" i="5"/>
  <c r="G45" i="5"/>
  <c r="G46" i="5"/>
  <c r="G54" i="5"/>
  <c r="G55" i="5"/>
  <c r="G56" i="5"/>
  <c r="G57" i="5"/>
  <c r="G59" i="5"/>
  <c r="G60" i="5"/>
  <c r="G64" i="5"/>
  <c r="G65" i="5"/>
  <c r="G69" i="5"/>
  <c r="G71" i="5"/>
  <c r="G90" i="5"/>
  <c r="G91" i="5" s="1"/>
  <c r="G93" i="5"/>
  <c r="G94" i="5"/>
  <c r="G95" i="5"/>
  <c r="G102" i="5"/>
  <c r="G103" i="5"/>
  <c r="G105" i="5"/>
  <c r="G108" i="5" s="1"/>
  <c r="G112" i="5"/>
  <c r="H67" i="5"/>
  <c r="G97" i="5" l="1"/>
  <c r="G72" i="5"/>
  <c r="G67" i="5"/>
  <c r="G20" i="5"/>
  <c r="H85" i="5"/>
  <c r="H100" i="5" l="1"/>
  <c r="H101" i="5"/>
  <c r="H99" i="5"/>
  <c r="H103" i="5" l="1"/>
  <c r="H13" i="5"/>
  <c r="H112" i="5"/>
  <c r="H108" i="5"/>
  <c r="H91" i="5"/>
  <c r="H72" i="5"/>
  <c r="H62" i="5"/>
  <c r="H37" i="5"/>
  <c r="H74" i="5"/>
  <c r="H51" i="5"/>
  <c r="F94" i="5" l="1"/>
  <c r="H94" i="5" l="1"/>
  <c r="H97" i="5" s="1"/>
  <c r="H39" i="5"/>
  <c r="H43" i="5" s="1"/>
  <c r="H12" i="5"/>
  <c r="H20" i="5" s="1"/>
  <c r="F111" i="5" l="1"/>
  <c r="F110" i="5"/>
  <c r="F65" i="5"/>
  <c r="F54" i="5"/>
  <c r="F55" i="5"/>
  <c r="F56" i="5"/>
  <c r="F57" i="5"/>
  <c r="F58" i="5"/>
  <c r="G58" i="5" s="1"/>
  <c r="F59" i="5"/>
  <c r="F60" i="5"/>
  <c r="F53" i="5"/>
  <c r="G53" i="5" s="1"/>
  <c r="F35" i="5"/>
  <c r="F18" i="5"/>
  <c r="F107" i="5"/>
  <c r="F106" i="5"/>
  <c r="F105" i="5"/>
  <c r="F102" i="5"/>
  <c r="F101" i="5"/>
  <c r="F100" i="5"/>
  <c r="F99" i="5"/>
  <c r="F96" i="5"/>
  <c r="F95" i="5"/>
  <c r="F93" i="5"/>
  <c r="F90" i="5"/>
  <c r="F89" i="5"/>
  <c r="F88" i="5"/>
  <c r="F87" i="5"/>
  <c r="F83" i="5"/>
  <c r="F82" i="5"/>
  <c r="F81" i="5"/>
  <c r="F78" i="5"/>
  <c r="G78" i="5" s="1"/>
  <c r="G79" i="5" s="1"/>
  <c r="F77" i="5"/>
  <c r="F76" i="5"/>
  <c r="F75" i="5"/>
  <c r="F74" i="5"/>
  <c r="F70" i="5"/>
  <c r="F69" i="5"/>
  <c r="F66" i="5"/>
  <c r="F64" i="5"/>
  <c r="F50" i="5"/>
  <c r="F49" i="5"/>
  <c r="G49" i="5" s="1"/>
  <c r="F48" i="5"/>
  <c r="G48" i="5" s="1"/>
  <c r="F47" i="5"/>
  <c r="G47" i="5" s="1"/>
  <c r="F46" i="5"/>
  <c r="F45" i="5"/>
  <c r="F42" i="5"/>
  <c r="G42" i="5" s="1"/>
  <c r="G43" i="5" s="1"/>
  <c r="F41" i="5"/>
  <c r="F40" i="5"/>
  <c r="F39" i="5"/>
  <c r="F36" i="5"/>
  <c r="G36" i="5" s="1"/>
  <c r="F33" i="5"/>
  <c r="F32" i="5"/>
  <c r="F31" i="5"/>
  <c r="F30" i="5"/>
  <c r="G30" i="5" s="1"/>
  <c r="G37" i="5" s="1"/>
  <c r="F27" i="5"/>
  <c r="F26" i="5"/>
  <c r="F25" i="5"/>
  <c r="F24" i="5"/>
  <c r="F23" i="5"/>
  <c r="F22" i="5"/>
  <c r="F19" i="5"/>
  <c r="F17" i="5"/>
  <c r="F16" i="5"/>
  <c r="F15" i="5"/>
  <c r="F14" i="5"/>
  <c r="F13" i="5"/>
  <c r="F12" i="5"/>
  <c r="F11" i="5"/>
  <c r="G62" i="5" l="1"/>
  <c r="G51" i="5"/>
  <c r="G116" i="5" s="1"/>
  <c r="H78" i="5"/>
  <c r="H79" i="5" s="1"/>
  <c r="H116" i="5" s="1"/>
  <c r="F97" i="5"/>
  <c r="F103" i="5"/>
  <c r="F91" i="5"/>
  <c r="F85" i="5"/>
  <c r="F72" i="5"/>
  <c r="F67" i="5"/>
  <c r="F79" i="5"/>
  <c r="F62" i="5"/>
  <c r="F51" i="5"/>
  <c r="F43" i="5"/>
  <c r="F37" i="5"/>
  <c r="F28" i="5"/>
  <c r="F20" i="5"/>
  <c r="F108" i="5"/>
  <c r="G119" i="5" l="1"/>
  <c r="G120" i="5"/>
  <c r="G118" i="5"/>
  <c r="H120" i="5"/>
  <c r="F116" i="5"/>
  <c r="G121" i="5" l="1"/>
  <c r="G122" i="5" s="1"/>
  <c r="G124" i="5" s="1"/>
  <c r="G125" i="5" s="1"/>
  <c r="G126" i="5" s="1"/>
  <c r="H119" i="5"/>
  <c r="H118" i="5"/>
  <c r="F120" i="5"/>
  <c r="F123" i="5" s="1"/>
  <c r="F118" i="5"/>
  <c r="F119" i="5"/>
  <c r="H121" i="5" l="1"/>
  <c r="F121" i="5"/>
  <c r="H122" i="5" l="1"/>
  <c r="H124" i="5" s="1"/>
  <c r="H125" i="5" s="1"/>
  <c r="H126" i="5" s="1"/>
  <c r="F122" i="5"/>
  <c r="F124" i="5"/>
</calcChain>
</file>

<file path=xl/sharedStrings.xml><?xml version="1.0" encoding="utf-8"?>
<sst xmlns="http://schemas.openxmlformats.org/spreadsheetml/2006/main" count="357" uniqueCount="259">
  <si>
    <t>DESCRIPCION</t>
  </si>
  <si>
    <t>UND</t>
  </si>
  <si>
    <t>CANT</t>
  </si>
  <si>
    <t>ITEM</t>
  </si>
  <si>
    <t>m2</t>
  </si>
  <si>
    <t>1.1</t>
  </si>
  <si>
    <t>ml</t>
  </si>
  <si>
    <t>m3</t>
  </si>
  <si>
    <t>I</t>
  </si>
  <si>
    <t>1.2</t>
  </si>
  <si>
    <t>1.3</t>
  </si>
  <si>
    <t>SUBTOTAL</t>
  </si>
  <si>
    <t>II</t>
  </si>
  <si>
    <t>2.1</t>
  </si>
  <si>
    <t>2.2</t>
  </si>
  <si>
    <t>2.3</t>
  </si>
  <si>
    <t>2.4</t>
  </si>
  <si>
    <t>2.5</t>
  </si>
  <si>
    <t>2.6</t>
  </si>
  <si>
    <t>Un</t>
  </si>
  <si>
    <t>III</t>
  </si>
  <si>
    <t>ESTRUCTURAS</t>
  </si>
  <si>
    <t>3.1</t>
  </si>
  <si>
    <t>3.2</t>
  </si>
  <si>
    <t>3.3</t>
  </si>
  <si>
    <t>3.4</t>
  </si>
  <si>
    <t>3.5</t>
  </si>
  <si>
    <t>3.6</t>
  </si>
  <si>
    <t>3.7</t>
  </si>
  <si>
    <t>REFORZAMIENTO DE ESTRUCTURAS</t>
  </si>
  <si>
    <t>IV</t>
  </si>
  <si>
    <t>4.1</t>
  </si>
  <si>
    <t>4.2</t>
  </si>
  <si>
    <t>4.3</t>
  </si>
  <si>
    <t>4.4</t>
  </si>
  <si>
    <t>INSTALACIONES ELECTRICAS</t>
  </si>
  <si>
    <t>V</t>
  </si>
  <si>
    <t>5.1</t>
  </si>
  <si>
    <t>Gl</t>
  </si>
  <si>
    <t>5.2</t>
  </si>
  <si>
    <t>5.3</t>
  </si>
  <si>
    <t>5.4</t>
  </si>
  <si>
    <t>5.5</t>
  </si>
  <si>
    <t>5.6</t>
  </si>
  <si>
    <t>Tableros parciales</t>
  </si>
  <si>
    <t>VI</t>
  </si>
  <si>
    <t>6.1</t>
  </si>
  <si>
    <t>VII</t>
  </si>
  <si>
    <t>7.1</t>
  </si>
  <si>
    <t>7.2</t>
  </si>
  <si>
    <t>VIII</t>
  </si>
  <si>
    <t>8.1</t>
  </si>
  <si>
    <t>8.2</t>
  </si>
  <si>
    <t>8.3</t>
  </si>
  <si>
    <t>IX</t>
  </si>
  <si>
    <t>9.1</t>
  </si>
  <si>
    <t>9.2</t>
  </si>
  <si>
    <t>9.3</t>
  </si>
  <si>
    <t>9.4</t>
  </si>
  <si>
    <t>9.5</t>
  </si>
  <si>
    <t>CUBIERTAS Y CIELORASOS</t>
  </si>
  <si>
    <t>X</t>
  </si>
  <si>
    <t>10.1</t>
  </si>
  <si>
    <t>10.2</t>
  </si>
  <si>
    <t>10.3</t>
  </si>
  <si>
    <t>XI</t>
  </si>
  <si>
    <t>11.1</t>
  </si>
  <si>
    <t>11.2</t>
  </si>
  <si>
    <t>11.3</t>
  </si>
  <si>
    <t>XII</t>
  </si>
  <si>
    <t>12.1</t>
  </si>
  <si>
    <t>12.2</t>
  </si>
  <si>
    <t>XIII</t>
  </si>
  <si>
    <t>13.1</t>
  </si>
  <si>
    <t>13.2</t>
  </si>
  <si>
    <t>13.3</t>
  </si>
  <si>
    <t>13.4</t>
  </si>
  <si>
    <t>Estuco sobre muros</t>
  </si>
  <si>
    <t>XIV</t>
  </si>
  <si>
    <t>APARATOS SANITARIOS</t>
  </si>
  <si>
    <t>TOTAL DE COSTOS DIRECTOS</t>
  </si>
  <si>
    <t>COSTOS INDIRECTOS</t>
  </si>
  <si>
    <t>ADMINISTRACION</t>
  </si>
  <si>
    <t>IMPREVISTOS</t>
  </si>
  <si>
    <t>UTILIDAD</t>
  </si>
  <si>
    <t>TOTAL DE COSTOS INDIRECTOS</t>
  </si>
  <si>
    <t>1.4</t>
  </si>
  <si>
    <t>1.6</t>
  </si>
  <si>
    <t>1.7</t>
  </si>
  <si>
    <t>1.9</t>
  </si>
  <si>
    <t>Observaciones SDR</t>
  </si>
  <si>
    <t>No esta afectada por el incendio</t>
  </si>
  <si>
    <t>Se reconoce precio unitario y cantidades del asegurado</t>
  </si>
  <si>
    <t>Se reconoce precio del mercado</t>
  </si>
  <si>
    <t>ML</t>
  </si>
  <si>
    <t>Suministro e instalación de lavamanos</t>
  </si>
  <si>
    <t>12.3</t>
  </si>
  <si>
    <t>12.4</t>
  </si>
  <si>
    <t>Vidrios 4 mm</t>
  </si>
  <si>
    <t>6.2</t>
  </si>
  <si>
    <t>Columnetas de confinamiento elementos no estructurales (12*30)</t>
  </si>
  <si>
    <t>6.3</t>
  </si>
  <si>
    <t>Puntos de salida fuerza</t>
  </si>
  <si>
    <t>Cielorasos en lamina de yeso B/cubierta</t>
  </si>
  <si>
    <t>11.4</t>
  </si>
  <si>
    <t>Pisos en baldosa de granito tipo alfa pulido al plomo</t>
  </si>
  <si>
    <t>Pisos en baldosas de ceramica</t>
  </si>
  <si>
    <t>Divisiones para baño en acero</t>
  </si>
  <si>
    <t>Demolición de cubiertas y estructuras</t>
  </si>
  <si>
    <t>OBRAS PRELIMINARES Y DEMOLICIONES</t>
  </si>
  <si>
    <t>1.5</t>
  </si>
  <si>
    <t>1.8</t>
  </si>
  <si>
    <t>Demolición muros</t>
  </si>
  <si>
    <t>Demolición entre piso de madera</t>
  </si>
  <si>
    <t>Demolición entre piso de concreto</t>
  </si>
  <si>
    <t>Demolición columna de concreto</t>
  </si>
  <si>
    <t>Demolición vigas de concreto</t>
  </si>
  <si>
    <t>Desmonte y retiro de ventanería metálica</t>
  </si>
  <si>
    <t>Desmonte y retiro de carpintería metálica</t>
  </si>
  <si>
    <t>UN</t>
  </si>
  <si>
    <t>Localización y replanteo</t>
  </si>
  <si>
    <t>Excavación en material común</t>
  </si>
  <si>
    <t xml:space="preserve">Concreto clase 3500 psi para estructura de cimentación </t>
  </si>
  <si>
    <t>Concreto clase 3500 psi para reforzamiento de columnas</t>
  </si>
  <si>
    <t xml:space="preserve">Concreto clase 3500 psi para reforzamiento de vigas </t>
  </si>
  <si>
    <t>Acero refuerzo Fy:60000</t>
  </si>
  <si>
    <t>KLS</t>
  </si>
  <si>
    <t>Concreto 3500 psi para columnas</t>
  </si>
  <si>
    <t xml:space="preserve">Concreto de 3500 psi para vigas de entrepiso </t>
  </si>
  <si>
    <t>Placa de entre piso, sistema lamina colaborante (steel Deck) Cal.20,2"</t>
  </si>
  <si>
    <t>Acero refuerzo FY:60000 psi para refuerzo de estructuras</t>
  </si>
  <si>
    <t>Estructura metalica en perfil cerrado, para cubiertas 15*30</t>
  </si>
  <si>
    <t>MAMPOSTERÍA</t>
  </si>
  <si>
    <t>Muros en ladrillo N° 5</t>
  </si>
  <si>
    <t>Dinteles en concreto (15*30)</t>
  </si>
  <si>
    <t>INSTALACIONES HIDROSANITARIAS</t>
  </si>
  <si>
    <t>Red sanitaria tubería PVC D=3" D=4"</t>
  </si>
  <si>
    <t>Puntos de salida hidraulicos D=1/2"</t>
  </si>
  <si>
    <t>Red hidraulica en tubería PVC D=1/2"</t>
  </si>
  <si>
    <t>Bajantes aguas lluvias D=3" INCL. Accesorios</t>
  </si>
  <si>
    <t>Puntos de salida sanitarios D=3" D=4"</t>
  </si>
  <si>
    <t>Cajas de inspección</t>
  </si>
  <si>
    <t>6.4</t>
  </si>
  <si>
    <t>6.5</t>
  </si>
  <si>
    <t>6.6</t>
  </si>
  <si>
    <t>6.7</t>
  </si>
  <si>
    <t>6.8</t>
  </si>
  <si>
    <t xml:space="preserve">Acometida general </t>
  </si>
  <si>
    <t>Tablero general</t>
  </si>
  <si>
    <t>Tablero de distribución</t>
  </si>
  <si>
    <t xml:space="preserve">Puntos de salida alumbrado </t>
  </si>
  <si>
    <t>Salidas especiales 220V</t>
  </si>
  <si>
    <t>Lamparas e incrustar en cielorasos</t>
  </si>
  <si>
    <t>ACABADOS DE MUROS</t>
  </si>
  <si>
    <t>7.3</t>
  </si>
  <si>
    <t>Pañete liso sobre muros interiores, incluye filos</t>
  </si>
  <si>
    <t>Pañete sobre vigas y columnas incluye filos</t>
  </si>
  <si>
    <t>Cubierta en teja arquitectonica, incluye accesorio de fijación</t>
  </si>
  <si>
    <t>Cielorasos en fibrocel I bajo placas</t>
  </si>
  <si>
    <t>PISOS Y GUARDAESCOBAS</t>
  </si>
  <si>
    <t>Mortero de nivelación para pisos</t>
  </si>
  <si>
    <t xml:space="preserve">Guardaescobas en tableta tipo alfa </t>
  </si>
  <si>
    <t>Guardaescoba en ceramica</t>
  </si>
  <si>
    <t>ENCHAPES Y REVESTIMIENTO</t>
  </si>
  <si>
    <t>Enchapes en baldosas de porcelana</t>
  </si>
  <si>
    <t>Pisos en balsodín de porcelana</t>
  </si>
  <si>
    <t>Suministro e instalación de sanitarios</t>
  </si>
  <si>
    <t>Suministro e instalación de lavaplatos en acero inoxidable</t>
  </si>
  <si>
    <t xml:space="preserve">Suministro e instalación juegos de incrustaciones </t>
  </si>
  <si>
    <t>PINTURAS</t>
  </si>
  <si>
    <t>Pintura al vinilo 3 manos sobre muros Viniltex</t>
  </si>
  <si>
    <t xml:space="preserve">Pintura tipo koraza para exteriores </t>
  </si>
  <si>
    <t xml:space="preserve">Pintura al esmalte para estructura metalica </t>
  </si>
  <si>
    <t>CARPINTERÍA</t>
  </si>
  <si>
    <t>Marcos metalicos para puertas</t>
  </si>
  <si>
    <t>Puertas en madera para interior</t>
  </si>
  <si>
    <t>Ventarería metalica incluye pintura</t>
  </si>
  <si>
    <t>LIMPIEZA GENERAL</t>
  </si>
  <si>
    <t>Aseo general</t>
  </si>
  <si>
    <t>Retiro de escombros de construcción</t>
  </si>
  <si>
    <t xml:space="preserve">Retiro de escombros de demolición </t>
  </si>
  <si>
    <t>IVA (UTILIDAD)</t>
  </si>
  <si>
    <t>No estan afectadas por el siniestro</t>
  </si>
  <si>
    <t>No esta afectado por el incendio</t>
  </si>
  <si>
    <t>Localización, demarcación y replanteo</t>
  </si>
  <si>
    <t>No aplica para las reparaciones</t>
  </si>
  <si>
    <t>Viguetas de confinamiento elementos no estructurales (12*30)</t>
  </si>
  <si>
    <t>Se reconoce el precio unitario y cantidades del asegurado</t>
  </si>
  <si>
    <t>Incluida en el ítem 7.1</t>
  </si>
  <si>
    <t>Se reconoce precio del mercado para 100 m3</t>
  </si>
  <si>
    <t>Desmonte y retiro aparatos sanitarios</t>
  </si>
  <si>
    <t>Reconocemos el desmontaje de piezas sanitarias afectadas en el segundo nivel, que corresponde a 4 piezas en total. El precio unitario reconocido es el reclamado por el asegurado.</t>
  </si>
  <si>
    <t>La cantidad reconocida corresponde al segundo nivel. El precio unitario del asegurado lo reconocemos.</t>
  </si>
  <si>
    <t>Solo se reconoce limpieza y posibles reparaciones en el primer nivel.</t>
  </si>
  <si>
    <t>Se reconoce precio unitario del asegurado y cantidades evidencias en sitio (2 UN en el segundo nivel) más limpieza de las piezas del primer nivel</t>
  </si>
  <si>
    <t>Se reconoce precio unitario del asegurado y cantidades evidencias en sitio (1 UN segundo nivel) y limpieza de la pieza del primer nivel</t>
  </si>
  <si>
    <t>Se reconocerá cuando sea demostrada la ejecución de la obra (reparaciones).</t>
  </si>
  <si>
    <t>Se reconocen algunos costos de revisiones y evaluaciones para ejecutar la reparacción</t>
  </si>
  <si>
    <t>Se reconoce precio unitario del asegurado y cantidades evidencias en sitio (2 baños del segundo nivel) más limpieza del primer nivel</t>
  </si>
  <si>
    <t>Pañete liso sobre muros exteriores impermeabilizados, incluye filos.</t>
  </si>
  <si>
    <t>No se afectó por el siniestro, ya que su instalación es subterránea.</t>
  </si>
  <si>
    <t>Asegurado: Gemma Straub Cadena</t>
  </si>
  <si>
    <t>Ocurrido: 15 de junio de 2020</t>
  </si>
  <si>
    <t>PARTIDAS NO RECLAMADAS POR EL ASEGURADO</t>
  </si>
  <si>
    <t>TOTAL</t>
  </si>
  <si>
    <t>Menos deducible (5% según póliza)</t>
  </si>
  <si>
    <t>Total estimado de la pérdida</t>
  </si>
  <si>
    <t>TOTAL ESTIMADOS</t>
  </si>
  <si>
    <t xml:space="preserve">Determinación de la pérdida </t>
  </si>
  <si>
    <t>VR/UNIT (COP.)</t>
  </si>
  <si>
    <t>Ref. Allianz:  91871515</t>
  </si>
  <si>
    <t>Ref. SDR.: 00021/2020 AB</t>
  </si>
  <si>
    <t>XV</t>
  </si>
  <si>
    <t>15.1</t>
  </si>
  <si>
    <t>15.2</t>
  </si>
  <si>
    <t>14.1</t>
  </si>
  <si>
    <t>14.2</t>
  </si>
  <si>
    <t>14.3</t>
  </si>
  <si>
    <t>Siniestro: Incendio en edificación</t>
  </si>
  <si>
    <t>Reclamo del Asegurado (COP.)</t>
  </si>
  <si>
    <t>Se reconoce precio unitario del asegurado y cantidad evidenciada en sitio (310 m2), la cual es superior a la reclamada.</t>
  </si>
  <si>
    <t>Se reconoce el reclamo del asegurado.</t>
  </si>
  <si>
    <t>Se reconoce un tablero de distribución como afectado y reconocemos el precio unitario del asegurado.</t>
  </si>
  <si>
    <t>Reconocemos el reclamo del asegurado.</t>
  </si>
  <si>
    <t>Observamos 5 tableros y están afectados por el incendio y por el agua de extinción, por lo tanto las cantidades reconocidas son más que las reclamadas.</t>
  </si>
  <si>
    <t xml:space="preserve">Se reconoce el precio unitario reclamado, y las cantidades medidas en el predio (superiores a las del asegurado), es decir 310 m2. </t>
  </si>
  <si>
    <t>La pérdida corresponde a las ventanas de la fachada, siendo la cantidad de esta partida 10m2. Se incluyen adicional 10m2 correspondiente a la ventaría metálica interna (segundo nivel). Reconocemos el precio unitario del asegurado.</t>
  </si>
  <si>
    <t>Se reconoce cantidades y precio unitario del asegurado</t>
  </si>
  <si>
    <t>Esta incluido en los items 13.1 y 13.3</t>
  </si>
  <si>
    <t>El asegurado no reclama esta partida, sin embargo, en nuestra opinión se requiere para la ejecución de la obra correspondiente a las reparaciones, por lo tanto reconocemos según precios  del mercado.</t>
  </si>
  <si>
    <t>Pérdida determinada presentada al asegurado en fecha 25-02-2021 (COP.)</t>
  </si>
  <si>
    <t xml:space="preserve">Se reconoce precio unitario y cantidades del asegurado que corresponde al segundo nivel. </t>
  </si>
  <si>
    <t>Se reconoce precio unitario del asegurado y cantidad evidenciada en sitio (138,60 m2) la cual es superior a la reclamada. Se reconocen 100 m2 de demolición de cerámica del piso del segundo nivel a precio del mercado COP 13.000.</t>
  </si>
  <si>
    <t>Suministro e instalación de cerramiento provisional en tela plástica verde y candados</t>
  </si>
  <si>
    <t>Permisos de ejecución  de las reparaciones, planes de manejo de tráfico y planes de manejo ambiental; ante Curaduria y/o solicitados por lasautoridades competentes de acuerdo a la legilación vigente.</t>
  </si>
  <si>
    <t>XVI</t>
  </si>
  <si>
    <t>ESCALERAS</t>
  </si>
  <si>
    <t>16.1</t>
  </si>
  <si>
    <t>Reclamo de escaleras</t>
  </si>
  <si>
    <t>Reconocemos por estas partidas lo correspondiente a limpieza, ya que no tiene daños que amerite reposiciones. Este gasto de limpieza está incluido dentro de la partida 14.1.</t>
  </si>
  <si>
    <t>Pérdida determinada incluyendo instalaciones (mejoras locativas) al 23-04-2021 actualizada al 08-06-2021   (COP.)</t>
  </si>
  <si>
    <t xml:space="preserve">En la comunicación del asegurado no se indica a que corresponden los 278 m2 de muros a demoler, sin embargo, debemos explicar lo siguiente: a) Inicialmente hemos reconocido 174 m2 de muros divisorios y perimetrales correspondientes al área con entre piso de madera. b) La afectación por el incendio del resto de los muros de la edificación corresponde solo a reparación de pañete, estuco y pintura. Por lo tanto, no se amerita demoler otros muros. No obstante a lo indicado en el punto a), observando las fotografías suministradas por el asegurado, luego de la limpieza y remoción de escombros, se evidencia que los 174 m2 de muros divisorios y perimetrales del área de entre piso de madera, no ameritan su demolición, observandose que ameritarian reparación de pañete, estuco y pintura. Sin embargo, tomando en cuenta que inicialmente se consideró esta pérdida, la aseguradora considera mantener dicho monto.  </t>
  </si>
  <si>
    <t xml:space="preserve">Se reconoce suministro e Instalación de estructura metálica para placa de entre piso en super board, incluye diseño y el piso de madera (140 m2 área de madera) a precios del mercado. Los 151 m2 indicados por el asegurado no se corresponden con las áreas medidas por nosotros según plano suministrado por el asegurado. El material que estamos reconociendo (superboard) aporta soluciones técnicas y constructivas para aplicaciones resistentes al impacto y a la húmedad. Es un material utilizado en terrazas en zonas húmedas, por lo que no tendría inconveniente para ser utilizado en la placa de entre piso.  </t>
  </si>
  <si>
    <t xml:space="preserve">Se reconoce: A)Suministro y construcción de muro en mampostería simple bloque de concreto (de acuerdo a la mamposteria existente segundo nivel). Correspondiente a muros divisorios donde se encuentra la placa de entrepiso en madera que se debe reponer. B) Suministro y construcción de muros perimetrales en mampostería simple bloque de concreto, del segundo nivel, en las áreas donde había piso de madera. Se reconoce aunque no se verificó la demolición y retiro de escombros del piso de madera. Área reconocida: 174 m2 y reconocemos el precio unitario del asegurado. </t>
  </si>
  <si>
    <t>Las vigas de concreto de estos muros no requieren demolición y la parte superior no cuenta con estas vigas de concreto.</t>
  </si>
  <si>
    <t xml:space="preserve">Respecto a los 170 ml que reclama el asegurado adicionalmente, no se reconocen porque no es necesario demoler las vigas entre el primer y segundo nivel y en la parte superior de los muros no existen vigas.  </t>
  </si>
  <si>
    <t xml:space="preserve">En este monto reconocido se incluye suministro e instalación de sistema de puesta a tierra, incluye cableado desnudo diferentes calibres, varillas, soldaduras , accesorios y todo lo necesario para la acometida eléctrica. El monto de COP. 8.000.000,00 reclamado ahora por el asegurado es superior a lo ofertado en el mercado en cuanto a cantidades y precio unitario. </t>
  </si>
  <si>
    <t>Se reconoce el precio unitario del asegurado y no se considera el pañete del primer nivel. Reconocemos lo correspondiente al segundo nivel  (261 m2, incluyendo muros, columnetas y vigas) que es lo afectado por el incendio. Las cantidades y precios reclamados adicionalmente por el asegurado, no corresponden con los daños ocasionados por el incendio. Las afectaciones que se evidencias en las fotografías entregadas por el asegurado, son atribuibles por haber estado la edificación a la intemperie (expuesta al agua y al sol), lo cual no es atribuible al incendio.</t>
  </si>
  <si>
    <t xml:space="preserve">No esta afectado por el incendio / No aplica. En la parte externa se reconoce Fachaleta para fachada del segundo nivel (mayolica) (Incluye andamio certificado). Se evidencia en las fotografías suministradas por el asegurado que no se requiere la demolición de este muro. Sin embargo, mantenemos el monto antes reconocido que corresponde a  22m2 a un precio unitario de COP. 53.000,00. </t>
  </si>
  <si>
    <t>Se reconoce el alistado del piso del segundo nivel en las afectaciones. Este monto reconocido es superior al reclamado por el asegurado cuyo monto es COP. 1.400.112,00. La cantidad indicada por Sideriesgos, se estimó, ya que, no fue posible hacer el levantamiento de medidas porque no se habían retirado los escombros. En tal caso, la aseguradora podría reconocer el monto reclamado.</t>
  </si>
  <si>
    <t xml:space="preserve">Solo reconocemos la limpieza y posibles reparaciones del piso del primer nivel, el cual no resultó afectado por el fuego, solamente por el agua de extinción que cayó sobre el mismo, siendo necesario solamente su limpieza. En esta partida también se incluye limpieza para el piso del segundo nivel.  </t>
  </si>
  <si>
    <t xml:space="preserve">Reconocemos las cantidades afectadas directamente por el siniestro a precio de mercado. Las cantidades reclamadas actualmente por el asegurado, no se corresponden con las cantidades medidas en campo.   </t>
  </si>
  <si>
    <t>Se reconoce precios unitarios del asegurado y las cantidades evidenciadas en el predio (50 m2). La fachada del inmueble es de fachaleta por lo tanto los 110 m2 reclamados por el asegurado no corresponden a las áreas medidas en campo.</t>
  </si>
  <si>
    <t>Como se muestra en las fotografías incluidas en la comunicación de fecha 07/06/2021, las escaleras no resultaron afectadas por el incendio, solo se amerita remoción de escombros y limpieza. Los pirlanes no estaban afectados, por lo tanto, no era necesario removerlos. Los daños que se observan en las fotografías suministradas por el asegurado, no son imputables al siniestro.</t>
  </si>
  <si>
    <t>Se reconoce lo reclamado por el asegurado</t>
  </si>
  <si>
    <t>Reconocemos lo correspondiente a canales de recolección de agua de lluvias en lámina calibre 18, los cuales resultaron afectados, aunque el asegurado no lo está reclamando. Precio unitario COP 55.000 y 62ml. Se reconoce el cielo raso en fibrocel I bajo placas.</t>
  </si>
  <si>
    <t xml:space="preserve">Se reconoce lo reclamado por el asegurado, en cuyo monto se incluyen parte de los vidrios afectados. </t>
  </si>
  <si>
    <t>Se reconoce vidrio de fachada del segundo nivel, precio unitario del asegurado y cantidades evidenciadas en sitio, incluyendo algunas en la partida 13.3.</t>
  </si>
  <si>
    <t>Reconocemos limpieza y posibles reparaciones en el piso del segundo nivel. Por el incendio no resultó afectada la totalidad de la cerámica del segundo nivel, en el monto reconocido estamos incluyendo el cambio de algunas cerámicas que pudieran estar afectadas.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</si>
</sst>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 #,##0.00_ ;_ * \-#,##0.00_ ;_ * &quot;-&quot;??_ ;_ @_ "/>
    <numFmt numFmtId="165" formatCode="_-&quot;$&quot;* #,##0_-;\-&quot;$&quot;* #,##0_-;_-&quot;$&quot;* &quot;-&quot;_-;_-@_-"/>
  </numFmts>
  <fonts count="8"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1"/>
      <color theme="1"/>
      <name val="Times New Roman"/>
      <family val="1"/>
    </font>
    <font>
      <sz val="11"/>
      <color theme="1"/>
      <name val="Times New Roman"/>
      <family val="1"/>
    </font>
    <font>
      <b/>
      <sz val="16"/>
      <color theme="1"/>
      <name val="Times New Roman"/>
      <family val="1"/>
    </font>
    <font>
      <b/>
      <sz val="14"/>
      <color theme="1"/>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style="hair">
        <color auto="1"/>
      </left>
      <right style="double">
        <color auto="1"/>
      </right>
      <top style="hair">
        <color auto="1"/>
      </top>
      <bottom style="double">
        <color auto="1"/>
      </bottom>
      <diagonal/>
    </border>
    <border>
      <left style="double">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107">
    <xf numFmtId="0" fontId="0" fillId="0" borderId="0" xfId="0"/>
    <xf numFmtId="0" fontId="2" fillId="2" borderId="0" xfId="0" applyFont="1" applyFill="1" applyBorder="1" applyAlignment="1">
      <alignment horizontal="left"/>
    </xf>
    <xf numFmtId="0" fontId="4" fillId="2" borderId="0" xfId="0" applyFont="1" applyFill="1" applyBorder="1" applyAlignment="1">
      <alignment horizontal="center"/>
    </xf>
    <xf numFmtId="4" fontId="4" fillId="2" borderId="0" xfId="0" applyNumberFormat="1" applyFont="1" applyFill="1" applyBorder="1" applyAlignment="1">
      <alignment horizontal="center"/>
    </xf>
    <xf numFmtId="4" fontId="5" fillId="2" borderId="0" xfId="2" applyNumberFormat="1" applyFont="1" applyFill="1" applyBorder="1"/>
    <xf numFmtId="0" fontId="5" fillId="2" borderId="0" xfId="0" applyFont="1" applyFill="1" applyBorder="1"/>
    <xf numFmtId="0" fontId="3" fillId="2" borderId="0" xfId="0" applyFont="1" applyFill="1" applyBorder="1" applyAlignment="1">
      <alignment horizontal="left"/>
    </xf>
    <xf numFmtId="4" fontId="5" fillId="2" borderId="0" xfId="2" applyNumberFormat="1" applyFont="1" applyFill="1" applyBorder="1" applyAlignment="1"/>
    <xf numFmtId="0" fontId="5" fillId="2" borderId="0" xfId="0" applyFont="1" applyFill="1" applyBorder="1" applyAlignment="1"/>
    <xf numFmtId="0" fontId="4" fillId="2" borderId="0" xfId="0" applyFont="1" applyFill="1" applyBorder="1" applyAlignment="1">
      <alignment horizontal="left"/>
    </xf>
    <xf numFmtId="0" fontId="4" fillId="2" borderId="0" xfId="0" applyFont="1" applyFill="1" applyAlignment="1">
      <alignment horizontal="left"/>
    </xf>
    <xf numFmtId="0" fontId="4" fillId="2" borderId="0" xfId="0" applyFont="1" applyFill="1" applyAlignment="1">
      <alignment horizontal="center"/>
    </xf>
    <xf numFmtId="4" fontId="4" fillId="2" borderId="0" xfId="0" applyNumberFormat="1" applyFont="1" applyFill="1" applyAlignment="1">
      <alignment horizontal="center"/>
    </xf>
    <xf numFmtId="4" fontId="5" fillId="2" borderId="0" xfId="2" applyNumberFormat="1" applyFont="1" applyFill="1" applyAlignment="1"/>
    <xf numFmtId="0" fontId="5" fillId="2" borderId="0" xfId="0" applyFont="1" applyFill="1" applyAlignment="1"/>
    <xf numFmtId="0" fontId="5" fillId="2" borderId="0" xfId="0" applyFont="1" applyFill="1" applyAlignment="1">
      <alignment vertical="center" wrapText="1"/>
    </xf>
    <xf numFmtId="0" fontId="5" fillId="2" borderId="0" xfId="0" applyFont="1" applyFill="1"/>
    <xf numFmtId="0" fontId="5" fillId="2" borderId="0" xfId="0" applyFont="1" applyFill="1" applyAlignment="1">
      <alignment wrapText="1"/>
    </xf>
    <xf numFmtId="0" fontId="4" fillId="2" borderId="0" xfId="0" applyFont="1" applyFill="1" applyAlignment="1">
      <alignment wrapText="1"/>
    </xf>
    <xf numFmtId="0" fontId="5" fillId="2" borderId="0" xfId="0" applyFont="1" applyFill="1" applyAlignment="1">
      <alignment horizontal="center"/>
    </xf>
    <xf numFmtId="4" fontId="5" fillId="2" borderId="0" xfId="0" applyNumberFormat="1" applyFont="1" applyFill="1"/>
    <xf numFmtId="4" fontId="5" fillId="2" borderId="0" xfId="2" applyNumberFormat="1" applyFont="1" applyFill="1"/>
    <xf numFmtId="0" fontId="7" fillId="2" borderId="0" xfId="0" applyFont="1" applyFill="1" applyAlignment="1">
      <alignment wrapText="1"/>
    </xf>
    <xf numFmtId="0" fontId="5" fillId="0" borderId="0" xfId="0" applyFont="1" applyFill="1" applyBorder="1"/>
    <xf numFmtId="0" fontId="5" fillId="0" borderId="0" xfId="0" applyFont="1" applyFill="1" applyBorder="1" applyAlignment="1"/>
    <xf numFmtId="0" fontId="5" fillId="0" borderId="0" xfId="0" applyFont="1" applyFill="1" applyAlignment="1"/>
    <xf numFmtId="0" fontId="5" fillId="0" borderId="0" xfId="0" applyFont="1" applyFill="1"/>
    <xf numFmtId="0" fontId="5" fillId="0" borderId="0" xfId="0" applyFont="1" applyFill="1" applyAlignment="1">
      <alignment wrapText="1"/>
    </xf>
    <xf numFmtId="1" fontId="5" fillId="0" borderId="2" xfId="0" applyNumberFormat="1" applyFont="1" applyFill="1" applyBorder="1" applyAlignment="1">
      <alignment vertical="center" wrapText="1"/>
    </xf>
    <xf numFmtId="1" fontId="5" fillId="0" borderId="2" xfId="0" applyNumberFormat="1" applyFont="1" applyFill="1" applyBorder="1" applyAlignment="1">
      <alignment horizontal="left" vertical="center" wrapText="1"/>
    </xf>
    <xf numFmtId="1" fontId="5" fillId="0" borderId="2" xfId="0" applyNumberFormat="1" applyFont="1" applyFill="1" applyBorder="1" applyAlignment="1">
      <alignment wrapText="1"/>
    </xf>
    <xf numFmtId="1" fontId="5" fillId="0" borderId="2" xfId="0" applyNumberFormat="1" applyFont="1" applyFill="1" applyBorder="1" applyAlignment="1">
      <alignment horizontal="left" wrapText="1"/>
    </xf>
    <xf numFmtId="1" fontId="5" fillId="2" borderId="3" xfId="0" applyNumberFormat="1" applyFont="1" applyFill="1" applyBorder="1" applyAlignment="1">
      <alignment horizontal="center" vertical="center" wrapText="1"/>
    </xf>
    <xf numFmtId="1" fontId="5" fillId="0" borderId="4" xfId="0" applyNumberFormat="1" applyFont="1" applyFill="1" applyBorder="1" applyAlignment="1">
      <alignment wrapText="1"/>
    </xf>
    <xf numFmtId="1" fontId="4" fillId="2" borderId="5" xfId="0" applyNumberFormat="1" applyFont="1" applyFill="1" applyBorder="1" applyAlignment="1">
      <alignment horizontal="center" vertical="center" wrapText="1"/>
    </xf>
    <xf numFmtId="1" fontId="4" fillId="2" borderId="6" xfId="0" applyNumberFormat="1" applyFont="1" applyFill="1" applyBorder="1" applyAlignment="1">
      <alignment horizontal="center" vertical="center" wrapText="1"/>
    </xf>
    <xf numFmtId="1" fontId="4" fillId="0" borderId="7" xfId="0" applyNumberFormat="1" applyFont="1" applyFill="1" applyBorder="1" applyAlignment="1">
      <alignment horizontal="center" vertical="center" wrapText="1"/>
    </xf>
    <xf numFmtId="1" fontId="4" fillId="2" borderId="3" xfId="0" applyNumberFormat="1" applyFont="1" applyFill="1" applyBorder="1" applyAlignment="1">
      <alignment horizontal="center"/>
    </xf>
    <xf numFmtId="1" fontId="5" fillId="0" borderId="2" xfId="0" applyNumberFormat="1" applyFont="1" applyFill="1" applyBorder="1"/>
    <xf numFmtId="1" fontId="5" fillId="2" borderId="1" xfId="0" applyNumberFormat="1" applyFont="1" applyFill="1" applyBorder="1" applyAlignment="1">
      <alignment vertical="center" wrapText="1"/>
    </xf>
    <xf numFmtId="1" fontId="5" fillId="2" borderId="1"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1" fontId="5" fillId="0" borderId="1" xfId="0" applyNumberFormat="1" applyFont="1" applyFill="1" applyBorder="1" applyAlignment="1">
      <alignment vertical="center" wrapText="1"/>
    </xf>
    <xf numFmtId="1" fontId="5" fillId="0" borderId="1" xfId="0" applyNumberFormat="1" applyFont="1" applyFill="1" applyBorder="1" applyAlignment="1">
      <alignment horizontal="center" vertical="center" wrapText="1"/>
    </xf>
    <xf numFmtId="1" fontId="4" fillId="2" borderId="3" xfId="0" applyNumberFormat="1" applyFont="1" applyFill="1" applyBorder="1" applyAlignment="1">
      <alignment horizontal="center" wrapText="1"/>
    </xf>
    <xf numFmtId="1" fontId="4" fillId="0" borderId="3" xfId="0" applyNumberFormat="1" applyFont="1" applyFill="1" applyBorder="1" applyAlignment="1">
      <alignment horizontal="center" wrapText="1"/>
    </xf>
    <xf numFmtId="1" fontId="5" fillId="2" borderId="2" xfId="0" applyNumberFormat="1" applyFont="1" applyFill="1" applyBorder="1" applyAlignment="1">
      <alignment wrapText="1"/>
    </xf>
    <xf numFmtId="1" fontId="4" fillId="2" borderId="3" xfId="0" applyNumberFormat="1" applyFont="1" applyFill="1" applyBorder="1" applyAlignment="1">
      <alignment horizontal="center" vertical="center" wrapText="1"/>
    </xf>
    <xf numFmtId="1" fontId="5" fillId="2" borderId="1" xfId="0" applyNumberFormat="1" applyFont="1" applyFill="1" applyBorder="1" applyAlignment="1">
      <alignment horizontal="left" vertical="center" wrapText="1"/>
    </xf>
    <xf numFmtId="1" fontId="4"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right" vertical="center" wrapText="1"/>
    </xf>
    <xf numFmtId="1" fontId="5" fillId="2" borderId="3" xfId="0" applyNumberFormat="1" applyFont="1" applyFill="1" applyBorder="1" applyAlignment="1">
      <alignment horizontal="center" wrapText="1"/>
    </xf>
    <xf numFmtId="1"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1" fontId="7" fillId="2" borderId="8" xfId="0" applyNumberFormat="1" applyFont="1" applyFill="1" applyBorder="1" applyAlignment="1">
      <alignment horizontal="center" wrapText="1"/>
    </xf>
    <xf numFmtId="1" fontId="7" fillId="2" borderId="9" xfId="0" applyNumberFormat="1" applyFont="1" applyFill="1" applyBorder="1" applyAlignment="1">
      <alignment vertical="center" wrapText="1"/>
    </xf>
    <xf numFmtId="1" fontId="7" fillId="2" borderId="9" xfId="0" applyNumberFormat="1" applyFont="1" applyFill="1" applyBorder="1" applyAlignment="1">
      <alignment horizontal="center" vertical="center" wrapText="1"/>
    </xf>
    <xf numFmtId="4" fontId="5" fillId="2" borderId="1" xfId="3" applyNumberFormat="1" applyFont="1" applyFill="1" applyBorder="1" applyAlignment="1">
      <alignment vertical="center" wrapText="1"/>
    </xf>
    <xf numFmtId="4" fontId="5" fillId="2" borderId="1" xfId="0" applyNumberFormat="1" applyFont="1" applyFill="1" applyBorder="1" applyAlignment="1">
      <alignment vertical="center" wrapText="1"/>
    </xf>
    <xf numFmtId="4" fontId="5" fillId="2" borderId="1" xfId="2" applyNumberFormat="1" applyFont="1" applyFill="1" applyBorder="1" applyAlignment="1">
      <alignment vertical="center" wrapText="1"/>
    </xf>
    <xf numFmtId="4" fontId="5" fillId="0" borderId="1" xfId="3" applyNumberFormat="1" applyFont="1" applyFill="1" applyBorder="1" applyAlignment="1">
      <alignment vertical="center" wrapText="1"/>
    </xf>
    <xf numFmtId="4" fontId="5" fillId="0" borderId="1" xfId="0" applyNumberFormat="1" applyFont="1" applyFill="1" applyBorder="1" applyAlignment="1">
      <alignment vertical="center" wrapText="1"/>
    </xf>
    <xf numFmtId="4" fontId="5" fillId="0" borderId="1" xfId="2" applyNumberFormat="1" applyFont="1" applyFill="1" applyBorder="1" applyAlignment="1">
      <alignment vertical="center" wrapText="1"/>
    </xf>
    <xf numFmtId="4" fontId="4" fillId="2" borderId="6" xfId="2" applyNumberFormat="1" applyFont="1" applyFill="1" applyBorder="1" applyAlignment="1">
      <alignment horizontal="center" vertical="center" wrapText="1"/>
    </xf>
    <xf numFmtId="4" fontId="5" fillId="2" borderId="1" xfId="2" applyNumberFormat="1" applyFont="1" applyFill="1" applyBorder="1"/>
    <xf numFmtId="4" fontId="4" fillId="2" borderId="1" xfId="2" applyNumberFormat="1" applyFont="1" applyFill="1" applyBorder="1" applyAlignment="1">
      <alignment vertical="center" wrapText="1"/>
    </xf>
    <xf numFmtId="4" fontId="5" fillId="2" borderId="1" xfId="2" applyNumberFormat="1" applyFont="1" applyFill="1" applyBorder="1" applyAlignment="1">
      <alignment wrapText="1"/>
    </xf>
    <xf numFmtId="4" fontId="4" fillId="0" borderId="1" xfId="2" applyNumberFormat="1" applyFont="1" applyFill="1" applyBorder="1" applyAlignment="1">
      <alignment vertical="center" wrapText="1"/>
    </xf>
    <xf numFmtId="4" fontId="5" fillId="0" borderId="1" xfId="2" applyNumberFormat="1" applyFont="1" applyFill="1" applyBorder="1" applyAlignment="1">
      <alignment wrapText="1"/>
    </xf>
    <xf numFmtId="4" fontId="5" fillId="2" borderId="1" xfId="0" applyNumberFormat="1" applyFont="1" applyFill="1" applyBorder="1" applyAlignment="1">
      <alignment horizontal="center" wrapText="1"/>
    </xf>
    <xf numFmtId="4" fontId="4" fillId="2" borderId="1" xfId="2" applyNumberFormat="1" applyFont="1" applyFill="1" applyBorder="1" applyAlignment="1">
      <alignment horizontal="right" vertical="center" wrapText="1"/>
    </xf>
    <xf numFmtId="4" fontId="4" fillId="2" borderId="1" xfId="2" applyNumberFormat="1" applyFont="1" applyFill="1" applyBorder="1" applyAlignment="1">
      <alignment wrapText="1"/>
    </xf>
    <xf numFmtId="4" fontId="2" fillId="2" borderId="1" xfId="2" applyNumberFormat="1" applyFont="1" applyFill="1" applyBorder="1" applyAlignment="1">
      <alignment vertical="center" wrapText="1"/>
    </xf>
    <xf numFmtId="4" fontId="7" fillId="2" borderId="9" xfId="2" applyNumberFormat="1" applyFont="1" applyFill="1" applyBorder="1" applyAlignment="1">
      <alignment vertical="center" wrapText="1"/>
    </xf>
    <xf numFmtId="4" fontId="4" fillId="2" borderId="0" xfId="3" applyNumberFormat="1" applyFont="1" applyFill="1" applyBorder="1" applyAlignment="1">
      <alignment horizontal="center"/>
    </xf>
    <xf numFmtId="4" fontId="4" fillId="2" borderId="0" xfId="3" applyNumberFormat="1" applyFont="1" applyFill="1" applyAlignment="1">
      <alignment horizontal="center"/>
    </xf>
    <xf numFmtId="4" fontId="4" fillId="2" borderId="6" xfId="3" applyNumberFormat="1" applyFont="1" applyFill="1" applyBorder="1" applyAlignment="1">
      <alignment horizontal="center" vertical="center" wrapText="1"/>
    </xf>
    <xf numFmtId="4" fontId="4" fillId="2" borderId="6" xfId="0" applyNumberFormat="1" applyFont="1" applyFill="1" applyBorder="1" applyAlignment="1">
      <alignment horizontal="center" vertical="center" wrapText="1"/>
    </xf>
    <xf numFmtId="4" fontId="4" fillId="2" borderId="1" xfId="0" applyNumberFormat="1" applyFont="1" applyFill="1" applyBorder="1" applyAlignment="1">
      <alignment vertical="center" wrapText="1"/>
    </xf>
    <xf numFmtId="4" fontId="4" fillId="0" borderId="1" xfId="0" applyNumberFormat="1" applyFont="1" applyFill="1" applyBorder="1" applyAlignment="1">
      <alignment vertical="center" wrapText="1"/>
    </xf>
    <xf numFmtId="4" fontId="5" fillId="2" borderId="1" xfId="3"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5" fillId="2" borderId="1" xfId="3"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center" vertical="center" wrapText="1"/>
    </xf>
    <xf numFmtId="4" fontId="5" fillId="2" borderId="1" xfId="2" applyNumberFormat="1" applyFont="1" applyFill="1" applyBorder="1" applyAlignment="1">
      <alignment horizontal="right" vertical="center" wrapText="1"/>
    </xf>
    <xf numFmtId="4" fontId="4" fillId="2" borderId="1" xfId="3" applyNumberFormat="1" applyFont="1" applyFill="1" applyBorder="1" applyAlignment="1">
      <alignment vertical="center" wrapText="1"/>
    </xf>
    <xf numFmtId="4" fontId="7" fillId="2" borderId="9" xfId="3" applyNumberFormat="1" applyFont="1" applyFill="1" applyBorder="1" applyAlignment="1">
      <alignment vertical="center" wrapText="1"/>
    </xf>
    <xf numFmtId="4" fontId="7" fillId="2" borderId="9" xfId="0" applyNumberFormat="1" applyFont="1" applyFill="1" applyBorder="1" applyAlignment="1">
      <alignment vertical="center" wrapText="1"/>
    </xf>
    <xf numFmtId="4" fontId="5" fillId="2" borderId="0" xfId="3" applyNumberFormat="1" applyFont="1" applyFill="1"/>
    <xf numFmtId="0" fontId="5" fillId="0" borderId="0" xfId="0" applyFont="1" applyFill="1" applyAlignment="1">
      <alignment horizontal="center"/>
    </xf>
    <xf numFmtId="4" fontId="5" fillId="2" borderId="1" xfId="1" applyNumberFormat="1" applyFont="1" applyFill="1" applyBorder="1" applyAlignment="1">
      <alignment horizontal="right" vertical="center" wrapText="1"/>
    </xf>
    <xf numFmtId="4" fontId="4" fillId="2" borderId="1" xfId="0" applyNumberFormat="1" applyFont="1" applyFill="1" applyBorder="1" applyAlignment="1">
      <alignment horizontal="right" wrapText="1"/>
    </xf>
    <xf numFmtId="1" fontId="4"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4" fillId="2" borderId="1" xfId="0" applyNumberFormat="1" applyFont="1" applyFill="1" applyBorder="1" applyAlignment="1">
      <alignment horizontal="center" wrapText="1"/>
    </xf>
    <xf numFmtId="1" fontId="5" fillId="2" borderId="1" xfId="0" applyNumberFormat="1" applyFont="1" applyFill="1" applyBorder="1" applyAlignment="1">
      <alignment horizontal="center" wrapText="1"/>
    </xf>
    <xf numFmtId="1" fontId="4" fillId="2" borderId="3"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4" fillId="0" borderId="3" xfId="0" applyNumberFormat="1" applyFont="1" applyFill="1" applyBorder="1" applyAlignment="1">
      <alignment horizontal="right" vertical="center" wrapText="1"/>
    </xf>
    <xf numFmtId="1" fontId="4" fillId="0" borderId="1" xfId="0" applyNumberFormat="1" applyFont="1" applyFill="1" applyBorder="1" applyAlignment="1">
      <alignment horizontal="right" vertical="center" wrapText="1"/>
    </xf>
    <xf numFmtId="1" fontId="4" fillId="0" borderId="1" xfId="0" applyNumberFormat="1" applyFont="1" applyFill="1" applyBorder="1" applyAlignment="1">
      <alignment horizontal="center" wrapText="1"/>
    </xf>
    <xf numFmtId="0" fontId="6" fillId="2" borderId="0" xfId="0" applyFont="1" applyFill="1" applyBorder="1" applyAlignment="1">
      <alignment horizontal="center"/>
    </xf>
    <xf numFmtId="0" fontId="5" fillId="2" borderId="0" xfId="0" applyFont="1" applyFill="1" applyBorder="1" applyAlignment="1">
      <alignment horizontal="center"/>
    </xf>
    <xf numFmtId="1" fontId="4" fillId="2" borderId="1" xfId="0" applyNumberFormat="1" applyFont="1" applyFill="1" applyBorder="1" applyAlignment="1">
      <alignment horizontal="center"/>
    </xf>
    <xf numFmtId="1" fontId="5" fillId="2" borderId="1" xfId="0" applyNumberFormat="1" applyFont="1" applyFill="1" applyBorder="1" applyAlignment="1">
      <alignment horizontal="right" vertical="center" wrapText="1"/>
    </xf>
  </cellXfs>
  <cellStyles count="4">
    <cellStyle name="Millares" xfId="2" builtinId="3"/>
    <cellStyle name="Millares [0]" xfId="3" builtinId="6"/>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8"/>
  <sheetViews>
    <sheetView showGridLines="0" tabSelected="1" zoomScale="80" zoomScaleNormal="80" workbookViewId="0">
      <selection activeCell="I115" sqref="I115"/>
    </sheetView>
  </sheetViews>
  <sheetFormatPr baseColWidth="10" defaultColWidth="11.42578125" defaultRowHeight="15" x14ac:dyDescent="0.25"/>
  <cols>
    <col min="1" max="1" width="11.42578125" style="19"/>
    <col min="2" max="2" width="43.5703125" style="16" customWidth="1"/>
    <col min="3" max="3" width="11.42578125" style="19"/>
    <col min="4" max="4" width="9.85546875" style="90" customWidth="1"/>
    <col min="5" max="5" width="14" style="20" customWidth="1"/>
    <col min="6" max="6" width="21.7109375" style="20" customWidth="1"/>
    <col min="7" max="7" width="24.42578125" style="21" hidden="1" customWidth="1"/>
    <col min="8" max="8" width="28.7109375" style="21" customWidth="1"/>
    <col min="9" max="9" width="53" style="26" customWidth="1"/>
    <col min="10" max="16384" width="11.42578125" style="16"/>
  </cols>
  <sheetData>
    <row r="1" spans="1:9" s="5" customFormat="1" ht="15.75" x14ac:dyDescent="0.25">
      <c r="A1" s="1" t="s">
        <v>201</v>
      </c>
      <c r="B1" s="2"/>
      <c r="C1" s="2"/>
      <c r="D1" s="74"/>
      <c r="E1" s="3"/>
      <c r="F1" s="3"/>
      <c r="G1" s="4"/>
      <c r="H1" s="4"/>
      <c r="I1" s="23"/>
    </row>
    <row r="2" spans="1:9" s="8" customFormat="1" ht="15.75" x14ac:dyDescent="0.25">
      <c r="A2" s="6" t="s">
        <v>218</v>
      </c>
      <c r="B2" s="2"/>
      <c r="C2" s="2"/>
      <c r="D2" s="74"/>
      <c r="E2" s="3"/>
      <c r="F2" s="3"/>
      <c r="G2" s="7"/>
      <c r="H2" s="7"/>
      <c r="I2" s="24"/>
    </row>
    <row r="3" spans="1:9" s="8" customFormat="1" ht="15.75" x14ac:dyDescent="0.25">
      <c r="A3" s="6" t="s">
        <v>202</v>
      </c>
      <c r="B3" s="2"/>
      <c r="C3" s="2"/>
      <c r="D3" s="74"/>
      <c r="E3" s="3"/>
      <c r="F3" s="3"/>
      <c r="G3" s="7"/>
      <c r="H3" s="7"/>
      <c r="I3" s="24"/>
    </row>
    <row r="4" spans="1:9" s="8" customFormat="1" ht="15.75" x14ac:dyDescent="0.25">
      <c r="A4" s="6" t="s">
        <v>210</v>
      </c>
      <c r="B4" s="2"/>
      <c r="C4" s="2"/>
      <c r="D4" s="74"/>
      <c r="E4" s="3"/>
      <c r="F4" s="3"/>
      <c r="G4" s="7"/>
      <c r="H4" s="7"/>
      <c r="I4" s="24"/>
    </row>
    <row r="5" spans="1:9" s="8" customFormat="1" ht="15.75" x14ac:dyDescent="0.25">
      <c r="A5" s="6" t="s">
        <v>211</v>
      </c>
      <c r="B5" s="2"/>
      <c r="C5" s="2"/>
      <c r="D5" s="74"/>
      <c r="E5" s="3"/>
      <c r="F5" s="3"/>
      <c r="G5" s="7"/>
      <c r="H5" s="7"/>
      <c r="I5" s="24"/>
    </row>
    <row r="6" spans="1:9" s="8" customFormat="1" x14ac:dyDescent="0.25">
      <c r="A6" s="9"/>
      <c r="B6" s="2"/>
      <c r="C6" s="2"/>
      <c r="D6" s="74"/>
      <c r="E6" s="3"/>
      <c r="F6" s="3"/>
      <c r="G6" s="7"/>
      <c r="H6" s="7"/>
      <c r="I6" s="24"/>
    </row>
    <row r="7" spans="1:9" s="8" customFormat="1" ht="20.25" x14ac:dyDescent="0.3">
      <c r="A7" s="103" t="s">
        <v>208</v>
      </c>
      <c r="B7" s="104"/>
      <c r="C7" s="104"/>
      <c r="D7" s="104"/>
      <c r="E7" s="104"/>
      <c r="F7" s="104"/>
      <c r="G7" s="104"/>
      <c r="H7" s="104"/>
      <c r="I7" s="104"/>
    </row>
    <row r="8" spans="1:9" s="14" customFormat="1" ht="15.75" thickBot="1" x14ac:dyDescent="0.3">
      <c r="A8" s="10"/>
      <c r="B8" s="11"/>
      <c r="C8" s="11"/>
      <c r="D8" s="75"/>
      <c r="E8" s="12"/>
      <c r="F8" s="12"/>
      <c r="G8" s="13"/>
      <c r="H8" s="13"/>
      <c r="I8" s="25"/>
    </row>
    <row r="9" spans="1:9" s="15" customFormat="1" ht="73.5" customHeight="1" thickTop="1" x14ac:dyDescent="0.25">
      <c r="A9" s="34" t="s">
        <v>3</v>
      </c>
      <c r="B9" s="35" t="s">
        <v>0</v>
      </c>
      <c r="C9" s="35" t="s">
        <v>1</v>
      </c>
      <c r="D9" s="76" t="s">
        <v>2</v>
      </c>
      <c r="E9" s="77" t="s">
        <v>209</v>
      </c>
      <c r="F9" s="77" t="s">
        <v>219</v>
      </c>
      <c r="G9" s="63" t="s">
        <v>230</v>
      </c>
      <c r="H9" s="63" t="s">
        <v>240</v>
      </c>
      <c r="I9" s="36" t="s">
        <v>90</v>
      </c>
    </row>
    <row r="10" spans="1:9" x14ac:dyDescent="0.25">
      <c r="A10" s="37" t="s">
        <v>8</v>
      </c>
      <c r="B10" s="105" t="s">
        <v>109</v>
      </c>
      <c r="C10" s="105"/>
      <c r="D10" s="105"/>
      <c r="E10" s="105"/>
      <c r="F10" s="105"/>
      <c r="G10" s="64"/>
      <c r="H10" s="64"/>
      <c r="I10" s="38"/>
    </row>
    <row r="11" spans="1:9" s="17" customFormat="1" ht="45" x14ac:dyDescent="0.25">
      <c r="A11" s="32" t="s">
        <v>5</v>
      </c>
      <c r="B11" s="39" t="s">
        <v>108</v>
      </c>
      <c r="C11" s="40" t="s">
        <v>4</v>
      </c>
      <c r="D11" s="57">
        <v>290</v>
      </c>
      <c r="E11" s="58">
        <v>30828</v>
      </c>
      <c r="F11" s="58">
        <f>+E11*D11</f>
        <v>8940120</v>
      </c>
      <c r="G11" s="59">
        <f>310*E11</f>
        <v>9556680</v>
      </c>
      <c r="H11" s="59">
        <v>9556680</v>
      </c>
      <c r="I11" s="28" t="s">
        <v>220</v>
      </c>
    </row>
    <row r="12" spans="1:9" s="27" customFormat="1" ht="255" x14ac:dyDescent="0.25">
      <c r="A12" s="41" t="s">
        <v>9</v>
      </c>
      <c r="B12" s="42" t="s">
        <v>112</v>
      </c>
      <c r="C12" s="43" t="s">
        <v>4</v>
      </c>
      <c r="D12" s="60">
        <v>432</v>
      </c>
      <c r="E12" s="61">
        <v>41479</v>
      </c>
      <c r="F12" s="61">
        <f t="shared" ref="F12:F15" si="0">+E12*D12</f>
        <v>17918928</v>
      </c>
      <c r="G12" s="62">
        <f>174*E12</f>
        <v>7217346</v>
      </c>
      <c r="H12" s="62">
        <f>+G12</f>
        <v>7217346</v>
      </c>
      <c r="I12" s="29" t="s">
        <v>241</v>
      </c>
    </row>
    <row r="13" spans="1:9" s="27" customFormat="1" ht="75" x14ac:dyDescent="0.25">
      <c r="A13" s="41" t="s">
        <v>10</v>
      </c>
      <c r="B13" s="42" t="s">
        <v>113</v>
      </c>
      <c r="C13" s="43" t="s">
        <v>4</v>
      </c>
      <c r="D13" s="60">
        <v>115</v>
      </c>
      <c r="E13" s="61">
        <v>30828</v>
      </c>
      <c r="F13" s="61">
        <f t="shared" si="0"/>
        <v>3545220</v>
      </c>
      <c r="G13" s="62">
        <f>138.6*E13</f>
        <v>4272760.8</v>
      </c>
      <c r="H13" s="62">
        <f>(4272760.8)+(100*13000)</f>
        <v>5572760.7999999998</v>
      </c>
      <c r="I13" s="28" t="s">
        <v>232</v>
      </c>
    </row>
    <row r="14" spans="1:9" s="17" customFormat="1" x14ac:dyDescent="0.25">
      <c r="A14" s="32" t="s">
        <v>86</v>
      </c>
      <c r="B14" s="39" t="s">
        <v>114</v>
      </c>
      <c r="C14" s="40" t="s">
        <v>4</v>
      </c>
      <c r="D14" s="57">
        <v>188</v>
      </c>
      <c r="E14" s="58">
        <v>78582</v>
      </c>
      <c r="F14" s="58">
        <f t="shared" si="0"/>
        <v>14773416</v>
      </c>
      <c r="G14" s="59"/>
      <c r="H14" s="59"/>
      <c r="I14" s="28" t="s">
        <v>91</v>
      </c>
    </row>
    <row r="15" spans="1:9" s="17" customFormat="1" x14ac:dyDescent="0.25">
      <c r="A15" s="32" t="s">
        <v>110</v>
      </c>
      <c r="B15" s="39" t="s">
        <v>115</v>
      </c>
      <c r="C15" s="40" t="s">
        <v>94</v>
      </c>
      <c r="D15" s="57">
        <v>49</v>
      </c>
      <c r="E15" s="58">
        <v>59142</v>
      </c>
      <c r="F15" s="58">
        <f t="shared" si="0"/>
        <v>2897958</v>
      </c>
      <c r="G15" s="59"/>
      <c r="H15" s="59"/>
      <c r="I15" s="28" t="s">
        <v>182</v>
      </c>
    </row>
    <row r="16" spans="1:9" s="17" customFormat="1" ht="45" x14ac:dyDescent="0.25">
      <c r="A16" s="32" t="s">
        <v>87</v>
      </c>
      <c r="B16" s="39" t="s">
        <v>116</v>
      </c>
      <c r="C16" s="40" t="s">
        <v>94</v>
      </c>
      <c r="D16" s="57">
        <v>205</v>
      </c>
      <c r="E16" s="58">
        <v>59142</v>
      </c>
      <c r="F16" s="58">
        <f>D16*E16</f>
        <v>12124110</v>
      </c>
      <c r="G16" s="59"/>
      <c r="H16" s="59"/>
      <c r="I16" s="28" t="s">
        <v>244</v>
      </c>
    </row>
    <row r="17" spans="1:9" s="27" customFormat="1" ht="83.25" customHeight="1" x14ac:dyDescent="0.25">
      <c r="A17" s="41" t="s">
        <v>88</v>
      </c>
      <c r="B17" s="42" t="s">
        <v>117</v>
      </c>
      <c r="C17" s="43" t="s">
        <v>4</v>
      </c>
      <c r="D17" s="60">
        <v>20</v>
      </c>
      <c r="E17" s="61">
        <v>14622</v>
      </c>
      <c r="F17" s="61">
        <f t="shared" ref="F17:F19" si="1">D17*E17</f>
        <v>292440</v>
      </c>
      <c r="G17" s="62">
        <f>10*E17</f>
        <v>146220</v>
      </c>
      <c r="H17" s="62">
        <v>292440</v>
      </c>
      <c r="I17" s="28" t="s">
        <v>226</v>
      </c>
    </row>
    <row r="18" spans="1:9" s="27" customFormat="1" x14ac:dyDescent="0.25">
      <c r="A18" s="41" t="s">
        <v>111</v>
      </c>
      <c r="B18" s="42" t="s">
        <v>118</v>
      </c>
      <c r="C18" s="43" t="s">
        <v>4</v>
      </c>
      <c r="D18" s="60">
        <v>30</v>
      </c>
      <c r="E18" s="61">
        <v>30828</v>
      </c>
      <c r="F18" s="61">
        <f t="shared" si="1"/>
        <v>924840</v>
      </c>
      <c r="G18" s="62"/>
      <c r="H18" s="62">
        <v>0</v>
      </c>
      <c r="I18" s="28"/>
    </row>
    <row r="19" spans="1:9" s="17" customFormat="1" ht="45" x14ac:dyDescent="0.25">
      <c r="A19" s="32" t="s">
        <v>89</v>
      </c>
      <c r="B19" s="39" t="s">
        <v>190</v>
      </c>
      <c r="C19" s="40" t="s">
        <v>119</v>
      </c>
      <c r="D19" s="57">
        <v>10</v>
      </c>
      <c r="E19" s="58">
        <v>30640</v>
      </c>
      <c r="F19" s="58">
        <f t="shared" si="1"/>
        <v>306400</v>
      </c>
      <c r="G19" s="59">
        <f>4*E19</f>
        <v>122560</v>
      </c>
      <c r="H19" s="59">
        <v>122560</v>
      </c>
      <c r="I19" s="28" t="s">
        <v>191</v>
      </c>
    </row>
    <row r="20" spans="1:9" s="17" customFormat="1" ht="18" customHeight="1" x14ac:dyDescent="0.25">
      <c r="A20" s="98" t="s">
        <v>11</v>
      </c>
      <c r="B20" s="99"/>
      <c r="C20" s="99"/>
      <c r="D20" s="99"/>
      <c r="E20" s="99"/>
      <c r="F20" s="78">
        <f>SUM(F11:F19)</f>
        <v>61723432</v>
      </c>
      <c r="G20" s="65">
        <f>SUM(G11:G19)</f>
        <v>21315566.800000001</v>
      </c>
      <c r="H20" s="65">
        <f>SUM(H11:H19)</f>
        <v>22761786.800000001</v>
      </c>
      <c r="I20" s="28"/>
    </row>
    <row r="21" spans="1:9" s="17" customFormat="1" x14ac:dyDescent="0.25">
      <c r="A21" s="44" t="s">
        <v>12</v>
      </c>
      <c r="B21" s="96" t="s">
        <v>29</v>
      </c>
      <c r="C21" s="96"/>
      <c r="D21" s="96"/>
      <c r="E21" s="96"/>
      <c r="F21" s="96"/>
      <c r="G21" s="66"/>
      <c r="H21" s="66"/>
      <c r="I21" s="30"/>
    </row>
    <row r="22" spans="1:9" s="17" customFormat="1" x14ac:dyDescent="0.25">
      <c r="A22" s="32" t="s">
        <v>13</v>
      </c>
      <c r="B22" s="39" t="s">
        <v>120</v>
      </c>
      <c r="C22" s="40" t="s">
        <v>4</v>
      </c>
      <c r="D22" s="57">
        <v>290</v>
      </c>
      <c r="E22" s="58">
        <v>9338</v>
      </c>
      <c r="F22" s="58">
        <f>+E22*D22</f>
        <v>2708020</v>
      </c>
      <c r="G22" s="59"/>
      <c r="H22" s="59"/>
      <c r="I22" s="28" t="s">
        <v>183</v>
      </c>
    </row>
    <row r="23" spans="1:9" s="17" customFormat="1" x14ac:dyDescent="0.25">
      <c r="A23" s="32" t="s">
        <v>14</v>
      </c>
      <c r="B23" s="39" t="s">
        <v>121</v>
      </c>
      <c r="C23" s="40" t="s">
        <v>7</v>
      </c>
      <c r="D23" s="57">
        <v>44.5</v>
      </c>
      <c r="E23" s="58">
        <v>39942</v>
      </c>
      <c r="F23" s="58">
        <f>+E23*D23</f>
        <v>1777419</v>
      </c>
      <c r="G23" s="59"/>
      <c r="H23" s="59"/>
      <c r="I23" s="28" t="s">
        <v>183</v>
      </c>
    </row>
    <row r="24" spans="1:9" s="17" customFormat="1" ht="30" x14ac:dyDescent="0.25">
      <c r="A24" s="32" t="s">
        <v>15</v>
      </c>
      <c r="B24" s="39" t="s">
        <v>122</v>
      </c>
      <c r="C24" s="40" t="s">
        <v>7</v>
      </c>
      <c r="D24" s="57">
        <v>7.6</v>
      </c>
      <c r="E24" s="58">
        <v>982084</v>
      </c>
      <c r="F24" s="58">
        <f>D24*E24</f>
        <v>7463838.3999999994</v>
      </c>
      <c r="G24" s="59"/>
      <c r="H24" s="59"/>
      <c r="I24" s="28" t="s">
        <v>183</v>
      </c>
    </row>
    <row r="25" spans="1:9" s="17" customFormat="1" ht="30" x14ac:dyDescent="0.25">
      <c r="A25" s="32" t="s">
        <v>16</v>
      </c>
      <c r="B25" s="39" t="s">
        <v>123</v>
      </c>
      <c r="C25" s="40" t="s">
        <v>7</v>
      </c>
      <c r="D25" s="57">
        <v>19</v>
      </c>
      <c r="E25" s="58">
        <v>1085867</v>
      </c>
      <c r="F25" s="58">
        <f t="shared" ref="F25:F27" si="2">D25*E25</f>
        <v>20631473</v>
      </c>
      <c r="G25" s="59"/>
      <c r="H25" s="59"/>
      <c r="I25" s="28" t="s">
        <v>183</v>
      </c>
    </row>
    <row r="26" spans="1:9" s="17" customFormat="1" ht="30" x14ac:dyDescent="0.25">
      <c r="A26" s="32" t="s">
        <v>17</v>
      </c>
      <c r="B26" s="39" t="s">
        <v>124</v>
      </c>
      <c r="C26" s="40" t="s">
        <v>7</v>
      </c>
      <c r="D26" s="57">
        <v>32</v>
      </c>
      <c r="E26" s="58">
        <v>1085867</v>
      </c>
      <c r="F26" s="58">
        <f t="shared" si="2"/>
        <v>34747744</v>
      </c>
      <c r="G26" s="59"/>
      <c r="H26" s="59"/>
      <c r="I26" s="28" t="s">
        <v>183</v>
      </c>
    </row>
    <row r="27" spans="1:9" s="17" customFormat="1" x14ac:dyDescent="0.25">
      <c r="A27" s="32" t="s">
        <v>18</v>
      </c>
      <c r="B27" s="39" t="s">
        <v>125</v>
      </c>
      <c r="C27" s="40" t="s">
        <v>126</v>
      </c>
      <c r="D27" s="57">
        <v>4800</v>
      </c>
      <c r="E27" s="58">
        <v>8301</v>
      </c>
      <c r="F27" s="58">
        <f t="shared" si="2"/>
        <v>39844800</v>
      </c>
      <c r="G27" s="59"/>
      <c r="H27" s="59"/>
      <c r="I27" s="28" t="s">
        <v>183</v>
      </c>
    </row>
    <row r="28" spans="1:9" s="17" customFormat="1" x14ac:dyDescent="0.25">
      <c r="A28" s="98" t="s">
        <v>11</v>
      </c>
      <c r="B28" s="99"/>
      <c r="C28" s="99"/>
      <c r="D28" s="99"/>
      <c r="E28" s="99"/>
      <c r="F28" s="78">
        <f>SUM(F22:F27)</f>
        <v>107173294.40000001</v>
      </c>
      <c r="G28" s="65">
        <v>0</v>
      </c>
      <c r="H28" s="65">
        <v>0</v>
      </c>
      <c r="I28" s="28"/>
    </row>
    <row r="29" spans="1:9" s="17" customFormat="1" x14ac:dyDescent="0.25">
      <c r="A29" s="44" t="s">
        <v>20</v>
      </c>
      <c r="B29" s="96" t="s">
        <v>21</v>
      </c>
      <c r="C29" s="96"/>
      <c r="D29" s="96"/>
      <c r="E29" s="96"/>
      <c r="F29" s="96"/>
      <c r="G29" s="66"/>
      <c r="H29" s="66"/>
      <c r="I29" s="30"/>
    </row>
    <row r="30" spans="1:9" s="17" customFormat="1" ht="30" x14ac:dyDescent="0.25">
      <c r="A30" s="32" t="s">
        <v>22</v>
      </c>
      <c r="B30" s="39" t="s">
        <v>184</v>
      </c>
      <c r="C30" s="40" t="s">
        <v>4</v>
      </c>
      <c r="D30" s="57">
        <v>290</v>
      </c>
      <c r="E30" s="58">
        <v>9338</v>
      </c>
      <c r="F30" s="58">
        <f t="shared" ref="F30:F50" si="3">D30*E30</f>
        <v>2708020</v>
      </c>
      <c r="G30" s="59">
        <f>F30</f>
        <v>2708020</v>
      </c>
      <c r="H30" s="59">
        <v>2708020</v>
      </c>
      <c r="I30" s="28" t="s">
        <v>197</v>
      </c>
    </row>
    <row r="31" spans="1:9" s="17" customFormat="1" x14ac:dyDescent="0.25">
      <c r="A31" s="32" t="s">
        <v>23</v>
      </c>
      <c r="B31" s="39" t="s">
        <v>121</v>
      </c>
      <c r="C31" s="40" t="s">
        <v>7</v>
      </c>
      <c r="D31" s="57">
        <v>12.5</v>
      </c>
      <c r="E31" s="58">
        <v>39942</v>
      </c>
      <c r="F31" s="58">
        <f t="shared" si="3"/>
        <v>499275</v>
      </c>
      <c r="G31" s="59"/>
      <c r="H31" s="59"/>
      <c r="I31" s="28" t="s">
        <v>185</v>
      </c>
    </row>
    <row r="32" spans="1:9" s="17" customFormat="1" x14ac:dyDescent="0.25">
      <c r="A32" s="32" t="s">
        <v>24</v>
      </c>
      <c r="B32" s="39" t="s">
        <v>127</v>
      </c>
      <c r="C32" s="40" t="s">
        <v>7</v>
      </c>
      <c r="D32" s="57">
        <v>10.08</v>
      </c>
      <c r="E32" s="58">
        <v>1046626</v>
      </c>
      <c r="F32" s="58">
        <f t="shared" si="3"/>
        <v>10549990.08</v>
      </c>
      <c r="G32" s="59"/>
      <c r="H32" s="59"/>
      <c r="I32" s="28" t="s">
        <v>183</v>
      </c>
    </row>
    <row r="33" spans="1:9" s="17" customFormat="1" x14ac:dyDescent="0.25">
      <c r="A33" s="32" t="s">
        <v>25</v>
      </c>
      <c r="B33" s="39" t="s">
        <v>128</v>
      </c>
      <c r="C33" s="40" t="s">
        <v>7</v>
      </c>
      <c r="D33" s="57">
        <v>23</v>
      </c>
      <c r="E33" s="58">
        <v>1046626</v>
      </c>
      <c r="F33" s="58">
        <f t="shared" si="3"/>
        <v>24072398</v>
      </c>
      <c r="G33" s="59"/>
      <c r="H33" s="59"/>
      <c r="I33" s="28" t="s">
        <v>183</v>
      </c>
    </row>
    <row r="34" spans="1:9" s="17" customFormat="1" ht="165" x14ac:dyDescent="0.25">
      <c r="A34" s="32" t="s">
        <v>26</v>
      </c>
      <c r="B34" s="39" t="s">
        <v>129</v>
      </c>
      <c r="C34" s="40" t="s">
        <v>4</v>
      </c>
      <c r="D34" s="57">
        <v>290</v>
      </c>
      <c r="E34" s="58">
        <v>375167</v>
      </c>
      <c r="F34" s="58">
        <f>D34*E34</f>
        <v>108798430</v>
      </c>
      <c r="G34" s="59">
        <v>35026360</v>
      </c>
      <c r="H34" s="59">
        <v>35026360</v>
      </c>
      <c r="I34" s="28" t="s">
        <v>242</v>
      </c>
    </row>
    <row r="35" spans="1:9" s="17" customFormat="1" ht="30" x14ac:dyDescent="0.25">
      <c r="A35" s="32" t="s">
        <v>27</v>
      </c>
      <c r="B35" s="39" t="s">
        <v>130</v>
      </c>
      <c r="C35" s="40" t="s">
        <v>126</v>
      </c>
      <c r="D35" s="57">
        <v>6050</v>
      </c>
      <c r="E35" s="58">
        <v>8301</v>
      </c>
      <c r="F35" s="58">
        <f t="shared" si="3"/>
        <v>50221050</v>
      </c>
      <c r="G35" s="59"/>
      <c r="H35" s="59"/>
      <c r="I35" s="28" t="s">
        <v>183</v>
      </c>
    </row>
    <row r="36" spans="1:9" s="17" customFormat="1" ht="30" x14ac:dyDescent="0.25">
      <c r="A36" s="32" t="s">
        <v>28</v>
      </c>
      <c r="B36" s="39" t="s">
        <v>131</v>
      </c>
      <c r="C36" s="40" t="s">
        <v>4</v>
      </c>
      <c r="D36" s="57">
        <v>300</v>
      </c>
      <c r="E36" s="58">
        <v>83282</v>
      </c>
      <c r="F36" s="58">
        <f t="shared" si="3"/>
        <v>24984600</v>
      </c>
      <c r="G36" s="59">
        <f>F36</f>
        <v>24984600</v>
      </c>
      <c r="H36" s="59">
        <v>24984600</v>
      </c>
      <c r="I36" s="28" t="s">
        <v>227</v>
      </c>
    </row>
    <row r="37" spans="1:9" s="17" customFormat="1" x14ac:dyDescent="0.25">
      <c r="A37" s="98" t="s">
        <v>11</v>
      </c>
      <c r="B37" s="99"/>
      <c r="C37" s="99"/>
      <c r="D37" s="99"/>
      <c r="E37" s="99"/>
      <c r="F37" s="78">
        <f>SUM(F30:F36)</f>
        <v>221833763.07999998</v>
      </c>
      <c r="G37" s="65">
        <f>SUM(G30:G36)</f>
        <v>62718980</v>
      </c>
      <c r="H37" s="65">
        <f>SUM(H30:H36)</f>
        <v>62718980</v>
      </c>
      <c r="I37" s="28"/>
    </row>
    <row r="38" spans="1:9" s="17" customFormat="1" x14ac:dyDescent="0.25">
      <c r="A38" s="44" t="s">
        <v>30</v>
      </c>
      <c r="B38" s="96" t="s">
        <v>132</v>
      </c>
      <c r="C38" s="96"/>
      <c r="D38" s="96"/>
      <c r="E38" s="96"/>
      <c r="F38" s="96"/>
      <c r="G38" s="66"/>
      <c r="H38" s="66"/>
      <c r="I38" s="30"/>
    </row>
    <row r="39" spans="1:9" s="27" customFormat="1" ht="153" customHeight="1" x14ac:dyDescent="0.25">
      <c r="A39" s="41" t="s">
        <v>31</v>
      </c>
      <c r="B39" s="42" t="s">
        <v>133</v>
      </c>
      <c r="C39" s="43" t="s">
        <v>4</v>
      </c>
      <c r="D39" s="60">
        <v>430</v>
      </c>
      <c r="E39" s="61">
        <v>62019</v>
      </c>
      <c r="F39" s="61">
        <f t="shared" ref="F39:F42" si="4">D39*E39</f>
        <v>26668170</v>
      </c>
      <c r="G39" s="62">
        <f>174*E39</f>
        <v>10791306</v>
      </c>
      <c r="H39" s="62">
        <f>+G39</f>
        <v>10791306</v>
      </c>
      <c r="I39" s="28" t="s">
        <v>243</v>
      </c>
    </row>
    <row r="40" spans="1:9" s="17" customFormat="1" ht="28.5" customHeight="1" x14ac:dyDescent="0.25">
      <c r="A40" s="32" t="s">
        <v>32</v>
      </c>
      <c r="B40" s="39" t="s">
        <v>100</v>
      </c>
      <c r="C40" s="40" t="s">
        <v>94</v>
      </c>
      <c r="D40" s="57">
        <v>80</v>
      </c>
      <c r="E40" s="58">
        <v>133160</v>
      </c>
      <c r="F40" s="58">
        <f t="shared" si="4"/>
        <v>10652800</v>
      </c>
      <c r="G40" s="59">
        <v>0</v>
      </c>
      <c r="H40" s="59">
        <v>0</v>
      </c>
      <c r="I40" s="28" t="s">
        <v>183</v>
      </c>
    </row>
    <row r="41" spans="1:9" s="17" customFormat="1" ht="78.75" customHeight="1" x14ac:dyDescent="0.25">
      <c r="A41" s="32" t="s">
        <v>33</v>
      </c>
      <c r="B41" s="39" t="s">
        <v>186</v>
      </c>
      <c r="C41" s="40" t="s">
        <v>94</v>
      </c>
      <c r="D41" s="57">
        <v>80</v>
      </c>
      <c r="E41" s="58">
        <v>127351</v>
      </c>
      <c r="F41" s="58">
        <f t="shared" si="4"/>
        <v>10188080</v>
      </c>
      <c r="G41" s="59">
        <v>0</v>
      </c>
      <c r="H41" s="59">
        <v>0</v>
      </c>
      <c r="I41" s="28" t="s">
        <v>245</v>
      </c>
    </row>
    <row r="42" spans="1:9" s="17" customFormat="1" ht="30.75" customHeight="1" x14ac:dyDescent="0.25">
      <c r="A42" s="32" t="s">
        <v>34</v>
      </c>
      <c r="B42" s="39" t="s">
        <v>134</v>
      </c>
      <c r="C42" s="40" t="s">
        <v>94</v>
      </c>
      <c r="D42" s="57">
        <v>10</v>
      </c>
      <c r="E42" s="58">
        <v>140648</v>
      </c>
      <c r="F42" s="58">
        <f t="shared" si="4"/>
        <v>1406480</v>
      </c>
      <c r="G42" s="59">
        <f>F42</f>
        <v>1406480</v>
      </c>
      <c r="H42" s="59">
        <v>1406480</v>
      </c>
      <c r="I42" s="28" t="s">
        <v>187</v>
      </c>
    </row>
    <row r="43" spans="1:9" s="17" customFormat="1" x14ac:dyDescent="0.25">
      <c r="A43" s="98" t="s">
        <v>11</v>
      </c>
      <c r="B43" s="99"/>
      <c r="C43" s="99"/>
      <c r="D43" s="99"/>
      <c r="E43" s="99"/>
      <c r="F43" s="78">
        <f>SUM(F39:F42)</f>
        <v>48915530</v>
      </c>
      <c r="G43" s="65">
        <f>SUM(G39:G42)</f>
        <v>12197786</v>
      </c>
      <c r="H43" s="65">
        <f>SUM(H39:H42)</f>
        <v>12197786</v>
      </c>
      <c r="I43" s="28"/>
    </row>
    <row r="44" spans="1:9" s="17" customFormat="1" x14ac:dyDescent="0.25">
      <c r="A44" s="44" t="s">
        <v>36</v>
      </c>
      <c r="B44" s="96" t="s">
        <v>135</v>
      </c>
      <c r="C44" s="96"/>
      <c r="D44" s="96"/>
      <c r="E44" s="96"/>
      <c r="F44" s="96"/>
      <c r="G44" s="66"/>
      <c r="H44" s="66"/>
      <c r="I44" s="30"/>
    </row>
    <row r="45" spans="1:9" s="17" customFormat="1" ht="30" x14ac:dyDescent="0.25">
      <c r="A45" s="32" t="s">
        <v>37</v>
      </c>
      <c r="B45" s="39" t="s">
        <v>138</v>
      </c>
      <c r="C45" s="40" t="s">
        <v>94</v>
      </c>
      <c r="D45" s="57">
        <v>75</v>
      </c>
      <c r="E45" s="58">
        <v>38286</v>
      </c>
      <c r="F45" s="58">
        <f t="shared" si="3"/>
        <v>2871450</v>
      </c>
      <c r="G45" s="59">
        <f>70*E45</f>
        <v>2680020</v>
      </c>
      <c r="H45" s="59">
        <v>2680020</v>
      </c>
      <c r="I45" s="28" t="s">
        <v>192</v>
      </c>
    </row>
    <row r="46" spans="1:9" s="17" customFormat="1" x14ac:dyDescent="0.25">
      <c r="A46" s="32" t="s">
        <v>39</v>
      </c>
      <c r="B46" s="39" t="s">
        <v>137</v>
      </c>
      <c r="C46" s="40" t="s">
        <v>19</v>
      </c>
      <c r="D46" s="57">
        <v>12</v>
      </c>
      <c r="E46" s="58">
        <v>88229</v>
      </c>
      <c r="F46" s="58">
        <f t="shared" si="3"/>
        <v>1058748</v>
      </c>
      <c r="G46" s="59">
        <f>D46*E46</f>
        <v>1058748</v>
      </c>
      <c r="H46" s="59">
        <v>1058748</v>
      </c>
      <c r="I46" s="28" t="s">
        <v>92</v>
      </c>
    </row>
    <row r="47" spans="1:9" s="17" customFormat="1" x14ac:dyDescent="0.25">
      <c r="A47" s="32" t="s">
        <v>40</v>
      </c>
      <c r="B47" s="39" t="s">
        <v>136</v>
      </c>
      <c r="C47" s="40" t="s">
        <v>94</v>
      </c>
      <c r="D47" s="57">
        <v>85</v>
      </c>
      <c r="E47" s="58">
        <v>44800</v>
      </c>
      <c r="F47" s="58">
        <f t="shared" si="3"/>
        <v>3808000</v>
      </c>
      <c r="G47" s="59">
        <f>F47</f>
        <v>3808000</v>
      </c>
      <c r="H47" s="59">
        <v>3808000</v>
      </c>
      <c r="I47" s="28" t="s">
        <v>92</v>
      </c>
    </row>
    <row r="48" spans="1:9" s="17" customFormat="1" x14ac:dyDescent="0.25">
      <c r="A48" s="32" t="s">
        <v>41</v>
      </c>
      <c r="B48" s="39" t="s">
        <v>139</v>
      </c>
      <c r="C48" s="40" t="s">
        <v>94</v>
      </c>
      <c r="D48" s="57">
        <v>60</v>
      </c>
      <c r="E48" s="58">
        <v>28401</v>
      </c>
      <c r="F48" s="58">
        <f t="shared" si="3"/>
        <v>1704060</v>
      </c>
      <c r="G48" s="59">
        <f>F48</f>
        <v>1704060</v>
      </c>
      <c r="H48" s="59">
        <v>1704060</v>
      </c>
      <c r="I48" s="28" t="s">
        <v>92</v>
      </c>
    </row>
    <row r="49" spans="1:9" s="17" customFormat="1" x14ac:dyDescent="0.25">
      <c r="A49" s="32" t="s">
        <v>42</v>
      </c>
      <c r="B49" s="39" t="s">
        <v>140</v>
      </c>
      <c r="C49" s="40" t="s">
        <v>19</v>
      </c>
      <c r="D49" s="57">
        <v>12</v>
      </c>
      <c r="E49" s="58">
        <v>121087</v>
      </c>
      <c r="F49" s="58">
        <f t="shared" si="3"/>
        <v>1453044</v>
      </c>
      <c r="G49" s="59">
        <f>F49</f>
        <v>1453044</v>
      </c>
      <c r="H49" s="59">
        <v>1453044</v>
      </c>
      <c r="I49" s="28" t="s">
        <v>92</v>
      </c>
    </row>
    <row r="50" spans="1:9" s="17" customFormat="1" ht="30" x14ac:dyDescent="0.25">
      <c r="A50" s="32" t="s">
        <v>43</v>
      </c>
      <c r="B50" s="39" t="s">
        <v>141</v>
      </c>
      <c r="C50" s="40" t="s">
        <v>19</v>
      </c>
      <c r="D50" s="57">
        <v>5</v>
      </c>
      <c r="E50" s="58">
        <v>496086</v>
      </c>
      <c r="F50" s="58">
        <f t="shared" si="3"/>
        <v>2480430</v>
      </c>
      <c r="G50" s="59">
        <v>0</v>
      </c>
      <c r="H50" s="59">
        <v>0</v>
      </c>
      <c r="I50" s="28" t="s">
        <v>200</v>
      </c>
    </row>
    <row r="51" spans="1:9" s="17" customFormat="1" x14ac:dyDescent="0.25">
      <c r="A51" s="98" t="s">
        <v>11</v>
      </c>
      <c r="B51" s="99"/>
      <c r="C51" s="99"/>
      <c r="D51" s="99"/>
      <c r="E51" s="99"/>
      <c r="F51" s="78">
        <f>SUM(F45:F50)</f>
        <v>13375732</v>
      </c>
      <c r="G51" s="65">
        <f>SUM(G45:G50)</f>
        <v>10703872</v>
      </c>
      <c r="H51" s="65">
        <f>SUM(H45:H50)</f>
        <v>10703872</v>
      </c>
      <c r="I51" s="28"/>
    </row>
    <row r="52" spans="1:9" s="17" customFormat="1" x14ac:dyDescent="0.25">
      <c r="A52" s="44" t="s">
        <v>45</v>
      </c>
      <c r="B52" s="96" t="s">
        <v>35</v>
      </c>
      <c r="C52" s="96"/>
      <c r="D52" s="96"/>
      <c r="E52" s="96"/>
      <c r="F52" s="96"/>
      <c r="G52" s="66"/>
      <c r="H52" s="66"/>
      <c r="I52" s="30"/>
    </row>
    <row r="53" spans="1:9" s="17" customFormat="1" ht="105" x14ac:dyDescent="0.25">
      <c r="A53" s="32" t="s">
        <v>46</v>
      </c>
      <c r="B53" s="39" t="s">
        <v>147</v>
      </c>
      <c r="C53" s="40" t="s">
        <v>94</v>
      </c>
      <c r="D53" s="57">
        <v>30</v>
      </c>
      <c r="E53" s="58">
        <v>173384</v>
      </c>
      <c r="F53" s="58">
        <f>+E53*D53</f>
        <v>5201520</v>
      </c>
      <c r="G53" s="59">
        <f>F53</f>
        <v>5201520</v>
      </c>
      <c r="H53" s="59">
        <v>5201520</v>
      </c>
      <c r="I53" s="28" t="s">
        <v>246</v>
      </c>
    </row>
    <row r="54" spans="1:9" s="17" customFormat="1" x14ac:dyDescent="0.25">
      <c r="A54" s="32" t="s">
        <v>99</v>
      </c>
      <c r="B54" s="39" t="s">
        <v>148</v>
      </c>
      <c r="C54" s="40" t="s">
        <v>119</v>
      </c>
      <c r="D54" s="57">
        <v>1</v>
      </c>
      <c r="E54" s="58">
        <v>10426744</v>
      </c>
      <c r="F54" s="58">
        <f t="shared" ref="F54:F60" si="5">+E54*D54</f>
        <v>10426744</v>
      </c>
      <c r="G54" s="59">
        <f>E54</f>
        <v>10426744</v>
      </c>
      <c r="H54" s="59">
        <v>10426744</v>
      </c>
      <c r="I54" s="28" t="s">
        <v>221</v>
      </c>
    </row>
    <row r="55" spans="1:9" s="17" customFormat="1" ht="30" x14ac:dyDescent="0.25">
      <c r="A55" s="32" t="s">
        <v>101</v>
      </c>
      <c r="B55" s="39" t="s">
        <v>149</v>
      </c>
      <c r="C55" s="40" t="s">
        <v>119</v>
      </c>
      <c r="D55" s="57">
        <v>4</v>
      </c>
      <c r="E55" s="58">
        <v>2546002</v>
      </c>
      <c r="F55" s="58">
        <f t="shared" si="5"/>
        <v>10184008</v>
      </c>
      <c r="G55" s="59">
        <f>E55</f>
        <v>2546002</v>
      </c>
      <c r="H55" s="59">
        <v>2546002</v>
      </c>
      <c r="I55" s="28" t="s">
        <v>222</v>
      </c>
    </row>
    <row r="56" spans="1:9" s="17" customFormat="1" x14ac:dyDescent="0.25">
      <c r="A56" s="32" t="s">
        <v>142</v>
      </c>
      <c r="B56" s="39" t="s">
        <v>150</v>
      </c>
      <c r="C56" s="40" t="s">
        <v>119</v>
      </c>
      <c r="D56" s="57">
        <v>52</v>
      </c>
      <c r="E56" s="58">
        <v>151278</v>
      </c>
      <c r="F56" s="58">
        <f t="shared" si="5"/>
        <v>7866456</v>
      </c>
      <c r="G56" s="59">
        <f>D56*E56</f>
        <v>7866456</v>
      </c>
      <c r="H56" s="59">
        <v>7866456</v>
      </c>
      <c r="I56" s="28" t="s">
        <v>223</v>
      </c>
    </row>
    <row r="57" spans="1:9" s="17" customFormat="1" x14ac:dyDescent="0.25">
      <c r="A57" s="32" t="s">
        <v>143</v>
      </c>
      <c r="B57" s="39" t="s">
        <v>102</v>
      </c>
      <c r="C57" s="40" t="s">
        <v>119</v>
      </c>
      <c r="D57" s="57">
        <v>45</v>
      </c>
      <c r="E57" s="58">
        <v>151278</v>
      </c>
      <c r="F57" s="58">
        <f t="shared" si="5"/>
        <v>6807510</v>
      </c>
      <c r="G57" s="59">
        <f>D57*E57</f>
        <v>6807510</v>
      </c>
      <c r="H57" s="59">
        <v>6807510</v>
      </c>
      <c r="I57" s="28" t="s">
        <v>223</v>
      </c>
    </row>
    <row r="58" spans="1:9" s="17" customFormat="1" x14ac:dyDescent="0.25">
      <c r="A58" s="32" t="s">
        <v>144</v>
      </c>
      <c r="B58" s="39" t="s">
        <v>151</v>
      </c>
      <c r="C58" s="40" t="s">
        <v>119</v>
      </c>
      <c r="D58" s="57">
        <v>12</v>
      </c>
      <c r="E58" s="58">
        <v>231843</v>
      </c>
      <c r="F58" s="58">
        <f t="shared" si="5"/>
        <v>2782116</v>
      </c>
      <c r="G58" s="59">
        <f>F58</f>
        <v>2782116</v>
      </c>
      <c r="H58" s="59">
        <v>2782116</v>
      </c>
      <c r="I58" s="28" t="s">
        <v>223</v>
      </c>
    </row>
    <row r="59" spans="1:9" s="17" customFormat="1" x14ac:dyDescent="0.25">
      <c r="A59" s="32" t="s">
        <v>145</v>
      </c>
      <c r="B59" s="39" t="s">
        <v>152</v>
      </c>
      <c r="C59" s="40" t="s">
        <v>119</v>
      </c>
      <c r="D59" s="57">
        <v>52</v>
      </c>
      <c r="E59" s="58">
        <v>164161</v>
      </c>
      <c r="F59" s="58">
        <f t="shared" si="5"/>
        <v>8536372</v>
      </c>
      <c r="G59" s="59">
        <f>D59*E59</f>
        <v>8536372</v>
      </c>
      <c r="H59" s="59">
        <v>8536372</v>
      </c>
      <c r="I59" s="28" t="s">
        <v>223</v>
      </c>
    </row>
    <row r="60" spans="1:9" s="17" customFormat="1" ht="45.75" customHeight="1" x14ac:dyDescent="0.25">
      <c r="A60" s="32" t="s">
        <v>146</v>
      </c>
      <c r="B60" s="39" t="s">
        <v>44</v>
      </c>
      <c r="C60" s="40" t="s">
        <v>119</v>
      </c>
      <c r="D60" s="57">
        <v>3</v>
      </c>
      <c r="E60" s="58">
        <v>351688</v>
      </c>
      <c r="F60" s="58">
        <f t="shared" si="5"/>
        <v>1055064</v>
      </c>
      <c r="G60" s="59">
        <f>5*E60</f>
        <v>1758440</v>
      </c>
      <c r="H60" s="59">
        <v>1758440</v>
      </c>
      <c r="I60" s="28" t="s">
        <v>224</v>
      </c>
    </row>
    <row r="61" spans="1:9" s="17" customFormat="1" x14ac:dyDescent="0.25">
      <c r="A61" s="32"/>
      <c r="B61" s="39"/>
      <c r="C61" s="40"/>
      <c r="D61" s="57"/>
      <c r="E61" s="58"/>
      <c r="F61" s="58"/>
      <c r="G61" s="59"/>
      <c r="H61" s="59"/>
      <c r="I61" s="28"/>
    </row>
    <row r="62" spans="1:9" s="17" customFormat="1" x14ac:dyDescent="0.25">
      <c r="A62" s="98" t="s">
        <v>11</v>
      </c>
      <c r="B62" s="99"/>
      <c r="C62" s="99"/>
      <c r="D62" s="99"/>
      <c r="E62" s="99"/>
      <c r="F62" s="78">
        <f>SUM(F53:F61)</f>
        <v>52859790</v>
      </c>
      <c r="G62" s="65">
        <f>SUM(G53:G61)</f>
        <v>45925160</v>
      </c>
      <c r="H62" s="65">
        <f>SUM(H53:H60)</f>
        <v>45925160</v>
      </c>
      <c r="I62" s="28"/>
    </row>
    <row r="63" spans="1:9" s="17" customFormat="1" ht="14.25" customHeight="1" x14ac:dyDescent="0.25">
      <c r="A63" s="44" t="s">
        <v>47</v>
      </c>
      <c r="B63" s="96" t="s">
        <v>153</v>
      </c>
      <c r="C63" s="96"/>
      <c r="D63" s="96"/>
      <c r="E63" s="96"/>
      <c r="F63" s="96"/>
      <c r="G63" s="66"/>
      <c r="H63" s="66"/>
      <c r="I63" s="30"/>
    </row>
    <row r="64" spans="1:9" s="17" customFormat="1" ht="172.5" customHeight="1" x14ac:dyDescent="0.25">
      <c r="A64" s="32" t="s">
        <v>48</v>
      </c>
      <c r="B64" s="39" t="s">
        <v>155</v>
      </c>
      <c r="C64" s="40" t="s">
        <v>4</v>
      </c>
      <c r="D64" s="57">
        <v>405</v>
      </c>
      <c r="E64" s="58">
        <v>36710.6</v>
      </c>
      <c r="F64" s="58">
        <f t="shared" ref="F64:F66" si="6">D64*E64</f>
        <v>14867793</v>
      </c>
      <c r="G64" s="59">
        <f>261*E64</f>
        <v>9581466.5999999996</v>
      </c>
      <c r="H64" s="59">
        <v>9581466.5999999996</v>
      </c>
      <c r="I64" s="28" t="s">
        <v>247</v>
      </c>
    </row>
    <row r="65" spans="1:9" s="17" customFormat="1" ht="103.5" customHeight="1" x14ac:dyDescent="0.25">
      <c r="A65" s="41" t="s">
        <v>49</v>
      </c>
      <c r="B65" s="42" t="s">
        <v>199</v>
      </c>
      <c r="C65" s="43" t="s">
        <v>4</v>
      </c>
      <c r="D65" s="60">
        <v>400</v>
      </c>
      <c r="E65" s="61">
        <v>45186</v>
      </c>
      <c r="F65" s="61">
        <f t="shared" si="6"/>
        <v>18074400</v>
      </c>
      <c r="G65" s="62">
        <f>22*53000</f>
        <v>1166000</v>
      </c>
      <c r="H65" s="62">
        <v>1166000</v>
      </c>
      <c r="I65" s="28" t="s">
        <v>248</v>
      </c>
    </row>
    <row r="66" spans="1:9" s="17" customFormat="1" x14ac:dyDescent="0.25">
      <c r="A66" s="32" t="s">
        <v>154</v>
      </c>
      <c r="B66" s="39" t="s">
        <v>156</v>
      </c>
      <c r="C66" s="40" t="s">
        <v>4</v>
      </c>
      <c r="D66" s="57">
        <v>80</v>
      </c>
      <c r="E66" s="58">
        <v>44761</v>
      </c>
      <c r="F66" s="58">
        <f t="shared" si="6"/>
        <v>3580880</v>
      </c>
      <c r="G66" s="59">
        <v>0</v>
      </c>
      <c r="H66" s="59">
        <v>0</v>
      </c>
      <c r="I66" s="28" t="s">
        <v>188</v>
      </c>
    </row>
    <row r="67" spans="1:9" s="17" customFormat="1" x14ac:dyDescent="0.25">
      <c r="A67" s="98" t="s">
        <v>11</v>
      </c>
      <c r="B67" s="99"/>
      <c r="C67" s="99"/>
      <c r="D67" s="99"/>
      <c r="E67" s="99"/>
      <c r="F67" s="78">
        <f>SUM(F64:F66)</f>
        <v>36523073</v>
      </c>
      <c r="G67" s="65">
        <f>SUM(G64:G66)</f>
        <v>10747466.6</v>
      </c>
      <c r="H67" s="65">
        <f>SUM(H64:H66)</f>
        <v>10747466.6</v>
      </c>
      <c r="I67" s="28"/>
    </row>
    <row r="68" spans="1:9" s="17" customFormat="1" x14ac:dyDescent="0.25">
      <c r="A68" s="44" t="s">
        <v>50</v>
      </c>
      <c r="B68" s="96" t="s">
        <v>60</v>
      </c>
      <c r="C68" s="96"/>
      <c r="D68" s="96"/>
      <c r="E68" s="96"/>
      <c r="F68" s="96"/>
      <c r="G68" s="66"/>
      <c r="H68" s="66"/>
      <c r="I68" s="30"/>
    </row>
    <row r="69" spans="1:9" s="17" customFormat="1" ht="45" x14ac:dyDescent="0.25">
      <c r="A69" s="32" t="s">
        <v>51</v>
      </c>
      <c r="B69" s="39" t="s">
        <v>157</v>
      </c>
      <c r="C69" s="40" t="s">
        <v>4</v>
      </c>
      <c r="D69" s="57">
        <v>295</v>
      </c>
      <c r="E69" s="58">
        <v>63247</v>
      </c>
      <c r="F69" s="58">
        <f t="shared" ref="F69:F70" si="7">D69*E69</f>
        <v>18657865</v>
      </c>
      <c r="G69" s="59">
        <f>310*E69</f>
        <v>19606570</v>
      </c>
      <c r="H69" s="59">
        <v>19606570</v>
      </c>
      <c r="I69" s="28" t="s">
        <v>225</v>
      </c>
    </row>
    <row r="70" spans="1:9" s="27" customFormat="1" x14ac:dyDescent="0.25">
      <c r="A70" s="41" t="s">
        <v>52</v>
      </c>
      <c r="B70" s="42" t="s">
        <v>103</v>
      </c>
      <c r="C70" s="43" t="s">
        <v>4</v>
      </c>
      <c r="D70" s="60">
        <v>295</v>
      </c>
      <c r="E70" s="61">
        <v>71370</v>
      </c>
      <c r="F70" s="61">
        <f t="shared" si="7"/>
        <v>21054150</v>
      </c>
      <c r="G70" s="62"/>
      <c r="H70" s="62">
        <v>21054150</v>
      </c>
      <c r="I70" s="28" t="s">
        <v>254</v>
      </c>
    </row>
    <row r="71" spans="1:9" s="27" customFormat="1" ht="85.5" customHeight="1" x14ac:dyDescent="0.25">
      <c r="A71" s="41" t="s">
        <v>53</v>
      </c>
      <c r="B71" s="42" t="s">
        <v>158</v>
      </c>
      <c r="C71" s="43" t="s">
        <v>4</v>
      </c>
      <c r="D71" s="60">
        <v>290</v>
      </c>
      <c r="E71" s="61">
        <v>83082</v>
      </c>
      <c r="F71" s="61">
        <f>D71*E71</f>
        <v>24093780</v>
      </c>
      <c r="G71" s="62">
        <f>55000*62</f>
        <v>3410000</v>
      </c>
      <c r="H71" s="62">
        <v>27503780</v>
      </c>
      <c r="I71" s="28" t="s">
        <v>255</v>
      </c>
    </row>
    <row r="72" spans="1:9" s="17" customFormat="1" x14ac:dyDescent="0.25">
      <c r="A72" s="98" t="s">
        <v>11</v>
      </c>
      <c r="B72" s="99"/>
      <c r="C72" s="99"/>
      <c r="D72" s="99"/>
      <c r="E72" s="99"/>
      <c r="F72" s="78">
        <f>SUM(F69:F71)</f>
        <v>63805795</v>
      </c>
      <c r="G72" s="65">
        <f>SUM(G69:G71)</f>
        <v>23016570</v>
      </c>
      <c r="H72" s="65">
        <f>SUM(H69:H71)</f>
        <v>68164500</v>
      </c>
      <c r="I72" s="28"/>
    </row>
    <row r="73" spans="1:9" s="17" customFormat="1" x14ac:dyDescent="0.25">
      <c r="A73" s="44" t="s">
        <v>54</v>
      </c>
      <c r="B73" s="96" t="s">
        <v>159</v>
      </c>
      <c r="C73" s="96"/>
      <c r="D73" s="96"/>
      <c r="E73" s="96"/>
      <c r="F73" s="96"/>
      <c r="G73" s="66"/>
      <c r="H73" s="66"/>
      <c r="I73" s="30"/>
    </row>
    <row r="74" spans="1:9" s="27" customFormat="1" ht="115.5" customHeight="1" x14ac:dyDescent="0.25">
      <c r="A74" s="41" t="s">
        <v>55</v>
      </c>
      <c r="B74" s="42" t="s">
        <v>160</v>
      </c>
      <c r="C74" s="43" t="s">
        <v>4</v>
      </c>
      <c r="D74" s="60">
        <v>580</v>
      </c>
      <c r="E74" s="61">
        <v>50004</v>
      </c>
      <c r="F74" s="61">
        <f t="shared" ref="F74:F78" si="8">D74*E74</f>
        <v>29002320</v>
      </c>
      <c r="G74" s="62">
        <v>0</v>
      </c>
      <c r="H74" s="62">
        <f>22000*100</f>
        <v>2200000</v>
      </c>
      <c r="I74" s="28" t="s">
        <v>249</v>
      </c>
    </row>
    <row r="75" spans="1:9" s="27" customFormat="1" ht="77.25" customHeight="1" x14ac:dyDescent="0.25">
      <c r="A75" s="41" t="s">
        <v>56</v>
      </c>
      <c r="B75" s="42" t="s">
        <v>105</v>
      </c>
      <c r="C75" s="43" t="s">
        <v>4</v>
      </c>
      <c r="D75" s="60">
        <v>290</v>
      </c>
      <c r="E75" s="61">
        <v>162497</v>
      </c>
      <c r="F75" s="61">
        <f t="shared" si="8"/>
        <v>47124130</v>
      </c>
      <c r="G75" s="62">
        <v>4500000</v>
      </c>
      <c r="H75" s="62">
        <v>4500000</v>
      </c>
      <c r="I75" s="28" t="s">
        <v>250</v>
      </c>
    </row>
    <row r="76" spans="1:9" s="27" customFormat="1" ht="40.5" customHeight="1" x14ac:dyDescent="0.25">
      <c r="A76" s="41" t="s">
        <v>57</v>
      </c>
      <c r="B76" s="42" t="s">
        <v>161</v>
      </c>
      <c r="C76" s="43" t="s">
        <v>6</v>
      </c>
      <c r="D76" s="60">
        <v>160</v>
      </c>
      <c r="E76" s="61">
        <v>50403</v>
      </c>
      <c r="F76" s="61">
        <f t="shared" si="8"/>
        <v>8064480</v>
      </c>
      <c r="G76" s="62">
        <v>1200000</v>
      </c>
      <c r="H76" s="62">
        <v>1200000</v>
      </c>
      <c r="I76" s="28" t="s">
        <v>193</v>
      </c>
    </row>
    <row r="77" spans="1:9" s="27" customFormat="1" ht="75" x14ac:dyDescent="0.25">
      <c r="A77" s="41" t="s">
        <v>58</v>
      </c>
      <c r="B77" s="42" t="s">
        <v>106</v>
      </c>
      <c r="C77" s="43" t="s">
        <v>4</v>
      </c>
      <c r="D77" s="60">
        <v>290</v>
      </c>
      <c r="E77" s="61">
        <v>109824</v>
      </c>
      <c r="F77" s="61">
        <f t="shared" si="8"/>
        <v>31848960</v>
      </c>
      <c r="G77" s="62">
        <v>6500000</v>
      </c>
      <c r="H77" s="62">
        <v>6500000</v>
      </c>
      <c r="I77" s="28" t="s">
        <v>258</v>
      </c>
    </row>
    <row r="78" spans="1:9" s="27" customFormat="1" ht="30" x14ac:dyDescent="0.25">
      <c r="A78" s="41" t="s">
        <v>59</v>
      </c>
      <c r="B78" s="42" t="s">
        <v>162</v>
      </c>
      <c r="C78" s="43" t="s">
        <v>94</v>
      </c>
      <c r="D78" s="60">
        <v>140</v>
      </c>
      <c r="E78" s="61">
        <v>33250</v>
      </c>
      <c r="F78" s="61">
        <f t="shared" si="8"/>
        <v>4655000</v>
      </c>
      <c r="G78" s="62">
        <f>F78</f>
        <v>4655000</v>
      </c>
      <c r="H78" s="62">
        <f>+G78</f>
        <v>4655000</v>
      </c>
      <c r="I78" s="28" t="s">
        <v>231</v>
      </c>
    </row>
    <row r="79" spans="1:9" s="27" customFormat="1" x14ac:dyDescent="0.25">
      <c r="A79" s="100" t="s">
        <v>11</v>
      </c>
      <c r="B79" s="101"/>
      <c r="C79" s="101"/>
      <c r="D79" s="101"/>
      <c r="E79" s="101"/>
      <c r="F79" s="79">
        <f>SUM(F74:F78)</f>
        <v>120694890</v>
      </c>
      <c r="G79" s="67">
        <f>SUM(G74:G78)</f>
        <v>16855000</v>
      </c>
      <c r="H79" s="67">
        <f>SUM(H74:H78)</f>
        <v>19055000</v>
      </c>
      <c r="I79" s="28"/>
    </row>
    <row r="80" spans="1:9" s="27" customFormat="1" x14ac:dyDescent="0.25">
      <c r="A80" s="45" t="s">
        <v>61</v>
      </c>
      <c r="B80" s="102" t="s">
        <v>163</v>
      </c>
      <c r="C80" s="102"/>
      <c r="D80" s="102"/>
      <c r="E80" s="102"/>
      <c r="F80" s="102"/>
      <c r="G80" s="68"/>
      <c r="H80" s="68"/>
      <c r="I80" s="30"/>
    </row>
    <row r="81" spans="1:9" s="27" customFormat="1" x14ac:dyDescent="0.25">
      <c r="A81" s="41" t="s">
        <v>62</v>
      </c>
      <c r="B81" s="42" t="s">
        <v>164</v>
      </c>
      <c r="C81" s="43" t="s">
        <v>4</v>
      </c>
      <c r="D81" s="60">
        <v>87.5</v>
      </c>
      <c r="E81" s="61">
        <v>81728</v>
      </c>
      <c r="F81" s="61">
        <f t="shared" ref="F81:F83" si="9">D81*E81</f>
        <v>7151200</v>
      </c>
      <c r="G81" s="62">
        <v>0</v>
      </c>
      <c r="H81" s="62">
        <v>0</v>
      </c>
      <c r="I81" s="28"/>
    </row>
    <row r="82" spans="1:9" s="27" customFormat="1" x14ac:dyDescent="0.25">
      <c r="A82" s="41" t="s">
        <v>63</v>
      </c>
      <c r="B82" s="42" t="s">
        <v>165</v>
      </c>
      <c r="C82" s="43" t="s">
        <v>4</v>
      </c>
      <c r="D82" s="60">
        <v>30.5</v>
      </c>
      <c r="E82" s="61">
        <v>81728</v>
      </c>
      <c r="F82" s="61">
        <f t="shared" si="9"/>
        <v>2492704</v>
      </c>
      <c r="G82" s="62">
        <v>0</v>
      </c>
      <c r="H82" s="62">
        <v>0</v>
      </c>
      <c r="I82" s="28"/>
    </row>
    <row r="83" spans="1:9" s="17" customFormat="1" x14ac:dyDescent="0.25">
      <c r="A83" s="32" t="s">
        <v>64</v>
      </c>
      <c r="B83" s="39" t="s">
        <v>107</v>
      </c>
      <c r="C83" s="40" t="s">
        <v>4</v>
      </c>
      <c r="D83" s="57">
        <v>16</v>
      </c>
      <c r="E83" s="58">
        <v>630000</v>
      </c>
      <c r="F83" s="58">
        <f t="shared" si="9"/>
        <v>10080000</v>
      </c>
      <c r="G83" s="59">
        <v>0</v>
      </c>
      <c r="H83" s="59"/>
      <c r="I83" s="28"/>
    </row>
    <row r="84" spans="1:9" s="17" customFormat="1" ht="62.25" customHeight="1" x14ac:dyDescent="0.25">
      <c r="A84" s="32"/>
      <c r="B84" s="39"/>
      <c r="C84" s="40"/>
      <c r="D84" s="57"/>
      <c r="E84" s="58"/>
      <c r="F84" s="58"/>
      <c r="G84" s="59"/>
      <c r="H84" s="59"/>
      <c r="I84" s="28" t="s">
        <v>239</v>
      </c>
    </row>
    <row r="85" spans="1:9" s="17" customFormat="1" x14ac:dyDescent="0.25">
      <c r="A85" s="98" t="s">
        <v>11</v>
      </c>
      <c r="B85" s="99"/>
      <c r="C85" s="99"/>
      <c r="D85" s="99"/>
      <c r="E85" s="99"/>
      <c r="F85" s="78">
        <f>SUM(F81:F84)</f>
        <v>19723904</v>
      </c>
      <c r="G85" s="65"/>
      <c r="H85" s="65">
        <f>SUM(H81:H84)</f>
        <v>0</v>
      </c>
      <c r="I85" s="30"/>
    </row>
    <row r="86" spans="1:9" s="17" customFormat="1" x14ac:dyDescent="0.25">
      <c r="A86" s="44" t="s">
        <v>65</v>
      </c>
      <c r="B86" s="96" t="s">
        <v>79</v>
      </c>
      <c r="C86" s="96"/>
      <c r="D86" s="96"/>
      <c r="E86" s="96"/>
      <c r="F86" s="96"/>
      <c r="G86" s="66"/>
      <c r="H86" s="66"/>
      <c r="I86" s="46"/>
    </row>
    <row r="87" spans="1:9" s="17" customFormat="1" ht="46.5" customHeight="1" x14ac:dyDescent="0.25">
      <c r="A87" s="32" t="s">
        <v>66</v>
      </c>
      <c r="B87" s="39" t="s">
        <v>166</v>
      </c>
      <c r="C87" s="40" t="s">
        <v>119</v>
      </c>
      <c r="D87" s="57">
        <v>8</v>
      </c>
      <c r="E87" s="58">
        <v>480735</v>
      </c>
      <c r="F87" s="58">
        <f t="shared" ref="F87" si="10">D87*E87</f>
        <v>3845880</v>
      </c>
      <c r="G87" s="59">
        <v>1061470</v>
      </c>
      <c r="H87" s="59">
        <v>1061470</v>
      </c>
      <c r="I87" s="28" t="s">
        <v>194</v>
      </c>
    </row>
    <row r="88" spans="1:9" s="17" customFormat="1" ht="46.5" customHeight="1" x14ac:dyDescent="0.25">
      <c r="A88" s="32" t="s">
        <v>67</v>
      </c>
      <c r="B88" s="39" t="s">
        <v>95</v>
      </c>
      <c r="C88" s="40" t="s">
        <v>119</v>
      </c>
      <c r="D88" s="57">
        <v>5</v>
      </c>
      <c r="E88" s="58">
        <v>323235</v>
      </c>
      <c r="F88" s="58">
        <f>+E88*D88</f>
        <v>1616175</v>
      </c>
      <c r="G88" s="59">
        <v>716470</v>
      </c>
      <c r="H88" s="59">
        <v>716470</v>
      </c>
      <c r="I88" s="28" t="s">
        <v>194</v>
      </c>
    </row>
    <row r="89" spans="1:9" s="17" customFormat="1" ht="46.5" customHeight="1" x14ac:dyDescent="0.25">
      <c r="A89" s="32" t="s">
        <v>68</v>
      </c>
      <c r="B89" s="39" t="s">
        <v>167</v>
      </c>
      <c r="C89" s="40" t="s">
        <v>119</v>
      </c>
      <c r="D89" s="57">
        <v>2</v>
      </c>
      <c r="E89" s="58">
        <v>501983</v>
      </c>
      <c r="F89" s="58">
        <f>+E89*D89</f>
        <v>1003966</v>
      </c>
      <c r="G89" s="59">
        <v>571983</v>
      </c>
      <c r="H89" s="59">
        <v>571983</v>
      </c>
      <c r="I89" s="28" t="s">
        <v>195</v>
      </c>
    </row>
    <row r="90" spans="1:9" s="17" customFormat="1" ht="46.5" customHeight="1" x14ac:dyDescent="0.25">
      <c r="A90" s="32" t="s">
        <v>104</v>
      </c>
      <c r="B90" s="39" t="s">
        <v>168</v>
      </c>
      <c r="C90" s="40" t="s">
        <v>119</v>
      </c>
      <c r="D90" s="57">
        <v>8</v>
      </c>
      <c r="E90" s="58">
        <v>258712</v>
      </c>
      <c r="F90" s="58">
        <f>+E90*D90</f>
        <v>2069696</v>
      </c>
      <c r="G90" s="59">
        <f>2*E90</f>
        <v>517424</v>
      </c>
      <c r="H90" s="59">
        <v>517424</v>
      </c>
      <c r="I90" s="28" t="s">
        <v>198</v>
      </c>
    </row>
    <row r="91" spans="1:9" s="17" customFormat="1" x14ac:dyDescent="0.25">
      <c r="A91" s="98" t="s">
        <v>11</v>
      </c>
      <c r="B91" s="99"/>
      <c r="C91" s="99"/>
      <c r="D91" s="99"/>
      <c r="E91" s="99"/>
      <c r="F91" s="78">
        <f>SUM(F87:F90)</f>
        <v>8535717</v>
      </c>
      <c r="G91" s="65">
        <f>SUM(G87:G90)</f>
        <v>2867347</v>
      </c>
      <c r="H91" s="65">
        <f>SUM(H87:H90)</f>
        <v>2867347</v>
      </c>
      <c r="I91" s="30"/>
    </row>
    <row r="92" spans="1:9" s="17" customFormat="1" x14ac:dyDescent="0.25">
      <c r="A92" s="44" t="s">
        <v>69</v>
      </c>
      <c r="B92" s="96" t="s">
        <v>169</v>
      </c>
      <c r="C92" s="96"/>
      <c r="D92" s="96"/>
      <c r="E92" s="96"/>
      <c r="F92" s="96"/>
      <c r="G92" s="66"/>
      <c r="H92" s="66"/>
      <c r="I92" s="46"/>
    </row>
    <row r="93" spans="1:9" s="17" customFormat="1" ht="57.75" customHeight="1" x14ac:dyDescent="0.25">
      <c r="A93" s="32" t="s">
        <v>70</v>
      </c>
      <c r="B93" s="39" t="s">
        <v>77</v>
      </c>
      <c r="C93" s="40" t="s">
        <v>4</v>
      </c>
      <c r="D93" s="57">
        <v>450</v>
      </c>
      <c r="E93" s="58">
        <v>23363</v>
      </c>
      <c r="F93" s="58">
        <f>D93*E93</f>
        <v>10513350</v>
      </c>
      <c r="G93" s="59">
        <f>D93*E93</f>
        <v>10513350</v>
      </c>
      <c r="H93" s="59">
        <v>10513350</v>
      </c>
      <c r="I93" s="28" t="s">
        <v>251</v>
      </c>
    </row>
    <row r="94" spans="1:9" s="27" customFormat="1" ht="67.5" customHeight="1" x14ac:dyDescent="0.25">
      <c r="A94" s="41" t="s">
        <v>71</v>
      </c>
      <c r="B94" s="42" t="s">
        <v>170</v>
      </c>
      <c r="C94" s="43" t="s">
        <v>4</v>
      </c>
      <c r="D94" s="60">
        <v>450</v>
      </c>
      <c r="E94" s="61">
        <v>25634</v>
      </c>
      <c r="F94" s="61">
        <f>E94*D94</f>
        <v>11535300</v>
      </c>
      <c r="G94" s="62">
        <f>D94*E94</f>
        <v>11535300</v>
      </c>
      <c r="H94" s="62">
        <f>+G94</f>
        <v>11535300</v>
      </c>
      <c r="I94" s="28" t="s">
        <v>251</v>
      </c>
    </row>
    <row r="95" spans="1:9" s="17" customFormat="1" ht="72" customHeight="1" x14ac:dyDescent="0.25">
      <c r="A95" s="32" t="s">
        <v>96</v>
      </c>
      <c r="B95" s="39" t="s">
        <v>171</v>
      </c>
      <c r="C95" s="40" t="s">
        <v>4</v>
      </c>
      <c r="D95" s="57">
        <v>420</v>
      </c>
      <c r="E95" s="58">
        <v>27999</v>
      </c>
      <c r="F95" s="58">
        <f t="shared" ref="F95" si="11">D95*E95</f>
        <v>11759580</v>
      </c>
      <c r="G95" s="59">
        <f>50*E95</f>
        <v>1399950</v>
      </c>
      <c r="H95" s="59">
        <v>1399950</v>
      </c>
      <c r="I95" s="28" t="s">
        <v>252</v>
      </c>
    </row>
    <row r="96" spans="1:9" s="17" customFormat="1" x14ac:dyDescent="0.25">
      <c r="A96" s="32" t="s">
        <v>97</v>
      </c>
      <c r="B96" s="39" t="s">
        <v>172</v>
      </c>
      <c r="C96" s="40" t="s">
        <v>4</v>
      </c>
      <c r="D96" s="57">
        <v>45</v>
      </c>
      <c r="E96" s="58">
        <v>23815</v>
      </c>
      <c r="F96" s="58">
        <f>+E96*D96</f>
        <v>1071675</v>
      </c>
      <c r="G96" s="59"/>
      <c r="H96" s="59"/>
      <c r="I96" s="31" t="s">
        <v>228</v>
      </c>
    </row>
    <row r="97" spans="1:9" s="17" customFormat="1" x14ac:dyDescent="0.25">
      <c r="A97" s="98" t="s">
        <v>11</v>
      </c>
      <c r="B97" s="99"/>
      <c r="C97" s="99"/>
      <c r="D97" s="99"/>
      <c r="E97" s="99"/>
      <c r="F97" s="78">
        <f>SUM(F93:F96)</f>
        <v>34879905</v>
      </c>
      <c r="G97" s="65">
        <f>SUM(G93:G96)</f>
        <v>23448600</v>
      </c>
      <c r="H97" s="65">
        <f>SUM(H93:H96)</f>
        <v>23448600</v>
      </c>
      <c r="I97" s="30"/>
    </row>
    <row r="98" spans="1:9" s="17" customFormat="1" x14ac:dyDescent="0.25">
      <c r="A98" s="44" t="s">
        <v>72</v>
      </c>
      <c r="B98" s="96" t="s">
        <v>173</v>
      </c>
      <c r="C98" s="96"/>
      <c r="D98" s="96"/>
      <c r="E98" s="96"/>
      <c r="F98" s="96"/>
      <c r="G98" s="66"/>
      <c r="H98" s="66"/>
      <c r="I98" s="46"/>
    </row>
    <row r="99" spans="1:9" s="27" customFormat="1" x14ac:dyDescent="0.25">
      <c r="A99" s="41" t="s">
        <v>73</v>
      </c>
      <c r="B99" s="42" t="s">
        <v>174</v>
      </c>
      <c r="C99" s="43" t="s">
        <v>119</v>
      </c>
      <c r="D99" s="60">
        <v>12</v>
      </c>
      <c r="E99" s="61">
        <v>250000</v>
      </c>
      <c r="F99" s="61">
        <f t="shared" ref="F99:F102" si="12">D99*E99</f>
        <v>3000000</v>
      </c>
      <c r="G99" s="62"/>
      <c r="H99" s="62">
        <f>+D99*E99</f>
        <v>3000000</v>
      </c>
      <c r="I99" s="28" t="s">
        <v>254</v>
      </c>
    </row>
    <row r="100" spans="1:9" s="27" customFormat="1" x14ac:dyDescent="0.25">
      <c r="A100" s="41" t="s">
        <v>74</v>
      </c>
      <c r="B100" s="42" t="s">
        <v>175</v>
      </c>
      <c r="C100" s="43" t="s">
        <v>119</v>
      </c>
      <c r="D100" s="60">
        <v>12</v>
      </c>
      <c r="E100" s="61">
        <v>452406</v>
      </c>
      <c r="F100" s="61">
        <f t="shared" si="12"/>
        <v>5428872</v>
      </c>
      <c r="G100" s="62"/>
      <c r="H100" s="62">
        <f t="shared" ref="H100:H101" si="13">+D100*E100</f>
        <v>5428872</v>
      </c>
      <c r="I100" s="28" t="s">
        <v>254</v>
      </c>
    </row>
    <row r="101" spans="1:9" s="27" customFormat="1" ht="30" x14ac:dyDescent="0.25">
      <c r="A101" s="41" t="s">
        <v>75</v>
      </c>
      <c r="B101" s="42" t="s">
        <v>176</v>
      </c>
      <c r="C101" s="43" t="s">
        <v>4</v>
      </c>
      <c r="D101" s="60">
        <v>43</v>
      </c>
      <c r="E101" s="61">
        <v>460000</v>
      </c>
      <c r="F101" s="61">
        <f t="shared" si="12"/>
        <v>19780000</v>
      </c>
      <c r="G101" s="62"/>
      <c r="H101" s="62">
        <f t="shared" si="13"/>
        <v>19780000</v>
      </c>
      <c r="I101" s="28" t="s">
        <v>256</v>
      </c>
    </row>
    <row r="102" spans="1:9" s="27" customFormat="1" ht="45" x14ac:dyDescent="0.25">
      <c r="A102" s="41" t="s">
        <v>76</v>
      </c>
      <c r="B102" s="42" t="s">
        <v>98</v>
      </c>
      <c r="C102" s="43" t="s">
        <v>4</v>
      </c>
      <c r="D102" s="60">
        <v>43</v>
      </c>
      <c r="E102" s="61">
        <v>99084</v>
      </c>
      <c r="F102" s="61">
        <f t="shared" si="12"/>
        <v>4260612</v>
      </c>
      <c r="G102" s="62">
        <f>10*E102</f>
        <v>990840</v>
      </c>
      <c r="H102" s="62">
        <v>990840</v>
      </c>
      <c r="I102" s="28" t="s">
        <v>257</v>
      </c>
    </row>
    <row r="103" spans="1:9" s="17" customFormat="1" x14ac:dyDescent="0.25">
      <c r="A103" s="98" t="s">
        <v>11</v>
      </c>
      <c r="B103" s="99"/>
      <c r="C103" s="99"/>
      <c r="D103" s="99"/>
      <c r="E103" s="99"/>
      <c r="F103" s="78">
        <f>SUM(F99:F102)</f>
        <v>32469484</v>
      </c>
      <c r="G103" s="65">
        <f>SUM(G99:G102)</f>
        <v>990840</v>
      </c>
      <c r="H103" s="65">
        <f>SUM(H99:H102)</f>
        <v>29199712</v>
      </c>
      <c r="I103" s="30"/>
    </row>
    <row r="104" spans="1:9" s="17" customFormat="1" x14ac:dyDescent="0.25">
      <c r="A104" s="44" t="s">
        <v>78</v>
      </c>
      <c r="B104" s="96" t="s">
        <v>177</v>
      </c>
      <c r="C104" s="96"/>
      <c r="D104" s="96"/>
      <c r="E104" s="96"/>
      <c r="F104" s="96"/>
      <c r="G104" s="66"/>
      <c r="H104" s="66"/>
      <c r="I104" s="46"/>
    </row>
    <row r="105" spans="1:9" s="17" customFormat="1" ht="30" customHeight="1" x14ac:dyDescent="0.25">
      <c r="A105" s="32" t="s">
        <v>215</v>
      </c>
      <c r="B105" s="39" t="s">
        <v>178</v>
      </c>
      <c r="C105" s="40" t="s">
        <v>38</v>
      </c>
      <c r="D105" s="57">
        <v>1</v>
      </c>
      <c r="E105" s="58">
        <v>3291736</v>
      </c>
      <c r="F105" s="58">
        <f t="shared" ref="F105:F107" si="14">D105*E105</f>
        <v>3291736</v>
      </c>
      <c r="G105" s="59">
        <f>2500000</f>
        <v>2500000</v>
      </c>
      <c r="H105" s="59">
        <v>2500000</v>
      </c>
      <c r="I105" s="28" t="s">
        <v>93</v>
      </c>
    </row>
    <row r="106" spans="1:9" s="17" customFormat="1" ht="30" customHeight="1" x14ac:dyDescent="0.25">
      <c r="A106" s="32" t="s">
        <v>216</v>
      </c>
      <c r="B106" s="39" t="s">
        <v>179</v>
      </c>
      <c r="C106" s="40" t="s">
        <v>38</v>
      </c>
      <c r="D106" s="57">
        <v>1</v>
      </c>
      <c r="E106" s="58">
        <v>8545909</v>
      </c>
      <c r="F106" s="58">
        <f t="shared" si="14"/>
        <v>8545909</v>
      </c>
      <c r="G106" s="59">
        <v>2850000</v>
      </c>
      <c r="H106" s="59">
        <v>2850000</v>
      </c>
      <c r="I106" s="28" t="s">
        <v>93</v>
      </c>
    </row>
    <row r="107" spans="1:9" s="17" customFormat="1" ht="30" customHeight="1" x14ac:dyDescent="0.25">
      <c r="A107" s="32" t="s">
        <v>217</v>
      </c>
      <c r="B107" s="39" t="s">
        <v>180</v>
      </c>
      <c r="C107" s="40" t="s">
        <v>38</v>
      </c>
      <c r="D107" s="57">
        <v>1</v>
      </c>
      <c r="E107" s="58">
        <v>32162770</v>
      </c>
      <c r="F107" s="58">
        <f t="shared" si="14"/>
        <v>32162770</v>
      </c>
      <c r="G107" s="59">
        <v>10250000</v>
      </c>
      <c r="H107" s="59">
        <v>10250000</v>
      </c>
      <c r="I107" s="28" t="s">
        <v>189</v>
      </c>
    </row>
    <row r="108" spans="1:9" s="17" customFormat="1" x14ac:dyDescent="0.25">
      <c r="A108" s="98" t="s">
        <v>11</v>
      </c>
      <c r="B108" s="99"/>
      <c r="C108" s="99"/>
      <c r="D108" s="99"/>
      <c r="E108" s="99"/>
      <c r="F108" s="78">
        <f>SUM(F105:F107)</f>
        <v>44000415</v>
      </c>
      <c r="G108" s="65">
        <f>SUM(G105:G107)</f>
        <v>15600000</v>
      </c>
      <c r="H108" s="65">
        <f>SUM(H105:H107)</f>
        <v>15600000</v>
      </c>
      <c r="I108" s="30"/>
    </row>
    <row r="109" spans="1:9" s="17" customFormat="1" x14ac:dyDescent="0.25">
      <c r="A109" s="47" t="s">
        <v>212</v>
      </c>
      <c r="B109" s="96" t="s">
        <v>203</v>
      </c>
      <c r="C109" s="97"/>
      <c r="D109" s="97"/>
      <c r="E109" s="97"/>
      <c r="F109" s="97"/>
      <c r="G109" s="97"/>
      <c r="H109" s="69"/>
      <c r="I109" s="46"/>
    </row>
    <row r="110" spans="1:9" s="17" customFormat="1" ht="60" x14ac:dyDescent="0.25">
      <c r="A110" s="32" t="s">
        <v>213</v>
      </c>
      <c r="B110" s="48" t="s">
        <v>233</v>
      </c>
      <c r="C110" s="40"/>
      <c r="D110" s="80"/>
      <c r="E110" s="81"/>
      <c r="F110" s="92">
        <f>+E110*D110</f>
        <v>0</v>
      </c>
      <c r="G110" s="86">
        <v>6800000</v>
      </c>
      <c r="H110" s="86">
        <v>6800000</v>
      </c>
      <c r="I110" s="28" t="s">
        <v>229</v>
      </c>
    </row>
    <row r="111" spans="1:9" s="17" customFormat="1" ht="81.75" customHeight="1" x14ac:dyDescent="0.25">
      <c r="A111" s="32" t="s">
        <v>214</v>
      </c>
      <c r="B111" s="48" t="s">
        <v>234</v>
      </c>
      <c r="C111" s="40"/>
      <c r="D111" s="80"/>
      <c r="E111" s="81"/>
      <c r="F111" s="92">
        <f>+E111*D111</f>
        <v>0</v>
      </c>
      <c r="G111" s="86">
        <v>15000000</v>
      </c>
      <c r="H111" s="86">
        <v>15000000</v>
      </c>
      <c r="I111" s="28" t="s">
        <v>229</v>
      </c>
    </row>
    <row r="112" spans="1:9" s="17" customFormat="1" x14ac:dyDescent="0.25">
      <c r="A112" s="47"/>
      <c r="B112" s="99" t="s">
        <v>11</v>
      </c>
      <c r="C112" s="106"/>
      <c r="D112" s="106"/>
      <c r="E112" s="106"/>
      <c r="F112" s="82"/>
      <c r="G112" s="70">
        <f>SUM(G110:G111)</f>
        <v>21800000</v>
      </c>
      <c r="H112" s="70">
        <f>SUM(H110:H111)</f>
        <v>21800000</v>
      </c>
      <c r="I112" s="30"/>
    </row>
    <row r="113" spans="1:9" s="17" customFormat="1" x14ac:dyDescent="0.25">
      <c r="A113" s="47" t="s">
        <v>235</v>
      </c>
      <c r="B113" s="94" t="s">
        <v>236</v>
      </c>
      <c r="C113" s="94"/>
      <c r="D113" s="94"/>
      <c r="E113" s="94"/>
      <c r="F113" s="94"/>
      <c r="G113" s="94"/>
      <c r="H113" s="94"/>
      <c r="I113" s="30"/>
    </row>
    <row r="114" spans="1:9" s="17" customFormat="1" ht="105" x14ac:dyDescent="0.25">
      <c r="A114" s="32" t="s">
        <v>237</v>
      </c>
      <c r="B114" s="48" t="s">
        <v>238</v>
      </c>
      <c r="C114" s="50"/>
      <c r="D114" s="83"/>
      <c r="E114" s="84"/>
      <c r="F114" s="84">
        <v>2340000</v>
      </c>
      <c r="G114" s="86">
        <v>0</v>
      </c>
      <c r="H114" s="86">
        <v>0</v>
      </c>
      <c r="I114" s="30" t="s">
        <v>253</v>
      </c>
    </row>
    <row r="115" spans="1:9" s="17" customFormat="1" x14ac:dyDescent="0.25">
      <c r="A115" s="32"/>
      <c r="B115" s="99" t="s">
        <v>11</v>
      </c>
      <c r="C115" s="99"/>
      <c r="D115" s="99"/>
      <c r="E115" s="99"/>
      <c r="F115" s="84"/>
      <c r="G115" s="86"/>
      <c r="H115" s="70">
        <v>0</v>
      </c>
      <c r="I115" s="30"/>
    </row>
    <row r="116" spans="1:9" s="17" customFormat="1" x14ac:dyDescent="0.25">
      <c r="A116" s="47"/>
      <c r="B116" s="96" t="s">
        <v>80</v>
      </c>
      <c r="C116" s="97"/>
      <c r="D116" s="97"/>
      <c r="E116" s="97"/>
      <c r="F116" s="93">
        <f>SUM(F108+F103+F97+F91+F85+F79+F72+F67+F62+F51+F43+F37+F28+F20)</f>
        <v>866514724.4799999</v>
      </c>
      <c r="G116" s="71">
        <f>G112+G108+G103+G97+G91+G85+G79+G72+G67+G62+G51+G43+G37+G28+G20</f>
        <v>268187188.40000001</v>
      </c>
      <c r="H116" s="71">
        <f>SUM(H112+H108+H103+H97+H91+H85+H79+H72+H67+H62+H51+H43+H37+H28+H20+H115)</f>
        <v>345190210.40000004</v>
      </c>
      <c r="I116" s="30"/>
    </row>
    <row r="117" spans="1:9" s="17" customFormat="1" x14ac:dyDescent="0.25">
      <c r="A117" s="51"/>
      <c r="B117" s="94" t="s">
        <v>81</v>
      </c>
      <c r="C117" s="95"/>
      <c r="D117" s="95"/>
      <c r="E117" s="95"/>
      <c r="F117" s="82"/>
      <c r="G117" s="59"/>
      <c r="H117" s="59"/>
      <c r="I117" s="30"/>
    </row>
    <row r="118" spans="1:9" s="17" customFormat="1" x14ac:dyDescent="0.25">
      <c r="A118" s="51"/>
      <c r="B118" s="50" t="s">
        <v>82</v>
      </c>
      <c r="C118" s="40"/>
      <c r="D118" s="80">
        <v>0.1</v>
      </c>
      <c r="E118" s="85"/>
      <c r="F118" s="58">
        <f>F116*D118</f>
        <v>86651472.447999999</v>
      </c>
      <c r="G118" s="59">
        <f>G116*D118</f>
        <v>26818718.840000004</v>
      </c>
      <c r="H118" s="59">
        <f>H116*D118</f>
        <v>34519021.040000007</v>
      </c>
      <c r="I118" s="30"/>
    </row>
    <row r="119" spans="1:9" s="17" customFormat="1" x14ac:dyDescent="0.25">
      <c r="A119" s="51"/>
      <c r="B119" s="50" t="s">
        <v>83</v>
      </c>
      <c r="C119" s="40"/>
      <c r="D119" s="80">
        <v>0.05</v>
      </c>
      <c r="E119" s="85"/>
      <c r="F119" s="58">
        <f>F116*D119</f>
        <v>43325736.223999999</v>
      </c>
      <c r="G119" s="59">
        <f>G116*D119</f>
        <v>13409359.420000002</v>
      </c>
      <c r="H119" s="59">
        <f>+H116*D119</f>
        <v>17259510.520000003</v>
      </c>
      <c r="I119" s="30"/>
    </row>
    <row r="120" spans="1:9" s="17" customFormat="1" x14ac:dyDescent="0.25">
      <c r="A120" s="51"/>
      <c r="B120" s="50" t="s">
        <v>84</v>
      </c>
      <c r="C120" s="40"/>
      <c r="D120" s="80">
        <v>0.15</v>
      </c>
      <c r="E120" s="85"/>
      <c r="F120" s="58">
        <f>F116*D120</f>
        <v>129977208.67199998</v>
      </c>
      <c r="G120" s="59">
        <f>G116*D120</f>
        <v>40228078.259999998</v>
      </c>
      <c r="H120" s="59">
        <f>+H116*D120</f>
        <v>51778531.560000002</v>
      </c>
      <c r="I120" s="30"/>
    </row>
    <row r="121" spans="1:9" s="17" customFormat="1" x14ac:dyDescent="0.25">
      <c r="A121" s="51"/>
      <c r="B121" s="52" t="s">
        <v>85</v>
      </c>
      <c r="C121" s="40"/>
      <c r="D121" s="57"/>
      <c r="E121" s="58"/>
      <c r="F121" s="78">
        <f>SUM(F118:F120)</f>
        <v>259954417.34399998</v>
      </c>
      <c r="G121" s="65">
        <f>SUM(G118:G120)</f>
        <v>80456156.520000011</v>
      </c>
      <c r="H121" s="65">
        <f>SUM(H118:H120)</f>
        <v>103557063.12</v>
      </c>
      <c r="I121" s="30"/>
    </row>
    <row r="122" spans="1:9" s="17" customFormat="1" x14ac:dyDescent="0.25">
      <c r="A122" s="51"/>
      <c r="B122" s="52" t="s">
        <v>207</v>
      </c>
      <c r="C122" s="49"/>
      <c r="D122" s="87"/>
      <c r="E122" s="78"/>
      <c r="F122" s="78">
        <f>F116+F121</f>
        <v>1126469141.8239999</v>
      </c>
      <c r="G122" s="65">
        <f>G116+G121</f>
        <v>348643344.92000002</v>
      </c>
      <c r="H122" s="65">
        <f>+H116+H121</f>
        <v>448747273.52000004</v>
      </c>
      <c r="I122" s="30"/>
    </row>
    <row r="123" spans="1:9" s="17" customFormat="1" ht="30" x14ac:dyDescent="0.25">
      <c r="A123" s="51"/>
      <c r="B123" s="52" t="s">
        <v>181</v>
      </c>
      <c r="C123" s="49"/>
      <c r="D123" s="80">
        <v>0.19</v>
      </c>
      <c r="E123" s="85"/>
      <c r="F123" s="78">
        <f>+F120*19%</f>
        <v>24695669.647679996</v>
      </c>
      <c r="G123" s="59">
        <v>0</v>
      </c>
      <c r="H123" s="59">
        <v>0</v>
      </c>
      <c r="I123" s="30" t="s">
        <v>196</v>
      </c>
    </row>
    <row r="124" spans="1:9" s="18" customFormat="1" ht="15.75" x14ac:dyDescent="0.2">
      <c r="A124" s="44"/>
      <c r="B124" s="53" t="s">
        <v>204</v>
      </c>
      <c r="C124" s="49"/>
      <c r="D124" s="87"/>
      <c r="E124" s="78"/>
      <c r="F124" s="78">
        <f>+F116+F121+F123</f>
        <v>1151164811.4716799</v>
      </c>
      <c r="G124" s="72">
        <f>G122+G123</f>
        <v>348643344.92000002</v>
      </c>
      <c r="H124" s="72">
        <f>+H122</f>
        <v>448747273.52000004</v>
      </c>
      <c r="I124" s="28"/>
    </row>
    <row r="125" spans="1:9" s="17" customFormat="1" x14ac:dyDescent="0.25">
      <c r="A125" s="51"/>
      <c r="B125" s="48" t="s">
        <v>205</v>
      </c>
      <c r="C125" s="40"/>
      <c r="D125" s="57"/>
      <c r="E125" s="58"/>
      <c r="F125" s="58"/>
      <c r="G125" s="59">
        <f>G124*5/100</f>
        <v>17432167.246000003</v>
      </c>
      <c r="H125" s="59">
        <f>+H124*5%</f>
        <v>22437363.676000003</v>
      </c>
      <c r="I125" s="46"/>
    </row>
    <row r="126" spans="1:9" s="22" customFormat="1" ht="19.5" thickBot="1" x14ac:dyDescent="0.35">
      <c r="A126" s="54"/>
      <c r="B126" s="55" t="s">
        <v>206</v>
      </c>
      <c r="C126" s="56"/>
      <c r="D126" s="88"/>
      <c r="E126" s="89"/>
      <c r="F126" s="89"/>
      <c r="G126" s="73">
        <f>G124-G125</f>
        <v>331211177.67400002</v>
      </c>
      <c r="H126" s="73">
        <f>+H124-H125</f>
        <v>426309909.84400004</v>
      </c>
      <c r="I126" s="33"/>
    </row>
    <row r="127" spans="1:9" ht="15.75" thickTop="1" x14ac:dyDescent="0.25"/>
    <row r="128" spans="1:9" x14ac:dyDescent="0.25">
      <c r="A128" s="91"/>
    </row>
  </sheetData>
  <autoFilter ref="A9:I128" xr:uid="{CD01263B-A335-4238-96C6-E0492285796E}"/>
  <mergeCells count="35">
    <mergeCell ref="A97:E97"/>
    <mergeCell ref="A108:E108"/>
    <mergeCell ref="B112:E112"/>
    <mergeCell ref="A7:I7"/>
    <mergeCell ref="A103:E103"/>
    <mergeCell ref="B104:F104"/>
    <mergeCell ref="A62:E62"/>
    <mergeCell ref="B10:F10"/>
    <mergeCell ref="B63:F63"/>
    <mergeCell ref="A20:E20"/>
    <mergeCell ref="B21:F21"/>
    <mergeCell ref="A28:E28"/>
    <mergeCell ref="B29:F29"/>
    <mergeCell ref="A37:E37"/>
    <mergeCell ref="B38:F38"/>
    <mergeCell ref="A43:E43"/>
    <mergeCell ref="B44:F44"/>
    <mergeCell ref="B52:F52"/>
    <mergeCell ref="A51:E51"/>
    <mergeCell ref="B117:E117"/>
    <mergeCell ref="B116:E116"/>
    <mergeCell ref="B98:F98"/>
    <mergeCell ref="A67:E67"/>
    <mergeCell ref="B68:F68"/>
    <mergeCell ref="A72:E72"/>
    <mergeCell ref="B73:F73"/>
    <mergeCell ref="A79:E79"/>
    <mergeCell ref="B80:F80"/>
    <mergeCell ref="A85:E85"/>
    <mergeCell ref="B86:F86"/>
    <mergeCell ref="A91:E91"/>
    <mergeCell ref="B92:F92"/>
    <mergeCell ref="B113:H113"/>
    <mergeCell ref="B115:E115"/>
    <mergeCell ref="B109:G109"/>
  </mergeCells>
  <pageMargins left="0.51181102362204722" right="0.31496062992125984" top="0.55118110236220474" bottom="0.55118110236220474" header="0.31496062992125984" footer="0.31496062992125984"/>
  <pageSetup scale="65" orientation="landscape"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Pérdida</vt:lpstr>
      <vt:lpstr>Pérdida!Área_de_impresión</vt:lpstr>
      <vt:lpstr>Pérdida!Títulos_a_imprimir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Maria Tatiana Diaz Montenegro</cp:lastModifiedBy>
  <cp:lastPrinted>2021-02-23T20:45:22Z</cp:lastPrinted>
  <dcterms:created xsi:type="dcterms:W3CDTF">2020-12-14T19:53:32Z</dcterms:created>
  <dcterms:modified xsi:type="dcterms:W3CDTF">2022-03-18T14:07:12Z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63bc15e-e7bf-41c1-bdb3-03882d8a2e2c_Enabled">
    <vt:lpwstr>true</vt:lpwstr>
  </property>
  <property fmtid="{D5CDD505-2E9C-101B-9397-08002B2CF9AE}" pid="3" name="MSIP_Label_863bc15e-e7bf-41c1-bdb3-03882d8a2e2c_SetDate">
    <vt:lpwstr>2022-03-18T14:06:52Z</vt:lpwstr>
  </property>
  <property fmtid="{D5CDD505-2E9C-101B-9397-08002B2CF9AE}" pid="4" name="MSIP_Label_863bc15e-e7bf-41c1-bdb3-03882d8a2e2c_Method">
    <vt:lpwstr>Privileged</vt:lpwstr>
  </property>
  <property fmtid="{D5CDD505-2E9C-101B-9397-08002B2CF9AE}" pid="5" name="MSIP_Label_863bc15e-e7bf-41c1-bdb3-03882d8a2e2c_Name">
    <vt:lpwstr>863bc15e-e7bf-41c1-bdb3-03882d8a2e2c</vt:lpwstr>
  </property>
  <property fmtid="{D5CDD505-2E9C-101B-9397-08002B2CF9AE}" pid="6" name="MSIP_Label_863bc15e-e7bf-41c1-bdb3-03882d8a2e2c_SiteId">
    <vt:lpwstr>6e06e42d-6925-47c6-b9e7-9581c7ca302a</vt:lpwstr>
  </property>
  <property fmtid="{D5CDD505-2E9C-101B-9397-08002B2CF9AE}" pid="7" name="MSIP_Label_863bc15e-e7bf-41c1-bdb3-03882d8a2e2c_ActionId">
    <vt:lpwstr>e6cdc23f-2019-4c9e-a04b-661a9b5f5000</vt:lpwstr>
  </property>
  <property fmtid="{D5CDD505-2E9C-101B-9397-08002B2CF9AE}" pid="8" name="MSIP_Label_863bc15e-e7bf-41c1-bdb3-03882d8a2e2c_ContentBits">
    <vt:lpwstr>1</vt:lpwstr>
  </property>
</Properties>
</file>