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\\WWG00M.ROOTDOM.NET\BFS-HOME\CE01959-R0244583\ICM\Desktop\Ercilia\"/>
    </mc:Choice>
  </mc:AlternateContent>
  <xr:revisionPtr revIDLastSave="0" documentId="8_{915FC5CA-B05B-4BE9-A425-01C32CFC828B}" xr6:coauthVersionLast="36" xr6:coauthVersionMax="36" xr10:uidLastSave="{00000000-0000-0000-0000-000000000000}"/>
  <bookViews>
    <workbookView xWindow="-120" yWindow="-120" windowWidth="20730" windowHeight="11160" activeTab="1" xr2:uid="{00000000-000D-0000-FFFF-FFFF00000000}"/>
  </bookViews>
  <sheets>
    <sheet name="Pérdida" sheetId="5" r:id="rId1"/>
    <sheet name="Resumen" sheetId="6" r:id="rId2"/>
  </sheets>
  <definedNames>
    <definedName name="_xlnm._FilterDatabase" localSheetId="0" hidden="1">Pérdida!$A$11:$I$60</definedName>
    <definedName name="_xlnm.Print_Area" localSheetId="0">Pérdida!$A$10:$I$130</definedName>
    <definedName name="_xlnm.Print_Area" localSheetId="1">Resumen!$A$10:$C$32</definedName>
    <definedName name="_xlnm.Print_Titles" localSheetId="0">Pérdida!$1:$9</definedName>
    <definedName name="_xlnm.Print_Titles" localSheetId="1">Resumen!$1:$9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6" l="1"/>
  <c r="F98" i="5" l="1"/>
  <c r="H109" i="5"/>
  <c r="H119" i="5"/>
  <c r="H39" i="5"/>
  <c r="G72" i="5"/>
  <c r="G65" i="5"/>
  <c r="G60" i="5"/>
  <c r="G111" i="5" l="1"/>
  <c r="G115" i="5" s="1"/>
  <c r="C23" i="6" s="1"/>
  <c r="G119" i="5"/>
  <c r="C24" i="6" s="1"/>
  <c r="G107" i="5"/>
  <c r="G109" i="5" s="1"/>
  <c r="C19" i="6" s="1"/>
  <c r="G99" i="5"/>
  <c r="G98" i="5"/>
  <c r="G97" i="5"/>
  <c r="G93" i="5"/>
  <c r="G95" i="5" s="1"/>
  <c r="C21" i="6" s="1"/>
  <c r="G70" i="5"/>
  <c r="G74" i="5" s="1"/>
  <c r="G64" i="5"/>
  <c r="G68" i="5" s="1"/>
  <c r="C16" i="6" s="1"/>
  <c r="G59" i="5"/>
  <c r="G57" i="5"/>
  <c r="G56" i="5"/>
  <c r="G55" i="5"/>
  <c r="G54" i="5"/>
  <c r="G46" i="5"/>
  <c r="G45" i="5"/>
  <c r="G39" i="5"/>
  <c r="G19" i="5"/>
  <c r="G17" i="5"/>
  <c r="G13" i="5"/>
  <c r="G12" i="5"/>
  <c r="G11" i="5"/>
  <c r="H74" i="5" l="1"/>
  <c r="C17" i="6"/>
  <c r="G102" i="5"/>
  <c r="G20" i="5"/>
  <c r="C10" i="6" s="1"/>
  <c r="H115" i="5"/>
  <c r="H102" i="5" l="1"/>
  <c r="C20" i="6"/>
  <c r="F118" i="5"/>
  <c r="F117" i="5"/>
  <c r="F65" i="5"/>
  <c r="F54" i="5"/>
  <c r="F55" i="5"/>
  <c r="F56" i="5"/>
  <c r="F57" i="5"/>
  <c r="F58" i="5"/>
  <c r="G58" i="5" s="1"/>
  <c r="F59" i="5"/>
  <c r="F60" i="5"/>
  <c r="F53" i="5"/>
  <c r="G53" i="5" s="1"/>
  <c r="F35" i="5"/>
  <c r="F34" i="5"/>
  <c r="F18" i="5"/>
  <c r="F113" i="5"/>
  <c r="F112" i="5"/>
  <c r="F111" i="5"/>
  <c r="F107" i="5"/>
  <c r="F106" i="5"/>
  <c r="F105" i="5"/>
  <c r="F104" i="5"/>
  <c r="F100" i="5"/>
  <c r="F99" i="5"/>
  <c r="F97" i="5"/>
  <c r="F93" i="5"/>
  <c r="F92" i="5"/>
  <c r="F91" i="5"/>
  <c r="F90" i="5"/>
  <c r="F86" i="5"/>
  <c r="F85" i="5"/>
  <c r="F84" i="5"/>
  <c r="F80" i="5"/>
  <c r="G80" i="5" s="1"/>
  <c r="G82" i="5" s="1"/>
  <c r="C18" i="6" s="1"/>
  <c r="F79" i="5"/>
  <c r="F78" i="5"/>
  <c r="F77" i="5"/>
  <c r="F76" i="5"/>
  <c r="F72" i="5"/>
  <c r="F71" i="5"/>
  <c r="F70" i="5"/>
  <c r="F66" i="5"/>
  <c r="F64" i="5"/>
  <c r="F50" i="5"/>
  <c r="F49" i="5"/>
  <c r="F48" i="5"/>
  <c r="F47" i="5"/>
  <c r="F46" i="5"/>
  <c r="F45" i="5"/>
  <c r="F42" i="5"/>
  <c r="F41" i="5"/>
  <c r="F40" i="5"/>
  <c r="F39" i="5"/>
  <c r="F36" i="5"/>
  <c r="G36" i="5" s="1"/>
  <c r="F33" i="5"/>
  <c r="F32" i="5"/>
  <c r="F31" i="5"/>
  <c r="F30" i="5"/>
  <c r="G30" i="5" s="1"/>
  <c r="F27" i="5"/>
  <c r="F26" i="5"/>
  <c r="F25" i="5"/>
  <c r="F24" i="5"/>
  <c r="F23" i="5"/>
  <c r="F22" i="5"/>
  <c r="F19" i="5"/>
  <c r="F17" i="5"/>
  <c r="F16" i="5"/>
  <c r="F15" i="5"/>
  <c r="F14" i="5"/>
  <c r="F13" i="5"/>
  <c r="F12" i="5"/>
  <c r="F11" i="5"/>
  <c r="H68" i="5" l="1"/>
  <c r="G62" i="5"/>
  <c r="C13" i="6" s="1"/>
  <c r="G37" i="5"/>
  <c r="C11" i="6" s="1"/>
  <c r="H40" i="5"/>
  <c r="H41" i="5"/>
  <c r="G42" i="5"/>
  <c r="G43" i="5" s="1"/>
  <c r="C14" i="6" s="1"/>
  <c r="G47" i="5"/>
  <c r="G48" i="5"/>
  <c r="G49" i="5"/>
  <c r="F102" i="5"/>
  <c r="F109" i="5"/>
  <c r="F95" i="5"/>
  <c r="F88" i="5"/>
  <c r="H88" i="5" s="1"/>
  <c r="F74" i="5"/>
  <c r="F68" i="5"/>
  <c r="F82" i="5"/>
  <c r="H82" i="5" s="1"/>
  <c r="F62" i="5"/>
  <c r="H62" i="5" s="1"/>
  <c r="F51" i="5"/>
  <c r="F43" i="5"/>
  <c r="F37" i="5"/>
  <c r="F28" i="5"/>
  <c r="F20" i="5"/>
  <c r="F115" i="5"/>
  <c r="H43" i="5" l="1"/>
  <c r="H120" i="5" s="1"/>
  <c r="G51" i="5"/>
  <c r="F120" i="5"/>
  <c r="G120" i="5" l="1"/>
  <c r="C15" i="6"/>
  <c r="C25" i="6" s="1"/>
  <c r="G122" i="5"/>
  <c r="G124" i="5"/>
  <c r="G123" i="5"/>
  <c r="H123" i="5"/>
  <c r="H122" i="5"/>
  <c r="H124" i="5"/>
  <c r="F124" i="5"/>
  <c r="F127" i="5" s="1"/>
  <c r="F122" i="5"/>
  <c r="F123" i="5"/>
  <c r="C27" i="6" l="1"/>
  <c r="C28" i="6"/>
  <c r="C26" i="6"/>
  <c r="C29" i="6" s="1"/>
  <c r="C30" i="6" s="1"/>
  <c r="G125" i="5"/>
  <c r="G126" i="5" s="1"/>
  <c r="G128" i="5" s="1"/>
  <c r="H125" i="5"/>
  <c r="H126" i="5" s="1"/>
  <c r="H128" i="5" s="1"/>
  <c r="F125" i="5"/>
  <c r="C31" i="6" l="1"/>
  <c r="C32" i="6"/>
  <c r="G129" i="5"/>
  <c r="G130" i="5" s="1"/>
  <c r="F126" i="5"/>
  <c r="F128" i="5"/>
</calcChain>
</file>

<file path=xl/sharedStrings.xml><?xml version="1.0" encoding="utf-8"?>
<sst xmlns="http://schemas.openxmlformats.org/spreadsheetml/2006/main" count="385" uniqueCount="280">
  <si>
    <t>DESCRIPCION</t>
  </si>
  <si>
    <t>UND</t>
  </si>
  <si>
    <t>CANT</t>
  </si>
  <si>
    <t>ITEM</t>
  </si>
  <si>
    <t>m2</t>
  </si>
  <si>
    <t>1.1</t>
  </si>
  <si>
    <t>ml</t>
  </si>
  <si>
    <t>m3</t>
  </si>
  <si>
    <t>I</t>
  </si>
  <si>
    <t>1.2</t>
  </si>
  <si>
    <t>1.3</t>
  </si>
  <si>
    <t>SUBTOTAL</t>
  </si>
  <si>
    <t>II</t>
  </si>
  <si>
    <t>2.1</t>
  </si>
  <si>
    <t>2.2</t>
  </si>
  <si>
    <t>2.3</t>
  </si>
  <si>
    <t>2.4</t>
  </si>
  <si>
    <t>2.5</t>
  </si>
  <si>
    <t>2.6</t>
  </si>
  <si>
    <t>Un</t>
  </si>
  <si>
    <t>III</t>
  </si>
  <si>
    <t>ESTRUCTURAS</t>
  </si>
  <si>
    <t>3.1</t>
  </si>
  <si>
    <t>3.2</t>
  </si>
  <si>
    <t>3.3</t>
  </si>
  <si>
    <t>3.4</t>
  </si>
  <si>
    <t>3.5</t>
  </si>
  <si>
    <t>3.6</t>
  </si>
  <si>
    <t>3.7</t>
  </si>
  <si>
    <t>REFORZAMIENTO DE ESTRUCTURAS</t>
  </si>
  <si>
    <t>IV</t>
  </si>
  <si>
    <t>4.1</t>
  </si>
  <si>
    <t>4.2</t>
  </si>
  <si>
    <t>4.3</t>
  </si>
  <si>
    <t>4.4</t>
  </si>
  <si>
    <t>INSTALACIONES ELECTRICAS</t>
  </si>
  <si>
    <t>V</t>
  </si>
  <si>
    <t>5.1</t>
  </si>
  <si>
    <t>Gl</t>
  </si>
  <si>
    <t>5.2</t>
  </si>
  <si>
    <t>5.3</t>
  </si>
  <si>
    <t>5.4</t>
  </si>
  <si>
    <t>5.5</t>
  </si>
  <si>
    <t>5.6</t>
  </si>
  <si>
    <t>Tableros parciales</t>
  </si>
  <si>
    <t>VI</t>
  </si>
  <si>
    <t>6.1</t>
  </si>
  <si>
    <t>VII</t>
  </si>
  <si>
    <t>7.1</t>
  </si>
  <si>
    <t>7.2</t>
  </si>
  <si>
    <t>VIII</t>
  </si>
  <si>
    <t>8.1</t>
  </si>
  <si>
    <t>8.2</t>
  </si>
  <si>
    <t>8.3</t>
  </si>
  <si>
    <t>IX</t>
  </si>
  <si>
    <t>9.1</t>
  </si>
  <si>
    <t>9.2</t>
  </si>
  <si>
    <t>9.3</t>
  </si>
  <si>
    <t>9.4</t>
  </si>
  <si>
    <t>9.5</t>
  </si>
  <si>
    <t>CUBIERTAS Y CIELORASOS</t>
  </si>
  <si>
    <t>X</t>
  </si>
  <si>
    <t>10.1</t>
  </si>
  <si>
    <t>10.2</t>
  </si>
  <si>
    <t>10.3</t>
  </si>
  <si>
    <t>XI</t>
  </si>
  <si>
    <t>11.1</t>
  </si>
  <si>
    <t>11.2</t>
  </si>
  <si>
    <t>11.3</t>
  </si>
  <si>
    <t>XII</t>
  </si>
  <si>
    <t>12.1</t>
  </si>
  <si>
    <t>12.2</t>
  </si>
  <si>
    <t>XIII</t>
  </si>
  <si>
    <t>13.1</t>
  </si>
  <si>
    <t>13.2</t>
  </si>
  <si>
    <t>13.3</t>
  </si>
  <si>
    <t>13.4</t>
  </si>
  <si>
    <t>Estuco sobre muros</t>
  </si>
  <si>
    <t>XIV</t>
  </si>
  <si>
    <t>APARATOS SANITARIOS</t>
  </si>
  <si>
    <t>TOTAL DE COSTOS DIRECTOS</t>
  </si>
  <si>
    <t>COSTOS INDIRECTOS</t>
  </si>
  <si>
    <t>ADMINISTRACION</t>
  </si>
  <si>
    <t>IMPREVISTOS</t>
  </si>
  <si>
    <t>UTILIDAD</t>
  </si>
  <si>
    <t>TOTAL DE COSTOS INDIRECTOS</t>
  </si>
  <si>
    <t>1.4</t>
  </si>
  <si>
    <t>1.6</t>
  </si>
  <si>
    <t>1.7</t>
  </si>
  <si>
    <t>1.9</t>
  </si>
  <si>
    <t>Observaciones SDR</t>
  </si>
  <si>
    <t>No esta afectada por el incendio</t>
  </si>
  <si>
    <t>No se reconoce por ser mejoras locativas</t>
  </si>
  <si>
    <t>Se reconoce precio unitario y cantidades del asegurado</t>
  </si>
  <si>
    <t>Se reconoce precio del mercado</t>
  </si>
  <si>
    <t>ML</t>
  </si>
  <si>
    <t>Suministro e instalación de lavamanos</t>
  </si>
  <si>
    <t>12.3</t>
  </si>
  <si>
    <t>12.4</t>
  </si>
  <si>
    <t>Vidrios 4 mm</t>
  </si>
  <si>
    <t>6.2</t>
  </si>
  <si>
    <t>Columnetas de confinamiento elementos no estructurales (12*30)</t>
  </si>
  <si>
    <t>6.3</t>
  </si>
  <si>
    <t>Puntos de salida fuerza</t>
  </si>
  <si>
    <t>Cielorasos en lamina de yeso B/cubierta</t>
  </si>
  <si>
    <t>11.4</t>
  </si>
  <si>
    <t>Pisos en baldosa de granito tipo alfa pulido al plomo</t>
  </si>
  <si>
    <t>Pisos en baldosas de ceramica</t>
  </si>
  <si>
    <t>Divisiones para baño en acero</t>
  </si>
  <si>
    <t>Demolición de cubiertas y estructuras</t>
  </si>
  <si>
    <t>OBRAS PRELIMINARES Y DEMOLICIONES</t>
  </si>
  <si>
    <t>1.5</t>
  </si>
  <si>
    <t>1.8</t>
  </si>
  <si>
    <t>Demolición muros</t>
  </si>
  <si>
    <t>Demolición entre piso de madera</t>
  </si>
  <si>
    <t>Demolición entre piso de concreto</t>
  </si>
  <si>
    <t>Demolición columna de concreto</t>
  </si>
  <si>
    <t>Demolición vigas de concreto</t>
  </si>
  <si>
    <t>Desmonte y retiro de ventanería metálica</t>
  </si>
  <si>
    <t>Desmonte y retiro de carpintería metálica</t>
  </si>
  <si>
    <t>UN</t>
  </si>
  <si>
    <t>Localización y replanteo</t>
  </si>
  <si>
    <t>Excavación en material común</t>
  </si>
  <si>
    <t xml:space="preserve">Concreto clase 3500 psi para estructura de cimentación </t>
  </si>
  <si>
    <t>Concreto clase 3500 psi para reforzamiento de columnas</t>
  </si>
  <si>
    <t xml:space="preserve">Concreto clase 3500 psi para reforzamiento de vigas </t>
  </si>
  <si>
    <t>Acero refuerzo Fy:60000</t>
  </si>
  <si>
    <t>KLS</t>
  </si>
  <si>
    <t>Concreto 3500 psi para columnas</t>
  </si>
  <si>
    <t xml:space="preserve">Concreto de 3500 psi para vigas de entrepiso </t>
  </si>
  <si>
    <t>Placa de entre piso, sistema lamina colaborante (steel Deck) Cal.20,2"</t>
  </si>
  <si>
    <t>Acero refuerzo FY:60000 psi para refuerzo de estructuras</t>
  </si>
  <si>
    <t>Estructura metalica en perfil cerrado, para cubiertas 15*30</t>
  </si>
  <si>
    <t>MAMPOSTERÍA</t>
  </si>
  <si>
    <t>Muros en ladrillo N° 5</t>
  </si>
  <si>
    <t>Dinteles en concreto (15*30)</t>
  </si>
  <si>
    <t>INSTALACIONES HIDROSANITARIAS</t>
  </si>
  <si>
    <t>Red sanitaria tubería PVC D=3" D=4"</t>
  </si>
  <si>
    <t>Puntos de salida hidraulicos D=1/2"</t>
  </si>
  <si>
    <t>Red hidraulica en tubería PVC D=1/2"</t>
  </si>
  <si>
    <t>Bajantes aguas lluvias D=3" INCL. Accesorios</t>
  </si>
  <si>
    <t>Puntos de salida sanitarios D=3" D=4"</t>
  </si>
  <si>
    <t>Cajas de inspección</t>
  </si>
  <si>
    <t>6.4</t>
  </si>
  <si>
    <t>6.5</t>
  </si>
  <si>
    <t>6.6</t>
  </si>
  <si>
    <t>6.7</t>
  </si>
  <si>
    <t>6.8</t>
  </si>
  <si>
    <t xml:space="preserve">Acometida general </t>
  </si>
  <si>
    <t>Tablero general</t>
  </si>
  <si>
    <t>Tablero de distribución</t>
  </si>
  <si>
    <t xml:space="preserve">Puntos de salida alumbrado </t>
  </si>
  <si>
    <t>Salidas especiales 220V</t>
  </si>
  <si>
    <t>Lamparas e incrustar en cielorasos</t>
  </si>
  <si>
    <t>ACABADOS DE MUROS</t>
  </si>
  <si>
    <t>7.3</t>
  </si>
  <si>
    <t>Pañete liso sobre muros interiores, incluye filos</t>
  </si>
  <si>
    <t>Pañete sobre vigas y columnas incluye filos</t>
  </si>
  <si>
    <t>Cubierta en teja arquitectonica, incluye accesorio de fijación</t>
  </si>
  <si>
    <t>Cielorasos en fibrocel I bajo placas</t>
  </si>
  <si>
    <t>PISOS Y GUARDAESCOBAS</t>
  </si>
  <si>
    <t>Mortero de nivelación para pisos</t>
  </si>
  <si>
    <t xml:space="preserve">Guardaescobas en tableta tipo alfa </t>
  </si>
  <si>
    <t>Guardaescoba en ceramica</t>
  </si>
  <si>
    <t>ENCHAPES Y REVESTIMIENTO</t>
  </si>
  <si>
    <t>Enchapes en baldosas de porcelana</t>
  </si>
  <si>
    <t>Pisos en balsodín de porcelana</t>
  </si>
  <si>
    <t>Suministro e instalación de sanitarios</t>
  </si>
  <si>
    <t>Suministro e instalación de lavaplatos en acero inoxidable</t>
  </si>
  <si>
    <t xml:space="preserve">Suministro e instalación juegos de incrustaciones </t>
  </si>
  <si>
    <t>PINTURAS</t>
  </si>
  <si>
    <t>Pintura al vinilo 3 manos sobre muros Viniltex</t>
  </si>
  <si>
    <t xml:space="preserve">Pintura tipo koraza para exteriores </t>
  </si>
  <si>
    <t xml:space="preserve">Pintura al esmalte para estructura metalica </t>
  </si>
  <si>
    <t>CARPINTERÍA</t>
  </si>
  <si>
    <t>Marcos metalicos para puertas</t>
  </si>
  <si>
    <t>Puertas en madera para interior</t>
  </si>
  <si>
    <t>Ventarería metalica incluye pintura</t>
  </si>
  <si>
    <t>LIMPIEZA GENERAL</t>
  </si>
  <si>
    <t>Aseo general</t>
  </si>
  <si>
    <t>Retiro de escombros de construcción</t>
  </si>
  <si>
    <t xml:space="preserve">Retiro de escombros de demolición </t>
  </si>
  <si>
    <t>IVA (UTILIDAD)</t>
  </si>
  <si>
    <t>No estan afectadas por el siniestro</t>
  </si>
  <si>
    <t>No se reconocen por ser mejoras locativas</t>
  </si>
  <si>
    <t>No esta afectado por el incendio</t>
  </si>
  <si>
    <t>Localización, demarcación y replanteo</t>
  </si>
  <si>
    <t>No aplica para las reparaciones</t>
  </si>
  <si>
    <t>Viguetas de confinamiento elementos no estructurales (12*30)</t>
  </si>
  <si>
    <t>Se reconoce el precio unitario y cantidades del asegurado</t>
  </si>
  <si>
    <t>Se reconoce precio del mercado y cantidades del asgeurado (45 UN)</t>
  </si>
  <si>
    <t>Incluida en el ítem 7.1</t>
  </si>
  <si>
    <t>No se reconoce para las reparaciones</t>
  </si>
  <si>
    <t>Se reconoce precio del mercado para 100 m3</t>
  </si>
  <si>
    <t>Desmonte y retiro aparatos sanitarios</t>
  </si>
  <si>
    <t>Desconocemos si dentro de los estimados del contratista del asegurado están contemplando algunas de estas partidas. Sin embargo, en nuestra opinión deben ser incluidas para la reparación.</t>
  </si>
  <si>
    <t>Reconocemos el desmontaje de piezas sanitarias afectadas en el segundo nivel, que corresponde a 4 piezas en total. El precio unitario reconocido es el reclamado por el asegurado.</t>
  </si>
  <si>
    <t>Se reconoce: A)Suministro y construcción de muro en mampostería simple bloque de concreto (de acuerdo a la mamposteria existente segundo piso). Correspondiente a muros divisorios  donde se encuentra la placa de entrepiso en madera que se debe reponer. B) Suministro y construcción de muros perimetrales en mampostería simple bloque de concreto, del segundo nivel, en las áreas donde hay piso de madera. Sujetas a verificación en el mometnto de demolición y retiro de escombros del piso de madera. Área reconocida: 174 m2 y reconocemos el precio unitario del asegurado.</t>
  </si>
  <si>
    <t>La cantidad reconocida corresponde al segundo nivel. El precio unitario del asegurado lo reconocemos.</t>
  </si>
  <si>
    <t>Se reconoce el precio unitario y cantidades del asegurado. Adicionalmente se reconoce Sumnistro e instalación de sistema de puesta a tierra, incluye cableado desnudo diferentes calibres, varillas, soldaduras , accesorios y todo lo necesario para su correcto funcionamiento, cuyas partidas no está incluyendo el asegurado y corresponden a la puesta a tierra.</t>
  </si>
  <si>
    <t>Se reconoce un tablero de distribución como afectado y reconocemos el precio del asegurado.</t>
  </si>
  <si>
    <t>Se reconoce precio del mercado (menor que el reclamado) y cantidades del asegurado (52 UN)</t>
  </si>
  <si>
    <t>Se reconoce precio del mercado (menor que el reclamado). Se reconocen 15 UN</t>
  </si>
  <si>
    <t>Se reconoce precio del mercado (menor que el reclamado) y las cantidades del asegurado</t>
  </si>
  <si>
    <t>Tampoco se reconoce por ser mejoras. Reconocemos lo correspondiente a canales de recolección de agua de lluvias en lámina calibre 18, los cuales resultaron afectados, aunque el asegurado no lo está reclamando. Precio unitario COP 55.000 y 62ml.</t>
  </si>
  <si>
    <t>Solo se reconoce limpieza y posibles reparaciones en el primer nivel.</t>
  </si>
  <si>
    <t>Se reconoce precio unitario y cantidades del asegurado que corresponde al segundo nivel.</t>
  </si>
  <si>
    <t>Se reconoce precio unitario del asegurado y cantidades evidencias en sitio (2 UN en el segundo nivel) más limpieza de las piezas del primer nivel</t>
  </si>
  <si>
    <t>Se reconoce precio unitario del asegurado y cantidades evidencias en sitio (1 UN segundo nivel) y limpieza de la pieza del primer nivel</t>
  </si>
  <si>
    <t>Se reconoce vidrio de fachada del segundo nivel, precio unitario del asegurado y cantidades evidenciadas en sitio (10 m2), sujeto a demoler el piso de madera para determinar si será necesario demoler esta pared de la fachada.</t>
  </si>
  <si>
    <t>Sumnistro en instalación  de cerramiento provisional en tela plástica verde y candados</t>
  </si>
  <si>
    <t>Se reconocerá cuando sea demostrada la ejecución de la obra (reparaciones).</t>
  </si>
  <si>
    <t>Se reconocen algunos costos de revisiones y evaluaciones para ejecutar la reparacción</t>
  </si>
  <si>
    <t xml:space="preserve">Se reconoce el precio unitario reclamado, y las cantidades medidas en el predio (superiores a las del asegurado) </t>
  </si>
  <si>
    <t>Reconocemos limpieza y posibes reparaciones en el piso del segundo nivel</t>
  </si>
  <si>
    <t>Se reconoce precio unitario del asegurado y cantidades evidencias en sitio (2 baños del segundo nivel) más limpieza del primer nivel</t>
  </si>
  <si>
    <t>Pañete liso sobre muros exteriores impermeabilizados, incluye filos.</t>
  </si>
  <si>
    <t>No se afectó por el siniestro, ya que su instalación es subterránea.</t>
  </si>
  <si>
    <t>Observamos 5 tableros y están afectados por el incendio y por el agua de extinción.</t>
  </si>
  <si>
    <t>No esta afectado por el incendio / No aplica. En la parte externa se reconoce Fachaleta para fachada del segundo nivel (mayolica) (Incluye andamio certificado), pero esta partida está sujeta a definir su afectación o no al momento de demoler el piso de madera de esa área y conocer el sistema constructivo. Reconocemos 22m2 a un precio unitario de COP. 53.000,00</t>
  </si>
  <si>
    <t>Solo reconocemos la limpieza y posibles reparaciones del piso del primer nivel</t>
  </si>
  <si>
    <t>Asegurado: Gemma Straub Cadena</t>
  </si>
  <si>
    <t>Siniestro: Incendio en predios</t>
  </si>
  <si>
    <t>Ocurrido: 15 de junio de 2020</t>
  </si>
  <si>
    <t>Permisos de ejecución  de las reparaciones, planes de manejo de trafico y planes de manejo ambiental; ante Curaduria y/o solicitados por la autoridades competentes de acuerdo a la legilación vigente.</t>
  </si>
  <si>
    <t>Solo reconocemos por estas partidas lo correspondiente a limpieza</t>
  </si>
  <si>
    <t>PARTIDAS NO RECLAMADAS POR EL ASEGURADO</t>
  </si>
  <si>
    <t>TOTAL</t>
  </si>
  <si>
    <t>Menos deducible (5% según póliza)</t>
  </si>
  <si>
    <t>Total estimado de la pérdida</t>
  </si>
  <si>
    <t>TOTAL ESTIMADOS</t>
  </si>
  <si>
    <t>No se contempla infraseguro</t>
  </si>
  <si>
    <t xml:space="preserve">Determinación de la pérdida </t>
  </si>
  <si>
    <t>Valores a riesgo (COP.)</t>
  </si>
  <si>
    <t>Pérdida reconocida (COP.)</t>
  </si>
  <si>
    <t>VR/UNIT (COP.)</t>
  </si>
  <si>
    <t>VR/TOTAL (COP.)</t>
  </si>
  <si>
    <t>Se reconoce precio unitario del asegurado y cantidad evidenciada en sitio (310 m2)</t>
  </si>
  <si>
    <t>Sujeta a la demolición y retiro de escombros del piso de madera, ya que debemos verificar el sistema constructivo de las mismas. Se reconocen 174 m2. Reconocemos precio unitario del asegurado.</t>
  </si>
  <si>
    <t>Se reconoce precio unitario del asegurado y cantidad evidenciada en sitio (138,60 m2)</t>
  </si>
  <si>
    <t>Solo se reconocen las ventanas de la fachada, en el caso que sea necesario demoler dicho muro, siendo la cantidad de esta partida 10m2. Reconocemos el precio unitario del asegurado.</t>
  </si>
  <si>
    <t>Sólo se reconoce suministro e Instalación de estructura metalica para placa de entre piso en super board incluye diseño y el piso de madera (140 m2 área de madera) a precios del mercado, debido a que el precio unitario que tiene el asegurado es para una placa de concreto armado.</t>
  </si>
  <si>
    <t>Ref. Allianz:  91871515</t>
  </si>
  <si>
    <t>Ref. SDR.: 00021/2020 AB</t>
  </si>
  <si>
    <t>Item</t>
  </si>
  <si>
    <t>Descripción</t>
  </si>
  <si>
    <t>Estructuras</t>
  </si>
  <si>
    <t>Reforzamiento de estructura</t>
  </si>
  <si>
    <t>Instalaciones eléctricas</t>
  </si>
  <si>
    <t>Mampostería (restando mejoras locativas de muros divisorios)</t>
  </si>
  <si>
    <t>Cubiertas y cielorasos (se restan mejoras locativas)</t>
  </si>
  <si>
    <t>Carpintería metálica y madera (mejoras locativas)</t>
  </si>
  <si>
    <t>Acabado de muros - pintura</t>
  </si>
  <si>
    <t>Aparatos sanitarios</t>
  </si>
  <si>
    <t>Retiro de escombros y aseo</t>
  </si>
  <si>
    <t>Total Costos Directos</t>
  </si>
  <si>
    <t>Total Costos Indirectos</t>
  </si>
  <si>
    <t>Valor Total</t>
  </si>
  <si>
    <t>Menos deducible (5%) COP 690.000,00</t>
  </si>
  <si>
    <t>Total pérdida determinada a proponer al asegurado</t>
  </si>
  <si>
    <t>Resumen de pérdida determinada</t>
  </si>
  <si>
    <t>Pérdida determianda (COP.)</t>
  </si>
  <si>
    <t>Obras preliminares y demoliciones</t>
  </si>
  <si>
    <t>Instalaciones hidrosanitarias</t>
  </si>
  <si>
    <t>Partidas no reclamadas por el asegurado</t>
  </si>
  <si>
    <t>Acabados de muros</t>
  </si>
  <si>
    <t>Pisos y guardaescobas</t>
  </si>
  <si>
    <t>Enchapes y revestimientos</t>
  </si>
  <si>
    <t>Administración 10%</t>
  </si>
  <si>
    <t>Imprevistos 5%</t>
  </si>
  <si>
    <t>Utilidad 15%</t>
  </si>
  <si>
    <t>Se reconoce precios unitarios y cantidades del asegurado</t>
  </si>
  <si>
    <t>Se reconoce precios unitarios del asegurado y las cantidades evidenciadas en el predio (50 m2)</t>
  </si>
  <si>
    <t>Se reconoce el precio unitario del asegurado y no se considera el pañete del primer nivel. Reconocemos lo correspondiente al segundo nivel  (261 m2, incluyendo muros, columnetas y vigas).</t>
  </si>
  <si>
    <t>XV</t>
  </si>
  <si>
    <t>15.1</t>
  </si>
  <si>
    <t>15.2</t>
  </si>
  <si>
    <t>14.1</t>
  </si>
  <si>
    <t>14.2</t>
  </si>
  <si>
    <t>14.3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</si>
</sst>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_-&quot;$&quot;* #,##0_-;\-&quot;$&quot;* #,##0_-;_-&quot;$&quot;* &quot;-&quot;_-;_-@_-"/>
    <numFmt numFmtId="166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dotted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59">
    <xf numFmtId="0" fontId="0" fillId="0" borderId="0" xfId="0"/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4" fontId="4" fillId="2" borderId="0" xfId="0" applyNumberFormat="1" applyFont="1" applyFill="1" applyBorder="1" applyAlignment="1">
      <alignment horizontal="center"/>
    </xf>
    <xf numFmtId="4" fontId="5" fillId="2" borderId="0" xfId="2" applyNumberFormat="1" applyFont="1" applyFill="1" applyBorder="1"/>
    <xf numFmtId="0" fontId="5" fillId="2" borderId="0" xfId="0" applyFont="1" applyFill="1" applyBorder="1"/>
    <xf numFmtId="0" fontId="3" fillId="2" borderId="0" xfId="0" applyFont="1" applyFill="1" applyBorder="1" applyAlignment="1">
      <alignment horizontal="left"/>
    </xf>
    <xf numFmtId="4" fontId="5" fillId="2" borderId="0" xfId="2" applyNumberFormat="1" applyFont="1" applyFill="1" applyBorder="1" applyAlignment="1"/>
    <xf numFmtId="0" fontId="5" fillId="2" borderId="0" xfId="0" applyFont="1" applyFill="1" applyBorder="1" applyAlignment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4" fontId="4" fillId="2" borderId="0" xfId="0" applyNumberFormat="1" applyFont="1" applyFill="1" applyAlignment="1">
      <alignment horizontal="center"/>
    </xf>
    <xf numFmtId="4" fontId="5" fillId="2" borderId="0" xfId="2" applyNumberFormat="1" applyFont="1" applyFill="1" applyAlignment="1"/>
    <xf numFmtId="0" fontId="5" fillId="2" borderId="0" xfId="0" applyFont="1" applyFill="1" applyAlignment="1"/>
    <xf numFmtId="0" fontId="4" fillId="2" borderId="5" xfId="0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4" fillId="2" borderId="5" xfId="2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4" fillId="2" borderId="6" xfId="0" applyFont="1" applyFill="1" applyBorder="1" applyAlignment="1">
      <alignment horizontal="center"/>
    </xf>
    <xf numFmtId="4" fontId="5" fillId="2" borderId="8" xfId="2" applyNumberFormat="1" applyFont="1" applyFill="1" applyBorder="1"/>
    <xf numFmtId="0" fontId="5" fillId="2" borderId="6" xfId="0" applyFont="1" applyFill="1" applyBorder="1"/>
    <xf numFmtId="0" fontId="5" fillId="2" borderId="0" xfId="0" applyFont="1" applyFill="1"/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vertical="center" wrapText="1"/>
    </xf>
    <xf numFmtId="4" fontId="5" fillId="2" borderId="10" xfId="2" applyNumberFormat="1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0" xfId="0" applyFont="1" applyFill="1" applyAlignment="1">
      <alignment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4" fontId="5" fillId="2" borderId="13" xfId="0" applyNumberFormat="1" applyFont="1" applyFill="1" applyBorder="1" applyAlignment="1">
      <alignment vertical="center" wrapText="1"/>
    </xf>
    <xf numFmtId="4" fontId="5" fillId="2" borderId="13" xfId="2" applyNumberFormat="1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vertical="center" wrapText="1"/>
    </xf>
    <xf numFmtId="4" fontId="4" fillId="2" borderId="16" xfId="0" applyNumberFormat="1" applyFont="1" applyFill="1" applyBorder="1" applyAlignment="1">
      <alignment vertical="center" wrapText="1"/>
    </xf>
    <xf numFmtId="4" fontId="4" fillId="2" borderId="16" xfId="2" applyNumberFormat="1" applyFont="1" applyFill="1" applyBorder="1" applyAlignment="1">
      <alignment vertical="center" wrapText="1"/>
    </xf>
    <xf numFmtId="166" fontId="5" fillId="2" borderId="17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wrapText="1"/>
    </xf>
    <xf numFmtId="4" fontId="5" fillId="2" borderId="3" xfId="2" applyNumberFormat="1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5" fillId="2" borderId="10" xfId="0" applyNumberFormat="1" applyFont="1" applyFill="1" applyBorder="1" applyAlignment="1">
      <alignment vertical="center" wrapText="1"/>
    </xf>
    <xf numFmtId="2" fontId="5" fillId="2" borderId="13" xfId="0" applyNumberFormat="1" applyFont="1" applyFill="1" applyBorder="1" applyAlignment="1">
      <alignment vertical="center" wrapText="1"/>
    </xf>
    <xf numFmtId="4" fontId="5" fillId="2" borderId="4" xfId="2" applyNumberFormat="1" applyFont="1" applyFill="1" applyBorder="1" applyAlignment="1">
      <alignment wrapText="1"/>
    </xf>
    <xf numFmtId="166" fontId="5" fillId="2" borderId="4" xfId="0" applyNumberFormat="1" applyFont="1" applyFill="1" applyBorder="1" applyAlignment="1">
      <alignment wrapText="1"/>
    </xf>
    <xf numFmtId="0" fontId="5" fillId="2" borderId="10" xfId="0" applyFont="1" applyFill="1" applyBorder="1" applyAlignment="1">
      <alignment horizontal="left" vertical="center" wrapText="1"/>
    </xf>
    <xf numFmtId="2" fontId="5" fillId="2" borderId="10" xfId="0" applyNumberFormat="1" applyFont="1" applyFill="1" applyBorder="1" applyAlignment="1">
      <alignment horizontal="center" vertical="center" wrapText="1"/>
    </xf>
    <xf numFmtId="4" fontId="5" fillId="2" borderId="10" xfId="1" applyNumberFormat="1" applyFont="1" applyFill="1" applyBorder="1" applyAlignment="1">
      <alignment horizontal="center" vertical="center" wrapText="1"/>
    </xf>
    <xf numFmtId="4" fontId="5" fillId="2" borderId="10" xfId="2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 wrapText="1"/>
    </xf>
    <xf numFmtId="2" fontId="5" fillId="2" borderId="13" xfId="0" applyNumberFormat="1" applyFont="1" applyFill="1" applyBorder="1" applyAlignment="1">
      <alignment horizontal="center" vertical="center" wrapText="1"/>
    </xf>
    <xf numFmtId="4" fontId="5" fillId="2" borderId="13" xfId="1" applyNumberFormat="1" applyFont="1" applyFill="1" applyBorder="1" applyAlignment="1">
      <alignment horizontal="center" vertical="center" wrapText="1"/>
    </xf>
    <xf numFmtId="4" fontId="5" fillId="2" borderId="13" xfId="2" applyNumberFormat="1" applyFont="1" applyFill="1" applyBorder="1" applyAlignment="1">
      <alignment horizontal="center" vertical="center" wrapText="1"/>
    </xf>
    <xf numFmtId="166" fontId="4" fillId="2" borderId="18" xfId="0" applyNumberFormat="1" applyFont="1" applyFill="1" applyBorder="1" applyAlignment="1">
      <alignment horizontal="center" vertical="center" wrapText="1"/>
    </xf>
    <xf numFmtId="4" fontId="4" fillId="2" borderId="16" xfId="0" applyNumberFormat="1" applyFont="1" applyFill="1" applyBorder="1" applyAlignment="1">
      <alignment horizontal="center" vertical="center" wrapText="1"/>
    </xf>
    <xf numFmtId="4" fontId="4" fillId="2" borderId="16" xfId="2" applyNumberFormat="1" applyFont="1" applyFill="1" applyBorder="1" applyAlignment="1">
      <alignment horizontal="right" vertical="center" wrapText="1"/>
    </xf>
    <xf numFmtId="166" fontId="5" fillId="2" borderId="17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wrapText="1"/>
    </xf>
    <xf numFmtId="4" fontId="4" fillId="2" borderId="3" xfId="2" applyNumberFormat="1" applyFont="1" applyFill="1" applyBorder="1" applyAlignment="1">
      <alignment wrapText="1"/>
    </xf>
    <xf numFmtId="166" fontId="5" fillId="2" borderId="1" xfId="0" applyNumberFormat="1" applyFont="1" applyFill="1" applyBorder="1" applyAlignment="1">
      <alignment wrapText="1"/>
    </xf>
    <xf numFmtId="0" fontId="5" fillId="2" borderId="9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166" fontId="5" fillId="2" borderId="11" xfId="0" applyNumberFormat="1" applyFont="1" applyFill="1" applyBorder="1" applyAlignment="1">
      <alignment wrapText="1"/>
    </xf>
    <xf numFmtId="0" fontId="5" fillId="2" borderId="12" xfId="0" applyFont="1" applyFill="1" applyBorder="1" applyAlignment="1">
      <alignment horizontal="center" wrapText="1"/>
    </xf>
    <xf numFmtId="0" fontId="5" fillId="2" borderId="13" xfId="0" applyFont="1" applyFill="1" applyBorder="1" applyAlignment="1">
      <alignment horizontal="right" vertical="center" wrapText="1"/>
    </xf>
    <xf numFmtId="9" fontId="5" fillId="2" borderId="13" xfId="0" applyNumberFormat="1" applyFont="1" applyFill="1" applyBorder="1" applyAlignment="1">
      <alignment horizontal="center" vertical="center" wrapText="1"/>
    </xf>
    <xf numFmtId="4" fontId="5" fillId="2" borderId="13" xfId="0" applyNumberFormat="1" applyFont="1" applyFill="1" applyBorder="1" applyAlignment="1">
      <alignment horizontal="center" vertical="center" wrapText="1"/>
    </xf>
    <xf numFmtId="166" fontId="5" fillId="2" borderId="14" xfId="0" applyNumberFormat="1" applyFont="1" applyFill="1" applyBorder="1" applyAlignment="1">
      <alignment wrapText="1"/>
    </xf>
    <xf numFmtId="0" fontId="4" fillId="2" borderId="13" xfId="0" applyFont="1" applyFill="1" applyBorder="1" applyAlignment="1">
      <alignment horizontal="right" vertical="center" wrapText="1"/>
    </xf>
    <xf numFmtId="4" fontId="4" fillId="2" borderId="13" xfId="0" applyNumberFormat="1" applyFont="1" applyFill="1" applyBorder="1" applyAlignment="1">
      <alignment vertical="center" wrapText="1"/>
    </xf>
    <xf numFmtId="4" fontId="4" fillId="2" borderId="13" xfId="2" applyNumberFormat="1" applyFont="1" applyFill="1" applyBorder="1" applyAlignment="1">
      <alignment vertical="center" wrapText="1"/>
    </xf>
    <xf numFmtId="0" fontId="4" fillId="2" borderId="13" xfId="0" applyFont="1" applyFill="1" applyBorder="1" applyAlignment="1">
      <alignment horizontal="center" vertical="center" wrapText="1"/>
    </xf>
    <xf numFmtId="2" fontId="4" fillId="2" borderId="13" xfId="0" applyNumberFormat="1" applyFont="1" applyFill="1" applyBorder="1" applyAlignment="1">
      <alignment vertical="center" wrapText="1"/>
    </xf>
    <xf numFmtId="0" fontId="5" fillId="2" borderId="21" xfId="0" applyFont="1" applyFill="1" applyBorder="1" applyAlignment="1">
      <alignment horizontal="center" wrapText="1"/>
    </xf>
    <xf numFmtId="0" fontId="4" fillId="2" borderId="22" xfId="0" applyFont="1" applyFill="1" applyBorder="1" applyAlignment="1">
      <alignment horizontal="right" vertical="center" wrapText="1"/>
    </xf>
    <xf numFmtId="0" fontId="4" fillId="2" borderId="22" xfId="0" applyFont="1" applyFill="1" applyBorder="1" applyAlignment="1">
      <alignment horizontal="center" vertical="center" wrapText="1"/>
    </xf>
    <xf numFmtId="9" fontId="5" fillId="2" borderId="22" xfId="0" applyNumberFormat="1" applyFont="1" applyFill="1" applyBorder="1" applyAlignment="1">
      <alignment horizontal="center" vertical="center" wrapText="1"/>
    </xf>
    <xf numFmtId="4" fontId="5" fillId="2" borderId="22" xfId="0" applyNumberFormat="1" applyFont="1" applyFill="1" applyBorder="1" applyAlignment="1">
      <alignment horizontal="center" vertical="center" wrapText="1"/>
    </xf>
    <xf numFmtId="4" fontId="4" fillId="2" borderId="22" xfId="0" applyNumberFormat="1" applyFont="1" applyFill="1" applyBorder="1" applyAlignment="1">
      <alignment vertical="center" wrapText="1"/>
    </xf>
    <xf numFmtId="4" fontId="5" fillId="2" borderId="22" xfId="2" applyNumberFormat="1" applyFont="1" applyFill="1" applyBorder="1" applyAlignment="1">
      <alignment vertical="center" wrapText="1"/>
    </xf>
    <xf numFmtId="166" fontId="5" fillId="2" borderId="23" xfId="0" applyNumberFormat="1" applyFont="1" applyFill="1" applyBorder="1" applyAlignment="1">
      <alignment wrapText="1"/>
    </xf>
    <xf numFmtId="0" fontId="4" fillId="2" borderId="24" xfId="0" applyFont="1" applyFill="1" applyBorder="1" applyAlignment="1">
      <alignment horizontal="center" wrapText="1"/>
    </xf>
    <xf numFmtId="0" fontId="4" fillId="2" borderId="25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horizontal="center" vertical="center" wrapText="1"/>
    </xf>
    <xf numFmtId="2" fontId="4" fillId="2" borderId="25" xfId="0" applyNumberFormat="1" applyFont="1" applyFill="1" applyBorder="1" applyAlignment="1">
      <alignment vertical="center" wrapText="1"/>
    </xf>
    <xf numFmtId="4" fontId="4" fillId="2" borderId="25" xfId="0" applyNumberFormat="1" applyFont="1" applyFill="1" applyBorder="1" applyAlignment="1">
      <alignment vertical="center" wrapText="1"/>
    </xf>
    <xf numFmtId="4" fontId="4" fillId="2" borderId="25" xfId="2" applyNumberFormat="1" applyFont="1" applyFill="1" applyBorder="1" applyAlignment="1">
      <alignment vertical="center" wrapText="1"/>
    </xf>
    <xf numFmtId="0" fontId="5" fillId="2" borderId="26" xfId="0" applyFont="1" applyFill="1" applyBorder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2" borderId="0" xfId="0" applyFont="1" applyFill="1" applyAlignment="1">
      <alignment horizontal="center"/>
    </xf>
    <xf numFmtId="2" fontId="5" fillId="2" borderId="0" xfId="0" applyNumberFormat="1" applyFont="1" applyFill="1"/>
    <xf numFmtId="4" fontId="5" fillId="2" borderId="0" xfId="0" applyNumberFormat="1" applyFont="1" applyFill="1"/>
    <xf numFmtId="4" fontId="5" fillId="2" borderId="0" xfId="2" applyNumberFormat="1" applyFont="1" applyFill="1"/>
    <xf numFmtId="4" fontId="5" fillId="2" borderId="14" xfId="2" applyNumberFormat="1" applyFont="1" applyFill="1" applyBorder="1" applyAlignment="1">
      <alignment wrapText="1"/>
    </xf>
    <xf numFmtId="4" fontId="4" fillId="2" borderId="14" xfId="2" applyNumberFormat="1" applyFont="1" applyFill="1" applyBorder="1" applyAlignment="1">
      <alignment wrapText="1"/>
    </xf>
    <xf numFmtId="4" fontId="4" fillId="2" borderId="17" xfId="2" applyNumberFormat="1" applyFont="1" applyFill="1" applyBorder="1" applyAlignment="1">
      <alignment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4" fontId="4" fillId="2" borderId="11" xfId="2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" fontId="5" fillId="3" borderId="13" xfId="2" applyNumberFormat="1" applyFont="1" applyFill="1" applyBorder="1" applyAlignment="1">
      <alignment vertical="center" wrapText="1"/>
    </xf>
    <xf numFmtId="4" fontId="5" fillId="3" borderId="10" xfId="2" applyNumberFormat="1" applyFont="1" applyFill="1" applyBorder="1" applyAlignment="1">
      <alignment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vertical="center" wrapText="1"/>
    </xf>
    <xf numFmtId="0" fontId="5" fillId="3" borderId="13" xfId="0" applyFont="1" applyFill="1" applyBorder="1" applyAlignment="1">
      <alignment horizontal="center" vertical="center" wrapText="1"/>
    </xf>
    <xf numFmtId="2" fontId="5" fillId="3" borderId="13" xfId="0" applyNumberFormat="1" applyFont="1" applyFill="1" applyBorder="1" applyAlignment="1">
      <alignment vertical="center" wrapText="1"/>
    </xf>
    <xf numFmtId="4" fontId="5" fillId="3" borderId="13" xfId="0" applyNumberFormat="1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5" fillId="3" borderId="10" xfId="0" applyNumberFormat="1" applyFont="1" applyFill="1" applyBorder="1" applyAlignment="1">
      <alignment vertical="center" wrapText="1"/>
    </xf>
    <xf numFmtId="0" fontId="5" fillId="3" borderId="11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horizontal="center" vertical="center" wrapText="1"/>
    </xf>
    <xf numFmtId="166" fontId="5" fillId="2" borderId="9" xfId="0" applyNumberFormat="1" applyFont="1" applyFill="1" applyBorder="1" applyAlignment="1">
      <alignment horizontal="center" vertical="center" wrapText="1"/>
    </xf>
    <xf numFmtId="166" fontId="5" fillId="2" borderId="12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wrapText="1"/>
    </xf>
    <xf numFmtId="0" fontId="7" fillId="2" borderId="16" xfId="0" applyFont="1" applyFill="1" applyBorder="1" applyAlignment="1">
      <alignment vertical="center" wrapText="1"/>
    </xf>
    <xf numFmtId="0" fontId="7" fillId="2" borderId="16" xfId="0" applyFont="1" applyFill="1" applyBorder="1" applyAlignment="1">
      <alignment horizontal="center" vertical="center" wrapText="1"/>
    </xf>
    <xf numFmtId="2" fontId="7" fillId="2" borderId="16" xfId="0" applyNumberFormat="1" applyFont="1" applyFill="1" applyBorder="1" applyAlignment="1">
      <alignment vertical="center" wrapText="1"/>
    </xf>
    <xf numFmtId="4" fontId="7" fillId="2" borderId="16" xfId="0" applyNumberFormat="1" applyFont="1" applyFill="1" applyBorder="1" applyAlignment="1">
      <alignment vertical="center" wrapText="1"/>
    </xf>
    <xf numFmtId="4" fontId="7" fillId="2" borderId="16" xfId="2" applyNumberFormat="1" applyFont="1" applyFill="1" applyBorder="1" applyAlignment="1">
      <alignment vertical="center" wrapText="1"/>
    </xf>
    <xf numFmtId="0" fontId="8" fillId="2" borderId="17" xfId="0" applyFont="1" applyFill="1" applyBorder="1" applyAlignment="1">
      <alignment vertical="center" wrapText="1"/>
    </xf>
    <xf numFmtId="0" fontId="7" fillId="2" borderId="0" xfId="0" applyFont="1" applyFill="1" applyAlignment="1">
      <alignment wrapText="1"/>
    </xf>
    <xf numFmtId="166" fontId="4" fillId="2" borderId="15" xfId="0" applyNumberFormat="1" applyFont="1" applyFill="1" applyBorder="1" applyAlignment="1">
      <alignment horizontal="right" vertical="center" wrapText="1"/>
    </xf>
    <xf numFmtId="166" fontId="4" fillId="2" borderId="16" xfId="0" applyNumberFormat="1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166" fontId="4" fillId="2" borderId="19" xfId="0" applyNumberFormat="1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2" borderId="20" xfId="0" applyFont="1" applyFill="1" applyBorder="1" applyAlignment="1">
      <alignment horizontal="righ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166" fontId="4" fillId="2" borderId="2" xfId="0" applyNumberFormat="1" applyFont="1" applyFill="1" applyBorder="1" applyAlignment="1">
      <alignment horizontal="center" wrapText="1"/>
    </xf>
    <xf numFmtId="166" fontId="4" fillId="2" borderId="18" xfId="0" applyNumberFormat="1" applyFont="1" applyFill="1" applyBorder="1" applyAlignment="1">
      <alignment horizontal="right" vertical="center" wrapText="1"/>
    </xf>
    <xf numFmtId="166" fontId="4" fillId="2" borderId="20" xfId="0" applyNumberFormat="1" applyFont="1" applyFill="1" applyBorder="1" applyAlignment="1">
      <alignment horizontal="right" vertical="center" wrapText="1"/>
    </xf>
    <xf numFmtId="0" fontId="4" fillId="2" borderId="15" xfId="0" applyFont="1" applyFill="1" applyBorder="1" applyAlignment="1">
      <alignment horizontal="right" vertical="center" wrapText="1"/>
    </xf>
    <xf numFmtId="0" fontId="4" fillId="2" borderId="16" xfId="0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center"/>
    </xf>
    <xf numFmtId="0" fontId="8" fillId="0" borderId="0" xfId="0" applyFont="1" applyAlignment="1"/>
  </cellXfs>
  <cellStyles count="3">
    <cellStyle name="Millares" xfId="2" builtinId="3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0"/>
  <sheetViews>
    <sheetView topLeftCell="A106" zoomScale="98" zoomScaleNormal="98" workbookViewId="0">
      <selection activeCell="H135" sqref="H135"/>
    </sheetView>
  </sheetViews>
  <sheetFormatPr baseColWidth="10" defaultColWidth="11.42578125" defaultRowHeight="15" x14ac:dyDescent="0.25"/>
  <cols>
    <col min="1" max="1" width="11.42578125" style="100"/>
    <col min="2" max="2" width="43.5703125" style="29" customWidth="1"/>
    <col min="3" max="3" width="11.42578125" style="100"/>
    <col min="4" max="4" width="9.85546875" style="101" customWidth="1"/>
    <col min="5" max="5" width="14" style="102" customWidth="1"/>
    <col min="6" max="6" width="16.28515625" style="102" customWidth="1"/>
    <col min="7" max="7" width="17.85546875" style="103" customWidth="1"/>
    <col min="8" max="8" width="17.28515625" style="103" customWidth="1"/>
    <col min="9" max="9" width="53" style="29" customWidth="1"/>
    <col min="10" max="16384" width="11.42578125" style="29"/>
  </cols>
  <sheetData>
    <row r="1" spans="1:9" s="11" customFormat="1" ht="15.75" x14ac:dyDescent="0.25">
      <c r="A1" s="7" t="s">
        <v>221</v>
      </c>
      <c r="B1" s="8"/>
      <c r="C1" s="8"/>
      <c r="D1" s="8"/>
      <c r="E1" s="9"/>
      <c r="F1" s="9"/>
      <c r="G1" s="10"/>
      <c r="H1" s="10"/>
    </row>
    <row r="2" spans="1:9" s="14" customFormat="1" ht="15.75" x14ac:dyDescent="0.25">
      <c r="A2" s="12" t="s">
        <v>222</v>
      </c>
      <c r="B2" s="8"/>
      <c r="C2" s="8"/>
      <c r="D2" s="8"/>
      <c r="E2" s="9"/>
      <c r="F2" s="9"/>
      <c r="G2" s="13"/>
      <c r="H2" s="13"/>
    </row>
    <row r="3" spans="1:9" s="14" customFormat="1" ht="15.75" x14ac:dyDescent="0.25">
      <c r="A3" s="12" t="s">
        <v>223</v>
      </c>
      <c r="B3" s="8"/>
      <c r="C3" s="8"/>
      <c r="D3" s="8"/>
      <c r="E3" s="9"/>
      <c r="F3" s="9"/>
      <c r="G3" s="13"/>
      <c r="H3" s="13"/>
    </row>
    <row r="4" spans="1:9" s="14" customFormat="1" ht="15.75" x14ac:dyDescent="0.25">
      <c r="A4" s="12" t="s">
        <v>242</v>
      </c>
      <c r="B4" s="8"/>
      <c r="C4" s="8"/>
      <c r="D4" s="8"/>
      <c r="E4" s="9"/>
      <c r="F4" s="9"/>
      <c r="G4" s="13"/>
      <c r="H4" s="13"/>
    </row>
    <row r="5" spans="1:9" s="14" customFormat="1" ht="15.75" x14ac:dyDescent="0.25">
      <c r="A5" s="12" t="s">
        <v>243</v>
      </c>
      <c r="B5" s="8"/>
      <c r="C5" s="8"/>
      <c r="D5" s="8"/>
      <c r="E5" s="9"/>
      <c r="F5" s="9"/>
      <c r="G5" s="13"/>
      <c r="H5" s="13"/>
    </row>
    <row r="6" spans="1:9" s="14" customFormat="1" x14ac:dyDescent="0.25">
      <c r="A6" s="15"/>
      <c r="B6" s="8"/>
      <c r="C6" s="8"/>
      <c r="D6" s="8"/>
      <c r="E6" s="9"/>
      <c r="F6" s="9"/>
      <c r="G6" s="13"/>
      <c r="H6" s="13"/>
    </row>
    <row r="7" spans="1:9" s="14" customFormat="1" ht="20.25" x14ac:dyDescent="0.3">
      <c r="A7" s="150" t="s">
        <v>232</v>
      </c>
      <c r="B7" s="151"/>
      <c r="C7" s="151"/>
      <c r="D7" s="151"/>
      <c r="E7" s="151"/>
      <c r="F7" s="151"/>
      <c r="G7" s="151"/>
      <c r="H7" s="151"/>
      <c r="I7" s="151"/>
    </row>
    <row r="8" spans="1:9" s="20" customFormat="1" ht="15.75" thickBot="1" x14ac:dyDescent="0.3">
      <c r="A8" s="16"/>
      <c r="B8" s="17"/>
      <c r="C8" s="17"/>
      <c r="D8" s="17"/>
      <c r="E8" s="18"/>
      <c r="F8" s="18"/>
      <c r="G8" s="19"/>
      <c r="H8" s="19"/>
    </row>
    <row r="9" spans="1:9" s="25" customFormat="1" ht="47.25" customHeight="1" thickTop="1" thickBot="1" x14ac:dyDescent="0.3">
      <c r="A9" s="21" t="s">
        <v>3</v>
      </c>
      <c r="B9" s="21" t="s">
        <v>0</v>
      </c>
      <c r="C9" s="21" t="s">
        <v>1</v>
      </c>
      <c r="D9" s="22" t="s">
        <v>2</v>
      </c>
      <c r="E9" s="23" t="s">
        <v>235</v>
      </c>
      <c r="F9" s="23" t="s">
        <v>236</v>
      </c>
      <c r="G9" s="24" t="s">
        <v>234</v>
      </c>
      <c r="H9" s="24" t="s">
        <v>233</v>
      </c>
      <c r="I9" s="21" t="s">
        <v>90</v>
      </c>
    </row>
    <row r="10" spans="1:9" ht="15.75" thickTop="1" x14ac:dyDescent="0.25">
      <c r="A10" s="26" t="s">
        <v>8</v>
      </c>
      <c r="B10" s="139" t="s">
        <v>110</v>
      </c>
      <c r="C10" s="139"/>
      <c r="D10" s="139"/>
      <c r="E10" s="139"/>
      <c r="F10" s="140"/>
      <c r="G10" s="27"/>
      <c r="H10" s="27"/>
      <c r="I10" s="28"/>
    </row>
    <row r="11" spans="1:9" s="36" customFormat="1" ht="30" x14ac:dyDescent="0.25">
      <c r="A11" s="30" t="s">
        <v>5</v>
      </c>
      <c r="B11" s="31" t="s">
        <v>109</v>
      </c>
      <c r="C11" s="32" t="s">
        <v>4</v>
      </c>
      <c r="D11" s="33">
        <v>290</v>
      </c>
      <c r="E11" s="33">
        <v>30828</v>
      </c>
      <c r="F11" s="33">
        <f>+E11*D11</f>
        <v>8940120</v>
      </c>
      <c r="G11" s="34">
        <f>310*E11</f>
        <v>9556680</v>
      </c>
      <c r="H11" s="34"/>
      <c r="I11" s="35" t="s">
        <v>237</v>
      </c>
    </row>
    <row r="12" spans="1:9" s="36" customFormat="1" ht="60" x14ac:dyDescent="0.25">
      <c r="A12" s="113" t="s">
        <v>9</v>
      </c>
      <c r="B12" s="114" t="s">
        <v>113</v>
      </c>
      <c r="C12" s="115" t="s">
        <v>4</v>
      </c>
      <c r="D12" s="117">
        <v>432</v>
      </c>
      <c r="E12" s="117">
        <v>41479</v>
      </c>
      <c r="F12" s="117">
        <f t="shared" ref="F12:F15" si="0">+E12*D12</f>
        <v>17918928</v>
      </c>
      <c r="G12" s="111">
        <f>174*E12</f>
        <v>7217346</v>
      </c>
      <c r="H12" s="111"/>
      <c r="I12" s="124" t="s">
        <v>238</v>
      </c>
    </row>
    <row r="13" spans="1:9" s="36" customFormat="1" ht="30" x14ac:dyDescent="0.25">
      <c r="A13" s="37" t="s">
        <v>10</v>
      </c>
      <c r="B13" s="38" t="s">
        <v>114</v>
      </c>
      <c r="C13" s="39" t="s">
        <v>4</v>
      </c>
      <c r="D13" s="40">
        <v>115</v>
      </c>
      <c r="E13" s="40">
        <v>30828</v>
      </c>
      <c r="F13" s="40">
        <f t="shared" si="0"/>
        <v>3545220</v>
      </c>
      <c r="G13" s="41">
        <f>138.6*E13</f>
        <v>4272760.8</v>
      </c>
      <c r="H13" s="41"/>
      <c r="I13" s="43" t="s">
        <v>239</v>
      </c>
    </row>
    <row r="14" spans="1:9" s="36" customFormat="1" x14ac:dyDescent="0.25">
      <c r="A14" s="37" t="s">
        <v>86</v>
      </c>
      <c r="B14" s="38" t="s">
        <v>115</v>
      </c>
      <c r="C14" s="39" t="s">
        <v>4</v>
      </c>
      <c r="D14" s="40">
        <v>188</v>
      </c>
      <c r="E14" s="40">
        <v>78582</v>
      </c>
      <c r="F14" s="40">
        <f t="shared" si="0"/>
        <v>14773416</v>
      </c>
      <c r="G14" s="41"/>
      <c r="H14" s="41"/>
      <c r="I14" s="43" t="s">
        <v>91</v>
      </c>
    </row>
    <row r="15" spans="1:9" s="36" customFormat="1" x14ac:dyDescent="0.25">
      <c r="A15" s="37" t="s">
        <v>111</v>
      </c>
      <c r="B15" s="38" t="s">
        <v>116</v>
      </c>
      <c r="C15" s="39" t="s">
        <v>95</v>
      </c>
      <c r="D15" s="40">
        <v>49</v>
      </c>
      <c r="E15" s="40">
        <v>59142</v>
      </c>
      <c r="F15" s="40">
        <f t="shared" si="0"/>
        <v>2897958</v>
      </c>
      <c r="G15" s="41"/>
      <c r="H15" s="41"/>
      <c r="I15" s="43" t="s">
        <v>183</v>
      </c>
    </row>
    <row r="16" spans="1:9" s="36" customFormat="1" x14ac:dyDescent="0.25">
      <c r="A16" s="37" t="s">
        <v>87</v>
      </c>
      <c r="B16" s="38" t="s">
        <v>117</v>
      </c>
      <c r="C16" s="39" t="s">
        <v>95</v>
      </c>
      <c r="D16" s="40">
        <v>205</v>
      </c>
      <c r="E16" s="40">
        <v>59142</v>
      </c>
      <c r="F16" s="40">
        <f>D16*E16</f>
        <v>12124110</v>
      </c>
      <c r="G16" s="41"/>
      <c r="H16" s="41"/>
      <c r="I16" s="43" t="s">
        <v>183</v>
      </c>
    </row>
    <row r="17" spans="1:9" s="36" customFormat="1" ht="60" x14ac:dyDescent="0.25">
      <c r="A17" s="37" t="s">
        <v>88</v>
      </c>
      <c r="B17" s="38" t="s">
        <v>118</v>
      </c>
      <c r="C17" s="39" t="s">
        <v>4</v>
      </c>
      <c r="D17" s="40">
        <v>20</v>
      </c>
      <c r="E17" s="40">
        <v>14622</v>
      </c>
      <c r="F17" s="40">
        <f t="shared" ref="F17:F19" si="1">D17*E17</f>
        <v>292440</v>
      </c>
      <c r="G17" s="41">
        <f>10*E17</f>
        <v>146220</v>
      </c>
      <c r="H17" s="41"/>
      <c r="I17" s="43" t="s">
        <v>240</v>
      </c>
    </row>
    <row r="18" spans="1:9" s="36" customFormat="1" x14ac:dyDescent="0.25">
      <c r="A18" s="37" t="s">
        <v>112</v>
      </c>
      <c r="B18" s="38" t="s">
        <v>119</v>
      </c>
      <c r="C18" s="39" t="s">
        <v>4</v>
      </c>
      <c r="D18" s="40">
        <v>30</v>
      </c>
      <c r="E18" s="40">
        <v>30828</v>
      </c>
      <c r="F18" s="40">
        <f t="shared" si="1"/>
        <v>924840</v>
      </c>
      <c r="G18" s="41"/>
      <c r="H18" s="41"/>
      <c r="I18" s="43" t="s">
        <v>184</v>
      </c>
    </row>
    <row r="19" spans="1:9" s="36" customFormat="1" ht="45" x14ac:dyDescent="0.25">
      <c r="A19" s="37" t="s">
        <v>89</v>
      </c>
      <c r="B19" s="38" t="s">
        <v>194</v>
      </c>
      <c r="C19" s="39" t="s">
        <v>120</v>
      </c>
      <c r="D19" s="40">
        <v>10</v>
      </c>
      <c r="E19" s="40">
        <v>30640</v>
      </c>
      <c r="F19" s="40">
        <f t="shared" si="1"/>
        <v>306400</v>
      </c>
      <c r="G19" s="41">
        <f>4*E19</f>
        <v>122560</v>
      </c>
      <c r="H19" s="41"/>
      <c r="I19" s="43" t="s">
        <v>196</v>
      </c>
    </row>
    <row r="20" spans="1:9" s="36" customFormat="1" ht="18" customHeight="1" x14ac:dyDescent="0.25">
      <c r="A20" s="153" t="s">
        <v>11</v>
      </c>
      <c r="B20" s="141"/>
      <c r="C20" s="141"/>
      <c r="D20" s="141"/>
      <c r="E20" s="154"/>
      <c r="F20" s="44">
        <f>SUM(F11:F19)</f>
        <v>61723432</v>
      </c>
      <c r="G20" s="45">
        <f>SUM(G11:G19)</f>
        <v>21315566.800000001</v>
      </c>
      <c r="H20" s="45">
        <v>0</v>
      </c>
      <c r="I20" s="46"/>
    </row>
    <row r="21" spans="1:9" s="36" customFormat="1" x14ac:dyDescent="0.25">
      <c r="A21" s="47" t="s">
        <v>12</v>
      </c>
      <c r="B21" s="149" t="s">
        <v>29</v>
      </c>
      <c r="C21" s="149"/>
      <c r="D21" s="149"/>
      <c r="E21" s="149"/>
      <c r="F21" s="146"/>
      <c r="G21" s="48"/>
      <c r="H21" s="48"/>
      <c r="I21" s="49"/>
    </row>
    <row r="22" spans="1:9" s="36" customFormat="1" x14ac:dyDescent="0.25">
      <c r="A22" s="30" t="s">
        <v>13</v>
      </c>
      <c r="B22" s="31" t="s">
        <v>121</v>
      </c>
      <c r="C22" s="32" t="s">
        <v>4</v>
      </c>
      <c r="D22" s="33">
        <v>290</v>
      </c>
      <c r="E22" s="33">
        <v>9338</v>
      </c>
      <c r="F22" s="33">
        <f>+E22*D22</f>
        <v>2708020</v>
      </c>
      <c r="G22" s="34"/>
      <c r="H22" s="34"/>
      <c r="I22" s="35" t="s">
        <v>185</v>
      </c>
    </row>
    <row r="23" spans="1:9" s="36" customFormat="1" x14ac:dyDescent="0.25">
      <c r="A23" s="37" t="s">
        <v>14</v>
      </c>
      <c r="B23" s="38" t="s">
        <v>122</v>
      </c>
      <c r="C23" s="39" t="s">
        <v>7</v>
      </c>
      <c r="D23" s="40">
        <v>44.5</v>
      </c>
      <c r="E23" s="40">
        <v>39942</v>
      </c>
      <c r="F23" s="40">
        <f>+E23*D23</f>
        <v>1777419</v>
      </c>
      <c r="G23" s="41"/>
      <c r="H23" s="41"/>
      <c r="I23" s="43" t="s">
        <v>185</v>
      </c>
    </row>
    <row r="24" spans="1:9" s="36" customFormat="1" ht="30" x14ac:dyDescent="0.25">
      <c r="A24" s="37" t="s">
        <v>15</v>
      </c>
      <c r="B24" s="38" t="s">
        <v>123</v>
      </c>
      <c r="C24" s="39" t="s">
        <v>7</v>
      </c>
      <c r="D24" s="40">
        <v>7.6</v>
      </c>
      <c r="E24" s="40">
        <v>982084</v>
      </c>
      <c r="F24" s="40">
        <f>D24*E24</f>
        <v>7463838.3999999994</v>
      </c>
      <c r="G24" s="41"/>
      <c r="H24" s="41"/>
      <c r="I24" s="43" t="s">
        <v>185</v>
      </c>
    </row>
    <row r="25" spans="1:9" s="36" customFormat="1" ht="30" x14ac:dyDescent="0.25">
      <c r="A25" s="37" t="s">
        <v>16</v>
      </c>
      <c r="B25" s="38" t="s">
        <v>124</v>
      </c>
      <c r="C25" s="39" t="s">
        <v>7</v>
      </c>
      <c r="D25" s="40">
        <v>19</v>
      </c>
      <c r="E25" s="40">
        <v>1085867</v>
      </c>
      <c r="F25" s="40">
        <f t="shared" ref="F25:F27" si="2">D25*E25</f>
        <v>20631473</v>
      </c>
      <c r="G25" s="41"/>
      <c r="H25" s="41"/>
      <c r="I25" s="43" t="s">
        <v>185</v>
      </c>
    </row>
    <row r="26" spans="1:9" s="36" customFormat="1" ht="30" x14ac:dyDescent="0.25">
      <c r="A26" s="37" t="s">
        <v>17</v>
      </c>
      <c r="B26" s="38" t="s">
        <v>125</v>
      </c>
      <c r="C26" s="39" t="s">
        <v>7</v>
      </c>
      <c r="D26" s="40">
        <v>32</v>
      </c>
      <c r="E26" s="40">
        <v>1085867</v>
      </c>
      <c r="F26" s="40">
        <f t="shared" si="2"/>
        <v>34747744</v>
      </c>
      <c r="G26" s="41"/>
      <c r="H26" s="41"/>
      <c r="I26" s="43" t="s">
        <v>185</v>
      </c>
    </row>
    <row r="27" spans="1:9" s="36" customFormat="1" x14ac:dyDescent="0.25">
      <c r="A27" s="37" t="s">
        <v>18</v>
      </c>
      <c r="B27" s="38" t="s">
        <v>126</v>
      </c>
      <c r="C27" s="39" t="s">
        <v>127</v>
      </c>
      <c r="D27" s="40">
        <v>4800</v>
      </c>
      <c r="E27" s="40">
        <v>8301</v>
      </c>
      <c r="F27" s="40">
        <f t="shared" si="2"/>
        <v>39844800</v>
      </c>
      <c r="G27" s="41"/>
      <c r="H27" s="41"/>
      <c r="I27" s="43" t="s">
        <v>185</v>
      </c>
    </row>
    <row r="28" spans="1:9" s="36" customFormat="1" x14ac:dyDescent="0.25">
      <c r="A28" s="137" t="s">
        <v>11</v>
      </c>
      <c r="B28" s="138"/>
      <c r="C28" s="138"/>
      <c r="D28" s="138"/>
      <c r="E28" s="138"/>
      <c r="F28" s="44">
        <f>SUM(F22:F27)</f>
        <v>107173294.40000001</v>
      </c>
      <c r="G28" s="45">
        <v>0</v>
      </c>
      <c r="H28" s="45">
        <v>0</v>
      </c>
      <c r="I28" s="46"/>
    </row>
    <row r="29" spans="1:9" s="36" customFormat="1" x14ac:dyDescent="0.25">
      <c r="A29" s="47" t="s">
        <v>20</v>
      </c>
      <c r="B29" s="149" t="s">
        <v>21</v>
      </c>
      <c r="C29" s="149"/>
      <c r="D29" s="149"/>
      <c r="E29" s="149"/>
      <c r="F29" s="146"/>
      <c r="G29" s="48"/>
      <c r="H29" s="48"/>
      <c r="I29" s="49"/>
    </row>
    <row r="30" spans="1:9" s="36" customFormat="1" ht="30" x14ac:dyDescent="0.25">
      <c r="A30" s="30" t="s">
        <v>22</v>
      </c>
      <c r="B30" s="31" t="s">
        <v>186</v>
      </c>
      <c r="C30" s="32" t="s">
        <v>4</v>
      </c>
      <c r="D30" s="33">
        <v>290</v>
      </c>
      <c r="E30" s="33">
        <v>9338</v>
      </c>
      <c r="F30" s="33">
        <f t="shared" ref="F30:F50" si="3">D30*E30</f>
        <v>2708020</v>
      </c>
      <c r="G30" s="34">
        <f>F30</f>
        <v>2708020</v>
      </c>
      <c r="H30" s="34"/>
      <c r="I30" s="35" t="s">
        <v>212</v>
      </c>
    </row>
    <row r="31" spans="1:9" s="36" customFormat="1" x14ac:dyDescent="0.25">
      <c r="A31" s="37" t="s">
        <v>23</v>
      </c>
      <c r="B31" s="38" t="s">
        <v>122</v>
      </c>
      <c r="C31" s="39" t="s">
        <v>7</v>
      </c>
      <c r="D31" s="40">
        <v>12.5</v>
      </c>
      <c r="E31" s="40">
        <v>39942</v>
      </c>
      <c r="F31" s="40">
        <f t="shared" si="3"/>
        <v>499275</v>
      </c>
      <c r="G31" s="41"/>
      <c r="H31" s="41"/>
      <c r="I31" s="43" t="s">
        <v>187</v>
      </c>
    </row>
    <row r="32" spans="1:9" s="36" customFormat="1" x14ac:dyDescent="0.25">
      <c r="A32" s="37" t="s">
        <v>24</v>
      </c>
      <c r="B32" s="38" t="s">
        <v>128</v>
      </c>
      <c r="C32" s="39" t="s">
        <v>7</v>
      </c>
      <c r="D32" s="40">
        <v>10.08</v>
      </c>
      <c r="E32" s="40">
        <v>1046626</v>
      </c>
      <c r="F32" s="40">
        <f t="shared" si="3"/>
        <v>10549990.08</v>
      </c>
      <c r="G32" s="41"/>
      <c r="H32" s="41"/>
      <c r="I32" s="43" t="s">
        <v>185</v>
      </c>
    </row>
    <row r="33" spans="1:9" s="36" customFormat="1" x14ac:dyDescent="0.25">
      <c r="A33" s="37" t="s">
        <v>25</v>
      </c>
      <c r="B33" s="38" t="s">
        <v>129</v>
      </c>
      <c r="C33" s="39" t="s">
        <v>7</v>
      </c>
      <c r="D33" s="40">
        <v>23</v>
      </c>
      <c r="E33" s="40">
        <v>1046626</v>
      </c>
      <c r="F33" s="40">
        <f t="shared" si="3"/>
        <v>24072398</v>
      </c>
      <c r="G33" s="41"/>
      <c r="H33" s="41"/>
      <c r="I33" s="43" t="s">
        <v>185</v>
      </c>
    </row>
    <row r="34" spans="1:9" s="36" customFormat="1" ht="75" x14ac:dyDescent="0.25">
      <c r="A34" s="37" t="s">
        <v>26</v>
      </c>
      <c r="B34" s="38" t="s">
        <v>130</v>
      </c>
      <c r="C34" s="39" t="s">
        <v>4</v>
      </c>
      <c r="D34" s="40">
        <v>290</v>
      </c>
      <c r="E34" s="40">
        <v>375167</v>
      </c>
      <c r="F34" s="40">
        <f t="shared" si="3"/>
        <v>108798430</v>
      </c>
      <c r="G34" s="41">
        <v>35026360</v>
      </c>
      <c r="H34" s="41"/>
      <c r="I34" s="43" t="s">
        <v>241</v>
      </c>
    </row>
    <row r="35" spans="1:9" s="36" customFormat="1" ht="30" x14ac:dyDescent="0.25">
      <c r="A35" s="37" t="s">
        <v>27</v>
      </c>
      <c r="B35" s="38" t="s">
        <v>131</v>
      </c>
      <c r="C35" s="39" t="s">
        <v>127</v>
      </c>
      <c r="D35" s="40">
        <v>6050</v>
      </c>
      <c r="E35" s="40">
        <v>8301</v>
      </c>
      <c r="F35" s="40">
        <f t="shared" si="3"/>
        <v>50221050</v>
      </c>
      <c r="G35" s="41"/>
      <c r="H35" s="41"/>
      <c r="I35" s="43" t="s">
        <v>185</v>
      </c>
    </row>
    <row r="36" spans="1:9" s="36" customFormat="1" ht="30" x14ac:dyDescent="0.25">
      <c r="A36" s="37" t="s">
        <v>28</v>
      </c>
      <c r="B36" s="38" t="s">
        <v>132</v>
      </c>
      <c r="C36" s="39" t="s">
        <v>4</v>
      </c>
      <c r="D36" s="40">
        <v>300</v>
      </c>
      <c r="E36" s="40">
        <v>83282</v>
      </c>
      <c r="F36" s="40">
        <f t="shared" si="3"/>
        <v>24984600</v>
      </c>
      <c r="G36" s="41">
        <f>F36</f>
        <v>24984600</v>
      </c>
      <c r="H36" s="41"/>
      <c r="I36" s="43"/>
    </row>
    <row r="37" spans="1:9" s="36" customFormat="1" x14ac:dyDescent="0.25">
      <c r="A37" s="137" t="s">
        <v>11</v>
      </c>
      <c r="B37" s="138"/>
      <c r="C37" s="138"/>
      <c r="D37" s="138"/>
      <c r="E37" s="138"/>
      <c r="F37" s="44">
        <f>SUM(F30:F36)</f>
        <v>221833763.07999998</v>
      </c>
      <c r="G37" s="45">
        <f>SUM(G30:G36)</f>
        <v>62718980</v>
      </c>
      <c r="H37" s="45">
        <v>565000000</v>
      </c>
      <c r="I37" s="46"/>
    </row>
    <row r="38" spans="1:9" s="36" customFormat="1" x14ac:dyDescent="0.25">
      <c r="A38" s="47" t="s">
        <v>30</v>
      </c>
      <c r="B38" s="149" t="s">
        <v>133</v>
      </c>
      <c r="C38" s="149"/>
      <c r="D38" s="149"/>
      <c r="E38" s="149"/>
      <c r="F38" s="146"/>
      <c r="G38" s="48"/>
      <c r="H38" s="48"/>
      <c r="I38" s="49"/>
    </row>
    <row r="39" spans="1:9" s="36" customFormat="1" ht="156" customHeight="1" x14ac:dyDescent="0.25">
      <c r="A39" s="119" t="s">
        <v>31</v>
      </c>
      <c r="B39" s="120" t="s">
        <v>134</v>
      </c>
      <c r="C39" s="121" t="s">
        <v>4</v>
      </c>
      <c r="D39" s="122">
        <v>430</v>
      </c>
      <c r="E39" s="122">
        <v>62019</v>
      </c>
      <c r="F39" s="122">
        <f t="shared" ref="F39:F42" si="4">D39*E39</f>
        <v>26668170</v>
      </c>
      <c r="G39" s="112">
        <f>174*E39</f>
        <v>10791306</v>
      </c>
      <c r="H39" s="112">
        <f>650*E39</f>
        <v>40312350</v>
      </c>
      <c r="I39" s="123" t="s">
        <v>197</v>
      </c>
    </row>
    <row r="40" spans="1:9" s="36" customFormat="1" ht="28.5" customHeight="1" x14ac:dyDescent="0.25">
      <c r="A40" s="37" t="s">
        <v>32</v>
      </c>
      <c r="B40" s="38" t="s">
        <v>101</v>
      </c>
      <c r="C40" s="39" t="s">
        <v>95</v>
      </c>
      <c r="D40" s="40">
        <v>80</v>
      </c>
      <c r="E40" s="40">
        <v>133160</v>
      </c>
      <c r="F40" s="40">
        <f t="shared" si="4"/>
        <v>10652800</v>
      </c>
      <c r="G40" s="41"/>
      <c r="H40" s="41">
        <f>F40</f>
        <v>10652800</v>
      </c>
      <c r="I40" s="43" t="s">
        <v>185</v>
      </c>
    </row>
    <row r="41" spans="1:9" s="36" customFormat="1" ht="30" customHeight="1" x14ac:dyDescent="0.25">
      <c r="A41" s="37" t="s">
        <v>33</v>
      </c>
      <c r="B41" s="38" t="s">
        <v>188</v>
      </c>
      <c r="C41" s="39" t="s">
        <v>95</v>
      </c>
      <c r="D41" s="40">
        <v>80</v>
      </c>
      <c r="E41" s="40">
        <v>127351</v>
      </c>
      <c r="F41" s="40">
        <f t="shared" si="4"/>
        <v>10188080</v>
      </c>
      <c r="G41" s="41"/>
      <c r="H41" s="41">
        <f>F41</f>
        <v>10188080</v>
      </c>
      <c r="I41" s="43" t="s">
        <v>185</v>
      </c>
    </row>
    <row r="42" spans="1:9" s="36" customFormat="1" ht="30.75" customHeight="1" x14ac:dyDescent="0.25">
      <c r="A42" s="37" t="s">
        <v>34</v>
      </c>
      <c r="B42" s="38" t="s">
        <v>135</v>
      </c>
      <c r="C42" s="39" t="s">
        <v>95</v>
      </c>
      <c r="D42" s="40">
        <v>10</v>
      </c>
      <c r="E42" s="40">
        <v>140648</v>
      </c>
      <c r="F42" s="40">
        <f t="shared" si="4"/>
        <v>1406480</v>
      </c>
      <c r="G42" s="41">
        <f>F42</f>
        <v>1406480</v>
      </c>
      <c r="H42" s="41"/>
      <c r="I42" s="43" t="s">
        <v>189</v>
      </c>
    </row>
    <row r="43" spans="1:9" s="36" customFormat="1" x14ac:dyDescent="0.25">
      <c r="A43" s="137" t="s">
        <v>11</v>
      </c>
      <c r="B43" s="138"/>
      <c r="C43" s="138"/>
      <c r="D43" s="138"/>
      <c r="E43" s="138"/>
      <c r="F43" s="44">
        <f>SUM(F39:F42)</f>
        <v>48915530</v>
      </c>
      <c r="G43" s="45">
        <f>SUM(G39:G42)</f>
        <v>12197786</v>
      </c>
      <c r="H43" s="45">
        <f>SUM(H39:H42)</f>
        <v>61153230</v>
      </c>
      <c r="I43" s="46"/>
    </row>
    <row r="44" spans="1:9" s="36" customFormat="1" x14ac:dyDescent="0.25">
      <c r="A44" s="47" t="s">
        <v>36</v>
      </c>
      <c r="B44" s="149" t="s">
        <v>136</v>
      </c>
      <c r="C44" s="149"/>
      <c r="D44" s="149"/>
      <c r="E44" s="149"/>
      <c r="F44" s="146"/>
      <c r="G44" s="48"/>
      <c r="H44" s="48"/>
      <c r="I44" s="49"/>
    </row>
    <row r="45" spans="1:9" s="36" customFormat="1" ht="30" x14ac:dyDescent="0.25">
      <c r="A45" s="30" t="s">
        <v>37</v>
      </c>
      <c r="B45" s="31" t="s">
        <v>139</v>
      </c>
      <c r="C45" s="32" t="s">
        <v>95</v>
      </c>
      <c r="D45" s="33">
        <v>75</v>
      </c>
      <c r="E45" s="33">
        <v>38286</v>
      </c>
      <c r="F45" s="33">
        <f t="shared" si="3"/>
        <v>2871450</v>
      </c>
      <c r="G45" s="34">
        <f>70*E45</f>
        <v>2680020</v>
      </c>
      <c r="H45" s="34"/>
      <c r="I45" s="35" t="s">
        <v>198</v>
      </c>
    </row>
    <row r="46" spans="1:9" s="36" customFormat="1" x14ac:dyDescent="0.25">
      <c r="A46" s="37" t="s">
        <v>39</v>
      </c>
      <c r="B46" s="38" t="s">
        <v>138</v>
      </c>
      <c r="C46" s="39" t="s">
        <v>19</v>
      </c>
      <c r="D46" s="40">
        <v>12</v>
      </c>
      <c r="E46" s="40">
        <v>88229</v>
      </c>
      <c r="F46" s="40">
        <f t="shared" si="3"/>
        <v>1058748</v>
      </c>
      <c r="G46" s="41">
        <f>D46*E46</f>
        <v>1058748</v>
      </c>
      <c r="H46" s="41"/>
      <c r="I46" s="43" t="s">
        <v>93</v>
      </c>
    </row>
    <row r="47" spans="1:9" s="36" customFormat="1" x14ac:dyDescent="0.25">
      <c r="A47" s="37" t="s">
        <v>40</v>
      </c>
      <c r="B47" s="38" t="s">
        <v>137</v>
      </c>
      <c r="C47" s="39" t="s">
        <v>95</v>
      </c>
      <c r="D47" s="40">
        <v>85</v>
      </c>
      <c r="E47" s="40">
        <v>44800</v>
      </c>
      <c r="F47" s="40">
        <f t="shared" si="3"/>
        <v>3808000</v>
      </c>
      <c r="G47" s="41">
        <f>F47</f>
        <v>3808000</v>
      </c>
      <c r="H47" s="41"/>
      <c r="I47" s="43" t="s">
        <v>93</v>
      </c>
    </row>
    <row r="48" spans="1:9" s="36" customFormat="1" x14ac:dyDescent="0.25">
      <c r="A48" s="37" t="s">
        <v>41</v>
      </c>
      <c r="B48" s="38" t="s">
        <v>140</v>
      </c>
      <c r="C48" s="39" t="s">
        <v>95</v>
      </c>
      <c r="D48" s="40">
        <v>60</v>
      </c>
      <c r="E48" s="40">
        <v>28401</v>
      </c>
      <c r="F48" s="40">
        <f t="shared" si="3"/>
        <v>1704060</v>
      </c>
      <c r="G48" s="41">
        <f>F48</f>
        <v>1704060</v>
      </c>
      <c r="H48" s="41"/>
      <c r="I48" s="43" t="s">
        <v>93</v>
      </c>
    </row>
    <row r="49" spans="1:9" s="36" customFormat="1" x14ac:dyDescent="0.25">
      <c r="A49" s="37" t="s">
        <v>42</v>
      </c>
      <c r="B49" s="38" t="s">
        <v>141</v>
      </c>
      <c r="C49" s="39" t="s">
        <v>19</v>
      </c>
      <c r="D49" s="40">
        <v>12</v>
      </c>
      <c r="E49" s="40">
        <v>121087</v>
      </c>
      <c r="F49" s="40">
        <f t="shared" si="3"/>
        <v>1453044</v>
      </c>
      <c r="G49" s="41">
        <f>F49</f>
        <v>1453044</v>
      </c>
      <c r="H49" s="41"/>
      <c r="I49" s="43" t="s">
        <v>93</v>
      </c>
    </row>
    <row r="50" spans="1:9" s="36" customFormat="1" ht="30" x14ac:dyDescent="0.25">
      <c r="A50" s="37" t="s">
        <v>43</v>
      </c>
      <c r="B50" s="38" t="s">
        <v>142</v>
      </c>
      <c r="C50" s="39" t="s">
        <v>19</v>
      </c>
      <c r="D50" s="40">
        <v>5</v>
      </c>
      <c r="E50" s="40">
        <v>496086</v>
      </c>
      <c r="F50" s="40">
        <f t="shared" si="3"/>
        <v>2480430</v>
      </c>
      <c r="G50" s="41">
        <v>0</v>
      </c>
      <c r="H50" s="41"/>
      <c r="I50" s="43" t="s">
        <v>217</v>
      </c>
    </row>
    <row r="51" spans="1:9" s="36" customFormat="1" x14ac:dyDescent="0.25">
      <c r="A51" s="155" t="s">
        <v>11</v>
      </c>
      <c r="B51" s="156"/>
      <c r="C51" s="156"/>
      <c r="D51" s="156"/>
      <c r="E51" s="156"/>
      <c r="F51" s="44">
        <f>SUM(F45:F50)</f>
        <v>13375732</v>
      </c>
      <c r="G51" s="45">
        <f>SUM(G45:G50)</f>
        <v>10703872</v>
      </c>
      <c r="H51" s="45">
        <v>15848952</v>
      </c>
      <c r="I51" s="46"/>
    </row>
    <row r="52" spans="1:9" s="36" customFormat="1" x14ac:dyDescent="0.25">
      <c r="A52" s="47" t="s">
        <v>45</v>
      </c>
      <c r="B52" s="149" t="s">
        <v>35</v>
      </c>
      <c r="C52" s="149"/>
      <c r="D52" s="149"/>
      <c r="E52" s="149"/>
      <c r="F52" s="146"/>
      <c r="G52" s="48"/>
      <c r="H52" s="48"/>
      <c r="I52" s="49"/>
    </row>
    <row r="53" spans="1:9" s="36" customFormat="1" ht="105" x14ac:dyDescent="0.25">
      <c r="A53" s="30" t="s">
        <v>46</v>
      </c>
      <c r="B53" s="31" t="s">
        <v>148</v>
      </c>
      <c r="C53" s="32" t="s">
        <v>95</v>
      </c>
      <c r="D53" s="50">
        <v>30</v>
      </c>
      <c r="E53" s="33">
        <v>173384</v>
      </c>
      <c r="F53" s="33">
        <f>+E53*D53</f>
        <v>5201520</v>
      </c>
      <c r="G53" s="34">
        <f>F53</f>
        <v>5201520</v>
      </c>
      <c r="H53" s="34"/>
      <c r="I53" s="35" t="s">
        <v>199</v>
      </c>
    </row>
    <row r="54" spans="1:9" s="36" customFormat="1" x14ac:dyDescent="0.25">
      <c r="A54" s="37" t="s">
        <v>100</v>
      </c>
      <c r="B54" s="38" t="s">
        <v>149</v>
      </c>
      <c r="C54" s="39" t="s">
        <v>120</v>
      </c>
      <c r="D54" s="51">
        <v>1</v>
      </c>
      <c r="E54" s="40">
        <v>10426744</v>
      </c>
      <c r="F54" s="40">
        <f t="shared" ref="F54:F60" si="5">+E54*D54</f>
        <v>10426744</v>
      </c>
      <c r="G54" s="41">
        <f>E54</f>
        <v>10426744</v>
      </c>
      <c r="H54" s="41"/>
      <c r="I54" s="43" t="s">
        <v>94</v>
      </c>
    </row>
    <row r="55" spans="1:9" s="36" customFormat="1" ht="30" x14ac:dyDescent="0.25">
      <c r="A55" s="37" t="s">
        <v>102</v>
      </c>
      <c r="B55" s="38" t="s">
        <v>150</v>
      </c>
      <c r="C55" s="39" t="s">
        <v>120</v>
      </c>
      <c r="D55" s="51">
        <v>4</v>
      </c>
      <c r="E55" s="40">
        <v>2546002</v>
      </c>
      <c r="F55" s="40">
        <f t="shared" si="5"/>
        <v>10184008</v>
      </c>
      <c r="G55" s="41">
        <f>E55</f>
        <v>2546002</v>
      </c>
      <c r="H55" s="41"/>
      <c r="I55" s="43" t="s">
        <v>200</v>
      </c>
    </row>
    <row r="56" spans="1:9" s="36" customFormat="1" ht="30" x14ac:dyDescent="0.25">
      <c r="A56" s="37" t="s">
        <v>143</v>
      </c>
      <c r="B56" s="38" t="s">
        <v>151</v>
      </c>
      <c r="C56" s="39" t="s">
        <v>120</v>
      </c>
      <c r="D56" s="51">
        <v>52</v>
      </c>
      <c r="E56" s="40">
        <v>151278</v>
      </c>
      <c r="F56" s="40">
        <f t="shared" si="5"/>
        <v>7866456</v>
      </c>
      <c r="G56" s="41">
        <f>D56*E56</f>
        <v>7866456</v>
      </c>
      <c r="H56" s="41"/>
      <c r="I56" s="43" t="s">
        <v>201</v>
      </c>
    </row>
    <row r="57" spans="1:9" s="36" customFormat="1" ht="30" x14ac:dyDescent="0.25">
      <c r="A57" s="37" t="s">
        <v>144</v>
      </c>
      <c r="B57" s="38" t="s">
        <v>103</v>
      </c>
      <c r="C57" s="39" t="s">
        <v>120</v>
      </c>
      <c r="D57" s="51">
        <v>45</v>
      </c>
      <c r="E57" s="40">
        <v>151278</v>
      </c>
      <c r="F57" s="40">
        <f t="shared" si="5"/>
        <v>6807510</v>
      </c>
      <c r="G57" s="41">
        <f>D57*E57</f>
        <v>6807510</v>
      </c>
      <c r="H57" s="41"/>
      <c r="I57" s="43" t="s">
        <v>190</v>
      </c>
    </row>
    <row r="58" spans="1:9" s="36" customFormat="1" ht="30" x14ac:dyDescent="0.25">
      <c r="A58" s="37" t="s">
        <v>145</v>
      </c>
      <c r="B58" s="38" t="s">
        <v>152</v>
      </c>
      <c r="C58" s="39" t="s">
        <v>120</v>
      </c>
      <c r="D58" s="51">
        <v>12</v>
      </c>
      <c r="E58" s="40">
        <v>231843</v>
      </c>
      <c r="F58" s="40">
        <f t="shared" si="5"/>
        <v>2782116</v>
      </c>
      <c r="G58" s="41">
        <f>F58</f>
        <v>2782116</v>
      </c>
      <c r="H58" s="41"/>
      <c r="I58" s="43" t="s">
        <v>202</v>
      </c>
    </row>
    <row r="59" spans="1:9" s="36" customFormat="1" ht="30" x14ac:dyDescent="0.25">
      <c r="A59" s="37" t="s">
        <v>146</v>
      </c>
      <c r="B59" s="38" t="s">
        <v>153</v>
      </c>
      <c r="C59" s="39" t="s">
        <v>120</v>
      </c>
      <c r="D59" s="51">
        <v>52</v>
      </c>
      <c r="E59" s="40">
        <v>164161</v>
      </c>
      <c r="F59" s="40">
        <f t="shared" si="5"/>
        <v>8536372</v>
      </c>
      <c r="G59" s="41">
        <f>D59*E59</f>
        <v>8536372</v>
      </c>
      <c r="H59" s="41"/>
      <c r="I59" s="43" t="s">
        <v>203</v>
      </c>
    </row>
    <row r="60" spans="1:9" s="36" customFormat="1" ht="33" customHeight="1" x14ac:dyDescent="0.25">
      <c r="A60" s="37" t="s">
        <v>147</v>
      </c>
      <c r="B60" s="38" t="s">
        <v>44</v>
      </c>
      <c r="C60" s="39" t="s">
        <v>120</v>
      </c>
      <c r="D60" s="51">
        <v>3</v>
      </c>
      <c r="E60" s="40">
        <v>351688</v>
      </c>
      <c r="F60" s="40">
        <f t="shared" si="5"/>
        <v>1055064</v>
      </c>
      <c r="G60" s="41">
        <f>5*E60</f>
        <v>1758440</v>
      </c>
      <c r="H60" s="41"/>
      <c r="I60" s="43" t="s">
        <v>218</v>
      </c>
    </row>
    <row r="61" spans="1:9" s="36" customFormat="1" x14ac:dyDescent="0.25">
      <c r="A61" s="37"/>
      <c r="B61" s="38"/>
      <c r="C61" s="39"/>
      <c r="D61" s="51"/>
      <c r="E61" s="40"/>
      <c r="F61" s="40"/>
      <c r="G61" s="41"/>
      <c r="H61" s="41"/>
      <c r="I61" s="43"/>
    </row>
    <row r="62" spans="1:9" s="36" customFormat="1" x14ac:dyDescent="0.25">
      <c r="A62" s="137" t="s">
        <v>11</v>
      </c>
      <c r="B62" s="138"/>
      <c r="C62" s="138"/>
      <c r="D62" s="138"/>
      <c r="E62" s="138"/>
      <c r="F62" s="44">
        <f>SUM(F53:F61)</f>
        <v>52859790</v>
      </c>
      <c r="G62" s="45">
        <f>SUM(G53:G61)</f>
        <v>45925160</v>
      </c>
      <c r="H62" s="45">
        <f>F62</f>
        <v>52859790</v>
      </c>
      <c r="I62" s="46"/>
    </row>
    <row r="63" spans="1:9" s="36" customFormat="1" ht="14.25" customHeight="1" x14ac:dyDescent="0.25">
      <c r="A63" s="47" t="s">
        <v>47</v>
      </c>
      <c r="B63" s="149" t="s">
        <v>154</v>
      </c>
      <c r="C63" s="149"/>
      <c r="D63" s="149"/>
      <c r="E63" s="149"/>
      <c r="F63" s="146"/>
      <c r="G63" s="48"/>
      <c r="H63" s="48"/>
      <c r="I63" s="49"/>
    </row>
    <row r="64" spans="1:9" s="36" customFormat="1" ht="77.25" customHeight="1" x14ac:dyDescent="0.25">
      <c r="A64" s="30" t="s">
        <v>48</v>
      </c>
      <c r="B64" s="31" t="s">
        <v>156</v>
      </c>
      <c r="C64" s="71" t="s">
        <v>4</v>
      </c>
      <c r="D64" s="50">
        <v>405</v>
      </c>
      <c r="E64" s="33">
        <v>36710.6</v>
      </c>
      <c r="F64" s="33">
        <f t="shared" ref="F64:F66" si="6">D64*E64</f>
        <v>14867793</v>
      </c>
      <c r="G64" s="34">
        <f>261*E64</f>
        <v>9581466.5999999996</v>
      </c>
      <c r="H64" s="34"/>
      <c r="I64" s="35" t="s">
        <v>273</v>
      </c>
    </row>
    <row r="65" spans="1:9" s="36" customFormat="1" ht="103.5" customHeight="1" x14ac:dyDescent="0.25">
      <c r="A65" s="113" t="s">
        <v>49</v>
      </c>
      <c r="B65" s="114" t="s">
        <v>216</v>
      </c>
      <c r="C65" s="115" t="s">
        <v>4</v>
      </c>
      <c r="D65" s="116">
        <v>400</v>
      </c>
      <c r="E65" s="117">
        <v>45186</v>
      </c>
      <c r="F65" s="117">
        <f t="shared" si="6"/>
        <v>18074400</v>
      </c>
      <c r="G65" s="111">
        <f>22*53000</f>
        <v>1166000</v>
      </c>
      <c r="H65" s="111"/>
      <c r="I65" s="118" t="s">
        <v>219</v>
      </c>
    </row>
    <row r="66" spans="1:9" s="36" customFormat="1" x14ac:dyDescent="0.25">
      <c r="A66" s="37" t="s">
        <v>155</v>
      </c>
      <c r="B66" s="38" t="s">
        <v>157</v>
      </c>
      <c r="C66" s="39" t="s">
        <v>4</v>
      </c>
      <c r="D66" s="51">
        <v>80</v>
      </c>
      <c r="E66" s="40">
        <v>44761</v>
      </c>
      <c r="F66" s="40">
        <f t="shared" si="6"/>
        <v>3580880</v>
      </c>
      <c r="G66" s="41">
        <v>0</v>
      </c>
      <c r="H66" s="41"/>
      <c r="I66" s="43" t="s">
        <v>191</v>
      </c>
    </row>
    <row r="67" spans="1:9" s="36" customFormat="1" x14ac:dyDescent="0.25">
      <c r="A67" s="37"/>
      <c r="B67" s="38"/>
      <c r="C67" s="39"/>
      <c r="D67" s="51"/>
      <c r="E67" s="40"/>
      <c r="F67" s="40"/>
      <c r="G67" s="41"/>
      <c r="H67" s="41"/>
      <c r="I67" s="43"/>
    </row>
    <row r="68" spans="1:9" s="36" customFormat="1" x14ac:dyDescent="0.25">
      <c r="A68" s="137" t="s">
        <v>11</v>
      </c>
      <c r="B68" s="138"/>
      <c r="C68" s="138"/>
      <c r="D68" s="138"/>
      <c r="E68" s="138"/>
      <c r="F68" s="44">
        <f>SUM(F64:F67)</f>
        <v>36523073</v>
      </c>
      <c r="G68" s="45">
        <f>SUM(G64:G67)</f>
        <v>10747466.6</v>
      </c>
      <c r="H68" s="45">
        <f>F64+(50*53000)+F66</f>
        <v>21098673</v>
      </c>
      <c r="I68" s="46"/>
    </row>
    <row r="69" spans="1:9" s="36" customFormat="1" x14ac:dyDescent="0.25">
      <c r="A69" s="47" t="s">
        <v>50</v>
      </c>
      <c r="B69" s="149" t="s">
        <v>60</v>
      </c>
      <c r="C69" s="149"/>
      <c r="D69" s="149"/>
      <c r="E69" s="149"/>
      <c r="F69" s="146"/>
      <c r="G69" s="48"/>
      <c r="H69" s="48"/>
      <c r="I69" s="49"/>
    </row>
    <row r="70" spans="1:9" s="36" customFormat="1" ht="30" x14ac:dyDescent="0.25">
      <c r="A70" s="30" t="s">
        <v>51</v>
      </c>
      <c r="B70" s="31" t="s">
        <v>158</v>
      </c>
      <c r="C70" s="32" t="s">
        <v>4</v>
      </c>
      <c r="D70" s="50">
        <v>295</v>
      </c>
      <c r="E70" s="33">
        <v>63247</v>
      </c>
      <c r="F70" s="33">
        <f t="shared" ref="F70:F72" si="7">D70*E70</f>
        <v>18657865</v>
      </c>
      <c r="G70" s="34">
        <f>310*E70</f>
        <v>19606570</v>
      </c>
      <c r="H70" s="34"/>
      <c r="I70" s="35" t="s">
        <v>213</v>
      </c>
    </row>
    <row r="71" spans="1:9" s="36" customFormat="1" x14ac:dyDescent="0.25">
      <c r="A71" s="37" t="s">
        <v>52</v>
      </c>
      <c r="B71" s="38" t="s">
        <v>104</v>
      </c>
      <c r="C71" s="39" t="s">
        <v>4</v>
      </c>
      <c r="D71" s="51">
        <v>295</v>
      </c>
      <c r="E71" s="40">
        <v>71370</v>
      </c>
      <c r="F71" s="40">
        <f t="shared" si="7"/>
        <v>21054150</v>
      </c>
      <c r="G71" s="41"/>
      <c r="H71" s="41"/>
      <c r="I71" s="43" t="s">
        <v>92</v>
      </c>
    </row>
    <row r="72" spans="1:9" s="36" customFormat="1" ht="75.75" customHeight="1" x14ac:dyDescent="0.25">
      <c r="A72" s="37" t="s">
        <v>53</v>
      </c>
      <c r="B72" s="38" t="s">
        <v>159</v>
      </c>
      <c r="C72" s="39" t="s">
        <v>4</v>
      </c>
      <c r="D72" s="51">
        <v>290</v>
      </c>
      <c r="E72" s="40">
        <v>83082</v>
      </c>
      <c r="F72" s="40">
        <f t="shared" si="7"/>
        <v>24093780</v>
      </c>
      <c r="G72" s="41">
        <f>55000*62</f>
        <v>3410000</v>
      </c>
      <c r="H72" s="41"/>
      <c r="I72" s="43" t="s">
        <v>204</v>
      </c>
    </row>
    <row r="73" spans="1:9" s="36" customFormat="1" x14ac:dyDescent="0.25">
      <c r="A73" s="37"/>
      <c r="B73" s="38"/>
      <c r="C73" s="39"/>
      <c r="D73" s="51"/>
      <c r="E73" s="40"/>
      <c r="F73" s="40"/>
      <c r="G73" s="41"/>
      <c r="H73" s="41"/>
      <c r="I73" s="43"/>
    </row>
    <row r="74" spans="1:9" s="36" customFormat="1" x14ac:dyDescent="0.25">
      <c r="A74" s="137" t="s">
        <v>11</v>
      </c>
      <c r="B74" s="138"/>
      <c r="C74" s="138"/>
      <c r="D74" s="138"/>
      <c r="E74" s="138"/>
      <c r="F74" s="44">
        <f>SUM(F70:F73)</f>
        <v>63805795</v>
      </c>
      <c r="G74" s="45">
        <f>SUM(G70:G73)</f>
        <v>23016570</v>
      </c>
      <c r="H74" s="45">
        <f>G74</f>
        <v>23016570</v>
      </c>
      <c r="I74" s="46"/>
    </row>
    <row r="75" spans="1:9" s="36" customFormat="1" x14ac:dyDescent="0.25">
      <c r="A75" s="47" t="s">
        <v>54</v>
      </c>
      <c r="B75" s="149" t="s">
        <v>160</v>
      </c>
      <c r="C75" s="149"/>
      <c r="D75" s="149"/>
      <c r="E75" s="149"/>
      <c r="F75" s="146"/>
      <c r="G75" s="48"/>
      <c r="H75" s="48"/>
      <c r="I75" s="49"/>
    </row>
    <row r="76" spans="1:9" s="36" customFormat="1" x14ac:dyDescent="0.25">
      <c r="A76" s="30" t="s">
        <v>55</v>
      </c>
      <c r="B76" s="31" t="s">
        <v>161</v>
      </c>
      <c r="C76" s="32" t="s">
        <v>4</v>
      </c>
      <c r="D76" s="50">
        <v>580</v>
      </c>
      <c r="E76" s="33">
        <v>50004</v>
      </c>
      <c r="F76" s="33">
        <f t="shared" ref="F76:F80" si="8">D76*E76</f>
        <v>29002320</v>
      </c>
      <c r="G76" s="34"/>
      <c r="H76" s="34"/>
      <c r="I76" s="35" t="s">
        <v>192</v>
      </c>
    </row>
    <row r="77" spans="1:9" s="36" customFormat="1" ht="27.75" customHeight="1" x14ac:dyDescent="0.25">
      <c r="A77" s="37" t="s">
        <v>56</v>
      </c>
      <c r="B77" s="38" t="s">
        <v>106</v>
      </c>
      <c r="C77" s="39" t="s">
        <v>4</v>
      </c>
      <c r="D77" s="51">
        <v>290</v>
      </c>
      <c r="E77" s="40">
        <v>162497</v>
      </c>
      <c r="F77" s="40">
        <f t="shared" si="8"/>
        <v>47124130</v>
      </c>
      <c r="G77" s="41">
        <v>4500000</v>
      </c>
      <c r="H77" s="41"/>
      <c r="I77" s="43" t="s">
        <v>220</v>
      </c>
    </row>
    <row r="78" spans="1:9" s="36" customFormat="1" ht="30" x14ac:dyDescent="0.25">
      <c r="A78" s="37" t="s">
        <v>57</v>
      </c>
      <c r="B78" s="38" t="s">
        <v>162</v>
      </c>
      <c r="C78" s="39" t="s">
        <v>6</v>
      </c>
      <c r="D78" s="51">
        <v>160</v>
      </c>
      <c r="E78" s="40">
        <v>50403</v>
      </c>
      <c r="F78" s="40">
        <f t="shared" si="8"/>
        <v>8064480</v>
      </c>
      <c r="G78" s="41">
        <v>1200000</v>
      </c>
      <c r="H78" s="41"/>
      <c r="I78" s="43" t="s">
        <v>205</v>
      </c>
    </row>
    <row r="79" spans="1:9" s="36" customFormat="1" ht="30" x14ac:dyDescent="0.25">
      <c r="A79" s="37" t="s">
        <v>58</v>
      </c>
      <c r="B79" s="38" t="s">
        <v>107</v>
      </c>
      <c r="C79" s="39" t="s">
        <v>4</v>
      </c>
      <c r="D79" s="51">
        <v>290</v>
      </c>
      <c r="E79" s="40">
        <v>109824</v>
      </c>
      <c r="F79" s="40">
        <f t="shared" si="8"/>
        <v>31848960</v>
      </c>
      <c r="G79" s="41">
        <v>6500000</v>
      </c>
      <c r="H79" s="41"/>
      <c r="I79" s="43" t="s">
        <v>214</v>
      </c>
    </row>
    <row r="80" spans="1:9" s="36" customFormat="1" ht="30" x14ac:dyDescent="0.25">
      <c r="A80" s="37" t="s">
        <v>59</v>
      </c>
      <c r="B80" s="38" t="s">
        <v>163</v>
      </c>
      <c r="C80" s="39" t="s">
        <v>95</v>
      </c>
      <c r="D80" s="51">
        <v>140</v>
      </c>
      <c r="E80" s="40">
        <v>33250</v>
      </c>
      <c r="F80" s="40">
        <f t="shared" si="8"/>
        <v>4655000</v>
      </c>
      <c r="G80" s="41">
        <f>F80</f>
        <v>4655000</v>
      </c>
      <c r="H80" s="41"/>
      <c r="I80" s="43" t="s">
        <v>206</v>
      </c>
    </row>
    <row r="81" spans="1:9" s="36" customFormat="1" x14ac:dyDescent="0.25">
      <c r="A81" s="37"/>
      <c r="B81" s="38"/>
      <c r="C81" s="39"/>
      <c r="D81" s="51"/>
      <c r="E81" s="40"/>
      <c r="F81" s="40"/>
      <c r="G81" s="41"/>
      <c r="H81" s="41"/>
      <c r="I81" s="43"/>
    </row>
    <row r="82" spans="1:9" s="36" customFormat="1" x14ac:dyDescent="0.25">
      <c r="A82" s="137" t="s">
        <v>11</v>
      </c>
      <c r="B82" s="138"/>
      <c r="C82" s="138"/>
      <c r="D82" s="138"/>
      <c r="E82" s="138"/>
      <c r="F82" s="44">
        <f>SUM(F76:F81)</f>
        <v>120694890</v>
      </c>
      <c r="G82" s="45">
        <f>SUM(G76:G81)</f>
        <v>16855000</v>
      </c>
      <c r="H82" s="45">
        <f>F82</f>
        <v>120694890</v>
      </c>
      <c r="I82" s="46"/>
    </row>
    <row r="83" spans="1:9" s="36" customFormat="1" x14ac:dyDescent="0.25">
      <c r="A83" s="47" t="s">
        <v>61</v>
      </c>
      <c r="B83" s="149" t="s">
        <v>164</v>
      </c>
      <c r="C83" s="149"/>
      <c r="D83" s="149"/>
      <c r="E83" s="149"/>
      <c r="F83" s="146"/>
      <c r="G83" s="48"/>
      <c r="H83" s="48"/>
      <c r="I83" s="49"/>
    </row>
    <row r="84" spans="1:9" s="36" customFormat="1" x14ac:dyDescent="0.25">
      <c r="A84" s="30" t="s">
        <v>62</v>
      </c>
      <c r="B84" s="31" t="s">
        <v>165</v>
      </c>
      <c r="C84" s="32" t="s">
        <v>4</v>
      </c>
      <c r="D84" s="50">
        <v>87.5</v>
      </c>
      <c r="E84" s="33">
        <v>81728</v>
      </c>
      <c r="F84" s="33">
        <f t="shared" ref="F84:F86" si="9">D84*E84</f>
        <v>7151200</v>
      </c>
      <c r="G84" s="34"/>
      <c r="H84" s="34"/>
      <c r="I84" s="35"/>
    </row>
    <row r="85" spans="1:9" s="36" customFormat="1" x14ac:dyDescent="0.25">
      <c r="A85" s="37" t="s">
        <v>63</v>
      </c>
      <c r="B85" s="38" t="s">
        <v>166</v>
      </c>
      <c r="C85" s="39" t="s">
        <v>4</v>
      </c>
      <c r="D85" s="51">
        <v>30.5</v>
      </c>
      <c r="E85" s="40">
        <v>81728</v>
      </c>
      <c r="F85" s="40">
        <f t="shared" si="9"/>
        <v>2492704</v>
      </c>
      <c r="G85" s="41"/>
      <c r="H85" s="41"/>
      <c r="I85" s="43"/>
    </row>
    <row r="86" spans="1:9" s="36" customFormat="1" x14ac:dyDescent="0.25">
      <c r="A86" s="37" t="s">
        <v>64</v>
      </c>
      <c r="B86" s="38" t="s">
        <v>108</v>
      </c>
      <c r="C86" s="39" t="s">
        <v>4</v>
      </c>
      <c r="D86" s="51">
        <v>16</v>
      </c>
      <c r="E86" s="40">
        <v>630000</v>
      </c>
      <c r="F86" s="40">
        <f t="shared" si="9"/>
        <v>10080000</v>
      </c>
      <c r="G86" s="41"/>
      <c r="H86" s="41"/>
      <c r="I86" s="43"/>
    </row>
    <row r="87" spans="1:9" s="36" customFormat="1" x14ac:dyDescent="0.25">
      <c r="A87" s="37"/>
      <c r="B87" s="38"/>
      <c r="C87" s="39"/>
      <c r="D87" s="51"/>
      <c r="E87" s="40"/>
      <c r="F87" s="40"/>
      <c r="G87" s="41"/>
      <c r="H87" s="41"/>
      <c r="I87" s="43"/>
    </row>
    <row r="88" spans="1:9" s="36" customFormat="1" ht="30" x14ac:dyDescent="0.25">
      <c r="A88" s="137" t="s">
        <v>11</v>
      </c>
      <c r="B88" s="138"/>
      <c r="C88" s="138"/>
      <c r="D88" s="138"/>
      <c r="E88" s="138"/>
      <c r="F88" s="44">
        <f>SUM(F84:F87)</f>
        <v>19723904</v>
      </c>
      <c r="G88" s="45">
        <v>4500000</v>
      </c>
      <c r="H88" s="45">
        <f>F88</f>
        <v>19723904</v>
      </c>
      <c r="I88" s="46" t="s">
        <v>225</v>
      </c>
    </row>
    <row r="89" spans="1:9" s="36" customFormat="1" x14ac:dyDescent="0.25">
      <c r="A89" s="47" t="s">
        <v>65</v>
      </c>
      <c r="B89" s="149" t="s">
        <v>79</v>
      </c>
      <c r="C89" s="149"/>
      <c r="D89" s="149"/>
      <c r="E89" s="149"/>
      <c r="F89" s="146"/>
      <c r="G89" s="48"/>
      <c r="H89" s="48"/>
      <c r="I89" s="49"/>
    </row>
    <row r="90" spans="1:9" s="36" customFormat="1" ht="46.5" customHeight="1" x14ac:dyDescent="0.25">
      <c r="A90" s="30" t="s">
        <v>66</v>
      </c>
      <c r="B90" s="31" t="s">
        <v>167</v>
      </c>
      <c r="C90" s="32" t="s">
        <v>120</v>
      </c>
      <c r="D90" s="50">
        <v>8</v>
      </c>
      <c r="E90" s="33">
        <v>480735</v>
      </c>
      <c r="F90" s="33">
        <f t="shared" ref="F90" si="10">D90*E90</f>
        <v>3845880</v>
      </c>
      <c r="G90" s="34">
        <v>1061470</v>
      </c>
      <c r="H90" s="34"/>
      <c r="I90" s="35" t="s">
        <v>207</v>
      </c>
    </row>
    <row r="91" spans="1:9" s="36" customFormat="1" ht="46.5" customHeight="1" x14ac:dyDescent="0.25">
      <c r="A91" s="37" t="s">
        <v>67</v>
      </c>
      <c r="B91" s="38" t="s">
        <v>96</v>
      </c>
      <c r="C91" s="39" t="s">
        <v>120</v>
      </c>
      <c r="D91" s="51">
        <v>5</v>
      </c>
      <c r="E91" s="40">
        <v>323235</v>
      </c>
      <c r="F91" s="40">
        <f>+E91*D91</f>
        <v>1616175</v>
      </c>
      <c r="G91" s="41">
        <v>716470</v>
      </c>
      <c r="H91" s="41"/>
      <c r="I91" s="43" t="s">
        <v>207</v>
      </c>
    </row>
    <row r="92" spans="1:9" s="36" customFormat="1" ht="46.5" customHeight="1" x14ac:dyDescent="0.25">
      <c r="A92" s="37" t="s">
        <v>68</v>
      </c>
      <c r="B92" s="38" t="s">
        <v>168</v>
      </c>
      <c r="C92" s="39" t="s">
        <v>120</v>
      </c>
      <c r="D92" s="51">
        <v>2</v>
      </c>
      <c r="E92" s="40">
        <v>501983</v>
      </c>
      <c r="F92" s="40">
        <f>+E92*D92</f>
        <v>1003966</v>
      </c>
      <c r="G92" s="41">
        <v>571983</v>
      </c>
      <c r="H92" s="41"/>
      <c r="I92" s="43" t="s">
        <v>208</v>
      </c>
    </row>
    <row r="93" spans="1:9" s="36" customFormat="1" ht="46.5" customHeight="1" x14ac:dyDescent="0.25">
      <c r="A93" s="37" t="s">
        <v>105</v>
      </c>
      <c r="B93" s="38" t="s">
        <v>169</v>
      </c>
      <c r="C93" s="39" t="s">
        <v>120</v>
      </c>
      <c r="D93" s="51">
        <v>8</v>
      </c>
      <c r="E93" s="40">
        <v>258712</v>
      </c>
      <c r="F93" s="40">
        <f>+E93*D93</f>
        <v>2069696</v>
      </c>
      <c r="G93" s="41">
        <f>2*E93</f>
        <v>517424</v>
      </c>
      <c r="H93" s="41"/>
      <c r="I93" s="43" t="s">
        <v>215</v>
      </c>
    </row>
    <row r="94" spans="1:9" s="36" customFormat="1" x14ac:dyDescent="0.25">
      <c r="A94" s="37"/>
      <c r="B94" s="38"/>
      <c r="C94" s="39"/>
      <c r="D94" s="51"/>
      <c r="E94" s="40"/>
      <c r="F94" s="40"/>
      <c r="G94" s="41"/>
      <c r="H94" s="41"/>
      <c r="I94" s="43"/>
    </row>
    <row r="95" spans="1:9" s="36" customFormat="1" x14ac:dyDescent="0.25">
      <c r="A95" s="137" t="s">
        <v>11</v>
      </c>
      <c r="B95" s="138"/>
      <c r="C95" s="138"/>
      <c r="D95" s="138"/>
      <c r="E95" s="138"/>
      <c r="F95" s="44">
        <f>SUM(F90:F94)</f>
        <v>8535717</v>
      </c>
      <c r="G95" s="45">
        <f>SUM(G90:G94)</f>
        <v>2867347</v>
      </c>
      <c r="H95" s="45">
        <v>4192012</v>
      </c>
      <c r="I95" s="46"/>
    </row>
    <row r="96" spans="1:9" s="36" customFormat="1" x14ac:dyDescent="0.25">
      <c r="A96" s="47" t="s">
        <v>69</v>
      </c>
      <c r="B96" s="149" t="s">
        <v>170</v>
      </c>
      <c r="C96" s="149"/>
      <c r="D96" s="149"/>
      <c r="E96" s="149"/>
      <c r="F96" s="146"/>
      <c r="G96" s="48"/>
      <c r="H96" s="52"/>
      <c r="I96" s="49"/>
    </row>
    <row r="97" spans="1:9" s="36" customFormat="1" ht="30.75" customHeight="1" x14ac:dyDescent="0.25">
      <c r="A97" s="30" t="s">
        <v>70</v>
      </c>
      <c r="B97" s="31" t="s">
        <v>77</v>
      </c>
      <c r="C97" s="32" t="s">
        <v>4</v>
      </c>
      <c r="D97" s="50">
        <v>450</v>
      </c>
      <c r="E97" s="33">
        <v>23363</v>
      </c>
      <c r="F97" s="33">
        <f>D97*E97</f>
        <v>10513350</v>
      </c>
      <c r="G97" s="34">
        <f>D97*E97</f>
        <v>10513350</v>
      </c>
      <c r="H97" s="34"/>
      <c r="I97" s="35" t="s">
        <v>271</v>
      </c>
    </row>
    <row r="98" spans="1:9" s="36" customFormat="1" ht="33" customHeight="1" x14ac:dyDescent="0.25">
      <c r="A98" s="37" t="s">
        <v>71</v>
      </c>
      <c r="B98" s="38" t="s">
        <v>171</v>
      </c>
      <c r="C98" s="39" t="s">
        <v>4</v>
      </c>
      <c r="D98" s="51">
        <v>450</v>
      </c>
      <c r="E98" s="40">
        <v>25634</v>
      </c>
      <c r="F98" s="40">
        <f>E98*D98</f>
        <v>11535300</v>
      </c>
      <c r="G98" s="41">
        <f>D98*E98</f>
        <v>11535300</v>
      </c>
      <c r="H98" s="41"/>
      <c r="I98" s="43" t="s">
        <v>271</v>
      </c>
    </row>
    <row r="99" spans="1:9" s="36" customFormat="1" ht="30" x14ac:dyDescent="0.25">
      <c r="A99" s="37" t="s">
        <v>97</v>
      </c>
      <c r="B99" s="38" t="s">
        <v>172</v>
      </c>
      <c r="C99" s="39" t="s">
        <v>4</v>
      </c>
      <c r="D99" s="51">
        <v>420</v>
      </c>
      <c r="E99" s="40">
        <v>27999</v>
      </c>
      <c r="F99" s="40">
        <f t="shared" ref="F99" si="11">D99*E99</f>
        <v>11759580</v>
      </c>
      <c r="G99" s="41">
        <f>50*E99</f>
        <v>1399950</v>
      </c>
      <c r="H99" s="41"/>
      <c r="I99" s="43" t="s">
        <v>272</v>
      </c>
    </row>
    <row r="100" spans="1:9" s="36" customFormat="1" x14ac:dyDescent="0.25">
      <c r="A100" s="37" t="s">
        <v>98</v>
      </c>
      <c r="B100" s="38" t="s">
        <v>173</v>
      </c>
      <c r="C100" s="39" t="s">
        <v>4</v>
      </c>
      <c r="D100" s="51">
        <v>45</v>
      </c>
      <c r="E100" s="40">
        <v>23815</v>
      </c>
      <c r="F100" s="40">
        <f>+E100*D100</f>
        <v>1071675</v>
      </c>
      <c r="G100" s="41"/>
      <c r="H100" s="41"/>
      <c r="I100" s="43" t="s">
        <v>184</v>
      </c>
    </row>
    <row r="101" spans="1:9" s="36" customFormat="1" x14ac:dyDescent="0.25">
      <c r="A101" s="37"/>
      <c r="B101" s="38"/>
      <c r="C101" s="39"/>
      <c r="D101" s="51"/>
      <c r="E101" s="40"/>
      <c r="F101" s="40"/>
      <c r="G101" s="41"/>
      <c r="H101" s="41"/>
      <c r="I101" s="43"/>
    </row>
    <row r="102" spans="1:9" s="36" customFormat="1" x14ac:dyDescent="0.25">
      <c r="A102" s="137" t="s">
        <v>11</v>
      </c>
      <c r="B102" s="138"/>
      <c r="C102" s="138"/>
      <c r="D102" s="138"/>
      <c r="E102" s="138"/>
      <c r="F102" s="44">
        <f>SUM(F97:F101)</f>
        <v>34879905</v>
      </c>
      <c r="G102" s="45">
        <f>SUM(G97:G101)</f>
        <v>23448600</v>
      </c>
      <c r="H102" s="45">
        <f>G102</f>
        <v>23448600</v>
      </c>
      <c r="I102" s="46"/>
    </row>
    <row r="103" spans="1:9" s="36" customFormat="1" x14ac:dyDescent="0.25">
      <c r="A103" s="47" t="s">
        <v>72</v>
      </c>
      <c r="B103" s="149" t="s">
        <v>174</v>
      </c>
      <c r="C103" s="149"/>
      <c r="D103" s="149"/>
      <c r="E103" s="149"/>
      <c r="F103" s="146"/>
      <c r="G103" s="48"/>
      <c r="H103" s="48"/>
      <c r="I103" s="49"/>
    </row>
    <row r="104" spans="1:9" s="36" customFormat="1" x14ac:dyDescent="0.25">
      <c r="A104" s="30" t="s">
        <v>73</v>
      </c>
      <c r="B104" s="31" t="s">
        <v>175</v>
      </c>
      <c r="C104" s="32" t="s">
        <v>120</v>
      </c>
      <c r="D104" s="50">
        <v>12</v>
      </c>
      <c r="E104" s="33">
        <v>250000</v>
      </c>
      <c r="F104" s="33">
        <f t="shared" ref="F104:F107" si="12">D104*E104</f>
        <v>3000000</v>
      </c>
      <c r="G104" s="34"/>
      <c r="H104" s="34">
        <v>11000000</v>
      </c>
      <c r="I104" s="35" t="s">
        <v>184</v>
      </c>
    </row>
    <row r="105" spans="1:9" s="36" customFormat="1" x14ac:dyDescent="0.25">
      <c r="A105" s="37" t="s">
        <v>74</v>
      </c>
      <c r="B105" s="38" t="s">
        <v>176</v>
      </c>
      <c r="C105" s="39" t="s">
        <v>120</v>
      </c>
      <c r="D105" s="51">
        <v>12</v>
      </c>
      <c r="E105" s="40">
        <v>452406</v>
      </c>
      <c r="F105" s="40">
        <f t="shared" si="12"/>
        <v>5428872</v>
      </c>
      <c r="G105" s="41"/>
      <c r="H105" s="41"/>
      <c r="I105" s="43" t="s">
        <v>184</v>
      </c>
    </row>
    <row r="106" spans="1:9" s="36" customFormat="1" x14ac:dyDescent="0.25">
      <c r="A106" s="37" t="s">
        <v>75</v>
      </c>
      <c r="B106" s="38" t="s">
        <v>177</v>
      </c>
      <c r="C106" s="39" t="s">
        <v>4</v>
      </c>
      <c r="D106" s="51">
        <v>43</v>
      </c>
      <c r="E106" s="40">
        <v>460000</v>
      </c>
      <c r="F106" s="40">
        <f t="shared" si="12"/>
        <v>19780000</v>
      </c>
      <c r="G106" s="41"/>
      <c r="H106" s="41">
        <v>4900000</v>
      </c>
      <c r="I106" s="43" t="s">
        <v>184</v>
      </c>
    </row>
    <row r="107" spans="1:9" s="36" customFormat="1" ht="60" x14ac:dyDescent="0.25">
      <c r="A107" s="37" t="s">
        <v>76</v>
      </c>
      <c r="B107" s="38" t="s">
        <v>99</v>
      </c>
      <c r="C107" s="39" t="s">
        <v>4</v>
      </c>
      <c r="D107" s="51">
        <v>43</v>
      </c>
      <c r="E107" s="40">
        <v>99084</v>
      </c>
      <c r="F107" s="40">
        <f t="shared" si="12"/>
        <v>4260612</v>
      </c>
      <c r="G107" s="41">
        <f>10*E107</f>
        <v>990840</v>
      </c>
      <c r="H107" s="41"/>
      <c r="I107" s="43" t="s">
        <v>209</v>
      </c>
    </row>
    <row r="108" spans="1:9" s="36" customFormat="1" x14ac:dyDescent="0.25">
      <c r="A108" s="37"/>
      <c r="B108" s="38"/>
      <c r="C108" s="39"/>
      <c r="D108" s="51"/>
      <c r="E108" s="40"/>
      <c r="F108" s="40"/>
      <c r="G108" s="41"/>
      <c r="H108" s="41"/>
      <c r="I108" s="43"/>
    </row>
    <row r="109" spans="1:9" s="36" customFormat="1" x14ac:dyDescent="0.25">
      <c r="A109" s="137" t="s">
        <v>11</v>
      </c>
      <c r="B109" s="138"/>
      <c r="C109" s="138"/>
      <c r="D109" s="138"/>
      <c r="E109" s="138"/>
      <c r="F109" s="44">
        <f>SUM(F104:F108)</f>
        <v>32469484</v>
      </c>
      <c r="G109" s="45">
        <f>SUM(G104:G108)</f>
        <v>990840</v>
      </c>
      <c r="H109" s="45">
        <f>SUM(H104:H108)</f>
        <v>15900000</v>
      </c>
      <c r="I109" s="46"/>
    </row>
    <row r="110" spans="1:9" s="36" customFormat="1" x14ac:dyDescent="0.25">
      <c r="A110" s="47" t="s">
        <v>78</v>
      </c>
      <c r="B110" s="149" t="s">
        <v>178</v>
      </c>
      <c r="C110" s="149"/>
      <c r="D110" s="149"/>
      <c r="E110" s="149"/>
      <c r="F110" s="146"/>
      <c r="G110" s="48"/>
      <c r="H110" s="48"/>
      <c r="I110" s="49"/>
    </row>
    <row r="111" spans="1:9" s="36" customFormat="1" x14ac:dyDescent="0.25">
      <c r="A111" s="30" t="s">
        <v>277</v>
      </c>
      <c r="B111" s="31" t="s">
        <v>179</v>
      </c>
      <c r="C111" s="32" t="s">
        <v>38</v>
      </c>
      <c r="D111" s="50">
        <v>1</v>
      </c>
      <c r="E111" s="33">
        <v>3291736</v>
      </c>
      <c r="F111" s="33">
        <f t="shared" ref="F111:F113" si="13">D111*E111</f>
        <v>3291736</v>
      </c>
      <c r="G111" s="34">
        <f>2500000</f>
        <v>2500000</v>
      </c>
      <c r="H111" s="34"/>
      <c r="I111" s="35" t="s">
        <v>94</v>
      </c>
    </row>
    <row r="112" spans="1:9" s="36" customFormat="1" x14ac:dyDescent="0.25">
      <c r="A112" s="37" t="s">
        <v>278</v>
      </c>
      <c r="B112" s="38" t="s">
        <v>180</v>
      </c>
      <c r="C112" s="39" t="s">
        <v>38</v>
      </c>
      <c r="D112" s="51">
        <v>1</v>
      </c>
      <c r="E112" s="40">
        <v>8545909</v>
      </c>
      <c r="F112" s="40">
        <f t="shared" si="13"/>
        <v>8545909</v>
      </c>
      <c r="G112" s="41">
        <v>2850000</v>
      </c>
      <c r="H112" s="41"/>
      <c r="I112" s="43" t="s">
        <v>94</v>
      </c>
    </row>
    <row r="113" spans="1:9" s="36" customFormat="1" x14ac:dyDescent="0.25">
      <c r="A113" s="37" t="s">
        <v>279</v>
      </c>
      <c r="B113" s="38" t="s">
        <v>181</v>
      </c>
      <c r="C113" s="39" t="s">
        <v>38</v>
      </c>
      <c r="D113" s="51">
        <v>1</v>
      </c>
      <c r="E113" s="40">
        <v>32162770</v>
      </c>
      <c r="F113" s="40">
        <f t="shared" si="13"/>
        <v>32162770</v>
      </c>
      <c r="G113" s="41">
        <v>10250000</v>
      </c>
      <c r="H113" s="41"/>
      <c r="I113" s="43" t="s">
        <v>193</v>
      </c>
    </row>
    <row r="114" spans="1:9" s="36" customFormat="1" x14ac:dyDescent="0.25">
      <c r="A114" s="37"/>
      <c r="B114" s="38"/>
      <c r="C114" s="39"/>
      <c r="D114" s="51"/>
      <c r="E114" s="40"/>
      <c r="F114" s="40"/>
      <c r="G114" s="41"/>
      <c r="H114" s="41"/>
      <c r="I114" s="43"/>
    </row>
    <row r="115" spans="1:9" s="36" customFormat="1" x14ac:dyDescent="0.25">
      <c r="A115" s="137" t="s">
        <v>11</v>
      </c>
      <c r="B115" s="138"/>
      <c r="C115" s="138"/>
      <c r="D115" s="138"/>
      <c r="E115" s="138"/>
      <c r="F115" s="44">
        <f>SUM(F111:F114)</f>
        <v>44000415</v>
      </c>
      <c r="G115" s="45">
        <f>SUM(G111:G114)</f>
        <v>15600000</v>
      </c>
      <c r="H115" s="45">
        <f>G115</f>
        <v>15600000</v>
      </c>
      <c r="I115" s="46"/>
    </row>
    <row r="116" spans="1:9" s="36" customFormat="1" x14ac:dyDescent="0.25">
      <c r="A116" s="126" t="s">
        <v>274</v>
      </c>
      <c r="B116" s="152" t="s">
        <v>226</v>
      </c>
      <c r="C116" s="147"/>
      <c r="D116" s="147"/>
      <c r="E116" s="147"/>
      <c r="F116" s="147"/>
      <c r="G116" s="147"/>
      <c r="H116" s="148"/>
      <c r="I116" s="53"/>
    </row>
    <row r="117" spans="1:9" s="36" customFormat="1" ht="30" x14ac:dyDescent="0.25">
      <c r="A117" s="127" t="s">
        <v>275</v>
      </c>
      <c r="B117" s="54" t="s">
        <v>210</v>
      </c>
      <c r="C117" s="32" t="s">
        <v>4</v>
      </c>
      <c r="D117" s="55">
        <v>318</v>
      </c>
      <c r="E117" s="56">
        <v>30415</v>
      </c>
      <c r="F117" s="56">
        <f>+E117*D117</f>
        <v>9671970</v>
      </c>
      <c r="G117" s="57">
        <v>6800000</v>
      </c>
      <c r="H117" s="57">
        <v>6800000</v>
      </c>
      <c r="I117" s="58"/>
    </row>
    <row r="118" spans="1:9" s="36" customFormat="1" ht="67.5" customHeight="1" x14ac:dyDescent="0.25">
      <c r="A118" s="128" t="s">
        <v>276</v>
      </c>
      <c r="B118" s="59" t="s">
        <v>224</v>
      </c>
      <c r="C118" s="39" t="s">
        <v>4</v>
      </c>
      <c r="D118" s="60">
        <v>580</v>
      </c>
      <c r="E118" s="61">
        <v>37353</v>
      </c>
      <c r="F118" s="61">
        <f>+E118*D118</f>
        <v>21664740</v>
      </c>
      <c r="G118" s="62">
        <v>15000000</v>
      </c>
      <c r="H118" s="62">
        <v>35000000</v>
      </c>
      <c r="I118" s="42" t="s">
        <v>195</v>
      </c>
    </row>
    <row r="119" spans="1:9" s="36" customFormat="1" x14ac:dyDescent="0.25">
      <c r="A119" s="63"/>
      <c r="B119" s="141" t="s">
        <v>11</v>
      </c>
      <c r="C119" s="142"/>
      <c r="D119" s="142"/>
      <c r="E119" s="143"/>
      <c r="F119" s="64"/>
      <c r="G119" s="65">
        <f>SUM(G117:G118)</f>
        <v>21800000</v>
      </c>
      <c r="H119" s="65">
        <f>SUM(H117:H118)</f>
        <v>41800000</v>
      </c>
      <c r="I119" s="66"/>
    </row>
    <row r="120" spans="1:9" s="36" customFormat="1" x14ac:dyDescent="0.25">
      <c r="A120" s="125"/>
      <c r="B120" s="146" t="s">
        <v>80</v>
      </c>
      <c r="C120" s="147"/>
      <c r="D120" s="147"/>
      <c r="E120" s="148"/>
      <c r="F120" s="67">
        <f>SUM(F115+F109+F102+F95+F88+F82+F74+F68+F62+F51+F43+F37+F28+F20)</f>
        <v>866514724.4799999</v>
      </c>
      <c r="G120" s="68">
        <f>G119+G115+G109+G102+G95+G88+G82+G74+G68+G62+G51+G43+G37+G28+G20</f>
        <v>272687188.39999998</v>
      </c>
      <c r="H120" s="68">
        <f>H119+H115+H109+H102+H95+H88+H82+H74+H68+H62+H51+H43+H37+H28+H20</f>
        <v>980336621</v>
      </c>
      <c r="I120" s="69"/>
    </row>
    <row r="121" spans="1:9" s="36" customFormat="1" x14ac:dyDescent="0.25">
      <c r="A121" s="70"/>
      <c r="B121" s="144" t="s">
        <v>81</v>
      </c>
      <c r="C121" s="145"/>
      <c r="D121" s="145"/>
      <c r="E121" s="145"/>
      <c r="F121" s="72"/>
      <c r="G121" s="34"/>
      <c r="H121" s="34"/>
      <c r="I121" s="73"/>
    </row>
    <row r="122" spans="1:9" s="36" customFormat="1" x14ac:dyDescent="0.25">
      <c r="A122" s="74"/>
      <c r="B122" s="75" t="s">
        <v>82</v>
      </c>
      <c r="C122" s="39"/>
      <c r="D122" s="76">
        <v>0.1</v>
      </c>
      <c r="E122" s="77"/>
      <c r="F122" s="40">
        <f>F120*D122</f>
        <v>86651472.447999999</v>
      </c>
      <c r="G122" s="41">
        <f>G120*D122</f>
        <v>27268718.84</v>
      </c>
      <c r="H122" s="41">
        <f>H120*D122</f>
        <v>98033662.100000009</v>
      </c>
      <c r="I122" s="78"/>
    </row>
    <row r="123" spans="1:9" s="36" customFormat="1" x14ac:dyDescent="0.25">
      <c r="A123" s="74"/>
      <c r="B123" s="75" t="s">
        <v>83</v>
      </c>
      <c r="C123" s="39"/>
      <c r="D123" s="76">
        <v>0.05</v>
      </c>
      <c r="E123" s="77"/>
      <c r="F123" s="40">
        <f>F120*D123</f>
        <v>43325736.223999999</v>
      </c>
      <c r="G123" s="41">
        <f>G120*D123</f>
        <v>13634359.42</v>
      </c>
      <c r="H123" s="41">
        <f>H120*D123</f>
        <v>49016831.050000004</v>
      </c>
      <c r="I123" s="78"/>
    </row>
    <row r="124" spans="1:9" s="36" customFormat="1" x14ac:dyDescent="0.25">
      <c r="A124" s="74"/>
      <c r="B124" s="75" t="s">
        <v>84</v>
      </c>
      <c r="C124" s="39"/>
      <c r="D124" s="76">
        <v>0.15</v>
      </c>
      <c r="E124" s="77"/>
      <c r="F124" s="40">
        <f>F120*D124</f>
        <v>129977208.67199998</v>
      </c>
      <c r="G124" s="41">
        <f>G120*D124</f>
        <v>40903078.259999998</v>
      </c>
      <c r="H124" s="41">
        <f>H120*D124</f>
        <v>147050493.15000001</v>
      </c>
      <c r="I124" s="78"/>
    </row>
    <row r="125" spans="1:9" s="36" customFormat="1" x14ac:dyDescent="0.25">
      <c r="A125" s="74"/>
      <c r="B125" s="79" t="s">
        <v>85</v>
      </c>
      <c r="C125" s="39"/>
      <c r="D125" s="51"/>
      <c r="E125" s="40"/>
      <c r="F125" s="80">
        <f>SUM(F122:F124)</f>
        <v>259954417.34399998</v>
      </c>
      <c r="G125" s="81">
        <f>SUM(G122:G124)</f>
        <v>81806156.519999996</v>
      </c>
      <c r="H125" s="81">
        <f>SUM(H122:H124)</f>
        <v>294100986.30000001</v>
      </c>
      <c r="I125" s="78"/>
    </row>
    <row r="126" spans="1:9" s="36" customFormat="1" x14ac:dyDescent="0.25">
      <c r="A126" s="74"/>
      <c r="B126" s="79" t="s">
        <v>230</v>
      </c>
      <c r="C126" s="82"/>
      <c r="D126" s="83"/>
      <c r="E126" s="80"/>
      <c r="F126" s="80">
        <f>F120+F125</f>
        <v>1126469141.8239999</v>
      </c>
      <c r="G126" s="81">
        <f>G120+G125</f>
        <v>354493344.91999996</v>
      </c>
      <c r="H126" s="81">
        <f>H120+H125</f>
        <v>1274437607.3</v>
      </c>
      <c r="I126" s="78"/>
    </row>
    <row r="127" spans="1:9" s="36" customFormat="1" ht="30" x14ac:dyDescent="0.25">
      <c r="A127" s="84"/>
      <c r="B127" s="85" t="s">
        <v>182</v>
      </c>
      <c r="C127" s="86"/>
      <c r="D127" s="87">
        <v>0.19</v>
      </c>
      <c r="E127" s="88"/>
      <c r="F127" s="89">
        <f>+F124*19%</f>
        <v>24695669.647679996</v>
      </c>
      <c r="G127" s="90">
        <v>0</v>
      </c>
      <c r="H127" s="90">
        <v>0</v>
      </c>
      <c r="I127" s="91" t="s">
        <v>211</v>
      </c>
    </row>
    <row r="128" spans="1:9" s="99" customFormat="1" x14ac:dyDescent="0.2">
      <c r="A128" s="92"/>
      <c r="B128" s="93" t="s">
        <v>227</v>
      </c>
      <c r="C128" s="94"/>
      <c r="D128" s="95"/>
      <c r="E128" s="96"/>
      <c r="F128" s="96">
        <f>+F120+F125+F127</f>
        <v>1151164811.4716799</v>
      </c>
      <c r="G128" s="97">
        <f>G126+G127</f>
        <v>354493344.91999996</v>
      </c>
      <c r="H128" s="97">
        <f>H126+H127</f>
        <v>1274437607.3</v>
      </c>
      <c r="I128" s="98" t="s">
        <v>231</v>
      </c>
    </row>
    <row r="129" spans="1:9" s="36" customFormat="1" x14ac:dyDescent="0.25">
      <c r="A129" s="70"/>
      <c r="B129" s="54" t="s">
        <v>228</v>
      </c>
      <c r="C129" s="32"/>
      <c r="D129" s="50"/>
      <c r="E129" s="33"/>
      <c r="F129" s="33"/>
      <c r="G129" s="34">
        <f>G128*5/100</f>
        <v>17724667.245999999</v>
      </c>
      <c r="H129" s="34"/>
      <c r="I129" s="35"/>
    </row>
    <row r="130" spans="1:9" s="136" customFormat="1" ht="18.75" x14ac:dyDescent="0.3">
      <c r="A130" s="129"/>
      <c r="B130" s="130" t="s">
        <v>229</v>
      </c>
      <c r="C130" s="131"/>
      <c r="D130" s="132"/>
      <c r="E130" s="133"/>
      <c r="F130" s="133"/>
      <c r="G130" s="134">
        <f>G128-G129</f>
        <v>336768677.67399997</v>
      </c>
      <c r="H130" s="134"/>
      <c r="I130" s="135"/>
    </row>
  </sheetData>
  <mergeCells count="33">
    <mergeCell ref="B116:H116"/>
    <mergeCell ref="B63:F63"/>
    <mergeCell ref="A20:E20"/>
    <mergeCell ref="B21:F21"/>
    <mergeCell ref="A28:E28"/>
    <mergeCell ref="B29:F29"/>
    <mergeCell ref="A37:E37"/>
    <mergeCell ref="B38:F38"/>
    <mergeCell ref="A43:E43"/>
    <mergeCell ref="B44:F44"/>
    <mergeCell ref="A51:E51"/>
    <mergeCell ref="B52:F52"/>
    <mergeCell ref="A102:E102"/>
    <mergeCell ref="A7:I7"/>
    <mergeCell ref="A109:E109"/>
    <mergeCell ref="B110:F110"/>
    <mergeCell ref="A115:E115"/>
    <mergeCell ref="A62:E62"/>
    <mergeCell ref="B10:F10"/>
    <mergeCell ref="B119:E119"/>
    <mergeCell ref="B121:E121"/>
    <mergeCell ref="B120:E120"/>
    <mergeCell ref="B103:F103"/>
    <mergeCell ref="A68:E68"/>
    <mergeCell ref="B69:F69"/>
    <mergeCell ref="A74:E74"/>
    <mergeCell ref="B75:F75"/>
    <mergeCell ref="A82:E82"/>
    <mergeCell ref="B83:F83"/>
    <mergeCell ref="A88:E88"/>
    <mergeCell ref="B89:F89"/>
    <mergeCell ref="A95:E95"/>
    <mergeCell ref="B96:F96"/>
  </mergeCells>
  <pageMargins left="0.51181102362204722" right="0.31496062992125984" top="0.55118110236220474" bottom="0.55118110236220474" header="0.31496062992125984" footer="0.31496062992125984"/>
  <pageSetup scale="65" orientation="landscape" r:id="rId1"/>
  <headerFooter>
    <oddHeader>&amp;C&amp;"Calibri"&amp;10&amp;K000000Internal&amp;1#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tabSelected="1" topLeftCell="A10" workbookViewId="0">
      <selection activeCell="C32" sqref="C32"/>
    </sheetView>
  </sheetViews>
  <sheetFormatPr baseColWidth="10" defaultRowHeight="15" x14ac:dyDescent="0.25"/>
  <cols>
    <col min="1" max="1" width="11.42578125" style="29"/>
    <col min="2" max="2" width="40.85546875" style="29" customWidth="1"/>
    <col min="3" max="3" width="20.140625" style="103" customWidth="1"/>
    <col min="4" max="16384" width="11.42578125" style="29"/>
  </cols>
  <sheetData>
    <row r="1" spans="1:3" ht="18" customHeight="1" x14ac:dyDescent="0.25">
      <c r="A1" s="7" t="s">
        <v>221</v>
      </c>
    </row>
    <row r="2" spans="1:3" ht="15.75" x14ac:dyDescent="0.25">
      <c r="A2" s="12" t="s">
        <v>222</v>
      </c>
    </row>
    <row r="3" spans="1:3" ht="15.75" x14ac:dyDescent="0.25">
      <c r="A3" s="12" t="s">
        <v>223</v>
      </c>
    </row>
    <row r="4" spans="1:3" ht="15.75" x14ac:dyDescent="0.25">
      <c r="A4" s="12" t="s">
        <v>242</v>
      </c>
    </row>
    <row r="5" spans="1:3" ht="15.75" x14ac:dyDescent="0.25">
      <c r="A5" s="12" t="s">
        <v>243</v>
      </c>
    </row>
    <row r="7" spans="1:3" ht="18.75" x14ac:dyDescent="0.3">
      <c r="A7" s="157" t="s">
        <v>260</v>
      </c>
      <c r="B7" s="158"/>
      <c r="C7" s="158"/>
    </row>
    <row r="9" spans="1:3" s="110" customFormat="1" ht="31.5" customHeight="1" x14ac:dyDescent="0.25">
      <c r="A9" s="107" t="s">
        <v>244</v>
      </c>
      <c r="B9" s="108" t="s">
        <v>245</v>
      </c>
      <c r="C9" s="109" t="s">
        <v>261</v>
      </c>
    </row>
    <row r="10" spans="1:3" s="36" customFormat="1" ht="15.75" x14ac:dyDescent="0.25">
      <c r="A10" s="1">
        <v>1</v>
      </c>
      <c r="B10" s="2" t="s">
        <v>262</v>
      </c>
      <c r="C10" s="104">
        <f>+Pérdida!G20</f>
        <v>21315566.800000001</v>
      </c>
    </row>
    <row r="11" spans="1:3" s="36" customFormat="1" ht="15.75" x14ac:dyDescent="0.25">
      <c r="A11" s="1">
        <v>2</v>
      </c>
      <c r="B11" s="2" t="s">
        <v>246</v>
      </c>
      <c r="C11" s="104">
        <f>+Pérdida!G37</f>
        <v>62718980</v>
      </c>
    </row>
    <row r="12" spans="1:3" s="36" customFormat="1" ht="15.75" x14ac:dyDescent="0.25">
      <c r="A12" s="1">
        <v>3</v>
      </c>
      <c r="B12" s="2" t="s">
        <v>247</v>
      </c>
      <c r="C12" s="104">
        <v>0</v>
      </c>
    </row>
    <row r="13" spans="1:3" s="36" customFormat="1" ht="15.75" x14ac:dyDescent="0.25">
      <c r="A13" s="1">
        <v>4</v>
      </c>
      <c r="B13" s="2" t="s">
        <v>248</v>
      </c>
      <c r="C13" s="104">
        <f>+Pérdida!G62</f>
        <v>45925160</v>
      </c>
    </row>
    <row r="14" spans="1:3" s="36" customFormat="1" ht="31.5" x14ac:dyDescent="0.25">
      <c r="A14" s="1">
        <v>5</v>
      </c>
      <c r="B14" s="2" t="s">
        <v>249</v>
      </c>
      <c r="C14" s="104">
        <f>+Pérdida!G43</f>
        <v>12197786</v>
      </c>
    </row>
    <row r="15" spans="1:3" s="36" customFormat="1" ht="15.75" x14ac:dyDescent="0.25">
      <c r="A15" s="1">
        <v>6</v>
      </c>
      <c r="B15" s="2" t="s">
        <v>263</v>
      </c>
      <c r="C15" s="104">
        <f>+Pérdida!G51</f>
        <v>10703872</v>
      </c>
    </row>
    <row r="16" spans="1:3" s="36" customFormat="1" ht="15.75" x14ac:dyDescent="0.25">
      <c r="A16" s="1">
        <v>7</v>
      </c>
      <c r="B16" s="2" t="s">
        <v>265</v>
      </c>
      <c r="C16" s="104">
        <f>+Pérdida!G68</f>
        <v>10747466.6</v>
      </c>
    </row>
    <row r="17" spans="1:3" s="36" customFormat="1" ht="31.5" x14ac:dyDescent="0.25">
      <c r="A17" s="1">
        <v>8</v>
      </c>
      <c r="B17" s="2" t="s">
        <v>250</v>
      </c>
      <c r="C17" s="104">
        <f>+Pérdida!G74</f>
        <v>23016570</v>
      </c>
    </row>
    <row r="18" spans="1:3" s="36" customFormat="1" ht="15.75" x14ac:dyDescent="0.25">
      <c r="A18" s="1">
        <v>9</v>
      </c>
      <c r="B18" s="2" t="s">
        <v>266</v>
      </c>
      <c r="C18" s="104">
        <f>+Pérdida!G82</f>
        <v>16855000</v>
      </c>
    </row>
    <row r="19" spans="1:3" s="36" customFormat="1" ht="31.5" x14ac:dyDescent="0.25">
      <c r="A19" s="1">
        <v>10</v>
      </c>
      <c r="B19" s="2" t="s">
        <v>251</v>
      </c>
      <c r="C19" s="104">
        <f>+Pérdida!G109</f>
        <v>990840</v>
      </c>
    </row>
    <row r="20" spans="1:3" s="36" customFormat="1" ht="15.75" x14ac:dyDescent="0.25">
      <c r="A20" s="1">
        <v>11</v>
      </c>
      <c r="B20" s="2" t="s">
        <v>252</v>
      </c>
      <c r="C20" s="104">
        <f>+Pérdida!G102</f>
        <v>23448600</v>
      </c>
    </row>
    <row r="21" spans="1:3" s="36" customFormat="1" ht="15.75" x14ac:dyDescent="0.25">
      <c r="A21" s="1">
        <v>12</v>
      </c>
      <c r="B21" s="2" t="s">
        <v>253</v>
      </c>
      <c r="C21" s="104">
        <f>+Pérdida!G95</f>
        <v>2867347</v>
      </c>
    </row>
    <row r="22" spans="1:3" s="36" customFormat="1" ht="15.75" x14ac:dyDescent="0.25">
      <c r="A22" s="1">
        <v>13</v>
      </c>
      <c r="B22" s="2" t="s">
        <v>267</v>
      </c>
      <c r="C22" s="104">
        <f>+Pérdida!G88</f>
        <v>4500000</v>
      </c>
    </row>
    <row r="23" spans="1:3" s="36" customFormat="1" ht="15.75" x14ac:dyDescent="0.25">
      <c r="A23" s="1">
        <v>14</v>
      </c>
      <c r="B23" s="2" t="s">
        <v>254</v>
      </c>
      <c r="C23" s="104">
        <f>+Pérdida!G115</f>
        <v>15600000</v>
      </c>
    </row>
    <row r="24" spans="1:3" s="36" customFormat="1" ht="15.75" x14ac:dyDescent="0.25">
      <c r="A24" s="1">
        <v>15</v>
      </c>
      <c r="B24" s="2" t="s">
        <v>264</v>
      </c>
      <c r="C24" s="104">
        <f>+Pérdida!G119</f>
        <v>21800000</v>
      </c>
    </row>
    <row r="25" spans="1:3" s="99" customFormat="1" ht="15.75" x14ac:dyDescent="0.2">
      <c r="A25" s="3"/>
      <c r="B25" s="4" t="s">
        <v>255</v>
      </c>
      <c r="C25" s="105">
        <f>SUM(C10:C24)</f>
        <v>272687188.39999998</v>
      </c>
    </row>
    <row r="26" spans="1:3" s="36" customFormat="1" ht="15.75" x14ac:dyDescent="0.25">
      <c r="A26" s="1"/>
      <c r="B26" s="2" t="s">
        <v>268</v>
      </c>
      <c r="C26" s="104">
        <f>C25*0.1</f>
        <v>27268718.84</v>
      </c>
    </row>
    <row r="27" spans="1:3" s="36" customFormat="1" ht="15.75" x14ac:dyDescent="0.25">
      <c r="A27" s="1"/>
      <c r="B27" s="2" t="s">
        <v>269</v>
      </c>
      <c r="C27" s="104">
        <f>C25*0.05</f>
        <v>13634359.42</v>
      </c>
    </row>
    <row r="28" spans="1:3" s="36" customFormat="1" ht="15.75" x14ac:dyDescent="0.25">
      <c r="A28" s="1"/>
      <c r="B28" s="2" t="s">
        <v>270</v>
      </c>
      <c r="C28" s="104">
        <f>C25*0.15</f>
        <v>40903078.259999998</v>
      </c>
    </row>
    <row r="29" spans="1:3" s="99" customFormat="1" ht="15.75" x14ac:dyDescent="0.2">
      <c r="A29" s="3"/>
      <c r="B29" s="4" t="s">
        <v>256</v>
      </c>
      <c r="C29" s="105">
        <f>SUM(C26:C28)</f>
        <v>81806156.519999996</v>
      </c>
    </row>
    <row r="30" spans="1:3" s="99" customFormat="1" ht="15.75" x14ac:dyDescent="0.2">
      <c r="A30" s="3"/>
      <c r="B30" s="4" t="s">
        <v>257</v>
      </c>
      <c r="C30" s="105">
        <f>C25+C29</f>
        <v>354493344.91999996</v>
      </c>
    </row>
    <row r="31" spans="1:3" s="36" customFormat="1" ht="15.75" x14ac:dyDescent="0.25">
      <c r="A31" s="1"/>
      <c r="B31" s="2" t="s">
        <v>258</v>
      </c>
      <c r="C31" s="104">
        <f>C30*0.05</f>
        <v>17724667.245999999</v>
      </c>
    </row>
    <row r="32" spans="1:3" s="99" customFormat="1" ht="33.75" customHeight="1" x14ac:dyDescent="0.2">
      <c r="A32" s="5"/>
      <c r="B32" s="6" t="s">
        <v>259</v>
      </c>
      <c r="C32" s="106">
        <f>C30-C31</f>
        <v>336768677.67399997</v>
      </c>
    </row>
  </sheetData>
  <mergeCells count="1">
    <mergeCell ref="A7:C7"/>
  </mergeCells>
  <pageMargins left="0.70866141732283472" right="0.70866141732283472" top="0.74803149606299213" bottom="0.74803149606299213" header="0.31496062992125984" footer="0.31496062992125984"/>
  <pageSetup orientation="portrait" r:id="rId1"/>
  <headerFooter>
    <oddHeader>&amp;C&amp;"Calibri"&amp;10&amp;K000000Internal&amp;1#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Pérdida</vt:lpstr>
      <vt:lpstr>Resumen</vt:lpstr>
      <vt:lpstr>Pérdida!Área_de_impresión</vt:lpstr>
      <vt:lpstr>Resumen!Área_de_impresión</vt:lpstr>
      <vt:lpstr>Pérdida!Títulos_a_imprimir</vt:lpstr>
      <vt:lpstr>Resumen!Títulos_a_imprimir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Maria Tatiana Diaz Montenegro</cp:lastModifiedBy>
  <cp:lastPrinted>2021-02-23T20:45:22Z</cp:lastPrinted>
  <dcterms:created xsi:type="dcterms:W3CDTF">2020-12-14T19:53:32Z</dcterms:created>
  <dcterms:modified xsi:type="dcterms:W3CDTF">2022-03-18T13:39:23Z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63bc15e-e7bf-41c1-bdb3-03882d8a2e2c_Enabled">
    <vt:lpwstr>true</vt:lpwstr>
  </property>
  <property fmtid="{D5CDD505-2E9C-101B-9397-08002B2CF9AE}" pid="3" name="MSIP_Label_863bc15e-e7bf-41c1-bdb3-03882d8a2e2c_SetDate">
    <vt:lpwstr>2022-03-18T13:38:39Z</vt:lpwstr>
  </property>
  <property fmtid="{D5CDD505-2E9C-101B-9397-08002B2CF9AE}" pid="4" name="MSIP_Label_863bc15e-e7bf-41c1-bdb3-03882d8a2e2c_Method">
    <vt:lpwstr>Privileged</vt:lpwstr>
  </property>
  <property fmtid="{D5CDD505-2E9C-101B-9397-08002B2CF9AE}" pid="5" name="MSIP_Label_863bc15e-e7bf-41c1-bdb3-03882d8a2e2c_Name">
    <vt:lpwstr>863bc15e-e7bf-41c1-bdb3-03882d8a2e2c</vt:lpwstr>
  </property>
  <property fmtid="{D5CDD505-2E9C-101B-9397-08002B2CF9AE}" pid="6" name="MSIP_Label_863bc15e-e7bf-41c1-bdb3-03882d8a2e2c_SiteId">
    <vt:lpwstr>6e06e42d-6925-47c6-b9e7-9581c7ca302a</vt:lpwstr>
  </property>
  <property fmtid="{D5CDD505-2E9C-101B-9397-08002B2CF9AE}" pid="7" name="MSIP_Label_863bc15e-e7bf-41c1-bdb3-03882d8a2e2c_ActionId">
    <vt:lpwstr>fe104055-306b-4649-bbe6-96b751f3372f</vt:lpwstr>
  </property>
  <property fmtid="{D5CDD505-2E9C-101B-9397-08002B2CF9AE}" pid="8" name="MSIP_Label_863bc15e-e7bf-41c1-bdb3-03882d8a2e2c_ContentBits">
    <vt:lpwstr>1</vt:lpwstr>
  </property>
</Properties>
</file>