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drawings/drawing4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drawings/drawing5.xml" ContentType="application/vnd.openxmlformats-officedocument.drawing+xml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drawings/drawing6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drawings/drawing7.xml" ContentType="application/vnd.openxmlformats-officedocument.drawing+xml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drawings/drawing8.xml" ContentType="application/vnd.openxmlformats-officedocument.drawing+xml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mpenaloza\Desktop\2023   -  TRABAJO 2020 - 2021 - 2022  Enero 4-23\2020 - 2021-2022 - 2023-2024\PROCESOS\DCC1-180  FALLO ARMADA NACIONAL PRF-2019-00582\LIQUIDACIONES\"/>
    </mc:Choice>
  </mc:AlternateContent>
  <xr:revisionPtr revIDLastSave="0" documentId="13_ncr:1_{B30A210E-2540-44BF-9189-4E8767164B51}" xr6:coauthVersionLast="47" xr6:coauthVersionMax="47" xr10:uidLastSave="{00000000-0000-0000-0000-000000000000}"/>
  <bookViews>
    <workbookView xWindow="-120" yWindow="-120" windowWidth="29040" windowHeight="15840" firstSheet="5" activeTab="7" xr2:uid="{00000000-000D-0000-FFFF-FFFF00000000}"/>
  </bookViews>
  <sheets>
    <sheet name="SIN ABONOS" sheetId="1" r:id="rId1"/>
    <sheet name="GIOVANNI FRANCO GOMEZ S. Y OTRO" sheetId="16" r:id="rId2"/>
    <sheet name="ACUERDO DE PAGO" sheetId="3" r:id="rId3"/>
    <sheet name="QBE SEGUROS S.A. HOY ZURICH DE " sheetId="24" r:id="rId4"/>
    <sheet name="MAFRE SEGUROS GLES DE COLOM (2)" sheetId="29" r:id="rId5"/>
    <sheet name="ALLIANZ SEGUROS S.A. (2)" sheetId="30" r:id="rId6"/>
    <sheet name="AXA   COLPATRIA (2)" sheetId="31" r:id="rId7"/>
    <sheet name="ASEG. LA PREVISORA S.A." sheetId="22" r:id="rId8"/>
    <sheet name="PAGOS REALIZADOS DEL PROCESO" sheetId="14" r:id="rId9"/>
    <sheet name="SOLICITUD LIQ. 15-10-2024  (2)" sheetId="32" r:id="rId10"/>
    <sheet name="SOLIC. LIQ. 19-20-NOV-2024 " sheetId="28" r:id="rId11"/>
  </sheets>
  <definedNames>
    <definedName name="_xlnm.Print_Area" localSheetId="7">'ASEG. LA PREVISORA S.A.'!$A$114:$P$145</definedName>
    <definedName name="_xlnm.Print_Area" localSheetId="6">'AXA   COLPATRIA (2)'!$A$173:$P$203</definedName>
    <definedName name="_xlnm.Print_Titles" localSheetId="2">'ACUERDO DE PAGO'!$11:$11</definedName>
    <definedName name="_xlnm.Print_Titles" localSheetId="1">'GIOVANNI FRANCO GOMEZ S. Y OTRO'!$15:$15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83" i="22" l="1"/>
  <c r="B210" i="22"/>
  <c r="O209" i="22"/>
  <c r="K209" i="22"/>
  <c r="L209" i="22" s="1"/>
  <c r="O208" i="22"/>
  <c r="K208" i="22"/>
  <c r="L208" i="22" s="1"/>
  <c r="O207" i="22"/>
  <c r="K207" i="22"/>
  <c r="L207" i="22" s="1"/>
  <c r="O206" i="22"/>
  <c r="K206" i="22"/>
  <c r="L206" i="22" s="1"/>
  <c r="K205" i="22"/>
  <c r="L205" i="22" s="1"/>
  <c r="K204" i="22"/>
  <c r="L204" i="22" s="1"/>
  <c r="K203" i="22"/>
  <c r="L203" i="22" s="1"/>
  <c r="D203" i="22"/>
  <c r="E203" i="22" s="1"/>
  <c r="B134" i="22"/>
  <c r="O133" i="22"/>
  <c r="K133" i="22"/>
  <c r="L133" i="22" s="1"/>
  <c r="O132" i="22"/>
  <c r="K132" i="22"/>
  <c r="L132" i="22" s="1"/>
  <c r="O131" i="22"/>
  <c r="K131" i="22"/>
  <c r="L131" i="22" s="1"/>
  <c r="O130" i="22"/>
  <c r="K130" i="22"/>
  <c r="L130" i="22" s="1"/>
  <c r="K129" i="22"/>
  <c r="L129" i="22" s="1"/>
  <c r="K128" i="22"/>
  <c r="L128" i="22" s="1"/>
  <c r="K127" i="22"/>
  <c r="L127" i="22" s="1"/>
  <c r="D127" i="22"/>
  <c r="E127" i="22" s="1"/>
  <c r="M127" i="22" l="1"/>
  <c r="H127" i="22" s="1"/>
  <c r="J127" i="22" s="1"/>
  <c r="M203" i="22"/>
  <c r="H203" i="22" s="1"/>
  <c r="J203" i="22" s="1"/>
  <c r="N127" i="22" l="1"/>
  <c r="N203" i="22"/>
  <c r="O203" i="22" s="1"/>
  <c r="D204" i="22" s="1"/>
  <c r="E204" i="22" s="1"/>
  <c r="M204" i="22" s="1"/>
  <c r="F203" i="22"/>
  <c r="G203" i="22" s="1"/>
  <c r="I203" i="22"/>
  <c r="I127" i="22"/>
  <c r="F127" i="22"/>
  <c r="G127" i="22" s="1"/>
  <c r="O127" i="22"/>
  <c r="D128" i="22" s="1"/>
  <c r="E128" i="22" s="1"/>
  <c r="M128" i="22" s="1"/>
  <c r="N204" i="22" l="1"/>
  <c r="H204" i="22"/>
  <c r="H128" i="22"/>
  <c r="N128" i="22"/>
  <c r="I204" i="22" l="1"/>
  <c r="J204" i="22" s="1"/>
  <c r="O204" i="22"/>
  <c r="D205" i="22" s="1"/>
  <c r="E205" i="22" s="1"/>
  <c r="M205" i="22" s="1"/>
  <c r="O128" i="22"/>
  <c r="D129" i="22" s="1"/>
  <c r="E129" i="22" s="1"/>
  <c r="M129" i="22" s="1"/>
  <c r="N129" i="22" s="1"/>
  <c r="I128" i="22"/>
  <c r="J128" i="22" s="1"/>
  <c r="N205" i="22" l="1"/>
  <c r="F204" i="22"/>
  <c r="G204" i="22" s="1"/>
  <c r="H205" i="22"/>
  <c r="O129" i="22"/>
  <c r="D130" i="22" s="1"/>
  <c r="H129" i="22"/>
  <c r="F128" i="22"/>
  <c r="G128" i="22" s="1"/>
  <c r="I205" i="22" l="1"/>
  <c r="J205" i="22" s="1"/>
  <c r="O205" i="22"/>
  <c r="D206" i="22" s="1"/>
  <c r="E130" i="22"/>
  <c r="M130" i="22" s="1"/>
  <c r="N130" i="22" s="1"/>
  <c r="D131" i="22"/>
  <c r="I129" i="22"/>
  <c r="J129" i="22" s="1"/>
  <c r="E206" i="22" l="1"/>
  <c r="M206" i="22" s="1"/>
  <c r="D207" i="22"/>
  <c r="F205" i="22"/>
  <c r="G205" i="22" s="1"/>
  <c r="F129" i="22"/>
  <c r="G129" i="22" s="1"/>
  <c r="H130" i="22"/>
  <c r="E131" i="22"/>
  <c r="M131" i="22" s="1"/>
  <c r="N131" i="22" s="1"/>
  <c r="D132" i="22"/>
  <c r="H206" i="22" l="1"/>
  <c r="N206" i="22"/>
  <c r="E207" i="22"/>
  <c r="M207" i="22" s="1"/>
  <c r="D208" i="22"/>
  <c r="E132" i="22"/>
  <c r="M132" i="22" s="1"/>
  <c r="N132" i="22" s="1"/>
  <c r="D133" i="22"/>
  <c r="E133" i="22" s="1"/>
  <c r="M133" i="22" s="1"/>
  <c r="I130" i="22"/>
  <c r="J130" i="22" s="1"/>
  <c r="I206" i="22" l="1"/>
  <c r="J206" i="22" s="1"/>
  <c r="E208" i="22"/>
  <c r="M208" i="22" s="1"/>
  <c r="D209" i="22"/>
  <c r="E209" i="22" s="1"/>
  <c r="M209" i="22" s="1"/>
  <c r="N207" i="22"/>
  <c r="H131" i="22"/>
  <c r="N133" i="22"/>
  <c r="F130" i="22"/>
  <c r="G130" i="22" s="1"/>
  <c r="G134" i="22" s="1"/>
  <c r="J134" i="22"/>
  <c r="M134" i="22"/>
  <c r="N208" i="22" l="1"/>
  <c r="N209" i="22" s="1"/>
  <c r="F206" i="22"/>
  <c r="G206" i="22" s="1"/>
  <c r="G210" i="22" s="1"/>
  <c r="J210" i="22"/>
  <c r="M210" i="22"/>
  <c r="M213" i="22" s="1"/>
  <c r="H207" i="22"/>
  <c r="I131" i="22"/>
  <c r="J131" i="22" s="1"/>
  <c r="F131" i="22" s="1"/>
  <c r="G131" i="22" s="1"/>
  <c r="I207" i="22" l="1"/>
  <c r="J207" i="22" s="1"/>
  <c r="F207" i="22" s="1"/>
  <c r="G207" i="22" s="1"/>
  <c r="H132" i="22"/>
  <c r="I132" i="22" s="1"/>
  <c r="J132" i="22" s="1"/>
  <c r="F132" i="22" s="1"/>
  <c r="G132" i="22" s="1"/>
  <c r="H208" i="22" l="1"/>
  <c r="H133" i="22"/>
  <c r="I133" i="22" s="1"/>
  <c r="J133" i="22" s="1"/>
  <c r="F133" i="22" s="1"/>
  <c r="G133" i="22" s="1"/>
  <c r="I208" i="22" l="1"/>
  <c r="J208" i="22" s="1"/>
  <c r="F208" i="22" s="1"/>
  <c r="G208" i="22" s="1"/>
  <c r="H209" i="22" l="1"/>
  <c r="I209" i="22" s="1"/>
  <c r="J209" i="22" s="1"/>
  <c r="F209" i="22" s="1"/>
  <c r="G209" i="22" s="1"/>
  <c r="B57" i="22" l="1"/>
  <c r="O56" i="22"/>
  <c r="K56" i="22"/>
  <c r="L56" i="22" s="1"/>
  <c r="O55" i="22"/>
  <c r="K55" i="22"/>
  <c r="L55" i="22" s="1"/>
  <c r="O54" i="22"/>
  <c r="K54" i="22"/>
  <c r="L54" i="22" s="1"/>
  <c r="O53" i="22"/>
  <c r="K53" i="22"/>
  <c r="L53" i="22" s="1"/>
  <c r="K52" i="22"/>
  <c r="L52" i="22" s="1"/>
  <c r="K51" i="22"/>
  <c r="L51" i="22" s="1"/>
  <c r="K50" i="22"/>
  <c r="L50" i="22" s="1"/>
  <c r="D50" i="22"/>
  <c r="E50" i="22" s="1"/>
  <c r="G29" i="22"/>
  <c r="G197" i="31"/>
  <c r="G199" i="31" s="1"/>
  <c r="B192" i="31"/>
  <c r="O191" i="31"/>
  <c r="L191" i="31"/>
  <c r="K191" i="31"/>
  <c r="O190" i="31"/>
  <c r="L190" i="31"/>
  <c r="K190" i="31"/>
  <c r="O189" i="31"/>
  <c r="L189" i="31"/>
  <c r="K189" i="31"/>
  <c r="L188" i="31"/>
  <c r="K188" i="31"/>
  <c r="L187" i="31"/>
  <c r="K187" i="31"/>
  <c r="L186" i="31"/>
  <c r="K186" i="31"/>
  <c r="D186" i="31"/>
  <c r="E186" i="31" s="1"/>
  <c r="G171" i="31"/>
  <c r="G127" i="31"/>
  <c r="G129" i="31" s="1"/>
  <c r="B122" i="31"/>
  <c r="O121" i="31"/>
  <c r="K121" i="31"/>
  <c r="L121" i="31" s="1"/>
  <c r="O120" i="31"/>
  <c r="K120" i="31"/>
  <c r="L120" i="31" s="1"/>
  <c r="O119" i="31"/>
  <c r="K119" i="31"/>
  <c r="L119" i="31" s="1"/>
  <c r="K118" i="31"/>
  <c r="L118" i="31" s="1"/>
  <c r="K117" i="31"/>
  <c r="L117" i="31" s="1"/>
  <c r="K116" i="31"/>
  <c r="L116" i="31" s="1"/>
  <c r="D116" i="31"/>
  <c r="E116" i="31" s="1"/>
  <c r="G56" i="31"/>
  <c r="B52" i="31"/>
  <c r="O51" i="31"/>
  <c r="K51" i="31"/>
  <c r="L51" i="31" s="1"/>
  <c r="O50" i="31"/>
  <c r="K50" i="31"/>
  <c r="L50" i="31" s="1"/>
  <c r="O49" i="31"/>
  <c r="K49" i="31"/>
  <c r="L49" i="31" s="1"/>
  <c r="K48" i="31"/>
  <c r="L48" i="31" s="1"/>
  <c r="K47" i="31"/>
  <c r="L47" i="31" s="1"/>
  <c r="K46" i="31"/>
  <c r="L46" i="31" s="1"/>
  <c r="K45" i="31"/>
  <c r="L45" i="31" s="1"/>
  <c r="D45" i="31"/>
  <c r="E45" i="31" s="1"/>
  <c r="L120" i="30"/>
  <c r="O117" i="30"/>
  <c r="M117" i="30"/>
  <c r="M116" i="30"/>
  <c r="M115" i="30"/>
  <c r="M114" i="30"/>
  <c r="L114" i="30"/>
  <c r="O114" i="30" s="1"/>
  <c r="O112" i="30"/>
  <c r="M112" i="30"/>
  <c r="L112" i="30"/>
  <c r="K184" i="16"/>
  <c r="F188" i="16"/>
  <c r="L108" i="29"/>
  <c r="J108" i="29"/>
  <c r="G122" i="24"/>
  <c r="K188" i="16"/>
  <c r="K187" i="16"/>
  <c r="I187" i="16"/>
  <c r="F187" i="16"/>
  <c r="I182" i="16"/>
  <c r="F184" i="16"/>
  <c r="K166" i="16"/>
  <c r="K167" i="16"/>
  <c r="K171" i="16"/>
  <c r="K172" i="16"/>
  <c r="K173" i="16"/>
  <c r="K174" i="16"/>
  <c r="K175" i="16"/>
  <c r="K176" i="16"/>
  <c r="K177" i="16"/>
  <c r="K178" i="16"/>
  <c r="F182" i="16"/>
  <c r="K101" i="16"/>
  <c r="K102" i="16"/>
  <c r="K103" i="16"/>
  <c r="K104" i="16"/>
  <c r="K117" i="16" s="1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F119" i="16"/>
  <c r="I117" i="16"/>
  <c r="F117" i="16"/>
  <c r="K41" i="16"/>
  <c r="K42" i="16"/>
  <c r="K43" i="16"/>
  <c r="K44" i="16"/>
  <c r="K45" i="16"/>
  <c r="K46" i="16"/>
  <c r="K47" i="16"/>
  <c r="K48" i="16"/>
  <c r="F54" i="16"/>
  <c r="I52" i="16"/>
  <c r="F52" i="16"/>
  <c r="K181" i="16"/>
  <c r="K51" i="16"/>
  <c r="K180" i="16"/>
  <c r="K50" i="16"/>
  <c r="K179" i="16"/>
  <c r="K49" i="16"/>
  <c r="M50" i="22" l="1"/>
  <c r="H50" i="22" s="1"/>
  <c r="J50" i="22" s="1"/>
  <c r="M186" i="31"/>
  <c r="N186" i="31"/>
  <c r="H186" i="31"/>
  <c r="J186" i="31" s="1"/>
  <c r="I186" i="31"/>
  <c r="M116" i="31"/>
  <c r="N116" i="31" s="1"/>
  <c r="G58" i="31"/>
  <c r="M45" i="31"/>
  <c r="K170" i="16"/>
  <c r="K40" i="16"/>
  <c r="K169" i="16"/>
  <c r="K39" i="16"/>
  <c r="K168" i="16"/>
  <c r="K182" i="16" s="1"/>
  <c r="K38" i="16"/>
  <c r="N50" i="22" l="1"/>
  <c r="O50" i="22" s="1"/>
  <c r="D51" i="22" s="1"/>
  <c r="E51" i="22" s="1"/>
  <c r="M51" i="22" s="1"/>
  <c r="I50" i="22"/>
  <c r="F50" i="22"/>
  <c r="G50" i="22" s="1"/>
  <c r="O186" i="31"/>
  <c r="D187" i="31" s="1"/>
  <c r="E187" i="31" s="1"/>
  <c r="M187" i="31" s="1"/>
  <c r="H187" i="31" s="1"/>
  <c r="F186" i="31"/>
  <c r="G186" i="31" s="1"/>
  <c r="H116" i="31"/>
  <c r="J116" i="31" s="1"/>
  <c r="F116" i="31" s="1"/>
  <c r="G116" i="31" s="1"/>
  <c r="O116" i="31"/>
  <c r="D117" i="31" s="1"/>
  <c r="H45" i="31"/>
  <c r="J45" i="31" s="1"/>
  <c r="N45" i="31"/>
  <c r="K36" i="16"/>
  <c r="K37" i="16"/>
  <c r="L30" i="30"/>
  <c r="M30" i="30" s="1"/>
  <c r="L104" i="29"/>
  <c r="L66" i="29"/>
  <c r="L28" i="29"/>
  <c r="B137" i="30"/>
  <c r="O136" i="30"/>
  <c r="K136" i="30"/>
  <c r="L136" i="30" s="1"/>
  <c r="O135" i="30"/>
  <c r="K135" i="30"/>
  <c r="L135" i="30" s="1"/>
  <c r="O134" i="30"/>
  <c r="K134" i="30"/>
  <c r="L134" i="30" s="1"/>
  <c r="K133" i="30"/>
  <c r="L133" i="30" s="1"/>
  <c r="K132" i="30"/>
  <c r="L132" i="30" s="1"/>
  <c r="K131" i="30"/>
  <c r="L131" i="30" s="1"/>
  <c r="D131" i="30"/>
  <c r="G80" i="30"/>
  <c r="M170" i="31"/>
  <c r="F186" i="16"/>
  <c r="I76" i="16" s="1"/>
  <c r="L182" i="22"/>
  <c r="L106" i="22"/>
  <c r="L31" i="22"/>
  <c r="N51" i="22" l="1"/>
  <c r="H51" i="22"/>
  <c r="I187" i="31"/>
  <c r="J187" i="31" s="1"/>
  <c r="N187" i="31"/>
  <c r="I116" i="31"/>
  <c r="E117" i="31"/>
  <c r="M117" i="31" s="1"/>
  <c r="O45" i="31"/>
  <c r="D46" i="31" s="1"/>
  <c r="E46" i="31" s="1"/>
  <c r="M46" i="31" s="1"/>
  <c r="N46" i="31" s="1"/>
  <c r="F45" i="31"/>
  <c r="G45" i="31" s="1"/>
  <c r="I45" i="31"/>
  <c r="K52" i="16"/>
  <c r="N101" i="16"/>
  <c r="I11" i="16"/>
  <c r="I141" i="16"/>
  <c r="E131" i="30"/>
  <c r="M131" i="30" s="1"/>
  <c r="G115" i="30"/>
  <c r="G118" i="30" s="1"/>
  <c r="G168" i="31"/>
  <c r="G180" i="22"/>
  <c r="G103" i="29"/>
  <c r="G105" i="29" s="1"/>
  <c r="G97" i="31"/>
  <c r="G70" i="30"/>
  <c r="G73" i="30" s="1"/>
  <c r="G104" i="22"/>
  <c r="G65" i="29"/>
  <c r="G67" i="29" s="1"/>
  <c r="G26" i="31"/>
  <c r="G27" i="30"/>
  <c r="G28" i="30" s="1"/>
  <c r="G26" i="22"/>
  <c r="I51" i="22" l="1"/>
  <c r="J51" i="22" s="1"/>
  <c r="O51" i="22"/>
  <c r="D52" i="22" s="1"/>
  <c r="O187" i="31"/>
  <c r="D188" i="31" s="1"/>
  <c r="E188" i="31" s="1"/>
  <c r="M188" i="31" s="1"/>
  <c r="F187" i="31"/>
  <c r="G187" i="31" s="1"/>
  <c r="H117" i="31"/>
  <c r="N117" i="31"/>
  <c r="O117" i="31" s="1"/>
  <c r="D118" i="31" s="1"/>
  <c r="E118" i="31" s="1"/>
  <c r="M118" i="31" s="1"/>
  <c r="O46" i="31"/>
  <c r="D47" i="31" s="1"/>
  <c r="E47" i="31" s="1"/>
  <c r="M47" i="31" s="1"/>
  <c r="H46" i="31"/>
  <c r="G27" i="31"/>
  <c r="G28" i="31" s="1"/>
  <c r="G30" i="31" s="1"/>
  <c r="N166" i="16"/>
  <c r="K141" i="16"/>
  <c r="G31" i="30"/>
  <c r="L29" i="30"/>
  <c r="H131" i="30"/>
  <c r="J131" i="30" s="1"/>
  <c r="N131" i="30"/>
  <c r="B162" i="16"/>
  <c r="G30" i="22"/>
  <c r="G32" i="22" s="1"/>
  <c r="G169" i="31"/>
  <c r="B162" i="31"/>
  <c r="O161" i="31"/>
  <c r="K161" i="31"/>
  <c r="L161" i="31" s="1"/>
  <c r="O160" i="31"/>
  <c r="K160" i="31"/>
  <c r="L160" i="31" s="1"/>
  <c r="O159" i="31"/>
  <c r="K159" i="31"/>
  <c r="L159" i="31" s="1"/>
  <c r="O158" i="31"/>
  <c r="K158" i="31"/>
  <c r="L158" i="31" s="1"/>
  <c r="K157" i="31"/>
  <c r="L157" i="31" s="1"/>
  <c r="K156" i="31"/>
  <c r="L156" i="31" s="1"/>
  <c r="D156" i="31"/>
  <c r="J97" i="31"/>
  <c r="G98" i="31"/>
  <c r="G100" i="31" s="1"/>
  <c r="B91" i="31"/>
  <c r="O90" i="31"/>
  <c r="K90" i="31"/>
  <c r="L90" i="31" s="1"/>
  <c r="O89" i="31"/>
  <c r="K89" i="31"/>
  <c r="L89" i="31" s="1"/>
  <c r="O88" i="31"/>
  <c r="K88" i="31"/>
  <c r="L88" i="31" s="1"/>
  <c r="O87" i="31"/>
  <c r="K87" i="31"/>
  <c r="L87" i="31" s="1"/>
  <c r="O86" i="31"/>
  <c r="K86" i="31"/>
  <c r="L86" i="31" s="1"/>
  <c r="K85" i="31"/>
  <c r="L85" i="31" s="1"/>
  <c r="D85" i="31"/>
  <c r="E85" i="31" s="1"/>
  <c r="J26" i="31"/>
  <c r="B21" i="31"/>
  <c r="O20" i="31"/>
  <c r="K20" i="31"/>
  <c r="L20" i="31" s="1"/>
  <c r="O19" i="31"/>
  <c r="K19" i="31"/>
  <c r="L19" i="31" s="1"/>
  <c r="O18" i="31"/>
  <c r="K18" i="31"/>
  <c r="L18" i="31" s="1"/>
  <c r="K17" i="31"/>
  <c r="L17" i="31" s="1"/>
  <c r="K16" i="31"/>
  <c r="L16" i="31" s="1"/>
  <c r="K15" i="31"/>
  <c r="L15" i="31" s="1"/>
  <c r="K14" i="31"/>
  <c r="L14" i="31" s="1"/>
  <c r="D14" i="31"/>
  <c r="E14" i="31" s="1"/>
  <c r="B109" i="30"/>
  <c r="O108" i="30"/>
  <c r="K108" i="30"/>
  <c r="L108" i="30" s="1"/>
  <c r="O107" i="30"/>
  <c r="K107" i="30"/>
  <c r="L107" i="30" s="1"/>
  <c r="K106" i="30"/>
  <c r="L106" i="30" s="1"/>
  <c r="K105" i="30"/>
  <c r="L105" i="30" s="1"/>
  <c r="K104" i="30"/>
  <c r="L104" i="30" s="1"/>
  <c r="K103" i="30"/>
  <c r="L103" i="30" s="1"/>
  <c r="D103" i="30"/>
  <c r="B64" i="30"/>
  <c r="O63" i="30"/>
  <c r="K63" i="30"/>
  <c r="L63" i="30" s="1"/>
  <c r="O62" i="30"/>
  <c r="K62" i="30"/>
  <c r="L62" i="30" s="1"/>
  <c r="O61" i="30"/>
  <c r="K61" i="30"/>
  <c r="L61" i="30" s="1"/>
  <c r="O60" i="30"/>
  <c r="K60" i="30"/>
  <c r="L60" i="30" s="1"/>
  <c r="K59" i="30"/>
  <c r="L59" i="30" s="1"/>
  <c r="K58" i="30"/>
  <c r="L58" i="30" s="1"/>
  <c r="D58" i="30"/>
  <c r="B21" i="30"/>
  <c r="O20" i="30"/>
  <c r="K20" i="30"/>
  <c r="L20" i="30" s="1"/>
  <c r="O19" i="30"/>
  <c r="K19" i="30"/>
  <c r="L19" i="30" s="1"/>
  <c r="O18" i="30"/>
  <c r="K18" i="30"/>
  <c r="L18" i="30" s="1"/>
  <c r="O17" i="30"/>
  <c r="K17" i="30"/>
  <c r="L17" i="30" s="1"/>
  <c r="O16" i="30"/>
  <c r="K16" i="30"/>
  <c r="L16" i="30" s="1"/>
  <c r="K15" i="30"/>
  <c r="L15" i="30" s="1"/>
  <c r="K14" i="30"/>
  <c r="L14" i="30" s="1"/>
  <c r="D14" i="30"/>
  <c r="E52" i="22" l="1"/>
  <c r="M52" i="22" s="1"/>
  <c r="F51" i="22"/>
  <c r="G51" i="22" s="1"/>
  <c r="H188" i="31"/>
  <c r="N188" i="31"/>
  <c r="N118" i="31"/>
  <c r="O118" i="31" s="1"/>
  <c r="I117" i="31"/>
  <c r="J117" i="31" s="1"/>
  <c r="N47" i="31"/>
  <c r="I46" i="31"/>
  <c r="J46" i="31" s="1"/>
  <c r="L31" i="30"/>
  <c r="M29" i="30"/>
  <c r="I131" i="30"/>
  <c r="O131" i="30"/>
  <c r="D132" i="30" s="1"/>
  <c r="E132" i="30" s="1"/>
  <c r="M132" i="30" s="1"/>
  <c r="N132" i="30" s="1"/>
  <c r="F131" i="30"/>
  <c r="G131" i="30" s="1"/>
  <c r="M85" i="31"/>
  <c r="H85" i="31" s="1"/>
  <c r="J85" i="31" s="1"/>
  <c r="M14" i="31"/>
  <c r="H14" i="31" s="1"/>
  <c r="J14" i="31" s="1"/>
  <c r="E156" i="31"/>
  <c r="M156" i="31" s="1"/>
  <c r="N156" i="31" s="1"/>
  <c r="O156" i="31" s="1"/>
  <c r="D157" i="31" s="1"/>
  <c r="E157" i="31" s="1"/>
  <c r="M157" i="31" s="1"/>
  <c r="N157" i="31" s="1"/>
  <c r="O157" i="31" s="1"/>
  <c r="E58" i="30"/>
  <c r="M58" i="30" s="1"/>
  <c r="E103" i="30"/>
  <c r="M103" i="30" s="1"/>
  <c r="E14" i="30"/>
  <c r="M14" i="30" s="1"/>
  <c r="H52" i="22" l="1"/>
  <c r="N52" i="22"/>
  <c r="O52" i="22" s="1"/>
  <c r="D53" i="22" s="1"/>
  <c r="D54" i="22" s="1"/>
  <c r="O188" i="31"/>
  <c r="I188" i="31"/>
  <c r="J188" i="31" s="1"/>
  <c r="D119" i="31"/>
  <c r="E132" i="31"/>
  <c r="H118" i="31"/>
  <c r="F117" i="31"/>
  <c r="G117" i="31" s="1"/>
  <c r="H47" i="31"/>
  <c r="I47" i="31" s="1"/>
  <c r="J47" i="31" s="1"/>
  <c r="F47" i="31" s="1"/>
  <c r="G47" i="31" s="1"/>
  <c r="F46" i="31"/>
  <c r="G46" i="31" s="1"/>
  <c r="O47" i="31"/>
  <c r="D48" i="31" s="1"/>
  <c r="E48" i="31" s="1"/>
  <c r="M48" i="31" s="1"/>
  <c r="O132" i="30"/>
  <c r="D133" i="30" s="1"/>
  <c r="H132" i="30"/>
  <c r="N85" i="31"/>
  <c r="O85" i="31" s="1"/>
  <c r="D86" i="31" s="1"/>
  <c r="H156" i="31"/>
  <c r="J156" i="31" s="1"/>
  <c r="F156" i="31" s="1"/>
  <c r="G156" i="31" s="1"/>
  <c r="N14" i="31"/>
  <c r="O14" i="31" s="1"/>
  <c r="D15" i="31" s="1"/>
  <c r="E15" i="31" s="1"/>
  <c r="M15" i="31" s="1"/>
  <c r="I14" i="31"/>
  <c r="F85" i="31"/>
  <c r="G85" i="31" s="1"/>
  <c r="D158" i="31"/>
  <c r="I85" i="31"/>
  <c r="F14" i="31"/>
  <c r="G14" i="31" s="1"/>
  <c r="H103" i="30"/>
  <c r="J103" i="30" s="1"/>
  <c r="N103" i="30"/>
  <c r="H58" i="30"/>
  <c r="J58" i="30" s="1"/>
  <c r="N58" i="30"/>
  <c r="H14" i="30"/>
  <c r="J14" i="30" s="1"/>
  <c r="N14" i="30"/>
  <c r="E53" i="22" l="1"/>
  <c r="M53" i="22" s="1"/>
  <c r="N53" i="22" s="1"/>
  <c r="I52" i="22"/>
  <c r="J52" i="22" s="1"/>
  <c r="E54" i="22"/>
  <c r="M54" i="22" s="1"/>
  <c r="D55" i="22"/>
  <c r="F188" i="31"/>
  <c r="G188" i="31" s="1"/>
  <c r="E202" i="31"/>
  <c r="D189" i="31"/>
  <c r="D120" i="31"/>
  <c r="E119" i="31"/>
  <c r="M119" i="31" s="1"/>
  <c r="N119" i="31" s="1"/>
  <c r="I118" i="31"/>
  <c r="J118" i="31" s="1"/>
  <c r="H48" i="31"/>
  <c r="I48" i="31" s="1"/>
  <c r="J48" i="31" s="1"/>
  <c r="N48" i="31"/>
  <c r="E133" i="30"/>
  <c r="M133" i="30" s="1"/>
  <c r="I132" i="30"/>
  <c r="J132" i="30" s="1"/>
  <c r="I156" i="31"/>
  <c r="H157" i="31" s="1"/>
  <c r="I157" i="31" s="1"/>
  <c r="J157" i="31" s="1"/>
  <c r="N15" i="31"/>
  <c r="E86" i="31"/>
  <c r="M86" i="31" s="1"/>
  <c r="H86" i="31" s="1"/>
  <c r="D87" i="31"/>
  <c r="E158" i="31"/>
  <c r="M158" i="31" s="1"/>
  <c r="D159" i="31"/>
  <c r="H15" i="31"/>
  <c r="F14" i="30"/>
  <c r="G14" i="30" s="1"/>
  <c r="O103" i="30"/>
  <c r="D104" i="30" s="1"/>
  <c r="E104" i="30" s="1"/>
  <c r="M104" i="30" s="1"/>
  <c r="I14" i="30"/>
  <c r="O58" i="30"/>
  <c r="D59" i="30" s="1"/>
  <c r="E59" i="30" s="1"/>
  <c r="M59" i="30" s="1"/>
  <c r="N59" i="30" s="1"/>
  <c r="F103" i="30"/>
  <c r="G103" i="30" s="1"/>
  <c r="I103" i="30"/>
  <c r="O14" i="30"/>
  <c r="D15" i="30" s="1"/>
  <c r="E15" i="30" s="1"/>
  <c r="M15" i="30" s="1"/>
  <c r="N15" i="30" s="1"/>
  <c r="F58" i="30"/>
  <c r="G58" i="30" s="1"/>
  <c r="I58" i="30"/>
  <c r="F52" i="22" l="1"/>
  <c r="G52" i="22" s="1"/>
  <c r="N54" i="22"/>
  <c r="E55" i="22"/>
  <c r="M55" i="22" s="1"/>
  <c r="D56" i="22"/>
  <c r="E56" i="22" s="1"/>
  <c r="M56" i="22" s="1"/>
  <c r="H53" i="22"/>
  <c r="E189" i="31"/>
  <c r="M189" i="31" s="1"/>
  <c r="D190" i="31"/>
  <c r="E120" i="31"/>
  <c r="M120" i="31" s="1"/>
  <c r="D121" i="31"/>
  <c r="E121" i="31" s="1"/>
  <c r="M121" i="31" s="1"/>
  <c r="H119" i="31"/>
  <c r="I119" i="31" s="1"/>
  <c r="J119" i="31" s="1"/>
  <c r="F119" i="31" s="1"/>
  <c r="G119" i="31" s="1"/>
  <c r="F118" i="31"/>
  <c r="G118" i="31" s="1"/>
  <c r="O48" i="31"/>
  <c r="D49" i="31" s="1"/>
  <c r="F48" i="31"/>
  <c r="G48" i="31" s="1"/>
  <c r="G52" i="31" s="1"/>
  <c r="J52" i="31"/>
  <c r="H133" i="30"/>
  <c r="I133" i="30" s="1"/>
  <c r="J133" i="30" s="1"/>
  <c r="F133" i="30" s="1"/>
  <c r="G133" i="30" s="1"/>
  <c r="N133" i="30"/>
  <c r="O133" i="30" s="1"/>
  <c r="D134" i="30" s="1"/>
  <c r="E134" i="30" s="1"/>
  <c r="M134" i="30" s="1"/>
  <c r="F132" i="30"/>
  <c r="G132" i="30" s="1"/>
  <c r="H59" i="30"/>
  <c r="I59" i="30" s="1"/>
  <c r="J59" i="30" s="1"/>
  <c r="H158" i="31"/>
  <c r="I158" i="31" s="1"/>
  <c r="J158" i="31" s="1"/>
  <c r="F158" i="31" s="1"/>
  <c r="G158" i="31" s="1"/>
  <c r="I86" i="31"/>
  <c r="J86" i="31" s="1"/>
  <c r="O15" i="31"/>
  <c r="E159" i="31"/>
  <c r="M159" i="31" s="1"/>
  <c r="D160" i="31"/>
  <c r="N158" i="31"/>
  <c r="F157" i="31"/>
  <c r="G157" i="31" s="1"/>
  <c r="E87" i="31"/>
  <c r="M87" i="31" s="1"/>
  <c r="D88" i="31"/>
  <c r="I15" i="31"/>
  <c r="J15" i="31" s="1"/>
  <c r="N86" i="31"/>
  <c r="O59" i="30"/>
  <c r="D60" i="30" s="1"/>
  <c r="O15" i="30"/>
  <c r="H15" i="30"/>
  <c r="H104" i="30"/>
  <c r="N104" i="30"/>
  <c r="M57" i="22" l="1"/>
  <c r="N55" i="22"/>
  <c r="N56" i="22" s="1"/>
  <c r="I53" i="22"/>
  <c r="J53" i="22" s="1"/>
  <c r="H189" i="31"/>
  <c r="N189" i="31"/>
  <c r="E190" i="31"/>
  <c r="M190" i="31" s="1"/>
  <c r="D191" i="31"/>
  <c r="E191" i="31" s="1"/>
  <c r="M191" i="31" s="1"/>
  <c r="M122" i="31"/>
  <c r="N120" i="31"/>
  <c r="N121" i="31" s="1"/>
  <c r="G122" i="31"/>
  <c r="H120" i="31"/>
  <c r="I120" i="31" s="1"/>
  <c r="J120" i="31" s="1"/>
  <c r="F120" i="31" s="1"/>
  <c r="G120" i="31" s="1"/>
  <c r="J122" i="31"/>
  <c r="E49" i="31"/>
  <c r="M49" i="31" s="1"/>
  <c r="D50" i="31"/>
  <c r="H87" i="31"/>
  <c r="I87" i="31" s="1"/>
  <c r="J87" i="31" s="1"/>
  <c r="F87" i="31" s="1"/>
  <c r="G87" i="31" s="1"/>
  <c r="D135" i="30"/>
  <c r="D136" i="30" s="1"/>
  <c r="E136" i="30" s="1"/>
  <c r="M136" i="30" s="1"/>
  <c r="H134" i="30"/>
  <c r="N134" i="30"/>
  <c r="H159" i="31"/>
  <c r="I159" i="31" s="1"/>
  <c r="J159" i="31" s="1"/>
  <c r="F159" i="31" s="1"/>
  <c r="G159" i="31" s="1"/>
  <c r="G162" i="31" s="1"/>
  <c r="E88" i="31"/>
  <c r="M88" i="31" s="1"/>
  <c r="D89" i="31"/>
  <c r="E160" i="31"/>
  <c r="M160" i="31" s="1"/>
  <c r="D161" i="31"/>
  <c r="E161" i="31" s="1"/>
  <c r="M161" i="31" s="1"/>
  <c r="F15" i="31"/>
  <c r="G15" i="31" s="1"/>
  <c r="N159" i="31"/>
  <c r="N87" i="31"/>
  <c r="D16" i="31"/>
  <c r="F86" i="31"/>
  <c r="G86" i="31" s="1"/>
  <c r="O104" i="30"/>
  <c r="D105" i="30" s="1"/>
  <c r="D16" i="30"/>
  <c r="I104" i="30"/>
  <c r="J104" i="30" s="1"/>
  <c r="I15" i="30"/>
  <c r="J15" i="30" s="1"/>
  <c r="E60" i="30"/>
  <c r="M60" i="30" s="1"/>
  <c r="D61" i="30"/>
  <c r="F59" i="30"/>
  <c r="G59" i="30" s="1"/>
  <c r="H54" i="22" l="1"/>
  <c r="F53" i="22"/>
  <c r="G53" i="22" s="1"/>
  <c r="G57" i="22" s="1"/>
  <c r="J57" i="22"/>
  <c r="M192" i="31"/>
  <c r="N190" i="31"/>
  <c r="N191" i="31" s="1"/>
  <c r="I189" i="31"/>
  <c r="J189" i="31" s="1"/>
  <c r="H121" i="31"/>
  <c r="I121" i="31" s="1"/>
  <c r="J121" i="31" s="1"/>
  <c r="F121" i="31" s="1"/>
  <c r="G121" i="31" s="1"/>
  <c r="E50" i="31"/>
  <c r="M50" i="31" s="1"/>
  <c r="D51" i="31"/>
  <c r="E51" i="31" s="1"/>
  <c r="M51" i="31" s="1"/>
  <c r="H49" i="31"/>
  <c r="N49" i="31"/>
  <c r="N88" i="31"/>
  <c r="E135" i="30"/>
  <c r="M135" i="30" s="1"/>
  <c r="N135" i="30" s="1"/>
  <c r="N136" i="30" s="1"/>
  <c r="I134" i="30"/>
  <c r="J134" i="30" s="1"/>
  <c r="N160" i="31"/>
  <c r="N161" i="31" s="1"/>
  <c r="M162" i="31"/>
  <c r="H160" i="31"/>
  <c r="I160" i="31" s="1"/>
  <c r="J160" i="31" s="1"/>
  <c r="F160" i="31" s="1"/>
  <c r="G160" i="31" s="1"/>
  <c r="E89" i="31"/>
  <c r="M89" i="31" s="1"/>
  <c r="D90" i="31"/>
  <c r="E90" i="31" s="1"/>
  <c r="M90" i="31" s="1"/>
  <c r="J162" i="31"/>
  <c r="E16" i="31"/>
  <c r="M16" i="31" s="1"/>
  <c r="H88" i="31"/>
  <c r="F104" i="30"/>
  <c r="G104" i="30" s="1"/>
  <c r="E61" i="30"/>
  <c r="M61" i="30" s="1"/>
  <c r="D62" i="30"/>
  <c r="E16" i="30"/>
  <c r="M16" i="30" s="1"/>
  <c r="D17" i="30"/>
  <c r="H60" i="30"/>
  <c r="N60" i="30"/>
  <c r="F15" i="30"/>
  <c r="G15" i="30" s="1"/>
  <c r="E105" i="30"/>
  <c r="M105" i="30" s="1"/>
  <c r="I54" i="22" l="1"/>
  <c r="J54" i="22" s="1"/>
  <c r="F54" i="22" s="1"/>
  <c r="G54" i="22" s="1"/>
  <c r="H190" i="31"/>
  <c r="I190" i="31"/>
  <c r="J190" i="31" s="1"/>
  <c r="F190" i="31" s="1"/>
  <c r="G190" i="31" s="1"/>
  <c r="F189" i="31"/>
  <c r="G189" i="31" s="1"/>
  <c r="G192" i="31" s="1"/>
  <c r="J192" i="31"/>
  <c r="M52" i="31"/>
  <c r="N50" i="31"/>
  <c r="N51" i="31" s="1"/>
  <c r="I49" i="31"/>
  <c r="J49" i="31" s="1"/>
  <c r="F49" i="31" s="1"/>
  <c r="G49" i="31" s="1"/>
  <c r="N89" i="31"/>
  <c r="N90" i="31" s="1"/>
  <c r="M137" i="30"/>
  <c r="H135" i="30"/>
  <c r="F134" i="30"/>
  <c r="G134" i="30" s="1"/>
  <c r="G137" i="30" s="1"/>
  <c r="J137" i="30"/>
  <c r="N61" i="30"/>
  <c r="H161" i="31"/>
  <c r="I161" i="31" s="1"/>
  <c r="J161" i="31" s="1"/>
  <c r="F161" i="31" s="1"/>
  <c r="G161" i="31" s="1"/>
  <c r="M91" i="31"/>
  <c r="I88" i="31"/>
  <c r="J88" i="31" s="1"/>
  <c r="H16" i="31"/>
  <c r="N16" i="31"/>
  <c r="O16" i="31" s="1"/>
  <c r="D17" i="31" s="1"/>
  <c r="H105" i="30"/>
  <c r="N105" i="30"/>
  <c r="O105" i="30" s="1"/>
  <c r="D106" i="30" s="1"/>
  <c r="E106" i="30" s="1"/>
  <c r="M106" i="30" s="1"/>
  <c r="E17" i="30"/>
  <c r="M17" i="30" s="1"/>
  <c r="D18" i="30"/>
  <c r="N16" i="30"/>
  <c r="H16" i="30"/>
  <c r="E62" i="30"/>
  <c r="M62" i="30" s="1"/>
  <c r="D63" i="30"/>
  <c r="E63" i="30" s="1"/>
  <c r="M63" i="30" s="1"/>
  <c r="I60" i="30"/>
  <c r="J60" i="30" s="1"/>
  <c r="H55" i="22" l="1"/>
  <c r="H191" i="31"/>
  <c r="I191" i="31" s="1"/>
  <c r="J191" i="31" s="1"/>
  <c r="F191" i="31" s="1"/>
  <c r="G191" i="31" s="1"/>
  <c r="H50" i="31"/>
  <c r="E17" i="31"/>
  <c r="M17" i="31" s="1"/>
  <c r="N17" i="31" s="1"/>
  <c r="O17" i="31" s="1"/>
  <c r="D18" i="31" s="1"/>
  <c r="I135" i="30"/>
  <c r="J135" i="30" s="1"/>
  <c r="F135" i="30" s="1"/>
  <c r="G135" i="30" s="1"/>
  <c r="H61" i="30"/>
  <c r="I61" i="30" s="1"/>
  <c r="J61" i="30" s="1"/>
  <c r="F61" i="30" s="1"/>
  <c r="G61" i="30" s="1"/>
  <c r="M64" i="30"/>
  <c r="N106" i="30"/>
  <c r="O106" i="30" s="1"/>
  <c r="D107" i="30" s="1"/>
  <c r="F88" i="31"/>
  <c r="G88" i="31" s="1"/>
  <c r="G91" i="31" s="1"/>
  <c r="J91" i="31"/>
  <c r="I16" i="31"/>
  <c r="H89" i="31"/>
  <c r="E18" i="30"/>
  <c r="M18" i="30" s="1"/>
  <c r="D19" i="30"/>
  <c r="N17" i="30"/>
  <c r="F60" i="30"/>
  <c r="G60" i="30" s="1"/>
  <c r="N62" i="30"/>
  <c r="N63" i="30" s="1"/>
  <c r="I16" i="30"/>
  <c r="J16" i="30" s="1"/>
  <c r="I105" i="30"/>
  <c r="J105" i="30" s="1"/>
  <c r="I55" i="22" l="1"/>
  <c r="J55" i="22" s="1"/>
  <c r="F55" i="22" s="1"/>
  <c r="G55" i="22" s="1"/>
  <c r="I50" i="31"/>
  <c r="J50" i="31" s="1"/>
  <c r="F50" i="31" s="1"/>
  <c r="G50" i="31" s="1"/>
  <c r="E18" i="31"/>
  <c r="M18" i="31" s="1"/>
  <c r="N18" i="31" s="1"/>
  <c r="D19" i="31"/>
  <c r="D20" i="31" s="1"/>
  <c r="E20" i="31" s="1"/>
  <c r="M20" i="31" s="1"/>
  <c r="H136" i="30"/>
  <c r="I136" i="30" s="1"/>
  <c r="J136" i="30" s="1"/>
  <c r="F136" i="30" s="1"/>
  <c r="G136" i="30" s="1"/>
  <c r="D108" i="30"/>
  <c r="E108" i="30" s="1"/>
  <c r="M108" i="30" s="1"/>
  <c r="E107" i="30"/>
  <c r="M107" i="30" s="1"/>
  <c r="H106" i="30"/>
  <c r="I106" i="30" s="1"/>
  <c r="J106" i="30" s="1"/>
  <c r="F106" i="30" s="1"/>
  <c r="G106" i="30" s="1"/>
  <c r="J16" i="31"/>
  <c r="F16" i="31" s="1"/>
  <c r="G16" i="31" s="1"/>
  <c r="H17" i="31"/>
  <c r="I17" i="31" s="1"/>
  <c r="J17" i="31" s="1"/>
  <c r="F17" i="31" s="1"/>
  <c r="G17" i="31" s="1"/>
  <c r="I89" i="31"/>
  <c r="J89" i="31" s="1"/>
  <c r="F89" i="31" s="1"/>
  <c r="G89" i="31" s="1"/>
  <c r="F16" i="30"/>
  <c r="G16" i="30" s="1"/>
  <c r="H62" i="30"/>
  <c r="J64" i="30"/>
  <c r="E19" i="30"/>
  <c r="M19" i="30" s="1"/>
  <c r="D20" i="30"/>
  <c r="E20" i="30" s="1"/>
  <c r="M20" i="30" s="1"/>
  <c r="F105" i="30"/>
  <c r="G105" i="30" s="1"/>
  <c r="N18" i="30"/>
  <c r="G64" i="30"/>
  <c r="H17" i="30"/>
  <c r="H56" i="22" l="1"/>
  <c r="I56" i="22" s="1"/>
  <c r="J56" i="22" s="1"/>
  <c r="F56" i="22" s="1"/>
  <c r="G56" i="22" s="1"/>
  <c r="H51" i="31"/>
  <c r="I51" i="31" s="1"/>
  <c r="J51" i="31" s="1"/>
  <c r="F51" i="31" s="1"/>
  <c r="G51" i="31" s="1"/>
  <c r="E19" i="31"/>
  <c r="M19" i="31" s="1"/>
  <c r="N19" i="31" s="1"/>
  <c r="N20" i="31" s="1"/>
  <c r="M109" i="30"/>
  <c r="N107" i="30"/>
  <c r="N108" i="30" s="1"/>
  <c r="N19" i="30"/>
  <c r="N20" i="30" s="1"/>
  <c r="H90" i="31"/>
  <c r="I90" i="31" s="1"/>
  <c r="J90" i="31" s="1"/>
  <c r="F90" i="31" s="1"/>
  <c r="G90" i="31" s="1"/>
  <c r="G21" i="31"/>
  <c r="J21" i="31"/>
  <c r="H18" i="31"/>
  <c r="M21" i="30"/>
  <c r="I17" i="30"/>
  <c r="J17" i="30" s="1"/>
  <c r="J109" i="30"/>
  <c r="G109" i="30"/>
  <c r="I62" i="30"/>
  <c r="J62" i="30" s="1"/>
  <c r="F62" i="30" s="1"/>
  <c r="G62" i="30" s="1"/>
  <c r="H107" i="30"/>
  <c r="M21" i="31" l="1"/>
  <c r="H18" i="30"/>
  <c r="I18" i="30" s="1"/>
  <c r="J18" i="30" s="1"/>
  <c r="F18" i="30" s="1"/>
  <c r="G18" i="30" s="1"/>
  <c r="I18" i="31"/>
  <c r="I107" i="30"/>
  <c r="J107" i="30" s="1"/>
  <c r="F107" i="30" s="1"/>
  <c r="G107" i="30" s="1"/>
  <c r="H63" i="30"/>
  <c r="I63" i="30" s="1"/>
  <c r="J63" i="30" s="1"/>
  <c r="F63" i="30" s="1"/>
  <c r="G63" i="30" s="1"/>
  <c r="F17" i="30"/>
  <c r="G17" i="30" s="1"/>
  <c r="G21" i="30" s="1"/>
  <c r="J21" i="30"/>
  <c r="H19" i="30" l="1"/>
  <c r="I19" i="30" s="1"/>
  <c r="J19" i="30" s="1"/>
  <c r="F19" i="30" s="1"/>
  <c r="G19" i="30" s="1"/>
  <c r="J18" i="31"/>
  <c r="F18" i="31" s="1"/>
  <c r="G18" i="31" s="1"/>
  <c r="H19" i="31"/>
  <c r="I19" i="31" s="1"/>
  <c r="H108" i="30"/>
  <c r="I108" i="30" s="1"/>
  <c r="J108" i="30" s="1"/>
  <c r="F108" i="30" s="1"/>
  <c r="G108" i="30" s="1"/>
  <c r="J19" i="31" l="1"/>
  <c r="F19" i="31" s="1"/>
  <c r="G19" i="31" s="1"/>
  <c r="H20" i="31"/>
  <c r="I20" i="31" s="1"/>
  <c r="J20" i="31" s="1"/>
  <c r="F20" i="31" s="1"/>
  <c r="G20" i="31" s="1"/>
  <c r="H20" i="30"/>
  <c r="I20" i="30" s="1"/>
  <c r="J20" i="30" s="1"/>
  <c r="F20" i="30" s="1"/>
  <c r="G20" i="30" s="1"/>
  <c r="G27" i="29" l="1"/>
  <c r="G29" i="29" s="1"/>
  <c r="G26" i="24" l="1"/>
  <c r="B97" i="29" l="1"/>
  <c r="O96" i="29"/>
  <c r="K96" i="29"/>
  <c r="L96" i="29" s="1"/>
  <c r="O95" i="29"/>
  <c r="K95" i="29"/>
  <c r="L95" i="29" s="1"/>
  <c r="K94" i="29"/>
  <c r="L94" i="29" s="1"/>
  <c r="K93" i="29"/>
  <c r="L93" i="29" s="1"/>
  <c r="K92" i="29"/>
  <c r="L92" i="29" s="1"/>
  <c r="K91" i="29"/>
  <c r="L91" i="29" s="1"/>
  <c r="D91" i="29"/>
  <c r="E91" i="29" s="1"/>
  <c r="B59" i="29"/>
  <c r="O58" i="29"/>
  <c r="K58" i="29"/>
  <c r="L58" i="29" s="1"/>
  <c r="O57" i="29"/>
  <c r="K57" i="29"/>
  <c r="L57" i="29" s="1"/>
  <c r="O56" i="29"/>
  <c r="K56" i="29"/>
  <c r="L56" i="29" s="1"/>
  <c r="O55" i="29"/>
  <c r="K55" i="29"/>
  <c r="L55" i="29" s="1"/>
  <c r="K54" i="29"/>
  <c r="L54" i="29" s="1"/>
  <c r="K53" i="29"/>
  <c r="L53" i="29" s="1"/>
  <c r="D53" i="29"/>
  <c r="E53" i="29" s="1"/>
  <c r="B21" i="29"/>
  <c r="O20" i="29"/>
  <c r="K20" i="29"/>
  <c r="L20" i="29" s="1"/>
  <c r="O19" i="29"/>
  <c r="K19" i="29"/>
  <c r="L19" i="29" s="1"/>
  <c r="O18" i="29"/>
  <c r="K18" i="29"/>
  <c r="L18" i="29" s="1"/>
  <c r="O17" i="29"/>
  <c r="K17" i="29"/>
  <c r="L17" i="29" s="1"/>
  <c r="O16" i="29"/>
  <c r="K16" i="29"/>
  <c r="L16" i="29" s="1"/>
  <c r="K15" i="29"/>
  <c r="L15" i="29" s="1"/>
  <c r="K14" i="29"/>
  <c r="L14" i="29" s="1"/>
  <c r="D14" i="29"/>
  <c r="G181" i="22"/>
  <c r="B174" i="22"/>
  <c r="O173" i="22"/>
  <c r="K173" i="22"/>
  <c r="L173" i="22" s="1"/>
  <c r="O172" i="22"/>
  <c r="K172" i="22"/>
  <c r="L172" i="22" s="1"/>
  <c r="K171" i="22"/>
  <c r="L171" i="22" s="1"/>
  <c r="K170" i="22"/>
  <c r="L170" i="22" s="1"/>
  <c r="K169" i="22"/>
  <c r="L169" i="22" s="1"/>
  <c r="K168" i="22"/>
  <c r="L168" i="22" s="1"/>
  <c r="D168" i="22"/>
  <c r="E168" i="22" s="1"/>
  <c r="B98" i="22"/>
  <c r="O97" i="22"/>
  <c r="K97" i="22"/>
  <c r="L97" i="22" s="1"/>
  <c r="O96" i="22"/>
  <c r="K96" i="22"/>
  <c r="L96" i="22" s="1"/>
  <c r="O95" i="22"/>
  <c r="K95" i="22"/>
  <c r="L95" i="22" s="1"/>
  <c r="K94" i="22"/>
  <c r="L94" i="22" s="1"/>
  <c r="K93" i="22"/>
  <c r="L93" i="22" s="1"/>
  <c r="K92" i="22"/>
  <c r="L92" i="22" s="1"/>
  <c r="D92" i="22"/>
  <c r="J105" i="24"/>
  <c r="G106" i="24" s="1"/>
  <c r="G107" i="24" s="1"/>
  <c r="G109" i="24" s="1"/>
  <c r="B100" i="24"/>
  <c r="O99" i="24"/>
  <c r="K99" i="24"/>
  <c r="L99" i="24" s="1"/>
  <c r="O98" i="24"/>
  <c r="K98" i="24"/>
  <c r="L98" i="24" s="1"/>
  <c r="O97" i="24"/>
  <c r="K97" i="24"/>
  <c r="L97" i="24" s="1"/>
  <c r="O96" i="24"/>
  <c r="K96" i="24"/>
  <c r="L96" i="24" s="1"/>
  <c r="O95" i="24"/>
  <c r="K95" i="24"/>
  <c r="L95" i="24" s="1"/>
  <c r="K94" i="24"/>
  <c r="L94" i="24" s="1"/>
  <c r="D94" i="24"/>
  <c r="E94" i="24" s="1"/>
  <c r="J65" i="24"/>
  <c r="G66" i="24" s="1"/>
  <c r="G67" i="24" s="1"/>
  <c r="G69" i="24" s="1"/>
  <c r="B60" i="24"/>
  <c r="O59" i="24"/>
  <c r="K59" i="24"/>
  <c r="L59" i="24" s="1"/>
  <c r="O58" i="24"/>
  <c r="K58" i="24"/>
  <c r="L58" i="24" s="1"/>
  <c r="O57" i="24"/>
  <c r="K57" i="24"/>
  <c r="L57" i="24" s="1"/>
  <c r="O56" i="24"/>
  <c r="K56" i="24"/>
  <c r="L56" i="24" s="1"/>
  <c r="K55" i="24"/>
  <c r="L55" i="24" s="1"/>
  <c r="K54" i="24"/>
  <c r="L54" i="24" s="1"/>
  <c r="D54" i="24"/>
  <c r="E54" i="24" s="1"/>
  <c r="M91" i="29" l="1"/>
  <c r="N91" i="29" s="1"/>
  <c r="E14" i="29"/>
  <c r="M14" i="29" s="1"/>
  <c r="M53" i="29"/>
  <c r="H53" i="29" s="1"/>
  <c r="J53" i="29" s="1"/>
  <c r="M168" i="22"/>
  <c r="G105" i="22"/>
  <c r="G107" i="22" s="1"/>
  <c r="E92" i="22"/>
  <c r="M92" i="22" s="1"/>
  <c r="M94" i="24"/>
  <c r="N94" i="24"/>
  <c r="H94" i="24"/>
  <c r="J94" i="24" s="1"/>
  <c r="M54" i="24"/>
  <c r="H54" i="24" s="1"/>
  <c r="J54" i="24" s="1"/>
  <c r="H91" i="29" l="1"/>
  <c r="J91" i="29" s="1"/>
  <c r="F91" i="29" s="1"/>
  <c r="G91" i="29" s="1"/>
  <c r="H14" i="29"/>
  <c r="J14" i="29" s="1"/>
  <c r="F14" i="29" s="1"/>
  <c r="G14" i="29" s="1"/>
  <c r="O91" i="29"/>
  <c r="D92" i="29" s="1"/>
  <c r="E92" i="29" s="1"/>
  <c r="M92" i="29" s="1"/>
  <c r="N92" i="29" s="1"/>
  <c r="O92" i="29" s="1"/>
  <c r="D93" i="29" s="1"/>
  <c r="N14" i="29"/>
  <c r="N53" i="29"/>
  <c r="O53" i="29" s="1"/>
  <c r="D54" i="29" s="1"/>
  <c r="E54" i="29" s="1"/>
  <c r="M54" i="29" s="1"/>
  <c r="N54" i="29" s="1"/>
  <c r="F53" i="29"/>
  <c r="G53" i="29" s="1"/>
  <c r="I53" i="29"/>
  <c r="I91" i="29"/>
  <c r="N168" i="22"/>
  <c r="H168" i="22"/>
  <c r="J168" i="22" s="1"/>
  <c r="H92" i="22"/>
  <c r="J92" i="22" s="1"/>
  <c r="N92" i="22"/>
  <c r="I54" i="24"/>
  <c r="N54" i="24"/>
  <c r="O54" i="24" s="1"/>
  <c r="D55" i="24" s="1"/>
  <c r="E55" i="24" s="1"/>
  <c r="M55" i="24" s="1"/>
  <c r="I94" i="24"/>
  <c r="O94" i="24"/>
  <c r="D95" i="24" s="1"/>
  <c r="F94" i="24"/>
  <c r="G94" i="24" s="1"/>
  <c r="F54" i="24"/>
  <c r="G54" i="24" s="1"/>
  <c r="I14" i="29" l="1"/>
  <c r="H92" i="29"/>
  <c r="I92" i="29" s="1"/>
  <c r="J92" i="29" s="1"/>
  <c r="H54" i="29"/>
  <c r="I54" i="29" s="1"/>
  <c r="J54" i="29" s="1"/>
  <c r="O14" i="29"/>
  <c r="D15" i="29" s="1"/>
  <c r="E15" i="29" s="1"/>
  <c r="M15" i="29" s="1"/>
  <c r="I168" i="22"/>
  <c r="O54" i="29"/>
  <c r="D55" i="29" s="1"/>
  <c r="E93" i="29"/>
  <c r="M93" i="29" s="1"/>
  <c r="O168" i="22"/>
  <c r="D169" i="22" s="1"/>
  <c r="E169" i="22" s="1"/>
  <c r="M169" i="22" s="1"/>
  <c r="F168" i="22"/>
  <c r="G168" i="22" s="1"/>
  <c r="I92" i="22"/>
  <c r="O92" i="22"/>
  <c r="D93" i="22" s="1"/>
  <c r="F92" i="22"/>
  <c r="G92" i="22" s="1"/>
  <c r="E95" i="24"/>
  <c r="M95" i="24" s="1"/>
  <c r="D96" i="24"/>
  <c r="H55" i="24"/>
  <c r="N55" i="24"/>
  <c r="N15" i="29" l="1"/>
  <c r="O15" i="29" s="1"/>
  <c r="H15" i="29"/>
  <c r="I15" i="29" s="1"/>
  <c r="J15" i="29" s="1"/>
  <c r="F15" i="29" s="1"/>
  <c r="G15" i="29" s="1"/>
  <c r="N93" i="29"/>
  <c r="O93" i="29" s="1"/>
  <c r="D94" i="29" s="1"/>
  <c r="H93" i="29"/>
  <c r="F54" i="29"/>
  <c r="G54" i="29" s="1"/>
  <c r="F92" i="29"/>
  <c r="G92" i="29" s="1"/>
  <c r="E55" i="29"/>
  <c r="M55" i="29" s="1"/>
  <c r="D56" i="29"/>
  <c r="N169" i="22"/>
  <c r="H169" i="22"/>
  <c r="E93" i="22"/>
  <c r="M93" i="22" s="1"/>
  <c r="E96" i="24"/>
  <c r="M96" i="24" s="1"/>
  <c r="D97" i="24"/>
  <c r="N95" i="24"/>
  <c r="H95" i="24"/>
  <c r="I55" i="24"/>
  <c r="J55" i="24" s="1"/>
  <c r="O55" i="24"/>
  <c r="D56" i="24" s="1"/>
  <c r="E94" i="29" l="1"/>
  <c r="M94" i="29" s="1"/>
  <c r="N94" i="29" s="1"/>
  <c r="O94" i="29" s="1"/>
  <c r="D95" i="29" s="1"/>
  <c r="D16" i="29"/>
  <c r="D17" i="29" s="1"/>
  <c r="D18" i="29" s="1"/>
  <c r="N96" i="24"/>
  <c r="E56" i="29"/>
  <c r="M56" i="29" s="1"/>
  <c r="D57" i="29"/>
  <c r="I93" i="29"/>
  <c r="J93" i="29" s="1"/>
  <c r="N55" i="29"/>
  <c r="H55" i="29"/>
  <c r="I169" i="22"/>
  <c r="J169" i="22" s="1"/>
  <c r="O169" i="22"/>
  <c r="D170" i="22" s="1"/>
  <c r="N93" i="22"/>
  <c r="O93" i="22" s="1"/>
  <c r="D94" i="22" s="1"/>
  <c r="E94" i="22" s="1"/>
  <c r="M94" i="22" s="1"/>
  <c r="H93" i="22"/>
  <c r="E97" i="24"/>
  <c r="M97" i="24" s="1"/>
  <c r="D98" i="24"/>
  <c r="I95" i="24"/>
  <c r="J95" i="24" s="1"/>
  <c r="E56" i="24"/>
  <c r="M56" i="24" s="1"/>
  <c r="D57" i="24"/>
  <c r="F55" i="24"/>
  <c r="G55" i="24" s="1"/>
  <c r="D96" i="29" l="1"/>
  <c r="E96" i="29" s="1"/>
  <c r="M96" i="29" s="1"/>
  <c r="E95" i="29"/>
  <c r="M95" i="29" s="1"/>
  <c r="E16" i="29"/>
  <c r="M16" i="29" s="1"/>
  <c r="H16" i="29" s="1"/>
  <c r="I16" i="29" s="1"/>
  <c r="J16" i="29" s="1"/>
  <c r="E17" i="29"/>
  <c r="M17" i="29" s="1"/>
  <c r="H96" i="24"/>
  <c r="H94" i="29"/>
  <c r="I94" i="29" s="1"/>
  <c r="J94" i="29" s="1"/>
  <c r="F94" i="29" s="1"/>
  <c r="G94" i="29" s="1"/>
  <c r="N56" i="29"/>
  <c r="E18" i="29"/>
  <c r="M18" i="29" s="1"/>
  <c r="D19" i="29"/>
  <c r="F93" i="29"/>
  <c r="G93" i="29" s="1"/>
  <c r="I55" i="29"/>
  <c r="J55" i="29" s="1"/>
  <c r="E57" i="29"/>
  <c r="M57" i="29" s="1"/>
  <c r="D58" i="29"/>
  <c r="E58" i="29" s="1"/>
  <c r="M58" i="29" s="1"/>
  <c r="E170" i="22"/>
  <c r="M170" i="22" s="1"/>
  <c r="F169" i="22"/>
  <c r="G169" i="22" s="1"/>
  <c r="N94" i="22"/>
  <c r="O94" i="22" s="1"/>
  <c r="I93" i="22"/>
  <c r="J93" i="22" s="1"/>
  <c r="I96" i="24"/>
  <c r="J96" i="24" s="1"/>
  <c r="F96" i="24" s="1"/>
  <c r="G96" i="24" s="1"/>
  <c r="F95" i="24"/>
  <c r="G95" i="24" s="1"/>
  <c r="E98" i="24"/>
  <c r="M98" i="24" s="1"/>
  <c r="D99" i="24"/>
  <c r="E99" i="24" s="1"/>
  <c r="M99" i="24" s="1"/>
  <c r="N97" i="24"/>
  <c r="E57" i="24"/>
  <c r="M57" i="24" s="1"/>
  <c r="D58" i="24"/>
  <c r="N56" i="24"/>
  <c r="H56" i="24"/>
  <c r="M97" i="29" l="1"/>
  <c r="N95" i="29"/>
  <c r="N96" i="29" s="1"/>
  <c r="N16" i="29"/>
  <c r="N17" i="29" s="1"/>
  <c r="N18" i="29" s="1"/>
  <c r="H56" i="29"/>
  <c r="I56" i="29" s="1"/>
  <c r="J56" i="29" s="1"/>
  <c r="F56" i="29" s="1"/>
  <c r="G56" i="29" s="1"/>
  <c r="D95" i="22"/>
  <c r="E95" i="22" s="1"/>
  <c r="M95" i="22" s="1"/>
  <c r="N95" i="22" s="1"/>
  <c r="H95" i="29"/>
  <c r="I95" i="29" s="1"/>
  <c r="J95" i="29" s="1"/>
  <c r="F95" i="29" s="1"/>
  <c r="G95" i="29" s="1"/>
  <c r="H17" i="29"/>
  <c r="I17" i="29" s="1"/>
  <c r="J17" i="29" s="1"/>
  <c r="F17" i="29" s="1"/>
  <c r="G17" i="29" s="1"/>
  <c r="M59" i="29"/>
  <c r="M61" i="29" s="1"/>
  <c r="F16" i="29"/>
  <c r="G16" i="29" s="1"/>
  <c r="F55" i="29"/>
  <c r="G55" i="29" s="1"/>
  <c r="E19" i="29"/>
  <c r="M19" i="29" s="1"/>
  <c r="D20" i="29"/>
  <c r="E20" i="29" s="1"/>
  <c r="M20" i="29" s="1"/>
  <c r="J97" i="29"/>
  <c r="N57" i="29"/>
  <c r="N58" i="29" s="1"/>
  <c r="G97" i="29"/>
  <c r="H170" i="22"/>
  <c r="N170" i="22"/>
  <c r="O170" i="22" s="1"/>
  <c r="D171" i="22" s="1"/>
  <c r="H94" i="22"/>
  <c r="I94" i="22" s="1"/>
  <c r="J94" i="22" s="1"/>
  <c r="F94" i="22" s="1"/>
  <c r="G94" i="22" s="1"/>
  <c r="F93" i="22"/>
  <c r="G93" i="22" s="1"/>
  <c r="M100" i="24"/>
  <c r="N98" i="24"/>
  <c r="N99" i="24" s="1"/>
  <c r="H97" i="24"/>
  <c r="E58" i="24"/>
  <c r="M58" i="24" s="1"/>
  <c r="D59" i="24"/>
  <c r="E59" i="24" s="1"/>
  <c r="M59" i="24" s="1"/>
  <c r="I56" i="24"/>
  <c r="J56" i="24" s="1"/>
  <c r="N57" i="24"/>
  <c r="M21" i="29" l="1"/>
  <c r="M23" i="29" s="1"/>
  <c r="G59" i="29"/>
  <c r="D96" i="22"/>
  <c r="E171" i="22"/>
  <c r="M171" i="22" s="1"/>
  <c r="N171" i="22" s="1"/>
  <c r="O171" i="22" s="1"/>
  <c r="D172" i="22" s="1"/>
  <c r="E172" i="22" s="1"/>
  <c r="M172" i="22" s="1"/>
  <c r="H96" i="29"/>
  <c r="I96" i="29" s="1"/>
  <c r="J96" i="29" s="1"/>
  <c r="F96" i="29" s="1"/>
  <c r="G96" i="29" s="1"/>
  <c r="G21" i="29"/>
  <c r="H18" i="29"/>
  <c r="I18" i="29" s="1"/>
  <c r="J18" i="29" s="1"/>
  <c r="F18" i="29" s="1"/>
  <c r="G18" i="29" s="1"/>
  <c r="J59" i="29"/>
  <c r="H57" i="29"/>
  <c r="I57" i="29" s="1"/>
  <c r="J57" i="29" s="1"/>
  <c r="F57" i="29" s="1"/>
  <c r="G57" i="29" s="1"/>
  <c r="J21" i="29"/>
  <c r="N19" i="29"/>
  <c r="N20" i="29" s="1"/>
  <c r="I170" i="22"/>
  <c r="J170" i="22" s="1"/>
  <c r="H95" i="22"/>
  <c r="M60" i="24"/>
  <c r="N58" i="24"/>
  <c r="N59" i="24" s="1"/>
  <c r="I97" i="24"/>
  <c r="J97" i="24" s="1"/>
  <c r="F56" i="24"/>
  <c r="G56" i="24" s="1"/>
  <c r="H57" i="24"/>
  <c r="D173" i="22" l="1"/>
  <c r="E173" i="22" s="1"/>
  <c r="M173" i="22" s="1"/>
  <c r="M174" i="22" s="1"/>
  <c r="D97" i="22"/>
  <c r="E97" i="22" s="1"/>
  <c r="M97" i="22" s="1"/>
  <c r="E96" i="22"/>
  <c r="M96" i="22" s="1"/>
  <c r="N172" i="22"/>
  <c r="H171" i="22"/>
  <c r="I171" i="22" s="1"/>
  <c r="J171" i="22" s="1"/>
  <c r="F171" i="22" s="1"/>
  <c r="G171" i="22" s="1"/>
  <c r="H19" i="29"/>
  <c r="I19" i="29" s="1"/>
  <c r="J19" i="29" s="1"/>
  <c r="F19" i="29" s="1"/>
  <c r="G19" i="29" s="1"/>
  <c r="H58" i="29"/>
  <c r="I58" i="29" s="1"/>
  <c r="J58" i="29" s="1"/>
  <c r="F58" i="29" s="1"/>
  <c r="G58" i="29" s="1"/>
  <c r="F170" i="22"/>
  <c r="G170" i="22" s="1"/>
  <c r="I95" i="22"/>
  <c r="J95" i="22" s="1"/>
  <c r="F97" i="24"/>
  <c r="G97" i="24" s="1"/>
  <c r="G100" i="24" s="1"/>
  <c r="J100" i="24"/>
  <c r="H98" i="24"/>
  <c r="I57" i="24"/>
  <c r="J57" i="24" s="1"/>
  <c r="N173" i="22" l="1"/>
  <c r="M98" i="22"/>
  <c r="N96" i="22"/>
  <c r="N97" i="22" s="1"/>
  <c r="H20" i="29"/>
  <c r="I20" i="29" s="1"/>
  <c r="J20" i="29" s="1"/>
  <c r="F20" i="29" s="1"/>
  <c r="G20" i="29" s="1"/>
  <c r="J174" i="22"/>
  <c r="G174" i="22"/>
  <c r="H172" i="22"/>
  <c r="I172" i="22" s="1"/>
  <c r="H96" i="22"/>
  <c r="I96" i="22" s="1"/>
  <c r="J96" i="22" s="1"/>
  <c r="F96" i="22" s="1"/>
  <c r="G96" i="22" s="1"/>
  <c r="F95" i="22"/>
  <c r="G95" i="22" s="1"/>
  <c r="G98" i="22" s="1"/>
  <c r="J98" i="22"/>
  <c r="I98" i="24"/>
  <c r="J98" i="24" s="1"/>
  <c r="F98" i="24" s="1"/>
  <c r="G98" i="24" s="1"/>
  <c r="H58" i="24"/>
  <c r="F57" i="24"/>
  <c r="G57" i="24" s="1"/>
  <c r="G60" i="24" s="1"/>
  <c r="J60" i="24"/>
  <c r="H99" i="24" l="1"/>
  <c r="I99" i="24" s="1"/>
  <c r="J99" i="24" s="1"/>
  <c r="F99" i="24" s="1"/>
  <c r="G99" i="24" s="1"/>
  <c r="J172" i="22"/>
  <c r="F172" i="22" s="1"/>
  <c r="G172" i="22" s="1"/>
  <c r="H173" i="22"/>
  <c r="I173" i="22" s="1"/>
  <c r="J173" i="22" s="1"/>
  <c r="F173" i="22" s="1"/>
  <c r="G173" i="22" s="1"/>
  <c r="H97" i="22"/>
  <c r="I97" i="22" s="1"/>
  <c r="J97" i="22" s="1"/>
  <c r="F97" i="22" s="1"/>
  <c r="G97" i="22" s="1"/>
  <c r="I58" i="24"/>
  <c r="J58" i="24" s="1"/>
  <c r="F58" i="24" s="1"/>
  <c r="G58" i="24" s="1"/>
  <c r="H59" i="24" l="1"/>
  <c r="I59" i="24" s="1"/>
  <c r="J59" i="24" s="1"/>
  <c r="F59" i="24" s="1"/>
  <c r="G59" i="24" s="1"/>
  <c r="G27" i="24"/>
  <c r="D182" i="16"/>
  <c r="B160" i="16"/>
  <c r="N159" i="16"/>
  <c r="J159" i="16"/>
  <c r="K159" i="16" s="1"/>
  <c r="N158" i="16"/>
  <c r="J158" i="16"/>
  <c r="K158" i="16" s="1"/>
  <c r="N157" i="16"/>
  <c r="J157" i="16"/>
  <c r="K157" i="16" s="1"/>
  <c r="N156" i="16"/>
  <c r="J156" i="16"/>
  <c r="K156" i="16" s="1"/>
  <c r="N155" i="16"/>
  <c r="J155" i="16"/>
  <c r="K155" i="16" s="1"/>
  <c r="N154" i="16"/>
  <c r="J154" i="16"/>
  <c r="K154" i="16" s="1"/>
  <c r="N153" i="16"/>
  <c r="J153" i="16"/>
  <c r="K153" i="16" s="1"/>
  <c r="N152" i="16"/>
  <c r="J152" i="16"/>
  <c r="K152" i="16" s="1"/>
  <c r="N151" i="16"/>
  <c r="J151" i="16"/>
  <c r="K151" i="16" s="1"/>
  <c r="N150" i="16"/>
  <c r="J150" i="16"/>
  <c r="K150" i="16" s="1"/>
  <c r="N149" i="16"/>
  <c r="J149" i="16"/>
  <c r="K149" i="16" s="1"/>
  <c r="N148" i="16"/>
  <c r="J148" i="16"/>
  <c r="K148" i="16" s="1"/>
  <c r="N147" i="16"/>
  <c r="J147" i="16"/>
  <c r="K147" i="16" s="1"/>
  <c r="J146" i="16"/>
  <c r="K146" i="16" s="1"/>
  <c r="C146" i="16"/>
  <c r="D146" i="16" s="1"/>
  <c r="D117" i="16"/>
  <c r="B95" i="16"/>
  <c r="N94" i="16"/>
  <c r="J94" i="16"/>
  <c r="K94" i="16" s="1"/>
  <c r="N93" i="16"/>
  <c r="J93" i="16"/>
  <c r="K93" i="16" s="1"/>
  <c r="N92" i="16"/>
  <c r="J92" i="16"/>
  <c r="K92" i="16" s="1"/>
  <c r="N91" i="16"/>
  <c r="J91" i="16"/>
  <c r="K91" i="16" s="1"/>
  <c r="N90" i="16"/>
  <c r="J90" i="16"/>
  <c r="K90" i="16" s="1"/>
  <c r="N89" i="16"/>
  <c r="J89" i="16"/>
  <c r="K89" i="16" s="1"/>
  <c r="N88" i="16"/>
  <c r="J88" i="16"/>
  <c r="K88" i="16" s="1"/>
  <c r="N87" i="16"/>
  <c r="J87" i="16"/>
  <c r="K87" i="16" s="1"/>
  <c r="N86" i="16"/>
  <c r="J86" i="16"/>
  <c r="K86" i="16" s="1"/>
  <c r="N85" i="16"/>
  <c r="J85" i="16"/>
  <c r="K85" i="16" s="1"/>
  <c r="N84" i="16"/>
  <c r="J84" i="16"/>
  <c r="K84" i="16" s="1"/>
  <c r="N83" i="16"/>
  <c r="J83" i="16"/>
  <c r="K83" i="16" s="1"/>
  <c r="N82" i="16"/>
  <c r="J82" i="16"/>
  <c r="K82" i="16" s="1"/>
  <c r="J81" i="16"/>
  <c r="K81" i="16" s="1"/>
  <c r="C81" i="16"/>
  <c r="L146" i="16" l="1"/>
  <c r="M146" i="16" s="1"/>
  <c r="D81" i="16"/>
  <c r="L81" i="16" s="1"/>
  <c r="D52" i="16"/>
  <c r="G29" i="24"/>
  <c r="B20" i="24"/>
  <c r="O19" i="24"/>
  <c r="K19" i="24"/>
  <c r="L19" i="24" s="1"/>
  <c r="O18" i="24"/>
  <c r="K18" i="24"/>
  <c r="L18" i="24" s="1"/>
  <c r="O17" i="24"/>
  <c r="K17" i="24"/>
  <c r="L17" i="24" s="1"/>
  <c r="O16" i="24"/>
  <c r="K16" i="24"/>
  <c r="L16" i="24" s="1"/>
  <c r="K15" i="24"/>
  <c r="L15" i="24" s="1"/>
  <c r="K14" i="24"/>
  <c r="L14" i="24" s="1"/>
  <c r="D14" i="24"/>
  <c r="E14" i="24" s="1"/>
  <c r="G146" i="16" l="1"/>
  <c r="I146" i="16" s="1"/>
  <c r="E146" i="16" s="1"/>
  <c r="F146" i="16" s="1"/>
  <c r="N146" i="16"/>
  <c r="C147" i="16" s="1"/>
  <c r="G81" i="16"/>
  <c r="I81" i="16" s="1"/>
  <c r="M81" i="16"/>
  <c r="M14" i="24"/>
  <c r="H14" i="24" s="1"/>
  <c r="J14" i="24" s="1"/>
  <c r="F14" i="24" s="1"/>
  <c r="G14" i="24" s="1"/>
  <c r="H146" i="16" l="1"/>
  <c r="D147" i="16"/>
  <c r="L147" i="16" s="1"/>
  <c r="C148" i="16"/>
  <c r="H81" i="16"/>
  <c r="N81" i="16"/>
  <c r="C82" i="16" s="1"/>
  <c r="E81" i="16"/>
  <c r="F81" i="16" s="1"/>
  <c r="I14" i="24"/>
  <c r="N14" i="24"/>
  <c r="O14" i="24" s="1"/>
  <c r="D15" i="24" s="1"/>
  <c r="D148" i="16" l="1"/>
  <c r="L148" i="16" s="1"/>
  <c r="C149" i="16"/>
  <c r="M147" i="16"/>
  <c r="G147" i="16"/>
  <c r="D82" i="16"/>
  <c r="L82" i="16" s="1"/>
  <c r="C83" i="16"/>
  <c r="E15" i="24"/>
  <c r="M15" i="24" s="1"/>
  <c r="H147" i="16" l="1"/>
  <c r="I147" i="16" s="1"/>
  <c r="M148" i="16"/>
  <c r="D149" i="16"/>
  <c r="L149" i="16" s="1"/>
  <c r="C150" i="16"/>
  <c r="D83" i="16"/>
  <c r="L83" i="16" s="1"/>
  <c r="C84" i="16"/>
  <c r="M82" i="16"/>
  <c r="G82" i="16"/>
  <c r="N15" i="24"/>
  <c r="O15" i="24" s="1"/>
  <c r="D16" i="24" s="1"/>
  <c r="E16" i="24" s="1"/>
  <c r="M16" i="24" s="1"/>
  <c r="H15" i="24"/>
  <c r="G148" i="16" l="1"/>
  <c r="H148" i="16" s="1"/>
  <c r="I148" i="16" s="1"/>
  <c r="E148" i="16" s="1"/>
  <c r="F148" i="16" s="1"/>
  <c r="D17" i="24"/>
  <c r="D18" i="24" s="1"/>
  <c r="M149" i="16"/>
  <c r="E147" i="16"/>
  <c r="F147" i="16" s="1"/>
  <c r="D150" i="16"/>
  <c r="L150" i="16" s="1"/>
  <c r="C151" i="16"/>
  <c r="M83" i="16"/>
  <c r="H82" i="16"/>
  <c r="I82" i="16" s="1"/>
  <c r="D84" i="16"/>
  <c r="L84" i="16" s="1"/>
  <c r="C85" i="16"/>
  <c r="N16" i="24"/>
  <c r="I15" i="24"/>
  <c r="J15" i="24" s="1"/>
  <c r="E17" i="24" l="1"/>
  <c r="M17" i="24" s="1"/>
  <c r="N17" i="24" s="1"/>
  <c r="G149" i="16"/>
  <c r="H149" i="16" s="1"/>
  <c r="M150" i="16"/>
  <c r="D151" i="16"/>
  <c r="L151" i="16" s="1"/>
  <c r="C152" i="16"/>
  <c r="D85" i="16"/>
  <c r="L85" i="16" s="1"/>
  <c r="C86" i="16"/>
  <c r="E82" i="16"/>
  <c r="F82" i="16" s="1"/>
  <c r="G83" i="16"/>
  <c r="M84" i="16"/>
  <c r="E18" i="24"/>
  <c r="M18" i="24" s="1"/>
  <c r="D19" i="24"/>
  <c r="F15" i="24"/>
  <c r="G15" i="24" s="1"/>
  <c r="H16" i="24"/>
  <c r="M151" i="16" l="1"/>
  <c r="I149" i="16"/>
  <c r="E149" i="16" s="1"/>
  <c r="F149" i="16" s="1"/>
  <c r="G150" i="16"/>
  <c r="H150" i="16" s="1"/>
  <c r="I150" i="16" s="1"/>
  <c r="D152" i="16"/>
  <c r="L152" i="16" s="1"/>
  <c r="C153" i="16"/>
  <c r="M85" i="16"/>
  <c r="H83" i="16"/>
  <c r="I83" i="16" s="1"/>
  <c r="D86" i="16"/>
  <c r="L86" i="16" s="1"/>
  <c r="C87" i="16"/>
  <c r="N18" i="24"/>
  <c r="E19" i="24"/>
  <c r="M19" i="24" s="1"/>
  <c r="I16" i="24"/>
  <c r="J16" i="24" s="1"/>
  <c r="M152" i="16" l="1"/>
  <c r="M86" i="16"/>
  <c r="D153" i="16"/>
  <c r="L153" i="16" s="1"/>
  <c r="C154" i="16"/>
  <c r="E150" i="16"/>
  <c r="F150" i="16" s="1"/>
  <c r="G151" i="16"/>
  <c r="D87" i="16"/>
  <c r="L87" i="16" s="1"/>
  <c r="C88" i="16"/>
  <c r="E83" i="16"/>
  <c r="F83" i="16" s="1"/>
  <c r="G84" i="16"/>
  <c r="N19" i="24"/>
  <c r="H17" i="24"/>
  <c r="F16" i="24"/>
  <c r="G16" i="24" s="1"/>
  <c r="M153" i="16" l="1"/>
  <c r="M87" i="16"/>
  <c r="H151" i="16"/>
  <c r="I151" i="16" s="1"/>
  <c r="D154" i="16"/>
  <c r="L154" i="16" s="1"/>
  <c r="C155" i="16"/>
  <c r="H84" i="16"/>
  <c r="I84" i="16" s="1"/>
  <c r="D88" i="16"/>
  <c r="L88" i="16" s="1"/>
  <c r="C89" i="16"/>
  <c r="I17" i="24"/>
  <c r="J17" i="24" s="1"/>
  <c r="M154" i="16" l="1"/>
  <c r="M88" i="16"/>
  <c r="E151" i="16"/>
  <c r="F151" i="16" s="1"/>
  <c r="D155" i="16"/>
  <c r="L155" i="16" s="1"/>
  <c r="C156" i="16"/>
  <c r="G152" i="16"/>
  <c r="D89" i="16"/>
  <c r="L89" i="16" s="1"/>
  <c r="C90" i="16"/>
  <c r="E84" i="16"/>
  <c r="F84" i="16" s="1"/>
  <c r="G85" i="16"/>
  <c r="F17" i="24"/>
  <c r="G17" i="24" s="1"/>
  <c r="G20" i="24" s="1"/>
  <c r="J20" i="24"/>
  <c r="H18" i="24"/>
  <c r="M155" i="16" l="1"/>
  <c r="M89" i="16"/>
  <c r="H152" i="16"/>
  <c r="I152" i="16" s="1"/>
  <c r="E152" i="16" s="1"/>
  <c r="F152" i="16" s="1"/>
  <c r="D156" i="16"/>
  <c r="L156" i="16" s="1"/>
  <c r="C157" i="16"/>
  <c r="H85" i="16"/>
  <c r="I85" i="16" s="1"/>
  <c r="D90" i="16"/>
  <c r="L90" i="16" s="1"/>
  <c r="C91" i="16"/>
  <c r="I18" i="24"/>
  <c r="J18" i="24" s="1"/>
  <c r="F18" i="24" s="1"/>
  <c r="G18" i="24" s="1"/>
  <c r="M156" i="16" l="1"/>
  <c r="M90" i="16"/>
  <c r="G153" i="16"/>
  <c r="H153" i="16" s="1"/>
  <c r="I153" i="16" s="1"/>
  <c r="E153" i="16" s="1"/>
  <c r="F153" i="16" s="1"/>
  <c r="D157" i="16"/>
  <c r="L157" i="16" s="1"/>
  <c r="C158" i="16"/>
  <c r="G86" i="16"/>
  <c r="E85" i="16"/>
  <c r="F85" i="16" s="1"/>
  <c r="D91" i="16"/>
  <c r="L91" i="16" s="1"/>
  <c r="M91" i="16" s="1"/>
  <c r="C92" i="16"/>
  <c r="H19" i="24"/>
  <c r="M157" i="16" l="1"/>
  <c r="G154" i="16"/>
  <c r="D158" i="16"/>
  <c r="L158" i="16" s="1"/>
  <c r="G158" i="16" s="1"/>
  <c r="C159" i="16"/>
  <c r="D159" i="16" s="1"/>
  <c r="L159" i="16" s="1"/>
  <c r="L160" i="16" s="1"/>
  <c r="H86" i="16"/>
  <c r="I86" i="16" s="1"/>
  <c r="E86" i="16" s="1"/>
  <c r="F86" i="16" s="1"/>
  <c r="D92" i="16"/>
  <c r="L92" i="16" s="1"/>
  <c r="M92" i="16" s="1"/>
  <c r="C93" i="16"/>
  <c r="I19" i="24"/>
  <c r="J19" i="24" s="1"/>
  <c r="F19" i="24" s="1"/>
  <c r="G19" i="24" s="1"/>
  <c r="H158" i="16" l="1"/>
  <c r="I158" i="16" s="1"/>
  <c r="E158" i="16" s="1"/>
  <c r="F158" i="16" s="1"/>
  <c r="H154" i="16"/>
  <c r="I154" i="16" s="1"/>
  <c r="E154" i="16" s="1"/>
  <c r="F154" i="16" s="1"/>
  <c r="M158" i="16"/>
  <c r="M159" i="16" s="1"/>
  <c r="G87" i="16"/>
  <c r="H87" i="16" s="1"/>
  <c r="I87" i="16" s="1"/>
  <c r="E87" i="16" s="1"/>
  <c r="F87" i="16" s="1"/>
  <c r="D93" i="16"/>
  <c r="L93" i="16" s="1"/>
  <c r="G93" i="16" s="1"/>
  <c r="C94" i="16"/>
  <c r="D94" i="16" s="1"/>
  <c r="L94" i="16" s="1"/>
  <c r="B21" i="22"/>
  <c r="K20" i="22"/>
  <c r="L20" i="22" s="1"/>
  <c r="K19" i="22"/>
  <c r="L19" i="22" s="1"/>
  <c r="K18" i="22"/>
  <c r="L18" i="22" s="1"/>
  <c r="K17" i="22"/>
  <c r="L17" i="22" s="1"/>
  <c r="K16" i="22"/>
  <c r="L16" i="22" s="1"/>
  <c r="K15" i="22"/>
  <c r="L15" i="22" s="1"/>
  <c r="K14" i="22"/>
  <c r="L14" i="22" s="1"/>
  <c r="D14" i="22"/>
  <c r="E14" i="22" s="1"/>
  <c r="G88" i="16" l="1"/>
  <c r="L95" i="16"/>
  <c r="G159" i="16"/>
  <c r="H159" i="16" s="1"/>
  <c r="I159" i="16" s="1"/>
  <c r="E159" i="16" s="1"/>
  <c r="F159" i="16" s="1"/>
  <c r="G155" i="16"/>
  <c r="M93" i="16"/>
  <c r="M94" i="16" s="1"/>
  <c r="H93" i="16"/>
  <c r="I93" i="16" s="1"/>
  <c r="E93" i="16" s="1"/>
  <c r="F93" i="16" s="1"/>
  <c r="H88" i="16"/>
  <c r="I88" i="16" s="1"/>
  <c r="E88" i="16" s="1"/>
  <c r="F88" i="16" s="1"/>
  <c r="M20" i="24"/>
  <c r="M14" i="22"/>
  <c r="H155" i="16" l="1"/>
  <c r="I155" i="16" s="1"/>
  <c r="G89" i="16"/>
  <c r="G94" i="16"/>
  <c r="H94" i="16" s="1"/>
  <c r="I94" i="16" s="1"/>
  <c r="N14" i="22"/>
  <c r="O14" i="22" s="1"/>
  <c r="H14" i="22"/>
  <c r="J14" i="22" s="1"/>
  <c r="F14" i="22" s="1"/>
  <c r="G14" i="22" s="1"/>
  <c r="G156" i="16" l="1"/>
  <c r="H156" i="16" s="1"/>
  <c r="I156" i="16" s="1"/>
  <c r="E156" i="16" s="1"/>
  <c r="F156" i="16" s="1"/>
  <c r="E155" i="16"/>
  <c r="F155" i="16" s="1"/>
  <c r="E94" i="16"/>
  <c r="F94" i="16" s="1"/>
  <c r="H89" i="16"/>
  <c r="I89" i="16" s="1"/>
  <c r="E89" i="16" s="1"/>
  <c r="F89" i="16" s="1"/>
  <c r="D15" i="22"/>
  <c r="E15" i="22" s="1"/>
  <c r="M15" i="22" s="1"/>
  <c r="I14" i="22"/>
  <c r="G157" i="16" l="1"/>
  <c r="H157" i="16" s="1"/>
  <c r="I157" i="16" s="1"/>
  <c r="G90" i="16"/>
  <c r="H15" i="22"/>
  <c r="I15" i="22" s="1"/>
  <c r="J15" i="22" s="1"/>
  <c r="O217" i="22" s="1"/>
  <c r="N15" i="22"/>
  <c r="O15" i="22" s="1"/>
  <c r="E157" i="16" l="1"/>
  <c r="F157" i="16" s="1"/>
  <c r="F160" i="16" s="1"/>
  <c r="I160" i="16"/>
  <c r="H90" i="16"/>
  <c r="I90" i="16" s="1"/>
  <c r="D16" i="22"/>
  <c r="E16" i="22" s="1"/>
  <c r="M16" i="22" s="1"/>
  <c r="H16" i="22" s="1"/>
  <c r="I16" i="22" s="1"/>
  <c r="J16" i="22" s="1"/>
  <c r="F16" i="22" s="1"/>
  <c r="G16" i="22" s="1"/>
  <c r="F15" i="22"/>
  <c r="G15" i="22" s="1"/>
  <c r="M217" i="22" s="1"/>
  <c r="P217" i="22" s="1"/>
  <c r="E90" i="16" l="1"/>
  <c r="F90" i="16" s="1"/>
  <c r="G91" i="16"/>
  <c r="N16" i="22"/>
  <c r="O16" i="22"/>
  <c r="D17" i="22" l="1"/>
  <c r="E17" i="22" s="1"/>
  <c r="M17" i="22" s="1"/>
  <c r="H17" i="22" s="1"/>
  <c r="I17" i="22" s="1"/>
  <c r="J17" i="22" s="1"/>
  <c r="F17" i="22" s="1"/>
  <c r="G17" i="22" s="1"/>
  <c r="G21" i="22" s="1"/>
  <c r="H91" i="16"/>
  <c r="I91" i="16" s="1"/>
  <c r="N17" i="22" l="1"/>
  <c r="O17" i="22" s="1"/>
  <c r="D18" i="22" s="1"/>
  <c r="E18" i="22" s="1"/>
  <c r="M18" i="22" s="1"/>
  <c r="J21" i="22"/>
  <c r="G92" i="16"/>
  <c r="H92" i="16" s="1"/>
  <c r="I92" i="16" s="1"/>
  <c r="E92" i="16" s="1"/>
  <c r="F92" i="16" s="1"/>
  <c r="E91" i="16"/>
  <c r="F91" i="16" s="1"/>
  <c r="I95" i="16" l="1"/>
  <c r="F95" i="16"/>
  <c r="N18" i="22"/>
  <c r="O18" i="22" s="1"/>
  <c r="D19" i="22" s="1"/>
  <c r="E19" i="22" s="1"/>
  <c r="M19" i="22" s="1"/>
  <c r="H18" i="22"/>
  <c r="N19" i="22" l="1"/>
  <c r="O19" i="22" s="1"/>
  <c r="D20" i="22" s="1"/>
  <c r="E20" i="22" s="1"/>
  <c r="M20" i="22" s="1"/>
  <c r="I18" i="22"/>
  <c r="J18" i="22" s="1"/>
  <c r="F18" i="22" s="1"/>
  <c r="G18" i="22" s="1"/>
  <c r="N20" i="22" l="1"/>
  <c r="O20" i="22" s="1"/>
  <c r="H19" i="22"/>
  <c r="I19" i="22" s="1"/>
  <c r="J19" i="22" s="1"/>
  <c r="F19" i="22" s="1"/>
  <c r="G19" i="22" s="1"/>
  <c r="H20" i="22" l="1"/>
  <c r="I20" i="22" l="1"/>
  <c r="J20" i="22" s="1"/>
  <c r="F20" i="22" s="1"/>
  <c r="G20" i="22" s="1"/>
  <c r="J28" i="16" l="1"/>
  <c r="B30" i="16" l="1"/>
  <c r="N29" i="16"/>
  <c r="J29" i="16"/>
  <c r="K29" i="16" s="1"/>
  <c r="K28" i="16"/>
  <c r="J27" i="16"/>
  <c r="K27" i="16" s="1"/>
  <c r="J26" i="16"/>
  <c r="K26" i="16" s="1"/>
  <c r="J25" i="16"/>
  <c r="K25" i="16" s="1"/>
  <c r="J24" i="16"/>
  <c r="K24" i="16" s="1"/>
  <c r="J23" i="16"/>
  <c r="K23" i="16" s="1"/>
  <c r="J22" i="16"/>
  <c r="K22" i="16" s="1"/>
  <c r="J21" i="16"/>
  <c r="K21" i="16" s="1"/>
  <c r="J20" i="16"/>
  <c r="K20" i="16" s="1"/>
  <c r="J19" i="16"/>
  <c r="K19" i="16" s="1"/>
  <c r="J18" i="16"/>
  <c r="K18" i="16" s="1"/>
  <c r="J17" i="16"/>
  <c r="K17" i="16" s="1"/>
  <c r="J16" i="16"/>
  <c r="K16" i="16" s="1"/>
  <c r="C16" i="16"/>
  <c r="D16" i="16" s="1"/>
  <c r="L16" i="16" l="1"/>
  <c r="G16" i="16" l="1"/>
  <c r="I16" i="16" s="1"/>
  <c r="E16" i="16" s="1"/>
  <c r="F16" i="16" s="1"/>
  <c r="M16" i="16"/>
  <c r="N16" i="16" s="1"/>
  <c r="C17" i="16" l="1"/>
  <c r="M21" i="22"/>
  <c r="M23" i="22" s="1"/>
  <c r="H16" i="16"/>
  <c r="D17" i="16" l="1"/>
  <c r="L17" i="16" s="1"/>
  <c r="M17" i="16" s="1"/>
  <c r="N17" i="16" s="1"/>
  <c r="C18" i="16" l="1"/>
  <c r="D18" i="16" s="1"/>
  <c r="L18" i="16" s="1"/>
  <c r="G17" i="16"/>
  <c r="H17" i="16" s="1"/>
  <c r="I17" i="16" s="1"/>
  <c r="E17" i="16" s="1"/>
  <c r="F17" i="16" s="1"/>
  <c r="G18" i="16" l="1"/>
  <c r="M18" i="16"/>
  <c r="N18" i="16" s="1"/>
  <c r="C19" i="16" s="1"/>
  <c r="D19" i="16" s="1"/>
  <c r="L19" i="16" s="1"/>
  <c r="M19" i="16" l="1"/>
  <c r="N19" i="16" s="1"/>
  <c r="C20" i="16" s="1"/>
  <c r="D20" i="16" s="1"/>
  <c r="L20" i="16" s="1"/>
  <c r="H18" i="16"/>
  <c r="I18" i="16" s="1"/>
  <c r="G19" i="16" l="1"/>
  <c r="E18" i="16"/>
  <c r="F18" i="16" s="1"/>
  <c r="M20" i="16"/>
  <c r="N20" i="16" s="1"/>
  <c r="C21" i="16" l="1"/>
  <c r="H19" i="16"/>
  <c r="I19" i="16" s="1"/>
  <c r="D21" i="16" l="1"/>
  <c r="L21" i="16" s="1"/>
  <c r="M21" i="16" s="1"/>
  <c r="N21" i="16" s="1"/>
  <c r="C22" i="16" s="1"/>
  <c r="G20" i="16"/>
  <c r="H20" i="16" s="1"/>
  <c r="I20" i="16" s="1"/>
  <c r="E20" i="16" s="1"/>
  <c r="F20" i="16" s="1"/>
  <c r="E19" i="16"/>
  <c r="F19" i="16" s="1"/>
  <c r="D22" i="16" l="1"/>
  <c r="L22" i="16" s="1"/>
  <c r="M22" i="16" s="1"/>
  <c r="N22" i="16" s="1"/>
  <c r="C23" i="16" s="1"/>
  <c r="G21" i="16"/>
  <c r="D23" i="16" l="1"/>
  <c r="L23" i="16" s="1"/>
  <c r="M23" i="16" s="1"/>
  <c r="N23" i="16" s="1"/>
  <c r="C24" i="16" s="1"/>
  <c r="H21" i="16"/>
  <c r="I21" i="16" s="1"/>
  <c r="E21" i="16" s="1"/>
  <c r="F21" i="16" s="1"/>
  <c r="D24" i="16" l="1"/>
  <c r="L24" i="16" s="1"/>
  <c r="M24" i="16" s="1"/>
  <c r="N24" i="16" s="1"/>
  <c r="C25" i="16" s="1"/>
  <c r="G22" i="16"/>
  <c r="D25" i="16" l="1"/>
  <c r="L25" i="16" s="1"/>
  <c r="M25" i="16" s="1"/>
  <c r="N25" i="16" s="1"/>
  <c r="C26" i="16" s="1"/>
  <c r="H22" i="16"/>
  <c r="I22" i="16" s="1"/>
  <c r="E22" i="16" s="1"/>
  <c r="F22" i="16" s="1"/>
  <c r="D26" i="16" l="1"/>
  <c r="L26" i="16" s="1"/>
  <c r="M26" i="16" s="1"/>
  <c r="N26" i="16" s="1"/>
  <c r="G23" i="16"/>
  <c r="H23" i="16" s="1"/>
  <c r="I23" i="16" s="1"/>
  <c r="E23" i="16" s="1"/>
  <c r="F23" i="16" s="1"/>
  <c r="C27" i="16" l="1"/>
  <c r="D27" i="16" s="1"/>
  <c r="L27" i="16" s="1"/>
  <c r="G24" i="16"/>
  <c r="M27" i="16" l="1"/>
  <c r="H24" i="16"/>
  <c r="I24" i="16" s="1"/>
  <c r="D26" i="1"/>
  <c r="N27" i="16" l="1"/>
  <c r="C28" i="16" s="1"/>
  <c r="D28" i="16" s="1"/>
  <c r="L28" i="16" s="1"/>
  <c r="M28" i="16" s="1"/>
  <c r="G25" i="16"/>
  <c r="H25" i="16" s="1"/>
  <c r="I25" i="16" s="1"/>
  <c r="E25" i="16" s="1"/>
  <c r="F25" i="16" s="1"/>
  <c r="E24" i="16"/>
  <c r="F24" i="16" s="1"/>
  <c r="G28" i="16" l="1"/>
  <c r="H28" i="16" s="1"/>
  <c r="I28" i="16" s="1"/>
  <c r="E28" i="16" s="1"/>
  <c r="F28" i="16" s="1"/>
  <c r="N28" i="16"/>
  <c r="C29" i="16" s="1"/>
  <c r="D29" i="16" s="1"/>
  <c r="L29" i="16" s="1"/>
  <c r="L30" i="16" s="1"/>
  <c r="G26" i="16"/>
  <c r="H26" i="16" s="1"/>
  <c r="I26" i="16" s="1"/>
  <c r="M29" i="16" l="1"/>
  <c r="G29" i="16"/>
  <c r="H29" i="16" s="1"/>
  <c r="I29" i="16" s="1"/>
  <c r="E29" i="16" s="1"/>
  <c r="F29" i="16" s="1"/>
  <c r="G27" i="16"/>
  <c r="H27" i="16" s="1"/>
  <c r="I27" i="16" s="1"/>
  <c r="E27" i="16" s="1"/>
  <c r="F27" i="16" s="1"/>
  <c r="E26" i="16"/>
  <c r="F26" i="16" s="1"/>
  <c r="F30" i="16" l="1"/>
  <c r="I30" i="16"/>
  <c r="N7" i="3" l="1"/>
  <c r="E12" i="1" l="1"/>
  <c r="E16" i="1"/>
  <c r="D17" i="1"/>
  <c r="E14" i="1" l="1"/>
  <c r="E18" i="1" s="1"/>
  <c r="A12" i="3" l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L7" i="3"/>
  <c r="C12" i="3"/>
  <c r="H12" i="3"/>
  <c r="D12" i="3"/>
  <c r="E12" i="3" s="1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G20" i="3"/>
  <c r="G44" i="3"/>
  <c r="G52" i="3"/>
  <c r="G60" i="3"/>
  <c r="G25" i="3"/>
  <c r="G33" i="3"/>
  <c r="G49" i="3"/>
  <c r="G65" i="3"/>
  <c r="G22" i="3"/>
  <c r="G30" i="3"/>
  <c r="G54" i="3"/>
  <c r="G62" i="3"/>
  <c r="G70" i="3"/>
  <c r="G35" i="3"/>
  <c r="G43" i="3"/>
  <c r="G59" i="3"/>
  <c r="G16" i="3"/>
  <c r="G32" i="3"/>
  <c r="G40" i="3"/>
  <c r="G64" i="3"/>
  <c r="G21" i="3"/>
  <c r="G45" i="3"/>
  <c r="G53" i="3"/>
  <c r="G69" i="3"/>
  <c r="G26" i="3"/>
  <c r="G42" i="3"/>
  <c r="G50" i="3"/>
  <c r="G13" i="3"/>
  <c r="G15" i="3"/>
  <c r="G39" i="3"/>
  <c r="G47" i="3"/>
  <c r="G63" i="3"/>
  <c r="G36" i="3"/>
  <c r="G68" i="3"/>
  <c r="G41" i="3"/>
  <c r="G14" i="3"/>
  <c r="G46" i="3"/>
  <c r="G19" i="3"/>
  <c r="G51" i="3"/>
  <c r="G24" i="3"/>
  <c r="G56" i="3"/>
  <c r="G29" i="3"/>
  <c r="G61" i="3"/>
  <c r="G34" i="3"/>
  <c r="G66" i="3"/>
  <c r="G23" i="3"/>
  <c r="G55" i="3"/>
  <c r="G71" i="3"/>
  <c r="G31" i="3"/>
  <c r="G58" i="3"/>
  <c r="G18" i="3"/>
  <c r="G37" i="3"/>
  <c r="G48" i="3"/>
  <c r="G67" i="3"/>
  <c r="G27" i="3"/>
  <c r="G38" i="3"/>
  <c r="G57" i="3"/>
  <c r="G17" i="3"/>
  <c r="G28" i="3"/>
  <c r="F12" i="3" l="1"/>
  <c r="B12" i="3"/>
  <c r="I12" i="3"/>
  <c r="G72" i="3"/>
  <c r="K12" i="3"/>
  <c r="J12" i="3" s="1"/>
  <c r="M12" i="3"/>
  <c r="C72" i="3"/>
  <c r="D13" i="3" l="1"/>
  <c r="L12" i="3"/>
  <c r="K33" i="3"/>
  <c r="K59" i="3"/>
  <c r="K22" i="3"/>
  <c r="K39" i="3"/>
  <c r="K26" i="3"/>
  <c r="K44" i="3"/>
  <c r="K61" i="3"/>
  <c r="K31" i="3"/>
  <c r="K46" i="3"/>
  <c r="K66" i="3"/>
  <c r="K62" i="3"/>
  <c r="K20" i="3"/>
  <c r="K54" i="3"/>
  <c r="K29" i="3"/>
  <c r="K58" i="3"/>
  <c r="K19" i="3"/>
  <c r="K70" i="3"/>
  <c r="K45" i="3"/>
  <c r="K69" i="3"/>
  <c r="K65" i="3"/>
  <c r="K51" i="3"/>
  <c r="K41" i="3"/>
  <c r="K56" i="3"/>
  <c r="K53" i="3"/>
  <c r="K14" i="3"/>
  <c r="K34" i="3"/>
  <c r="K71" i="3"/>
  <c r="K17" i="3"/>
  <c r="K23" i="3"/>
  <c r="K28" i="3"/>
  <c r="K21" i="3"/>
  <c r="K32" i="3"/>
  <c r="K25" i="3"/>
  <c r="K16" i="3"/>
  <c r="K13" i="3"/>
  <c r="K49" i="3"/>
  <c r="K27" i="3"/>
  <c r="K64" i="3"/>
  <c r="K63" i="3"/>
  <c r="K40" i="3"/>
  <c r="K36" i="3"/>
  <c r="K35" i="3"/>
  <c r="K47" i="3"/>
  <c r="K50" i="3"/>
  <c r="K48" i="3"/>
  <c r="K18" i="3"/>
  <c r="K24" i="3"/>
  <c r="K52" i="3"/>
  <c r="K55" i="3"/>
  <c r="K57" i="3"/>
  <c r="K37" i="3"/>
  <c r="K42" i="3"/>
  <c r="K60" i="3"/>
  <c r="K43" i="3"/>
  <c r="K67" i="3"/>
  <c r="K15" i="3"/>
  <c r="K38" i="3"/>
  <c r="K30" i="3"/>
  <c r="K68" i="3"/>
  <c r="O12" i="3"/>
  <c r="K72" i="3" l="1"/>
  <c r="H13" i="3"/>
  <c r="E13" i="3"/>
  <c r="O13" i="3"/>
  <c r="N12" i="3"/>
  <c r="M13" i="3" l="1"/>
  <c r="L13" i="3" s="1"/>
  <c r="I13" i="3"/>
  <c r="J13" i="3"/>
  <c r="B13" i="3"/>
  <c r="F13" i="3"/>
  <c r="N13" i="3"/>
  <c r="D14" i="3" l="1"/>
  <c r="H14" i="3" s="1"/>
  <c r="M14" i="3" s="1"/>
  <c r="E14" i="3"/>
  <c r="O14" i="3" l="1"/>
  <c r="N14" i="3" s="1"/>
  <c r="L14" i="3"/>
  <c r="D15" i="3"/>
  <c r="O15" i="3" s="1"/>
  <c r="N15" i="3" s="1"/>
  <c r="J14" i="3"/>
  <c r="B14" i="3"/>
  <c r="F14" i="3"/>
  <c r="I14" i="3"/>
  <c r="E15" i="3" l="1"/>
  <c r="I15" i="3" s="1"/>
  <c r="H15" i="3"/>
  <c r="M15" i="3" s="1"/>
  <c r="F15" i="3"/>
  <c r="B15" i="3"/>
  <c r="J15" i="3" l="1"/>
  <c r="L15" i="3"/>
  <c r="D16" i="3"/>
  <c r="O16" i="3" l="1"/>
  <c r="N16" i="3" s="1"/>
  <c r="E16" i="3"/>
  <c r="H16" i="3"/>
  <c r="M16" i="3" l="1"/>
  <c r="F16" i="3"/>
  <c r="I16" i="3"/>
  <c r="J16" i="3"/>
  <c r="B16" i="3"/>
  <c r="D17" i="3" l="1"/>
  <c r="L16" i="3"/>
  <c r="H17" i="3" l="1"/>
  <c r="M17" i="3" s="1"/>
  <c r="E17" i="3"/>
  <c r="O17" i="3"/>
  <c r="N17" i="3" l="1"/>
  <c r="J17" i="3"/>
  <c r="F17" i="3"/>
  <c r="I17" i="3"/>
  <c r="B17" i="3"/>
  <c r="L17" i="3"/>
  <c r="D18" i="3"/>
  <c r="E18" i="3" l="1"/>
  <c r="H18" i="3"/>
  <c r="M18" i="3" s="1"/>
  <c r="O18" i="3"/>
  <c r="N18" i="3" s="1"/>
  <c r="D19" i="3" l="1"/>
  <c r="L18" i="3"/>
  <c r="I18" i="3"/>
  <c r="B18" i="3"/>
  <c r="F18" i="3"/>
  <c r="J18" i="3"/>
  <c r="O19" i="3" l="1"/>
  <c r="E19" i="3"/>
  <c r="H19" i="3"/>
  <c r="M19" i="3" s="1"/>
  <c r="D20" i="3" l="1"/>
  <c r="O20" i="3" s="1"/>
  <c r="N20" i="3" s="1"/>
  <c r="L19" i="3"/>
  <c r="F19" i="3"/>
  <c r="B19" i="3"/>
  <c r="J19" i="3"/>
  <c r="I19" i="3"/>
  <c r="N19" i="3"/>
  <c r="E20" i="3" l="1"/>
  <c r="H20" i="3"/>
  <c r="M20" i="3" s="1"/>
  <c r="L20" i="3" l="1"/>
  <c r="D21" i="3"/>
  <c r="J20" i="3"/>
  <c r="B20" i="3"/>
  <c r="F20" i="3"/>
  <c r="I20" i="3"/>
  <c r="O21" i="3" l="1"/>
  <c r="H21" i="3"/>
  <c r="M21" i="3" s="1"/>
  <c r="E21" i="3"/>
  <c r="J21" i="3" l="1"/>
  <c r="F21" i="3"/>
  <c r="B21" i="3"/>
  <c r="I21" i="3"/>
  <c r="L21" i="3"/>
  <c r="D22" i="3"/>
  <c r="N21" i="3"/>
  <c r="E22" i="3" l="1"/>
  <c r="H22" i="3"/>
  <c r="M22" i="3" s="1"/>
  <c r="O22" i="3"/>
  <c r="N22" i="3" l="1"/>
  <c r="D23" i="3"/>
  <c r="L22" i="3"/>
  <c r="F22" i="3"/>
  <c r="B22" i="3"/>
  <c r="I22" i="3"/>
  <c r="J22" i="3"/>
  <c r="E23" i="3" l="1"/>
  <c r="H23" i="3"/>
  <c r="M23" i="3" s="1"/>
  <c r="O23" i="3"/>
  <c r="N23" i="3" s="1"/>
  <c r="D24" i="3" l="1"/>
  <c r="L23" i="3"/>
  <c r="J23" i="3"/>
  <c r="I23" i="3"/>
  <c r="F23" i="3"/>
  <c r="B23" i="3"/>
  <c r="O24" i="3" l="1"/>
  <c r="E24" i="3"/>
  <c r="H24" i="3"/>
  <c r="M24" i="3" s="1"/>
  <c r="L24" i="3" l="1"/>
  <c r="D25" i="3"/>
  <c r="O25" i="3" s="1"/>
  <c r="N25" i="3" s="1"/>
  <c r="B24" i="3"/>
  <c r="I24" i="3"/>
  <c r="F24" i="3"/>
  <c r="J24" i="3"/>
  <c r="N24" i="3"/>
  <c r="E25" i="3" l="1"/>
  <c r="H25" i="3"/>
  <c r="M25" i="3" s="1"/>
  <c r="D26" i="3" l="1"/>
  <c r="L25" i="3"/>
  <c r="J25" i="3"/>
  <c r="B25" i="3"/>
  <c r="F25" i="3"/>
  <c r="I25" i="3"/>
  <c r="O26" i="3" l="1"/>
  <c r="E26" i="3"/>
  <c r="H26" i="3"/>
  <c r="M26" i="3" s="1"/>
  <c r="L26" i="3" l="1"/>
  <c r="D27" i="3"/>
  <c r="O27" i="3" s="1"/>
  <c r="N27" i="3" s="1"/>
  <c r="F26" i="3"/>
  <c r="J26" i="3"/>
  <c r="B26" i="3"/>
  <c r="I26" i="3"/>
  <c r="N26" i="3"/>
  <c r="E27" i="3" l="1"/>
  <c r="H27" i="3"/>
  <c r="M27" i="3" s="1"/>
  <c r="L27" i="3" l="1"/>
  <c r="D28" i="3"/>
  <c r="J27" i="3"/>
  <c r="B27" i="3"/>
  <c r="I27" i="3"/>
  <c r="F27" i="3"/>
  <c r="E28" i="3" l="1"/>
  <c r="H28" i="3"/>
  <c r="M28" i="3" s="1"/>
  <c r="O28" i="3"/>
  <c r="N28" i="3" l="1"/>
  <c r="D29" i="3"/>
  <c r="L28" i="3"/>
  <c r="B28" i="3"/>
  <c r="F28" i="3"/>
  <c r="J28" i="3"/>
  <c r="I28" i="3"/>
  <c r="E29" i="3" l="1"/>
  <c r="H29" i="3"/>
  <c r="M29" i="3" s="1"/>
  <c r="O29" i="3"/>
  <c r="N29" i="3" l="1"/>
  <c r="L29" i="3"/>
  <c r="D30" i="3"/>
  <c r="J29" i="3"/>
  <c r="B29" i="3"/>
  <c r="I29" i="3"/>
  <c r="F29" i="3"/>
  <c r="E30" i="3" l="1"/>
  <c r="H30" i="3"/>
  <c r="M30" i="3" s="1"/>
  <c r="O30" i="3"/>
  <c r="N30" i="3" l="1"/>
  <c r="D31" i="3"/>
  <c r="L30" i="3"/>
  <c r="F30" i="3"/>
  <c r="I30" i="3"/>
  <c r="B30" i="3"/>
  <c r="J30" i="3"/>
  <c r="E31" i="3" l="1"/>
  <c r="H31" i="3"/>
  <c r="M31" i="3" s="1"/>
  <c r="O31" i="3"/>
  <c r="N31" i="3" l="1"/>
  <c r="L31" i="3"/>
  <c r="D32" i="3"/>
  <c r="B31" i="3"/>
  <c r="F31" i="3"/>
  <c r="I31" i="3"/>
  <c r="J31" i="3"/>
  <c r="E32" i="3" l="1"/>
  <c r="H32" i="3"/>
  <c r="M32" i="3" s="1"/>
  <c r="O32" i="3"/>
  <c r="N32" i="3" l="1"/>
  <c r="D33" i="3"/>
  <c r="L32" i="3"/>
  <c r="J32" i="3"/>
  <c r="I32" i="3"/>
  <c r="B32" i="3"/>
  <c r="F32" i="3"/>
  <c r="E33" i="3" l="1"/>
  <c r="H33" i="3"/>
  <c r="M33" i="3" s="1"/>
  <c r="O33" i="3"/>
  <c r="N33" i="3" s="1"/>
  <c r="D34" i="3" l="1"/>
  <c r="L33" i="3"/>
  <c r="B33" i="3"/>
  <c r="J33" i="3"/>
  <c r="I33" i="3"/>
  <c r="F33" i="3"/>
  <c r="O34" i="3" l="1"/>
  <c r="E34" i="3"/>
  <c r="H34" i="3"/>
  <c r="M34" i="3" s="1"/>
  <c r="L34" i="3" l="1"/>
  <c r="D35" i="3"/>
  <c r="O35" i="3" s="1"/>
  <c r="N35" i="3" s="1"/>
  <c r="J34" i="3"/>
  <c r="I34" i="3"/>
  <c r="B34" i="3"/>
  <c r="F34" i="3"/>
  <c r="N34" i="3"/>
  <c r="E35" i="3" l="1"/>
  <c r="H35" i="3"/>
  <c r="M35" i="3" s="1"/>
  <c r="L35" i="3" l="1"/>
  <c r="D36" i="3"/>
  <c r="J35" i="3"/>
  <c r="I35" i="3"/>
  <c r="B35" i="3"/>
  <c r="F35" i="3"/>
  <c r="O36" i="3" l="1"/>
  <c r="H36" i="3"/>
  <c r="M36" i="3" s="1"/>
  <c r="E36" i="3"/>
  <c r="F36" i="3" l="1"/>
  <c r="J36" i="3"/>
  <c r="B36" i="3"/>
  <c r="I36" i="3"/>
  <c r="L36" i="3"/>
  <c r="D37" i="3"/>
  <c r="O37" i="3" s="1"/>
  <c r="N37" i="3" s="1"/>
  <c r="N36" i="3"/>
  <c r="H37" i="3" l="1"/>
  <c r="M37" i="3" s="1"/>
  <c r="E37" i="3"/>
  <c r="L37" i="3" l="1"/>
  <c r="D38" i="3"/>
  <c r="B37" i="3"/>
  <c r="F37" i="3"/>
  <c r="J37" i="3"/>
  <c r="I37" i="3"/>
  <c r="O38" i="3" l="1"/>
  <c r="E38" i="3"/>
  <c r="H38" i="3"/>
  <c r="M38" i="3" s="1"/>
  <c r="L38" i="3" l="1"/>
  <c r="D39" i="3"/>
  <c r="O39" i="3" s="1"/>
  <c r="N39" i="3" s="1"/>
  <c r="F38" i="3"/>
  <c r="I38" i="3"/>
  <c r="J38" i="3"/>
  <c r="B38" i="3"/>
  <c r="N38" i="3"/>
  <c r="E39" i="3" l="1"/>
  <c r="H39" i="3"/>
  <c r="M39" i="3" s="1"/>
  <c r="L39" i="3" l="1"/>
  <c r="D40" i="3"/>
  <c r="B39" i="3"/>
  <c r="J39" i="3"/>
  <c r="I39" i="3"/>
  <c r="F39" i="3"/>
  <c r="O40" i="3" l="1"/>
  <c r="E40" i="3"/>
  <c r="H40" i="3"/>
  <c r="M40" i="3" s="1"/>
  <c r="N40" i="3" l="1"/>
  <c r="L40" i="3"/>
  <c r="D41" i="3"/>
  <c r="J40" i="3"/>
  <c r="B40" i="3"/>
  <c r="I40" i="3"/>
  <c r="F40" i="3"/>
  <c r="H41" i="3" l="1"/>
  <c r="M41" i="3" s="1"/>
  <c r="E41" i="3"/>
  <c r="O41" i="3"/>
  <c r="L41" i="3" l="1"/>
  <c r="D42" i="3"/>
  <c r="N41" i="3"/>
  <c r="J41" i="3"/>
  <c r="F41" i="3"/>
  <c r="I41" i="3"/>
  <c r="B41" i="3"/>
  <c r="H42" i="3" l="1"/>
  <c r="M42" i="3" s="1"/>
  <c r="E42" i="3"/>
  <c r="O42" i="3"/>
  <c r="F42" i="3" l="1"/>
  <c r="I42" i="3"/>
  <c r="B42" i="3"/>
  <c r="J42" i="3"/>
  <c r="L42" i="3"/>
  <c r="D43" i="3"/>
  <c r="O43" i="3" s="1"/>
  <c r="N43" i="3" s="1"/>
  <c r="N42" i="3"/>
  <c r="E43" i="3" l="1"/>
  <c r="H43" i="3"/>
  <c r="M43" i="3" s="1"/>
  <c r="D44" i="3" l="1"/>
  <c r="L43" i="3"/>
  <c r="J43" i="3"/>
  <c r="F43" i="3"/>
  <c r="B43" i="3"/>
  <c r="I43" i="3"/>
  <c r="O44" i="3" l="1"/>
  <c r="E44" i="3"/>
  <c r="H44" i="3"/>
  <c r="M44" i="3" s="1"/>
  <c r="D45" i="3" l="1"/>
  <c r="O45" i="3" s="1"/>
  <c r="L44" i="3"/>
  <c r="N44" i="3"/>
  <c r="J44" i="3"/>
  <c r="B44" i="3"/>
  <c r="I44" i="3"/>
  <c r="F44" i="3"/>
  <c r="N45" i="3" l="1"/>
  <c r="H45" i="3"/>
  <c r="M45" i="3" s="1"/>
  <c r="E45" i="3"/>
  <c r="F45" i="3" l="1"/>
  <c r="I45" i="3"/>
  <c r="J45" i="3"/>
  <c r="B45" i="3"/>
  <c r="L45" i="3"/>
  <c r="D46" i="3"/>
  <c r="E46" i="3" l="1"/>
  <c r="H46" i="3"/>
  <c r="M46" i="3" s="1"/>
  <c r="O46" i="3"/>
  <c r="N46" i="3" s="1"/>
  <c r="J46" i="3" l="1"/>
  <c r="B46" i="3"/>
  <c r="F46" i="3"/>
  <c r="I46" i="3"/>
  <c r="D47" i="3"/>
  <c r="L46" i="3"/>
  <c r="O47" i="3" l="1"/>
  <c r="E47" i="3"/>
  <c r="H47" i="3"/>
  <c r="M47" i="3" s="1"/>
  <c r="N47" i="3" l="1"/>
  <c r="D48" i="3"/>
  <c r="L47" i="3"/>
  <c r="I47" i="3"/>
  <c r="J47" i="3"/>
  <c r="F47" i="3"/>
  <c r="B47" i="3"/>
  <c r="H48" i="3" l="1"/>
  <c r="M48" i="3" s="1"/>
  <c r="E48" i="3"/>
  <c r="O48" i="3"/>
  <c r="N48" i="3" l="1"/>
  <c r="D49" i="3"/>
  <c r="L48" i="3"/>
  <c r="B48" i="3"/>
  <c r="F48" i="3"/>
  <c r="I48" i="3"/>
  <c r="J48" i="3"/>
  <c r="E49" i="3" l="1"/>
  <c r="H49" i="3"/>
  <c r="M49" i="3" s="1"/>
  <c r="O49" i="3"/>
  <c r="F49" i="3" l="1"/>
  <c r="J49" i="3"/>
  <c r="B49" i="3"/>
  <c r="I49" i="3"/>
  <c r="N49" i="3"/>
  <c r="D50" i="3"/>
  <c r="L49" i="3"/>
  <c r="E50" i="3" l="1"/>
  <c r="H50" i="3"/>
  <c r="M50" i="3" s="1"/>
  <c r="O50" i="3"/>
  <c r="N50" i="3" s="1"/>
  <c r="B50" i="3" l="1"/>
  <c r="J50" i="3"/>
  <c r="F50" i="3"/>
  <c r="I50" i="3"/>
  <c r="L50" i="3"/>
  <c r="D51" i="3"/>
  <c r="O51" i="3" l="1"/>
  <c r="E51" i="3"/>
  <c r="H51" i="3"/>
  <c r="M51" i="3" s="1"/>
  <c r="N51" i="3" l="1"/>
  <c r="L51" i="3"/>
  <c r="D52" i="3"/>
  <c r="I51" i="3"/>
  <c r="F51" i="3"/>
  <c r="J51" i="3"/>
  <c r="B51" i="3"/>
  <c r="H52" i="3" l="1"/>
  <c r="M52" i="3" s="1"/>
  <c r="E52" i="3"/>
  <c r="O52" i="3"/>
  <c r="D53" i="3" l="1"/>
  <c r="O53" i="3" s="1"/>
  <c r="L52" i="3"/>
  <c r="N52" i="3"/>
  <c r="J52" i="3"/>
  <c r="B52" i="3"/>
  <c r="I52" i="3"/>
  <c r="F52" i="3"/>
  <c r="N53" i="3" l="1"/>
  <c r="H53" i="3"/>
  <c r="M53" i="3" s="1"/>
  <c r="E53" i="3"/>
  <c r="I53" i="3" l="1"/>
  <c r="B53" i="3"/>
  <c r="J53" i="3"/>
  <c r="F53" i="3"/>
  <c r="L53" i="3"/>
  <c r="D54" i="3"/>
  <c r="E54" i="3" l="1"/>
  <c r="H54" i="3"/>
  <c r="M54" i="3" s="1"/>
  <c r="O54" i="3"/>
  <c r="N54" i="3" s="1"/>
  <c r="J54" i="3" l="1"/>
  <c r="I54" i="3"/>
  <c r="B54" i="3"/>
  <c r="F54" i="3"/>
  <c r="L54" i="3"/>
  <c r="D55" i="3"/>
  <c r="O55" i="3" l="1"/>
  <c r="E55" i="3"/>
  <c r="H55" i="3"/>
  <c r="M55" i="3" s="1"/>
  <c r="N55" i="3" l="1"/>
  <c r="D56" i="3"/>
  <c r="L55" i="3"/>
  <c r="B55" i="3"/>
  <c r="I55" i="3"/>
  <c r="F55" i="3"/>
  <c r="J55" i="3"/>
  <c r="H56" i="3" l="1"/>
  <c r="M56" i="3" s="1"/>
  <c r="E56" i="3"/>
  <c r="O56" i="3"/>
  <c r="D57" i="3" l="1"/>
  <c r="O57" i="3" s="1"/>
  <c r="N57" i="3" s="1"/>
  <c r="L56" i="3"/>
  <c r="N56" i="3"/>
  <c r="J56" i="3"/>
  <c r="I56" i="3"/>
  <c r="F56" i="3"/>
  <c r="B56" i="3"/>
  <c r="H57" i="3" l="1"/>
  <c r="M57" i="3" s="1"/>
  <c r="E57" i="3"/>
  <c r="J57" i="3" l="1"/>
  <c r="F57" i="3"/>
  <c r="B57" i="3"/>
  <c r="I57" i="3"/>
  <c r="D58" i="3"/>
  <c r="L57" i="3"/>
  <c r="O58" i="3" l="1"/>
  <c r="E58" i="3"/>
  <c r="H58" i="3"/>
  <c r="M58" i="3" s="1"/>
  <c r="L58" i="3" l="1"/>
  <c r="D59" i="3"/>
  <c r="I58" i="3"/>
  <c r="B58" i="3"/>
  <c r="F58" i="3"/>
  <c r="J58" i="3"/>
  <c r="N58" i="3"/>
  <c r="E59" i="3" l="1"/>
  <c r="H59" i="3"/>
  <c r="M59" i="3" s="1"/>
  <c r="O59" i="3"/>
  <c r="N59" i="3" l="1"/>
  <c r="D60" i="3"/>
  <c r="O60" i="3" s="1"/>
  <c r="N60" i="3" s="1"/>
  <c r="L59" i="3"/>
  <c r="J59" i="3"/>
  <c r="B59" i="3"/>
  <c r="I59" i="3"/>
  <c r="F59" i="3"/>
  <c r="E60" i="3" l="1"/>
  <c r="H60" i="3"/>
  <c r="M60" i="3" s="1"/>
  <c r="L60" i="3" l="1"/>
  <c r="D61" i="3"/>
  <c r="I60" i="3"/>
  <c r="F60" i="3"/>
  <c r="B60" i="3"/>
  <c r="J60" i="3"/>
  <c r="O61" i="3" l="1"/>
  <c r="N61" i="3" s="1"/>
  <c r="E61" i="3"/>
  <c r="H61" i="3"/>
  <c r="M61" i="3" s="1"/>
  <c r="D62" i="3" l="1"/>
  <c r="L61" i="3"/>
  <c r="F61" i="3"/>
  <c r="B61" i="3"/>
  <c r="I61" i="3"/>
  <c r="J61" i="3"/>
  <c r="O62" i="3" l="1"/>
  <c r="H62" i="3"/>
  <c r="M62" i="3" s="1"/>
  <c r="E62" i="3"/>
  <c r="F62" i="3" l="1"/>
  <c r="I62" i="3"/>
  <c r="J62" i="3"/>
  <c r="B62" i="3"/>
  <c r="L62" i="3"/>
  <c r="D63" i="3"/>
  <c r="O63" i="3" s="1"/>
  <c r="N62" i="3"/>
  <c r="N63" i="3" l="1"/>
  <c r="E63" i="3"/>
  <c r="H63" i="3"/>
  <c r="M63" i="3" s="1"/>
  <c r="D64" i="3" l="1"/>
  <c r="L63" i="3"/>
  <c r="I63" i="3"/>
  <c r="B63" i="3"/>
  <c r="J63" i="3"/>
  <c r="F63" i="3"/>
  <c r="H64" i="3" l="1"/>
  <c r="M64" i="3" s="1"/>
  <c r="E64" i="3"/>
  <c r="O64" i="3"/>
  <c r="N64" i="3" s="1"/>
  <c r="J64" i="3" l="1"/>
  <c r="I64" i="3"/>
  <c r="B64" i="3"/>
  <c r="F64" i="3"/>
  <c r="D65" i="3"/>
  <c r="L64" i="3"/>
  <c r="O65" i="3" l="1"/>
  <c r="E65" i="3"/>
  <c r="H65" i="3"/>
  <c r="M65" i="3" s="1"/>
  <c r="L65" i="3" l="1"/>
  <c r="D66" i="3"/>
  <c r="O66" i="3" s="1"/>
  <c r="N66" i="3" s="1"/>
  <c r="J65" i="3"/>
  <c r="B65" i="3"/>
  <c r="I65" i="3"/>
  <c r="F65" i="3"/>
  <c r="N65" i="3"/>
  <c r="E66" i="3" l="1"/>
  <c r="H66" i="3"/>
  <c r="M66" i="3" s="1"/>
  <c r="L66" i="3" l="1"/>
  <c r="D67" i="3"/>
  <c r="J66" i="3"/>
  <c r="F66" i="3"/>
  <c r="I66" i="3"/>
  <c r="B66" i="3"/>
  <c r="E67" i="3" l="1"/>
  <c r="O67" i="3"/>
  <c r="H67" i="3"/>
  <c r="M67" i="3" s="1"/>
  <c r="L67" i="3" l="1"/>
  <c r="D68" i="3"/>
  <c r="O68" i="3" s="1"/>
  <c r="N67" i="3"/>
  <c r="J67" i="3"/>
  <c r="B67" i="3"/>
  <c r="I67" i="3"/>
  <c r="F67" i="3"/>
  <c r="N68" i="3" l="1"/>
  <c r="E68" i="3"/>
  <c r="H68" i="3"/>
  <c r="M68" i="3" s="1"/>
  <c r="L68" i="3" l="1"/>
  <c r="D69" i="3"/>
  <c r="I68" i="3"/>
  <c r="B68" i="3"/>
  <c r="J68" i="3"/>
  <c r="F68" i="3"/>
  <c r="E69" i="3" l="1"/>
  <c r="H69" i="3"/>
  <c r="M69" i="3" s="1"/>
  <c r="O69" i="3"/>
  <c r="N69" i="3" l="1"/>
  <c r="L69" i="3"/>
  <c r="D70" i="3"/>
  <c r="I69" i="3"/>
  <c r="J69" i="3"/>
  <c r="F69" i="3"/>
  <c r="B69" i="3"/>
  <c r="E70" i="3" l="1"/>
  <c r="H70" i="3"/>
  <c r="M70" i="3" s="1"/>
  <c r="O70" i="3"/>
  <c r="N70" i="3" l="1"/>
  <c r="L70" i="3"/>
  <c r="D71" i="3"/>
  <c r="J70" i="3"/>
  <c r="B70" i="3"/>
  <c r="I70" i="3"/>
  <c r="F70" i="3"/>
  <c r="D72" i="3" l="1"/>
  <c r="E71" i="3"/>
  <c r="H71" i="3"/>
  <c r="O71" i="3"/>
  <c r="N71" i="3" s="1"/>
  <c r="E72" i="3" l="1"/>
  <c r="J71" i="3"/>
  <c r="J72" i="3" s="1"/>
  <c r="F71" i="3"/>
  <c r="F72" i="3" s="1"/>
  <c r="I71" i="3"/>
  <c r="I72" i="3" s="1"/>
  <c r="B71" i="3"/>
  <c r="B72" i="3" s="1"/>
  <c r="M71" i="3"/>
  <c r="L71" i="3" s="1"/>
  <c r="H72" i="3"/>
</calcChain>
</file>

<file path=xl/sharedStrings.xml><?xml version="1.0" encoding="utf-8"?>
<sst xmlns="http://schemas.openxmlformats.org/spreadsheetml/2006/main" count="1231" uniqueCount="249">
  <si>
    <t>CONTRALORÍA GENERAL DE LA REPUBLICA</t>
  </si>
  <si>
    <t>UNIDAD DE COBRO COACTIVO</t>
  </si>
  <si>
    <t>LIQUIDACIÓN CRÉDITO Y COSTAS</t>
  </si>
  <si>
    <t>GERENCIA DEPARTAMENTAL COLEGIADA  ___________________</t>
  </si>
  <si>
    <t xml:space="preserve">PROCESO No. </t>
  </si>
  <si>
    <t>EJECUTADO:</t>
  </si>
  <si>
    <t>PORCENTAJE DE INTERESES</t>
  </si>
  <si>
    <t>TOTALES A COBRAR</t>
  </si>
  <si>
    <t>CAPITAL:</t>
  </si>
  <si>
    <t>CAPITAL</t>
  </si>
  <si>
    <t>FECHA DE EJECUTORIA</t>
  </si>
  <si>
    <t>INTERESES MORATORIOS</t>
  </si>
  <si>
    <t>COSTAS:</t>
  </si>
  <si>
    <t>COSTAS</t>
  </si>
  <si>
    <t>FECHA INICIAL DE LIQUIDACIÓN</t>
  </si>
  <si>
    <t>TOTAL A PAGAR</t>
  </si>
  <si>
    <t>FECHA FINAL DE LIQUIDACIÓN</t>
  </si>
  <si>
    <t>BANCO POPULAR CUENTA No. 050-00119-7 A FAVOR DEL TESORO NACIONAL</t>
  </si>
  <si>
    <t xml:space="preserve">VALOR TITULO EJJECUTIVO PROCESO </t>
  </si>
  <si>
    <t>SALDO CAPITAL PROCESO EJECUTADOS</t>
  </si>
  <si>
    <t>GERENCIA DEPARTAMENTAL COLEGIADA _________________________</t>
  </si>
  <si>
    <t>DCC1-180 PRF 2019-00582</t>
  </si>
  <si>
    <t>GIOVANNI FRANCISCO GOMEZ SANCHEZ C.C. 79.856.702 Y RIVEROS BELTRAN PASIENTE C.C. 13.748.679</t>
  </si>
  <si>
    <t>INTERES A COBRAR</t>
  </si>
  <si>
    <t>FECHA INICIAL PARA LIQUIDAR</t>
  </si>
  <si>
    <t>FECHA DEL PAGO</t>
  </si>
  <si>
    <t>VALOR DEL PAGO</t>
  </si>
  <si>
    <t>SALDO A CAPITAL</t>
  </si>
  <si>
    <t>ABONO A CAPITAL</t>
  </si>
  <si>
    <t>ABONO INTERESES</t>
  </si>
  <si>
    <t>No.Dias</t>
  </si>
  <si>
    <t>INTERESES CAUSADOS</t>
  </si>
  <si>
    <t>SALDO A PAGAR</t>
  </si>
  <si>
    <t>TOTALES</t>
  </si>
  <si>
    <t>INTERESES</t>
  </si>
  <si>
    <t>TOTAL</t>
  </si>
  <si>
    <t>VALOR TITULO EJJECUTIVO PROCESO,</t>
  </si>
  <si>
    <t>MARCELA PEÑALOZA CRUZ</t>
  </si>
  <si>
    <t>Funcionario de la UCC-CGR de Apoyo a las Liuqidaciones de la DCC1</t>
  </si>
  <si>
    <t>Abogado Sustanciador</t>
  </si>
  <si>
    <t>PRF 2019-00582</t>
  </si>
  <si>
    <t>GONZALEZ OREJUELA HERNAN MAURICIO C.C. 94.448.427 Y RIVROS BELTRAN PASIENTE C.C. 13.748.679</t>
  </si>
  <si>
    <t>CATILLO PUSEY JUAN CARLOS C.C. 18.009.085 Y RIVROS BELTRAN PASIENTE C.C. 13.748.679</t>
  </si>
  <si>
    <t>UNIDA DE COBRO COACTIVO</t>
  </si>
  <si>
    <t>ACUERDO DE PAGO</t>
  </si>
  <si>
    <t>GERENCIA DEPARTAMENTAL COLEGIADA ______________________________</t>
  </si>
  <si>
    <t>No. PROCESO</t>
  </si>
  <si>
    <t>EJECUTADO</t>
  </si>
  <si>
    <t>FECHA EJECUTORIA</t>
  </si>
  <si>
    <t>INTERES</t>
  </si>
  <si>
    <t>Interés:</t>
  </si>
  <si>
    <t>CUOTAS</t>
  </si>
  <si>
    <t>No. Cuotas:</t>
  </si>
  <si>
    <t>INTERES MORATORIO</t>
  </si>
  <si>
    <t>Fecha Liquidación</t>
  </si>
  <si>
    <t>Costas</t>
  </si>
  <si>
    <t>Tabla de Amortización</t>
  </si>
  <si>
    <t>Fecha pago Cuota</t>
  </si>
  <si>
    <t>Intereses de Financiacion</t>
  </si>
  <si>
    <t>Intereses moratorios</t>
  </si>
  <si>
    <t>Amortizacion a Capital</t>
  </si>
  <si>
    <t>Vr Cuota</t>
  </si>
  <si>
    <t>Saldo de  Capital</t>
  </si>
  <si>
    <t>Saldo Deuda</t>
  </si>
  <si>
    <t>No. CUOTAS</t>
  </si>
  <si>
    <t xml:space="preserve">, </t>
  </si>
  <si>
    <t>BANCO DE BOGOTA CUENTA N° 000-78377-9  A FAVOR DEL FONDO DE BIENESTAR SOCIAL DE LA G.G.R.</t>
  </si>
  <si>
    <t>Coordinador de Gestión</t>
  </si>
  <si>
    <t>Funcionario Liquidador</t>
  </si>
  <si>
    <t>LIQUIDACIÓN CRÉDITO Y COSTAS CON INTERES CORRIENTE BANCARIO</t>
  </si>
  <si>
    <t>DIRECCION DE COBRO COACTIVO 1</t>
  </si>
  <si>
    <t>DCC1-180PRF 2019-00582</t>
  </si>
  <si>
    <t>QBE SEGUROS S.A. HOY ZURICH DE COLOMBIA SEGUROS S.A.</t>
  </si>
  <si>
    <t>POLIZA No. 92100001578, MANEJO PARA  ENTIDADES  OFICIALES</t>
  </si>
  <si>
    <t>INTERESES A COBRAR*</t>
  </si>
  <si>
    <t xml:space="preserve">ABONO A CAPITAL </t>
  </si>
  <si>
    <t>Abono Intereses Con F</t>
  </si>
  <si>
    <t>No. Dias Con F</t>
  </si>
  <si>
    <t xml:space="preserve">DEDUCIBLE  </t>
  </si>
  <si>
    <t>COASEGURO 21,5%</t>
  </si>
  <si>
    <t>NETO POLIZA A CANCELAR</t>
  </si>
  <si>
    <t>SALDO A CANCELAR</t>
  </si>
  <si>
    <t>POLIZA No. 705407957, MANEJO PARA  ENTIDADES  OFICIALES</t>
  </si>
  <si>
    <t>POLIZA No. 706237136, MANEJO PARA  ENTIDADES  OFICIALES</t>
  </si>
  <si>
    <t>MAFRE SEGUROS GENERALES DE COLOMBIA S.A.</t>
  </si>
  <si>
    <t>DEDUCIBLE  %</t>
  </si>
  <si>
    <t>COASEGURO 12%</t>
  </si>
  <si>
    <t>ALLIANZ SEGUROS S.A.</t>
  </si>
  <si>
    <t>AXA COLPATRIA</t>
  </si>
  <si>
    <t>ASEGURADORA LA PREVISORA S.A.</t>
  </si>
  <si>
    <t>FORMATO SOLICITUD PARA APOYO LIQUIDACIÓN  - DEUDORES</t>
  </si>
  <si>
    <t>NÚMERO  PROCESO DE COBRO</t>
  </si>
  <si>
    <t>TIPO DE TÍTULO</t>
  </si>
  <si>
    <t>TIPO DE OBLIGACIÓN</t>
  </si>
  <si>
    <t>TASA DE INTERÉS</t>
  </si>
  <si>
    <t>(Seleccione y marque con X)</t>
  </si>
  <si>
    <t xml:space="preserve"> (Seleccione y marque con X)</t>
  </si>
  <si>
    <t>Fallo con resp. Fiscal</t>
  </si>
  <si>
    <t>X</t>
  </si>
  <si>
    <t>Solidaria</t>
  </si>
  <si>
    <t>Sentencias (costas judiciales)</t>
  </si>
  <si>
    <t>Reintegros (Inherentes a T.H.)</t>
  </si>
  <si>
    <t>Tarifa Fiscal</t>
  </si>
  <si>
    <t>Individual</t>
  </si>
  <si>
    <t>Otros (especificar)</t>
  </si>
  <si>
    <t>Multas sancionatorías fiscales</t>
  </si>
  <si>
    <t>Conjunta</t>
  </si>
  <si>
    <t>INTERÉS CTE. BANCARIO AUMENTADO EN EL 50%</t>
  </si>
  <si>
    <t>Multas disciplinarias</t>
  </si>
  <si>
    <t>NOMBRE EJECUTADOS</t>
  </si>
  <si>
    <t>NÚMERO IDENTIFICACIÓN C.C. Y/O NIT</t>
  </si>
  <si>
    <t xml:space="preserve">CAPITAL OBLIGACIÓN PARA CADA EJECUTADO </t>
  </si>
  <si>
    <r>
      <t xml:space="preserve">FECHA DE INICIO DE LIQUIDACIÓN Y/O EJECUTORÍA </t>
    </r>
    <r>
      <rPr>
        <b/>
        <sz val="10"/>
        <color rgb="FFFF0000"/>
        <rFont val="Arial"/>
        <family val="2"/>
      </rPr>
      <t>(DD/MM/AA)</t>
    </r>
  </si>
  <si>
    <r>
      <t xml:space="preserve">FECHA FINAL DE CORTE PARA LIQUIDACIÓN </t>
    </r>
    <r>
      <rPr>
        <b/>
        <sz val="10"/>
        <color rgb="FFFF0000"/>
        <rFont val="Arial"/>
        <family val="2"/>
      </rPr>
      <t>(DD/MM/AA)</t>
    </r>
  </si>
  <si>
    <r>
      <t xml:space="preserve">ACUERDO DE PAGO </t>
    </r>
    <r>
      <rPr>
        <b/>
        <sz val="10"/>
        <color rgb="FFFF0000"/>
        <rFont val="Arial"/>
        <family val="2"/>
      </rPr>
      <t>(INFORMO APLICA O N/A)</t>
    </r>
  </si>
  <si>
    <t>No. DE CUOTAS SI SE TRATA DE ACUERDO DE PAGO</t>
  </si>
  <si>
    <t>PAGOS ANTES DE AVOCAR CONOCIMIENTO</t>
  </si>
  <si>
    <r>
      <t xml:space="preserve">PAGOS (Valor Pagado) </t>
    </r>
    <r>
      <rPr>
        <b/>
        <sz val="10"/>
        <color rgb="FFFF0000"/>
        <rFont val="Arial"/>
        <family val="2"/>
      </rPr>
      <t>Favor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 xml:space="preserve">adjuntar  soportes de pago </t>
    </r>
  </si>
  <si>
    <r>
      <t>FECHA DEL PAGO</t>
    </r>
    <r>
      <rPr>
        <b/>
        <sz val="10"/>
        <color rgb="FFFF0000"/>
        <rFont val="Arial"/>
        <family val="2"/>
      </rPr>
      <t xml:space="preserve"> (DD/MM/AA)</t>
    </r>
  </si>
  <si>
    <t>GIOVANNI FRANCISCO GOMEZ SANCHEZ</t>
  </si>
  <si>
    <t>RIVEROS BELTRAN PASIENTE</t>
  </si>
  <si>
    <t>GONZALEZ OREJUELA HERNAN MAURICIO</t>
  </si>
  <si>
    <t>CASTILLO PUSEY JUAN CARLOS</t>
  </si>
  <si>
    <t>TOTAL CAPITAL OBLIGACIÓN</t>
  </si>
  <si>
    <t xml:space="preserve">DATOS ASEGURADORA </t>
  </si>
  <si>
    <t>NOMBRE ASEGURADORA</t>
  </si>
  <si>
    <t>NÚMERO DE PÓLIZA</t>
  </si>
  <si>
    <t xml:space="preserve">NOMBRE COBERTURA. OBJETO DE AMPARO </t>
  </si>
  <si>
    <t>MONTO ASEGURADO</t>
  </si>
  <si>
    <t>DEDUCIBLE</t>
  </si>
  <si>
    <t>COASEGURO</t>
  </si>
  <si>
    <t>PORCENTAJE DE PARTICIPACIÓN COASEGURO</t>
  </si>
  <si>
    <t>%</t>
  </si>
  <si>
    <r>
      <t xml:space="preserve"> </t>
    </r>
    <r>
      <rPr>
        <b/>
        <sz val="10"/>
        <color rgb="FFFF0000"/>
        <rFont val="Arial"/>
        <family val="2"/>
      </rPr>
      <t>(Si tiene coaseguro establezca el porcentaje de participación de c/u.)</t>
    </r>
  </si>
  <si>
    <t>PAGOS (VALOR PAGADO)</t>
  </si>
  <si>
    <t>NOMBRE EJECUTADO A QUIEN SE DEBE RECONOCER EL PAGO ASEGURADORA</t>
  </si>
  <si>
    <t>QBE SEGUROS S.A hoy ZURICH COLOMBIA SEGUROS S.A</t>
  </si>
  <si>
    <t>Manejo para entidades oficiales</t>
  </si>
  <si>
    <t>21.5</t>
  </si>
  <si>
    <t>MAPFRE SEGUROS GENERALES DE COLOMBIA S.A</t>
  </si>
  <si>
    <t>ALLIANZ SEGUROS S.A</t>
  </si>
  <si>
    <t>22.5</t>
  </si>
  <si>
    <t>AXA COLPATRIA SEGUROS S.A</t>
  </si>
  <si>
    <t>LA PREVISORA S.A</t>
  </si>
  <si>
    <t>NOMBRE Y/O FIRMA ABOGADO SUSTANCIADOR SOLICITANTE</t>
  </si>
  <si>
    <t>COASEGURO 21,5000039%</t>
  </si>
  <si>
    <t>COASEGURO 22,4999997%</t>
  </si>
  <si>
    <t>COASEGURO 11,9999967%</t>
  </si>
  <si>
    <t>MENOS VALOR CANCELADO COMP. PAGO No. 285657 del 20-09-2024</t>
  </si>
  <si>
    <t>SALDO DEUDA ASEGURADORA</t>
  </si>
  <si>
    <t>SALDO ADEUDADO ASEGURADORA</t>
  </si>
  <si>
    <t>MENOS PAGO REALIZADO ASEGURADORA LA PREVISORA CON COM. PAGO No. 3154361 del 03-10-2024 B/POP.</t>
  </si>
  <si>
    <t>SALDO ASEGURADORA LA PREVISORA POL. #92100001578</t>
  </si>
  <si>
    <t>PAGO SEGÚN COMP. DE PAGO B/CO POPULAR No. SIIF 12957724  del 24-09-2024 ASEGURADORA ZURICH</t>
  </si>
  <si>
    <t>MAYOR VALOR RECAUDADO</t>
  </si>
  <si>
    <t>SALDO PAGO DE MAS EN LA POLIZA No-92100001578, MANEJO PARA  ENTIDADES  OFICIALES</t>
  </si>
  <si>
    <t>MENOS PAGO SALDO CAPITAL POLIZA No. 705407957</t>
  </si>
  <si>
    <t>SALDO DISPONIBLE DESPUES DE DESCONTAR LA POLIZA No. 705407957</t>
  </si>
  <si>
    <t>NOTA: EL SALDO POR MAYOR VALOR RECAUDO DE $85.506.181,40 DE LA ASEGURADORA ALLIANZ COLOMBIA SEGUROS S.A. POLIZA No. 92100001578 POR MANEJO PARA ENTIDADES OFICIALES, SERA DISTRIBUDO EN LAS POLIZAS, NROS. 705407957 Y 706237136</t>
  </si>
  <si>
    <t>MENOS PAGO ASEGURADORA MAFRE SEGUROS No. Proceso 8177951 FECHA 29-10-2024DAVIVIENDA AL BCO POPULAR</t>
  </si>
  <si>
    <t xml:space="preserve">TOTAL </t>
  </si>
  <si>
    <t>PAGO SEGÚN COMP. DE PAGO B/CO POPULAR No. SIIF 12957924  del 24-09-2024 ASEGURADORA ZURICH</t>
  </si>
  <si>
    <t>MENOS VALOR PAGADO, COMP. PAGO No. 3100676 BCO/POP. DEL 20-09-2024</t>
  </si>
  <si>
    <t>MAYOR VALOR CANCELADO</t>
  </si>
  <si>
    <t>MENOS VALOR PAGADO, COMP. PAGO No. 3100675 BCO/POP. DEL 20-09-2024</t>
  </si>
  <si>
    <t>NETO DEVOLUCIÓN PAGO POR PARTE DE ALLIANZ SEGUROS</t>
  </si>
  <si>
    <t>MENOS VALOR PAGADO, COMP. PAGO No. 3100660 BCO/POP. DEL 20-09-2024</t>
  </si>
  <si>
    <t>MENOS VALOR PAGADO, COMP. PAGO No. 3100674 BCO/POP. DEL 20-09-2024</t>
  </si>
  <si>
    <t>MENOS VALORM PAGADO COMP. PAGOS 3100675 Y 3100676 DEL BCO POP. DEL 20-09-2024</t>
  </si>
  <si>
    <t>VALOR ACTUALIZADO Y A CANCELAR A FECHA 22-11-2024, POLIZA No. 706237136</t>
  </si>
  <si>
    <t>MENOS DEDUCIBLE 4%</t>
  </si>
  <si>
    <t>SALDO CAPITAL A CANCELAR POLIZA No. 92100001578, MANEJO PARA  ENTIDADES  OFICIALES</t>
  </si>
  <si>
    <t xml:space="preserve">MENOS VALOR CANCELADO COMP. PAGO No. </t>
  </si>
  <si>
    <t>SALDO ACTUALIZADO Y A CANCELAR A FECHA 30-11-2024</t>
  </si>
  <si>
    <t>SALDO CAPITAL A CANCELAR POLIZA No. 705407957, MANEJO PARA  ENTIDADES  OFICIALES</t>
  </si>
  <si>
    <t>SALDO CAPITAL A CANCELAR POLIZA No. 706237136, MANEJO PARA  ENTIDADES  OFICIALES</t>
  </si>
  <si>
    <t>SOLICITUD LIQUIDACION PROCESO DCC1-180</t>
  </si>
  <si>
    <t>MC</t>
  </si>
  <si>
    <t></t>
  </si>
  <si>
    <t>Marcela Penaloza Cruz (CGR)</t>
  </si>
  <si>
    <t></t>
  </si>
  <si>
    <r>
      <t></t>
    </r>
    <r>
      <rPr>
        <sz val="11"/>
        <color rgb="FF424242"/>
        <rFont val="Inherit"/>
      </rPr>
      <t>Responder</t>
    </r>
  </si>
  <si>
    <r>
      <t></t>
    </r>
    <r>
      <rPr>
        <sz val="11"/>
        <color rgb="FF424242"/>
        <rFont val="Inherit"/>
      </rPr>
      <t>Responder a todos</t>
    </r>
  </si>
  <si>
    <r>
      <t></t>
    </r>
    <r>
      <rPr>
        <sz val="11"/>
        <color rgb="FF424242"/>
        <rFont val="Inherit"/>
      </rPr>
      <t>Reenviar</t>
    </r>
  </si>
  <si>
    <t></t>
  </si>
  <si>
    <t></t>
  </si>
  <si>
    <t>Para:​</t>
  </si>
  <si>
    <t></t>
  </si>
  <si>
    <t>Jaime Edilberto Rodriguez Nunez (CGR)​</t>
  </si>
  <si>
    <t>CC:​</t>
  </si>
  <si>
    <t>Jaime Ricardo Poveda Castillo (CGR)​</t>
  </si>
  <si>
    <t>Mié 20/11/2024 10:57 AM</t>
  </si>
  <si>
    <t>Jaimito ,</t>
  </si>
  <si>
    <t>Te solicito por favor actualizar la liquidación de los pagos de  AXA COLPATRIA  con esta información:</t>
  </si>
  <si>
    <t>VALOR TOTAL CANCELADO:  $  468.357.572 </t>
  </si>
  <si>
    <t>Distribuidos así :  </t>
  </si>
  <si>
    <t>POLIZA N° 1578</t>
  </si>
  <si>
    <t>Valor $ 800.000.000</t>
  </si>
  <si>
    <t>Porcentaje  en el coaseguro :   22.4999999%</t>
  </si>
  <si>
    <t>El valor asegurado es $ 800 millones pero el valor del daño es menor , entonces ellos toman el valor del daño por $ 705.875.731  y a ese le calculan el  porcentaje del Coaseguro del 22.5 % y un deducible del 4 %</t>
  </si>
  <si>
    <r>
      <t>De ahí, reportan pago por valor de</t>
    </r>
    <r>
      <rPr>
        <b/>
        <sz val="14"/>
        <color rgb="FF000000"/>
        <rFont val="Inherit"/>
      </rPr>
      <t> $ 152.469.158 </t>
    </r>
    <r>
      <rPr>
        <sz val="12"/>
        <color rgb="FF000000"/>
        <rFont val="Inherit"/>
      </rPr>
      <t>por la póliza 1578 Vigencia 2013</t>
    </r>
  </si>
  <si>
    <t>El valor asegurado de la póliza 1578 vigencia 2014 se encuentra agotado por pago en el PRF-1087.</t>
  </si>
  <si>
    <t>POLIZA N° 7957</t>
  </si>
  <si>
    <t>Valor asegurado $  1.000.000.000</t>
  </si>
  <si>
    <t>Porcentaje en el coaseguro :  22.499999%</t>
  </si>
  <si>
    <r>
      <t>Aqui tambien toman el valor del daño que es de $ 976.152.384 y le sacan el  22.5 % y reportan un valor pagado de </t>
    </r>
    <r>
      <rPr>
        <b/>
        <sz val="14"/>
        <color rgb="FF000000"/>
        <rFont val="Inherit"/>
      </rPr>
      <t> $  219.634.286 </t>
    </r>
    <r>
      <rPr>
        <sz val="12"/>
        <color rgb="FF000000"/>
        <rFont val="Inherit"/>
      </rPr>
      <t> en esta póliza </t>
    </r>
  </si>
  <si>
    <t>POLIZA N° 7136</t>
  </si>
  <si>
    <t>Valor asegurado :   1.000.000.000</t>
  </si>
  <si>
    <t>Porcentaje en el coaseguro :  22.49999 %</t>
  </si>
  <si>
    <t>En este  pago tambien toman el valor del daño,( por ser menor que el valor asegurado)  de $ 427.796.127</t>
  </si>
  <si>
    <r>
      <t>A este valor le sacan el 22.5 %  de su porcentaje en el coaseguro y les arroja  un valor a pagar de </t>
    </r>
    <r>
      <rPr>
        <b/>
        <sz val="14"/>
        <color rgb="FF000000"/>
        <rFont val="Inherit"/>
      </rPr>
      <t>$  96.254.128</t>
    </r>
  </si>
  <si>
    <t>ESTOS 3 pagos suman los $ 468.357.572  consignados por AXA el  20 de septiembre de 2024.</t>
  </si>
  <si>
    <t>Gracias,</t>
  </si>
  <si>
    <t>Marcela</t>
  </si>
  <si>
    <t>Mié 20/11/2024 2:14 PM</t>
  </si>
  <si>
    <t>Jaimito buenas tardes,</t>
  </si>
  <si>
    <t>Te solicito por favor actualizar la liquidación para LA PREVISORA  del proceso DCC1-180   con los siguientes datos:</t>
  </si>
  <si>
    <r>
      <t>Teniendo en cuenta  que la PREVISORA tiene un porcentaje del </t>
    </r>
    <r>
      <rPr>
        <b/>
        <sz val="12"/>
        <color rgb="FF000000"/>
        <rFont val="Aptos"/>
        <family val="2"/>
      </rPr>
      <t>21.5 %</t>
    </r>
    <r>
      <rPr>
        <sz val="12"/>
        <color rgb="FF000000"/>
        <rFont val="Aptos"/>
        <family val="2"/>
      </rPr>
      <t> en el Coaseguro, los valores asegurados en cada póliza y los pagos quedan así:</t>
    </r>
  </si>
  <si>
    <t>POLIZA  N° 1578:</t>
  </si>
  <si>
    <t> Valor asegurado:  $  172.000.000</t>
  </si>
  <si>
    <t>Esta póliza estuvo afectada por un pago al proceso DCC1-090 y quedó un SALDO disponible de : $ 26.477.462</t>
  </si>
  <si>
    <r>
      <t>A ese valor de $ 26.477.462  le aplicaron el deducible del 4 % y quedó un SALDO disponible de</t>
    </r>
    <r>
      <rPr>
        <b/>
        <sz val="14"/>
        <color rgb="FF000000"/>
        <rFont val="Inherit"/>
      </rPr>
      <t> $ 25.418.363,52 </t>
    </r>
    <r>
      <rPr>
        <sz val="12"/>
        <color rgb="FF000000"/>
        <rFont val="Inherit"/>
      </rPr>
      <t> que fue pagado en la póliza N° 1578</t>
    </r>
  </si>
  <si>
    <t>POLIZA  N°  7957:  </t>
  </si>
  <si>
    <t>Valor asegurado:  $ 215.000.000</t>
  </si>
  <si>
    <r>
      <t>En esta póliza se pagó el valor completo de </t>
    </r>
    <r>
      <rPr>
        <b/>
        <sz val="14"/>
        <color rgb="FF000000"/>
        <rFont val="Inherit"/>
      </rPr>
      <t>$ 215.000.039</t>
    </r>
  </si>
  <si>
    <t>POLIZA N°  7136:</t>
  </si>
  <si>
    <t>Valor asegurado :  $  215.000.000</t>
  </si>
  <si>
    <r>
      <t>Esta póliza estuvo afectada por pagos anteriores y quedó un SALDO disponible de</t>
    </r>
    <r>
      <rPr>
        <b/>
        <sz val="14"/>
        <color rgb="FF000000"/>
        <rFont val="Inherit"/>
      </rPr>
      <t> $  213.481.121 </t>
    </r>
    <r>
      <rPr>
        <sz val="12"/>
        <color rgb="FF000000"/>
        <rFont val="Inherit"/>
      </rPr>
      <t> , valor que fue pagado en la póliza N° 7136</t>
    </r>
  </si>
  <si>
    <r>
      <t>La suma de estos tres pagos   corresponde al valor total cancelado de </t>
    </r>
    <r>
      <rPr>
        <b/>
        <sz val="14"/>
        <color rgb="FF000000"/>
        <rFont val="Inherit"/>
      </rPr>
      <t> $  453.899.523,52</t>
    </r>
  </si>
  <si>
    <t>SALDO DISPONIBLE DESPUES DESCUENTO PAGO PROCESO DCC1-090</t>
  </si>
  <si>
    <t>DEDUCIBLE 4%</t>
  </si>
  <si>
    <t>SALDO CANCELAR PAGO</t>
  </si>
  <si>
    <t>SALDO ACTUALIZADO Y A CANCELAR A FECHA 29-11-2024</t>
  </si>
  <si>
    <t>POLIZA No. #705407957, MANEJO PARA  ENTIDADES  OFICIALES</t>
  </si>
  <si>
    <t>POLIZA No. #706237136, MANEJO PARA  ENTIDADES  OFICIALES</t>
  </si>
  <si>
    <t>Abogado Sustanciadora</t>
  </si>
  <si>
    <t>Abogada Sustanciadora</t>
  </si>
  <si>
    <t>PAGO AGOTADO EN PROCESO DCC1-090</t>
  </si>
  <si>
    <t>VALOR POLIZA A CANCELAR POR CAPITAL</t>
  </si>
  <si>
    <t>VALOR TOTAL A CANCELAR 22/11/2024</t>
  </si>
  <si>
    <t>Pago 1578</t>
  </si>
  <si>
    <t>Pago 7957</t>
  </si>
  <si>
    <t>Pago 7136</t>
  </si>
  <si>
    <t>Pagado</t>
  </si>
  <si>
    <t>SALDO DEUDA ASEGURADORA CAPITAL</t>
  </si>
  <si>
    <t>SALDO AGOTADO EN EL PROCESO DCC1-090</t>
  </si>
  <si>
    <t>POLIZA AGOTADA EN PROCESO DCC1-090</t>
  </si>
  <si>
    <t>SALDO ASEGURADORA LA PREVISORA CAPITAL</t>
  </si>
  <si>
    <t>SALDO ASEGURADORA LA PREVISORA 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</si>
</sst>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\ #,##0;[Red]\-&quot;$&quot;\ #,##0"/>
    <numFmt numFmtId="8" formatCode="&quot;$&quot;\ #,##0.00;[Red]\-&quot;$&quot;\ #,##0.00"/>
    <numFmt numFmtId="43" formatCode="_-* #,##0.00_-;\-* #,##0.00_-;_-* &quot;-&quot;??_-;_-@_-"/>
    <numFmt numFmtId="164" formatCode="_ * #,##0_ ;_ * \-#,##0_ ;_ * &quot;-&quot;_ ;_ @_ 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 * #,##0_ ;_ * \-#,##0_ ;_ * &quot;-&quot;??_ ;_ @_ "/>
    <numFmt numFmtId="168" formatCode="_ * #,##0.00_ ;_ * \-#,##0.00_ ;_ * &quot;-&quot;_ ;_ @_ "/>
    <numFmt numFmtId="169" formatCode="General_)"/>
    <numFmt numFmtId="170" formatCode="_-&quot;$&quot;* #,##0.00_-;\-&quot;$&quot;* #,##0.00_-;_-&quot;$&quot;* &quot;-&quot;??_-;_-@_-"/>
    <numFmt numFmtId="171" formatCode="&quot;$&quot;\ #,##0.00"/>
    <numFmt numFmtId="172" formatCode="_ * #,##0.0_ ;_ * \-#,##0.0_ ;_ * &quot;-&quot;_ ;_ @_ "/>
    <numFmt numFmtId="173" formatCode="_ * #,##0.000_ ;_ * \-#,##0.000_ ;_ * &quot;-&quot;_ ;_ @_ "/>
    <numFmt numFmtId="174" formatCode="_ * #,##0.000_ ;_ * \-#,##0.000_ ;_ * &quot;-&quot;??_ ;_ @_ "/>
    <numFmt numFmtId="175" formatCode="_-* #,##0.000_-;\-* #,##0.000_-;_-* &quot;-&quot;???_-;_-@_-"/>
    <numFmt numFmtId="176" formatCode="_-* #,##0.000_-;\-* #,##0.000_-;_-* &quot;-&quot;??_-;_-@_-"/>
  </numFmts>
  <fonts count="5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Century Gothic"/>
      <family val="2"/>
    </font>
    <font>
      <b/>
      <sz val="14"/>
      <name val="Century Gothic"/>
      <family val="2"/>
    </font>
    <font>
      <b/>
      <sz val="10"/>
      <name val="Century Gothic"/>
      <family val="2"/>
    </font>
    <font>
      <b/>
      <sz val="12"/>
      <name val="Century Gothic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4"/>
      <name val="Arial"/>
      <family val="2"/>
    </font>
    <font>
      <sz val="10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0"/>
      <color rgb="FFFFFF00"/>
      <name val="Century Gothic"/>
      <family val="2"/>
    </font>
    <font>
      <b/>
      <sz val="10"/>
      <color theme="5" tint="-0.249977111117893"/>
      <name val="Century Gothic"/>
      <family val="2"/>
    </font>
    <font>
      <b/>
      <sz val="12"/>
      <color rgb="FFFFFF00"/>
      <name val="Century Gothic"/>
      <family val="2"/>
    </font>
    <font>
      <sz val="10"/>
      <name val="Arial"/>
      <family val="2"/>
    </font>
    <font>
      <sz val="12"/>
      <name val="Helv"/>
    </font>
    <font>
      <sz val="10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FF0000"/>
      <name val="Arial"/>
      <family val="2"/>
    </font>
    <font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b/>
      <sz val="12"/>
      <color rgb="FF000000"/>
      <name val="Arial"/>
      <family val="2"/>
    </font>
    <font>
      <b/>
      <sz val="16"/>
      <name val="Arial"/>
      <family val="2"/>
    </font>
    <font>
      <sz val="10"/>
      <color theme="1"/>
      <name val="Arial"/>
      <family val="2"/>
    </font>
    <font>
      <sz val="11"/>
      <color rgb="FF424242"/>
      <name val="Segoe UI"/>
      <family val="2"/>
    </font>
    <font>
      <sz val="12"/>
      <color rgb="FF424242"/>
      <name val="Inherit"/>
    </font>
    <font>
      <sz val="11"/>
      <color rgb="FF424242"/>
      <name val="Inherit"/>
    </font>
    <font>
      <sz val="9"/>
      <color rgb="FF424242"/>
      <name val="FluentSystemIconsRegular"/>
    </font>
    <font>
      <sz val="15"/>
      <color rgb="FF424242"/>
      <name val="FluentSystemIcons"/>
    </font>
    <font>
      <sz val="15"/>
      <color rgb="FF0078D4"/>
      <name val="FluentSystemIcons"/>
    </font>
    <font>
      <sz val="9"/>
      <color rgb="FF424242"/>
      <name val="Inherit"/>
    </font>
    <font>
      <sz val="9"/>
      <color rgb="FF424242"/>
      <name val="FluentSystemIconsFilled"/>
    </font>
    <font>
      <sz val="12"/>
      <color rgb="FF000000"/>
      <name val="Aptos"/>
      <family val="2"/>
    </font>
    <font>
      <b/>
      <sz val="14"/>
      <color rgb="FF000000"/>
      <name val="Aptos"/>
      <family val="2"/>
    </font>
    <font>
      <b/>
      <sz val="12"/>
      <color rgb="FF000000"/>
      <name val="Aptos"/>
      <family val="2"/>
    </font>
    <font>
      <sz val="12"/>
      <color rgb="FF000000"/>
      <name val="Inherit"/>
    </font>
    <font>
      <b/>
      <sz val="14"/>
      <color rgb="FF000000"/>
      <name val="Inherit"/>
    </font>
  </fonts>
  <fills count="1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D6DCE4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8EA9DB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4">
    <xf numFmtId="0" fontId="0" fillId="0" borderId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25" fillId="0" borderId="0" applyFont="0" applyFill="0" applyBorder="0" applyAlignment="0" applyProtection="0"/>
    <xf numFmtId="169" fontId="26" fillId="0" borderId="0"/>
    <xf numFmtId="0" fontId="21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6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32">
    <xf numFmtId="0" fontId="0" fillId="0" borderId="0" xfId="0"/>
    <xf numFmtId="0" fontId="4" fillId="0" borderId="0" xfId="0" applyFont="1"/>
    <xf numFmtId="9" fontId="0" fillId="0" borderId="0" xfId="0" applyNumberFormat="1"/>
    <xf numFmtId="166" fontId="0" fillId="0" borderId="0" xfId="1" applyFont="1"/>
    <xf numFmtId="14" fontId="0" fillId="0" borderId="0" xfId="0" applyNumberFormat="1"/>
    <xf numFmtId="166" fontId="0" fillId="0" borderId="1" xfId="1" applyFont="1" applyBorder="1"/>
    <xf numFmtId="166" fontId="0" fillId="2" borderId="1" xfId="1" applyFont="1" applyFill="1" applyBorder="1"/>
    <xf numFmtId="167" fontId="0" fillId="0" borderId="1" xfId="1" applyNumberFormat="1" applyFont="1" applyBorder="1"/>
    <xf numFmtId="0" fontId="0" fillId="0" borderId="0" xfId="0" applyAlignment="1">
      <alignment horizontal="left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9" fontId="0" fillId="2" borderId="6" xfId="0" applyNumberFormat="1" applyFill="1" applyBorder="1"/>
    <xf numFmtId="166" fontId="0" fillId="2" borderId="6" xfId="1" applyFont="1" applyFill="1" applyBorder="1"/>
    <xf numFmtId="14" fontId="0" fillId="2" borderId="0" xfId="0" applyNumberFormat="1" applyFill="1"/>
    <xf numFmtId="9" fontId="0" fillId="2" borderId="0" xfId="0" applyNumberFormat="1" applyFill="1"/>
    <xf numFmtId="166" fontId="0" fillId="2" borderId="0" xfId="1" applyFont="1" applyFill="1" applyBorder="1"/>
    <xf numFmtId="14" fontId="0" fillId="2" borderId="0" xfId="1" applyNumberFormat="1" applyFont="1" applyFill="1" applyBorder="1"/>
    <xf numFmtId="166" fontId="8" fillId="3" borderId="8" xfId="0" applyNumberFormat="1" applyFont="1" applyFill="1" applyBorder="1"/>
    <xf numFmtId="0" fontId="4" fillId="3" borderId="9" xfId="0" applyFont="1" applyFill="1" applyBorder="1"/>
    <xf numFmtId="166" fontId="8" fillId="3" borderId="10" xfId="0" applyNumberFormat="1" applyFont="1" applyFill="1" applyBorder="1"/>
    <xf numFmtId="0" fontId="0" fillId="3" borderId="10" xfId="0" applyFill="1" applyBorder="1"/>
    <xf numFmtId="166" fontId="8" fillId="3" borderId="11" xfId="0" applyNumberFormat="1" applyFont="1" applyFill="1" applyBorder="1"/>
    <xf numFmtId="0" fontId="0" fillId="3" borderId="12" xfId="0" applyFill="1" applyBorder="1"/>
    <xf numFmtId="166" fontId="0" fillId="2" borderId="13" xfId="1" applyFont="1" applyFill="1" applyBorder="1"/>
    <xf numFmtId="166" fontId="0" fillId="0" borderId="13" xfId="1" applyFont="1" applyBorder="1"/>
    <xf numFmtId="167" fontId="0" fillId="0" borderId="13" xfId="1" applyNumberFormat="1" applyFont="1" applyBorder="1"/>
    <xf numFmtId="166" fontId="0" fillId="0" borderId="16" xfId="1" applyFont="1" applyBorder="1"/>
    <xf numFmtId="0" fontId="8" fillId="3" borderId="3" xfId="0" applyFont="1" applyFill="1" applyBorder="1" applyAlignment="1">
      <alignment horizontal="center" vertical="center" wrapText="1"/>
    </xf>
    <xf numFmtId="0" fontId="9" fillId="0" borderId="0" xfId="0" applyFont="1"/>
    <xf numFmtId="0" fontId="10" fillId="0" borderId="0" xfId="0" applyFont="1" applyAlignment="1">
      <alignment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165" fontId="10" fillId="0" borderId="1" xfId="0" applyNumberFormat="1" applyFont="1" applyBorder="1" applyAlignment="1">
      <alignment vertical="center" wrapText="1"/>
    </xf>
    <xf numFmtId="0" fontId="12" fillId="3" borderId="18" xfId="0" applyFont="1" applyFill="1" applyBorder="1" applyAlignment="1">
      <alignment horizontal="center" vertical="center" wrapText="1"/>
    </xf>
    <xf numFmtId="165" fontId="12" fillId="3" borderId="19" xfId="0" applyNumberFormat="1" applyFont="1" applyFill="1" applyBorder="1" applyAlignment="1">
      <alignment vertical="center" wrapText="1"/>
    </xf>
    <xf numFmtId="165" fontId="12" fillId="3" borderId="18" xfId="0" applyNumberFormat="1" applyFont="1" applyFill="1" applyBorder="1" applyAlignment="1">
      <alignment vertical="center" wrapText="1"/>
    </xf>
    <xf numFmtId="0" fontId="11" fillId="0" borderId="20" xfId="0" applyFont="1" applyBorder="1" applyAlignment="1">
      <alignment vertical="center" wrapText="1"/>
    </xf>
    <xf numFmtId="166" fontId="10" fillId="0" borderId="1" xfId="1" applyFont="1" applyBorder="1" applyAlignment="1">
      <alignment horizontal="center" vertical="center" wrapText="1"/>
    </xf>
    <xf numFmtId="166" fontId="12" fillId="3" borderId="19" xfId="0" applyNumberFormat="1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vertical="center" wrapText="1"/>
    </xf>
    <xf numFmtId="166" fontId="0" fillId="0" borderId="0" xfId="1" applyFont="1" applyBorder="1" applyAlignment="1"/>
    <xf numFmtId="166" fontId="0" fillId="0" borderId="0" xfId="1" applyFont="1" applyBorder="1"/>
    <xf numFmtId="166" fontId="8" fillId="0" borderId="0" xfId="0" applyNumberFormat="1" applyFont="1"/>
    <xf numFmtId="0" fontId="11" fillId="2" borderId="20" xfId="0" applyFont="1" applyFill="1" applyBorder="1" applyAlignment="1">
      <alignment horizontal="left" vertical="center" wrapText="1"/>
    </xf>
    <xf numFmtId="0" fontId="15" fillId="2" borderId="21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14" fontId="0" fillId="0" borderId="1" xfId="0" applyNumberFormat="1" applyBorder="1"/>
    <xf numFmtId="14" fontId="5" fillId="0" borderId="8" xfId="0" applyNumberFormat="1" applyFont="1" applyBorder="1" applyAlignment="1">
      <alignment horizontal="center" vertical="center" wrapText="1"/>
    </xf>
    <xf numFmtId="14" fontId="5" fillId="0" borderId="8" xfId="0" applyNumberFormat="1" applyFont="1" applyBorder="1" applyAlignment="1">
      <alignment vertical="center" wrapText="1"/>
    </xf>
    <xf numFmtId="0" fontId="12" fillId="4" borderId="11" xfId="0" applyFont="1" applyFill="1" applyBorder="1" applyAlignment="1">
      <alignment vertical="center" wrapText="1"/>
    </xf>
    <xf numFmtId="0" fontId="12" fillId="4" borderId="20" xfId="0" applyFont="1" applyFill="1" applyBorder="1" applyAlignment="1">
      <alignment vertical="center" wrapText="1"/>
    </xf>
    <xf numFmtId="14" fontId="12" fillId="4" borderId="21" xfId="0" applyNumberFormat="1" applyFont="1" applyFill="1" applyBorder="1" applyAlignment="1">
      <alignment vertical="center" wrapText="1"/>
    </xf>
    <xf numFmtId="0" fontId="11" fillId="4" borderId="20" xfId="0" applyFont="1" applyFill="1" applyBorder="1" applyAlignment="1">
      <alignment vertical="center" wrapText="1"/>
    </xf>
    <xf numFmtId="0" fontId="11" fillId="4" borderId="8" xfId="0" applyFont="1" applyFill="1" applyBorder="1" applyAlignment="1">
      <alignment vertical="center" wrapText="1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left"/>
    </xf>
    <xf numFmtId="0" fontId="5" fillId="0" borderId="0" xfId="0" applyFont="1"/>
    <xf numFmtId="166" fontId="17" fillId="0" borderId="1" xfId="1" applyFont="1" applyBorder="1"/>
    <xf numFmtId="167" fontId="17" fillId="0" borderId="1" xfId="1" applyNumberFormat="1" applyFont="1" applyBorder="1"/>
    <xf numFmtId="0" fontId="8" fillId="0" borderId="0" xfId="0" applyFont="1"/>
    <xf numFmtId="166" fontId="17" fillId="0" borderId="13" xfId="1" applyFont="1" applyBorder="1"/>
    <xf numFmtId="167" fontId="17" fillId="0" borderId="13" xfId="1" applyNumberFormat="1" applyFont="1" applyBorder="1"/>
    <xf numFmtId="0" fontId="17" fillId="0" borderId="8" xfId="0" applyFont="1" applyBorder="1" applyAlignment="1">
      <alignment horizontal="center"/>
    </xf>
    <xf numFmtId="0" fontId="20" fillId="0" borderId="2" xfId="0" applyFont="1" applyBorder="1"/>
    <xf numFmtId="168" fontId="0" fillId="0" borderId="0" xfId="2" applyNumberFormat="1" applyFont="1"/>
    <xf numFmtId="0" fontId="0" fillId="0" borderId="0" xfId="0" applyAlignment="1">
      <alignment horizontal="center"/>
    </xf>
    <xf numFmtId="166" fontId="0" fillId="2" borderId="1" xfId="12" applyFont="1" applyFill="1" applyBorder="1"/>
    <xf numFmtId="14" fontId="0" fillId="2" borderId="1" xfId="0" applyNumberFormat="1" applyFill="1" applyBorder="1"/>
    <xf numFmtId="9" fontId="0" fillId="2" borderId="1" xfId="0" applyNumberFormat="1" applyFill="1" applyBorder="1"/>
    <xf numFmtId="0" fontId="3" fillId="0" borderId="0" xfId="0" applyFont="1"/>
    <xf numFmtId="166" fontId="0" fillId="2" borderId="6" xfId="12" applyFont="1" applyFill="1" applyBorder="1"/>
    <xf numFmtId="14" fontId="0" fillId="2" borderId="7" xfId="12" applyNumberFormat="1" applyFont="1" applyFill="1" applyBorder="1"/>
    <xf numFmtId="4" fontId="0" fillId="0" borderId="0" xfId="0" applyNumberFormat="1"/>
    <xf numFmtId="0" fontId="4" fillId="0" borderId="0" xfId="0" applyFont="1" applyAlignment="1">
      <alignment horizontal="center"/>
    </xf>
    <xf numFmtId="0" fontId="5" fillId="2" borderId="21" xfId="0" applyFont="1" applyFill="1" applyBorder="1"/>
    <xf numFmtId="0" fontId="12" fillId="0" borderId="0" xfId="0" applyFont="1" applyAlignment="1">
      <alignment vertical="center" wrapText="1"/>
    </xf>
    <xf numFmtId="0" fontId="17" fillId="0" borderId="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8" fillId="3" borderId="8" xfId="0" applyFont="1" applyFill="1" applyBorder="1"/>
    <xf numFmtId="166" fontId="18" fillId="3" borderId="8" xfId="0" applyNumberFormat="1" applyFont="1" applyFill="1" applyBorder="1"/>
    <xf numFmtId="0" fontId="17" fillId="3" borderId="8" xfId="0" applyFont="1" applyFill="1" applyBorder="1"/>
    <xf numFmtId="0" fontId="8" fillId="5" borderId="20" xfId="0" applyFont="1" applyFill="1" applyBorder="1" applyAlignment="1">
      <alignment horizontal="center" vertical="center" wrapText="1"/>
    </xf>
    <xf numFmtId="14" fontId="5" fillId="0" borderId="18" xfId="0" applyNumberFormat="1" applyFont="1" applyBorder="1" applyAlignment="1">
      <alignment horizontal="center" vertical="center" wrapText="1"/>
    </xf>
    <xf numFmtId="0" fontId="0" fillId="0" borderId="20" xfId="0" applyBorder="1"/>
    <xf numFmtId="10" fontId="12" fillId="4" borderId="29" xfId="0" applyNumberFormat="1" applyFont="1" applyFill="1" applyBorder="1" applyAlignment="1">
      <alignment vertical="center" wrapText="1"/>
    </xf>
    <xf numFmtId="0" fontId="12" fillId="4" borderId="30" xfId="0" applyFont="1" applyFill="1" applyBorder="1" applyAlignment="1">
      <alignment vertical="center" wrapText="1"/>
    </xf>
    <xf numFmtId="0" fontId="12" fillId="4" borderId="26" xfId="0" applyFont="1" applyFill="1" applyBorder="1" applyAlignment="1">
      <alignment vertical="center" wrapText="1"/>
    </xf>
    <xf numFmtId="0" fontId="4" fillId="4" borderId="21" xfId="0" applyFont="1" applyFill="1" applyBorder="1" applyAlignment="1">
      <alignment vertical="center" wrapText="1"/>
    </xf>
    <xf numFmtId="0" fontId="12" fillId="4" borderId="25" xfId="0" applyFont="1" applyFill="1" applyBorder="1" applyAlignment="1">
      <alignment vertical="center" wrapText="1"/>
    </xf>
    <xf numFmtId="166" fontId="22" fillId="4" borderId="25" xfId="1" applyFont="1" applyFill="1" applyBorder="1" applyAlignment="1">
      <alignment vertical="center" wrapText="1"/>
    </xf>
    <xf numFmtId="0" fontId="23" fillId="4" borderId="25" xfId="0" applyFont="1" applyFill="1" applyBorder="1" applyAlignment="1">
      <alignment vertical="center" wrapText="1"/>
    </xf>
    <xf numFmtId="167" fontId="24" fillId="4" borderId="25" xfId="1" applyNumberFormat="1" applyFont="1" applyFill="1" applyBorder="1" applyAlignment="1">
      <alignment vertical="center" wrapText="1"/>
    </xf>
    <xf numFmtId="0" fontId="10" fillId="4" borderId="25" xfId="0" applyFont="1" applyFill="1" applyBorder="1" applyAlignment="1">
      <alignment vertical="center" wrapText="1"/>
    </xf>
    <xf numFmtId="0" fontId="0" fillId="4" borderId="20" xfId="0" applyFill="1" applyBorder="1"/>
    <xf numFmtId="0" fontId="16" fillId="2" borderId="21" xfId="0" applyFont="1" applyFill="1" applyBorder="1"/>
    <xf numFmtId="0" fontId="8" fillId="5" borderId="25" xfId="0" applyFont="1" applyFill="1" applyBorder="1" applyAlignment="1">
      <alignment horizontal="center" vertical="center" wrapText="1"/>
    </xf>
    <xf numFmtId="10" fontId="0" fillId="0" borderId="0" xfId="0" applyNumberFormat="1"/>
    <xf numFmtId="10" fontId="0" fillId="0" borderId="0" xfId="0" applyNumberFormat="1" applyAlignment="1">
      <alignment horizontal="right"/>
    </xf>
    <xf numFmtId="43" fontId="0" fillId="0" borderId="0" xfId="0" applyNumberFormat="1"/>
    <xf numFmtId="166" fontId="0" fillId="0" borderId="0" xfId="0" applyNumberFormat="1"/>
    <xf numFmtId="43" fontId="15" fillId="7" borderId="0" xfId="0" applyNumberFormat="1" applyFont="1" applyFill="1"/>
    <xf numFmtId="0" fontId="15" fillId="7" borderId="0" xfId="0" applyFont="1" applyFill="1"/>
    <xf numFmtId="14" fontId="4" fillId="2" borderId="1" xfId="0" applyNumberFormat="1" applyFont="1" applyFill="1" applyBorder="1"/>
    <xf numFmtId="166" fontId="3" fillId="2" borderId="1" xfId="1" applyFont="1" applyFill="1" applyBorder="1"/>
    <xf numFmtId="166" fontId="3" fillId="4" borderId="1" xfId="1" applyFont="1" applyFill="1" applyBorder="1"/>
    <xf numFmtId="166" fontId="3" fillId="7" borderId="1" xfId="1" applyFont="1" applyFill="1" applyBorder="1"/>
    <xf numFmtId="167" fontId="3" fillId="7" borderId="1" xfId="1" applyNumberFormat="1" applyFont="1" applyFill="1" applyBorder="1"/>
    <xf numFmtId="0" fontId="15" fillId="0" borderId="0" xfId="0" applyFont="1" applyAlignment="1">
      <alignment horizontal="center"/>
    </xf>
    <xf numFmtId="166" fontId="17" fillId="7" borderId="1" xfId="1" applyFont="1" applyFill="1" applyBorder="1"/>
    <xf numFmtId="164" fontId="0" fillId="0" borderId="0" xfId="2" applyFont="1"/>
    <xf numFmtId="164" fontId="15" fillId="0" borderId="0" xfId="2" applyFont="1"/>
    <xf numFmtId="0" fontId="28" fillId="0" borderId="0" xfId="0" applyFont="1"/>
    <xf numFmtId="168" fontId="4" fillId="0" borderId="0" xfId="2" applyNumberFormat="1" applyFont="1"/>
    <xf numFmtId="14" fontId="3" fillId="2" borderId="1" xfId="0" applyNumberFormat="1" applyFont="1" applyFill="1" applyBorder="1"/>
    <xf numFmtId="0" fontId="8" fillId="0" borderId="0" xfId="0" applyFont="1" applyAlignment="1">
      <alignment horizontal="center"/>
    </xf>
    <xf numFmtId="0" fontId="5" fillId="0" borderId="2" xfId="0" applyFont="1" applyBorder="1"/>
    <xf numFmtId="166" fontId="5" fillId="0" borderId="4" xfId="0" applyNumberFormat="1" applyFont="1" applyBorder="1"/>
    <xf numFmtId="166" fontId="5" fillId="0" borderId="4" xfId="1" applyFont="1" applyBorder="1"/>
    <xf numFmtId="10" fontId="0" fillId="6" borderId="1" xfId="0" applyNumberFormat="1" applyFill="1" applyBorder="1" applyAlignment="1">
      <alignment horizontal="center"/>
    </xf>
    <xf numFmtId="168" fontId="3" fillId="0" borderId="0" xfId="2" applyNumberFormat="1" applyFont="1"/>
    <xf numFmtId="166" fontId="3" fillId="7" borderId="22" xfId="1" applyFont="1" applyFill="1" applyBorder="1"/>
    <xf numFmtId="0" fontId="29" fillId="7" borderId="5" xfId="0" applyFont="1" applyFill="1" applyBorder="1" applyAlignment="1">
      <alignment horizontal="center"/>
    </xf>
    <xf numFmtId="0" fontId="29" fillId="7" borderId="6" xfId="0" applyFont="1" applyFill="1" applyBorder="1" applyAlignment="1">
      <alignment horizontal="center"/>
    </xf>
    <xf numFmtId="166" fontId="0" fillId="2" borderId="1" xfId="12" applyFont="1" applyFill="1" applyBorder="1" applyAlignment="1"/>
    <xf numFmtId="14" fontId="0" fillId="2" borderId="15" xfId="0" applyNumberFormat="1" applyFill="1" applyBorder="1" applyAlignment="1">
      <alignment horizontal="right"/>
    </xf>
    <xf numFmtId="43" fontId="8" fillId="0" borderId="0" xfId="0" applyNumberFormat="1" applyFont="1" applyAlignment="1">
      <alignment horizontal="center"/>
    </xf>
    <xf numFmtId="0" fontId="9" fillId="7" borderId="6" xfId="0" applyFont="1" applyFill="1" applyBorder="1" applyAlignment="1">
      <alignment horizontal="center"/>
    </xf>
    <xf numFmtId="10" fontId="8" fillId="7" borderId="0" xfId="0" applyNumberFormat="1" applyFont="1" applyFill="1"/>
    <xf numFmtId="0" fontId="8" fillId="7" borderId="0" xfId="0" applyFont="1" applyFill="1"/>
    <xf numFmtId="0" fontId="0" fillId="7" borderId="0" xfId="0" applyFill="1"/>
    <xf numFmtId="168" fontId="15" fillId="0" borderId="0" xfId="2" applyNumberFormat="1" applyFont="1"/>
    <xf numFmtId="14" fontId="3" fillId="4" borderId="1" xfId="0" applyNumberFormat="1" applyFont="1" applyFill="1" applyBorder="1"/>
    <xf numFmtId="166" fontId="3" fillId="7" borderId="16" xfId="1" applyFont="1" applyFill="1" applyBorder="1"/>
    <xf numFmtId="166" fontId="3" fillId="0" borderId="16" xfId="1" applyFont="1" applyBorder="1"/>
    <xf numFmtId="0" fontId="8" fillId="5" borderId="8" xfId="0" applyFont="1" applyFill="1" applyBorder="1" applyAlignment="1">
      <alignment horizontal="center" vertical="center" wrapText="1"/>
    </xf>
    <xf numFmtId="166" fontId="8" fillId="7" borderId="16" xfId="1" applyFont="1" applyFill="1" applyBorder="1"/>
    <xf numFmtId="0" fontId="17" fillId="0" borderId="0" xfId="0" applyFont="1"/>
    <xf numFmtId="14" fontId="8" fillId="4" borderId="1" xfId="0" applyNumberFormat="1" applyFont="1" applyFill="1" applyBorder="1"/>
    <xf numFmtId="43" fontId="3" fillId="0" borderId="0" xfId="0" applyNumberFormat="1" applyFont="1"/>
    <xf numFmtId="0" fontId="4" fillId="4" borderId="0" xfId="0" applyFont="1" applyFill="1"/>
    <xf numFmtId="168" fontId="4" fillId="4" borderId="0" xfId="2" applyNumberFormat="1" applyFont="1" applyFill="1"/>
    <xf numFmtId="0" fontId="6" fillId="0" borderId="0" xfId="0" applyFont="1"/>
    <xf numFmtId="166" fontId="3" fillId="7" borderId="28" xfId="1" applyFont="1" applyFill="1" applyBorder="1"/>
    <xf numFmtId="166" fontId="8" fillId="4" borderId="22" xfId="1" applyFont="1" applyFill="1" applyBorder="1"/>
    <xf numFmtId="0" fontId="9" fillId="4" borderId="6" xfId="0" applyFont="1" applyFill="1" applyBorder="1" applyAlignment="1">
      <alignment horizontal="center"/>
    </xf>
    <xf numFmtId="168" fontId="15" fillId="4" borderId="0" xfId="2" applyNumberFormat="1" applyFont="1" applyFill="1"/>
    <xf numFmtId="166" fontId="3" fillId="7" borderId="14" xfId="1" applyFont="1" applyFill="1" applyBorder="1"/>
    <xf numFmtId="0" fontId="31" fillId="0" borderId="0" xfId="0" applyFont="1" applyAlignment="1">
      <alignment horizontal="center" vertical="top" wrapText="1"/>
    </xf>
    <xf numFmtId="0" fontId="32" fillId="0" borderId="1" xfId="0" applyFont="1" applyBorder="1"/>
    <xf numFmtId="0" fontId="31" fillId="0" borderId="1" xfId="0" applyFont="1" applyBorder="1" applyAlignment="1">
      <alignment horizontal="center" vertical="top" wrapText="1"/>
    </xf>
    <xf numFmtId="8" fontId="31" fillId="0" borderId="1" xfId="0" applyNumberFormat="1" applyFont="1" applyBorder="1" applyAlignment="1">
      <alignment horizontal="center" vertical="top" wrapText="1"/>
    </xf>
    <xf numFmtId="168" fontId="16" fillId="0" borderId="0" xfId="2" applyNumberFormat="1" applyFont="1"/>
    <xf numFmtId="43" fontId="3" fillId="7" borderId="0" xfId="0" applyNumberFormat="1" applyFont="1" applyFill="1"/>
    <xf numFmtId="43" fontId="8" fillId="7" borderId="0" xfId="0" applyNumberFormat="1" applyFont="1" applyFill="1" applyAlignment="1">
      <alignment horizontal="center"/>
    </xf>
    <xf numFmtId="168" fontId="28" fillId="0" borderId="0" xfId="2" applyNumberFormat="1" applyFont="1"/>
    <xf numFmtId="168" fontId="6" fillId="0" borderId="0" xfId="2" applyNumberFormat="1" applyFont="1"/>
    <xf numFmtId="168" fontId="15" fillId="4" borderId="0" xfId="0" applyNumberFormat="1" applyFont="1" applyFill="1"/>
    <xf numFmtId="0" fontId="32" fillId="0" borderId="0" xfId="0" applyFont="1"/>
    <xf numFmtId="0" fontId="30" fillId="0" borderId="37" xfId="0" applyFont="1" applyBorder="1" applyAlignment="1">
      <alignment horizontal="right" vertical="center" wrapText="1"/>
    </xf>
    <xf numFmtId="0" fontId="32" fillId="0" borderId="22" xfId="0" applyFont="1" applyBorder="1" applyAlignment="1">
      <alignment horizontal="center" vertical="center"/>
    </xf>
    <xf numFmtId="0" fontId="30" fillId="0" borderId="15" xfId="0" applyFont="1" applyBorder="1" applyAlignment="1">
      <alignment horizontal="right" vertical="center" wrapText="1"/>
    </xf>
    <xf numFmtId="0" fontId="38" fillId="0" borderId="15" xfId="0" applyFont="1" applyBorder="1" applyAlignment="1">
      <alignment horizontal="right" vertical="center" wrapText="1"/>
    </xf>
    <xf numFmtId="0" fontId="30" fillId="0" borderId="44" xfId="0" applyFont="1" applyBorder="1" applyAlignment="1">
      <alignment horizontal="right" vertical="center" wrapText="1"/>
    </xf>
    <xf numFmtId="0" fontId="30" fillId="13" borderId="47" xfId="0" applyFont="1" applyFill="1" applyBorder="1" applyAlignment="1">
      <alignment horizontal="center" vertical="center" wrapText="1"/>
    </xf>
    <xf numFmtId="0" fontId="30" fillId="13" borderId="48" xfId="0" applyFont="1" applyFill="1" applyBorder="1" applyAlignment="1">
      <alignment horizontal="center" vertical="center" wrapText="1"/>
    </xf>
    <xf numFmtId="0" fontId="31" fillId="0" borderId="38" xfId="0" applyFont="1" applyBorder="1" applyAlignment="1">
      <alignment horizontal="center" vertical="top" wrapText="1"/>
    </xf>
    <xf numFmtId="0" fontId="31" fillId="0" borderId="35" xfId="0" applyFont="1" applyBorder="1" applyAlignment="1">
      <alignment horizontal="center" vertical="top" wrapText="1"/>
    </xf>
    <xf numFmtId="0" fontId="31" fillId="0" borderId="37" xfId="0" applyFont="1" applyBorder="1" applyAlignment="1">
      <alignment horizontal="center" vertical="top" wrapText="1"/>
    </xf>
    <xf numFmtId="0" fontId="31" fillId="0" borderId="46" xfId="0" applyFont="1" applyBorder="1" applyAlignment="1">
      <alignment horizontal="center" vertical="top" wrapText="1"/>
    </xf>
    <xf numFmtId="0" fontId="31" fillId="0" borderId="49" xfId="0" applyFont="1" applyBorder="1" applyAlignment="1">
      <alignment horizontal="center" vertical="top" wrapText="1"/>
    </xf>
    <xf numFmtId="3" fontId="31" fillId="0" borderId="33" xfId="0" applyNumberFormat="1" applyFont="1" applyBorder="1" applyAlignment="1">
      <alignment horizontal="center" vertical="top" wrapText="1"/>
    </xf>
    <xf numFmtId="0" fontId="31" fillId="0" borderId="44" xfId="0" applyFont="1" applyBorder="1" applyAlignment="1">
      <alignment horizontal="center" vertical="top" wrapText="1"/>
    </xf>
    <xf numFmtId="3" fontId="31" fillId="0" borderId="46" xfId="0" applyNumberFormat="1" applyFont="1" applyBorder="1" applyAlignment="1">
      <alignment horizontal="center" vertical="top" wrapText="1"/>
    </xf>
    <xf numFmtId="0" fontId="31" fillId="0" borderId="32" xfId="0" applyFont="1" applyBorder="1" applyAlignment="1">
      <alignment horizontal="center" vertical="top" wrapText="1"/>
    </xf>
    <xf numFmtId="0" fontId="0" fillId="0" borderId="35" xfId="0" applyBorder="1" applyAlignment="1">
      <alignment horizontal="center" vertical="top" wrapText="1"/>
    </xf>
    <xf numFmtId="0" fontId="31" fillId="0" borderId="15" xfId="0" applyFont="1" applyBorder="1" applyAlignment="1">
      <alignment horizontal="center" vertical="top" wrapText="1"/>
    </xf>
    <xf numFmtId="0" fontId="32" fillId="0" borderId="16" xfId="0" applyFont="1" applyBorder="1"/>
    <xf numFmtId="0" fontId="31" fillId="0" borderId="50" xfId="0" applyFont="1" applyBorder="1" applyAlignment="1">
      <alignment horizontal="center" vertical="top" wrapText="1"/>
    </xf>
    <xf numFmtId="0" fontId="31" fillId="0" borderId="47" xfId="0" applyFont="1" applyBorder="1" applyAlignment="1">
      <alignment horizontal="center" vertical="top" wrapText="1"/>
    </xf>
    <xf numFmtId="0" fontId="32" fillId="0" borderId="47" xfId="0" applyFont="1" applyBorder="1"/>
    <xf numFmtId="0" fontId="32" fillId="0" borderId="48" xfId="0" applyFont="1" applyBorder="1"/>
    <xf numFmtId="8" fontId="30" fillId="8" borderId="26" xfId="0" applyNumberFormat="1" applyFont="1" applyFill="1" applyBorder="1" applyAlignment="1">
      <alignment horizontal="center" vertical="top" wrapText="1"/>
    </xf>
    <xf numFmtId="0" fontId="30" fillId="14" borderId="46" xfId="0" applyFont="1" applyFill="1" applyBorder="1" applyAlignment="1">
      <alignment horizontal="center" vertical="center" wrapText="1"/>
    </xf>
    <xf numFmtId="0" fontId="30" fillId="14" borderId="49" xfId="0" applyFont="1" applyFill="1" applyBorder="1" applyAlignment="1">
      <alignment horizontal="center" vertical="center" wrapText="1"/>
    </xf>
    <xf numFmtId="0" fontId="30" fillId="15" borderId="46" xfId="0" applyFont="1" applyFill="1" applyBorder="1" applyAlignment="1">
      <alignment horizontal="center" vertical="center" wrapText="1"/>
    </xf>
    <xf numFmtId="0" fontId="30" fillId="15" borderId="49" xfId="0" applyFont="1" applyFill="1" applyBorder="1" applyAlignment="1">
      <alignment horizontal="center" vertical="center" wrapText="1"/>
    </xf>
    <xf numFmtId="0" fontId="30" fillId="13" borderId="52" xfId="0" applyFont="1" applyFill="1" applyBorder="1" applyAlignment="1">
      <alignment horizontal="center" vertical="center" wrapText="1"/>
    </xf>
    <xf numFmtId="0" fontId="30" fillId="13" borderId="53" xfId="0" applyFont="1" applyFill="1" applyBorder="1" applyAlignment="1">
      <alignment horizontal="center" vertical="top" wrapText="1"/>
    </xf>
    <xf numFmtId="0" fontId="31" fillId="0" borderId="33" xfId="0" applyFont="1" applyBorder="1" applyAlignment="1">
      <alignment horizontal="left" vertical="top" wrapText="1"/>
    </xf>
    <xf numFmtId="14" fontId="31" fillId="0" borderId="33" xfId="0" applyNumberFormat="1" applyFont="1" applyBorder="1" applyAlignment="1">
      <alignment horizontal="center" vertical="top" wrapText="1"/>
    </xf>
    <xf numFmtId="4" fontId="31" fillId="0" borderId="33" xfId="0" applyNumberFormat="1" applyFont="1" applyBorder="1" applyAlignment="1">
      <alignment horizontal="center" vertical="top" wrapText="1"/>
    </xf>
    <xf numFmtId="9" fontId="31" fillId="0" borderId="33" xfId="0" applyNumberFormat="1" applyFont="1" applyBorder="1" applyAlignment="1">
      <alignment horizontal="center" vertical="top" wrapText="1"/>
    </xf>
    <xf numFmtId="0" fontId="31" fillId="0" borderId="33" xfId="0" applyFont="1" applyBorder="1" applyAlignment="1">
      <alignment horizontal="center" vertical="top" wrapText="1"/>
    </xf>
    <xf numFmtId="8" fontId="31" fillId="0" borderId="33" xfId="0" applyNumberFormat="1" applyFont="1" applyBorder="1" applyAlignment="1">
      <alignment horizontal="center" vertical="top" wrapText="1"/>
    </xf>
    <xf numFmtId="3" fontId="31" fillId="0" borderId="1" xfId="0" applyNumberFormat="1" applyFont="1" applyBorder="1" applyAlignment="1">
      <alignment horizontal="center" vertical="top" wrapText="1"/>
    </xf>
    <xf numFmtId="6" fontId="31" fillId="0" borderId="32" xfId="0" applyNumberFormat="1" applyFont="1" applyBorder="1" applyAlignment="1">
      <alignment horizontal="center" vertical="top" wrapText="1"/>
    </xf>
    <xf numFmtId="6" fontId="31" fillId="0" borderId="33" xfId="0" applyNumberFormat="1" applyFont="1" applyBorder="1" applyAlignment="1">
      <alignment horizontal="center" vertical="top" wrapText="1"/>
    </xf>
    <xf numFmtId="6" fontId="31" fillId="0" borderId="1" xfId="0" applyNumberFormat="1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 wrapText="1"/>
    </xf>
    <xf numFmtId="0" fontId="31" fillId="0" borderId="19" xfId="0" applyFont="1" applyBorder="1" applyAlignment="1">
      <alignment horizontal="center" vertical="top" wrapText="1"/>
    </xf>
    <xf numFmtId="0" fontId="37" fillId="0" borderId="0" xfId="0" applyFont="1"/>
    <xf numFmtId="166" fontId="7" fillId="4" borderId="28" xfId="1" applyFont="1" applyFill="1" applyBorder="1"/>
    <xf numFmtId="0" fontId="8" fillId="4" borderId="0" xfId="0" applyFont="1" applyFill="1"/>
    <xf numFmtId="168" fontId="15" fillId="7" borderId="0" xfId="2" applyNumberFormat="1" applyFont="1" applyFill="1"/>
    <xf numFmtId="166" fontId="8" fillId="7" borderId="22" xfId="1" applyFont="1" applyFill="1" applyBorder="1"/>
    <xf numFmtId="166" fontId="3" fillId="16" borderId="22" xfId="1" applyFont="1" applyFill="1" applyBorder="1"/>
    <xf numFmtId="0" fontId="29" fillId="16" borderId="6" xfId="0" applyFont="1" applyFill="1" applyBorder="1" applyAlignment="1">
      <alignment horizontal="center"/>
    </xf>
    <xf numFmtId="172" fontId="0" fillId="0" borderId="0" xfId="2" applyNumberFormat="1" applyFont="1"/>
    <xf numFmtId="0" fontId="15" fillId="4" borderId="0" xfId="0" applyFont="1" applyFill="1"/>
    <xf numFmtId="0" fontId="0" fillId="4" borderId="0" xfId="0" applyFill="1"/>
    <xf numFmtId="0" fontId="29" fillId="4" borderId="5" xfId="0" applyFont="1" applyFill="1" applyBorder="1" applyAlignment="1">
      <alignment horizontal="center"/>
    </xf>
    <xf numFmtId="166" fontId="0" fillId="4" borderId="0" xfId="0" applyNumberFormat="1" applyFill="1"/>
    <xf numFmtId="168" fontId="16" fillId="7" borderId="0" xfId="2" applyNumberFormat="1" applyFont="1" applyFill="1"/>
    <xf numFmtId="168" fontId="8" fillId="7" borderId="0" xfId="2" applyNumberFormat="1" applyFont="1" applyFill="1"/>
    <xf numFmtId="168" fontId="8" fillId="4" borderId="0" xfId="0" applyNumberFormat="1" applyFont="1" applyFill="1"/>
    <xf numFmtId="168" fontId="8" fillId="7" borderId="0" xfId="0" applyNumberFormat="1" applyFont="1" applyFill="1"/>
    <xf numFmtId="166" fontId="15" fillId="4" borderId="22" xfId="1" applyFont="1" applyFill="1" applyBorder="1"/>
    <xf numFmtId="0" fontId="8" fillId="17" borderId="0" xfId="0" applyFont="1" applyFill="1"/>
    <xf numFmtId="2" fontId="15" fillId="17" borderId="0" xfId="0" applyNumberFormat="1" applyFont="1" applyFill="1"/>
    <xf numFmtId="43" fontId="8" fillId="17" borderId="0" xfId="0" applyNumberFormat="1" applyFont="1" applyFill="1"/>
    <xf numFmtId="10" fontId="8" fillId="4" borderId="0" xfId="0" applyNumberFormat="1" applyFont="1" applyFill="1"/>
    <xf numFmtId="0" fontId="16" fillId="7" borderId="0" xfId="0" applyFont="1" applyFill="1"/>
    <xf numFmtId="43" fontId="15" fillId="4" borderId="0" xfId="0" applyNumberFormat="1" applyFont="1" applyFill="1"/>
    <xf numFmtId="168" fontId="0" fillId="4" borderId="0" xfId="2" applyNumberFormat="1" applyFont="1" applyFill="1"/>
    <xf numFmtId="14" fontId="0" fillId="4" borderId="1" xfId="0" applyNumberFormat="1" applyFill="1" applyBorder="1"/>
    <xf numFmtId="10" fontId="41" fillId="6" borderId="1" xfId="0" applyNumberFormat="1" applyFont="1" applyFill="1" applyBorder="1" applyAlignment="1">
      <alignment horizontal="center"/>
    </xf>
    <xf numFmtId="168" fontId="0" fillId="0" borderId="0" xfId="0" applyNumberFormat="1"/>
    <xf numFmtId="43" fontId="7" fillId="4" borderId="0" xfId="0" applyNumberFormat="1" applyFont="1" applyFill="1"/>
    <xf numFmtId="166" fontId="3" fillId="0" borderId="0" xfId="1" applyFont="1"/>
    <xf numFmtId="166" fontId="3" fillId="0" borderId="0" xfId="0" applyNumberFormat="1" applyFont="1"/>
    <xf numFmtId="168" fontId="3" fillId="7" borderId="0" xfId="2" applyNumberFormat="1" applyFont="1" applyFill="1"/>
    <xf numFmtId="168" fontId="19" fillId="4" borderId="0" xfId="2" applyNumberFormat="1" applyFont="1" applyFill="1"/>
    <xf numFmtId="43" fontId="8" fillId="7" borderId="0" xfId="0" applyNumberFormat="1" applyFont="1" applyFill="1"/>
    <xf numFmtId="171" fontId="15" fillId="4" borderId="0" xfId="0" applyNumberFormat="1" applyFont="1" applyFill="1"/>
    <xf numFmtId="166" fontId="15" fillId="4" borderId="0" xfId="1" applyFont="1" applyFill="1"/>
    <xf numFmtId="166" fontId="15" fillId="4" borderId="0" xfId="0" applyNumberFormat="1" applyFont="1" applyFill="1"/>
    <xf numFmtId="168" fontId="8" fillId="4" borderId="0" xfId="2" applyNumberFormat="1" applyFont="1" applyFill="1"/>
    <xf numFmtId="171" fontId="15" fillId="4" borderId="0" xfId="2" applyNumberFormat="1" applyFont="1" applyFill="1"/>
    <xf numFmtId="43" fontId="4" fillId="0" borderId="0" xfId="0" applyNumberFormat="1" applyFont="1" applyAlignment="1">
      <alignment horizontal="center"/>
    </xf>
    <xf numFmtId="43" fontId="16" fillId="0" borderId="0" xfId="0" applyNumberFormat="1" applyFont="1" applyAlignment="1">
      <alignment horizontal="center"/>
    </xf>
    <xf numFmtId="166" fontId="3" fillId="7" borderId="0" xfId="1" applyFont="1" applyFill="1" applyBorder="1"/>
    <xf numFmtId="166" fontId="8" fillId="0" borderId="0" xfId="0" applyNumberFormat="1" applyFont="1" applyAlignment="1">
      <alignment horizontal="center"/>
    </xf>
    <xf numFmtId="166" fontId="15" fillId="4" borderId="28" xfId="1" applyFont="1" applyFill="1" applyBorder="1"/>
    <xf numFmtId="0" fontId="9" fillId="4" borderId="5" xfId="0" applyFont="1" applyFill="1" applyBorder="1" applyAlignment="1">
      <alignment horizontal="center"/>
    </xf>
    <xf numFmtId="43" fontId="4" fillId="4" borderId="0" xfId="0" applyNumberFormat="1" applyFont="1" applyFill="1"/>
    <xf numFmtId="164" fontId="16" fillId="0" borderId="0" xfId="2" applyFont="1"/>
    <xf numFmtId="0" fontId="43" fillId="0" borderId="0" xfId="0" applyFont="1" applyAlignment="1">
      <alignment horizontal="left" vertical="center" indent="1"/>
    </xf>
    <xf numFmtId="0" fontId="0" fillId="0" borderId="0" xfId="0" applyAlignment="1">
      <alignment vertical="center" wrapText="1"/>
    </xf>
    <xf numFmtId="0" fontId="44" fillId="0" borderId="0" xfId="0" applyFont="1" applyAlignment="1">
      <alignment vertical="center" wrapText="1"/>
    </xf>
    <xf numFmtId="0" fontId="45" fillId="0" borderId="0" xfId="0" applyFont="1" applyAlignment="1">
      <alignment vertical="center" wrapText="1"/>
    </xf>
    <xf numFmtId="0" fontId="44" fillId="0" borderId="0" xfId="0" applyFont="1" applyAlignment="1">
      <alignment vertical="center"/>
    </xf>
    <xf numFmtId="0" fontId="46" fillId="0" borderId="0" xfId="0" applyFont="1" applyAlignment="1">
      <alignment horizontal="right" vertical="center" wrapText="1"/>
    </xf>
    <xf numFmtId="0" fontId="47" fillId="0" borderId="0" xfId="0" applyFont="1" applyAlignment="1">
      <alignment horizontal="right" vertical="center" wrapText="1"/>
    </xf>
    <xf numFmtId="0" fontId="42" fillId="0" borderId="0" xfId="0" applyFont="1" applyAlignment="1">
      <alignment horizontal="center" vertical="center" wrapText="1"/>
    </xf>
    <xf numFmtId="0" fontId="49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8" fillId="0" borderId="0" xfId="0" applyFont="1" applyAlignment="1">
      <alignment horizontal="right" vertical="center" wrapText="1"/>
    </xf>
    <xf numFmtId="0" fontId="50" fillId="0" borderId="0" xfId="0" applyFont="1" applyAlignment="1">
      <alignment vertical="center" wrapText="1"/>
    </xf>
    <xf numFmtId="0" fontId="51" fillId="0" borderId="0" xfId="0" applyFont="1" applyAlignment="1">
      <alignment vertical="center" wrapText="1"/>
    </xf>
    <xf numFmtId="0" fontId="52" fillId="0" borderId="0" xfId="0" applyFont="1" applyAlignment="1">
      <alignment vertical="center" wrapText="1"/>
    </xf>
    <xf numFmtId="0" fontId="53" fillId="0" borderId="0" xfId="0" applyFont="1" applyAlignment="1">
      <alignment vertical="center" wrapText="1"/>
    </xf>
    <xf numFmtId="171" fontId="15" fillId="7" borderId="0" xfId="0" applyNumberFormat="1" applyFont="1" applyFill="1"/>
    <xf numFmtId="174" fontId="3" fillId="2" borderId="1" xfId="1" applyNumberFormat="1" applyFont="1" applyFill="1" applyBorder="1"/>
    <xf numFmtId="173" fontId="8" fillId="4" borderId="0" xfId="0" applyNumberFormat="1" applyFont="1" applyFill="1"/>
    <xf numFmtId="174" fontId="3" fillId="7" borderId="1" xfId="1" applyNumberFormat="1" applyFont="1" applyFill="1" applyBorder="1"/>
    <xf numFmtId="174" fontId="0" fillId="0" borderId="0" xfId="1" applyNumberFormat="1" applyFont="1"/>
    <xf numFmtId="173" fontId="0" fillId="0" borderId="0" xfId="2" applyNumberFormat="1" applyFont="1"/>
    <xf numFmtId="176" fontId="0" fillId="0" borderId="0" xfId="0" applyNumberFormat="1"/>
    <xf numFmtId="175" fontId="0" fillId="0" borderId="0" xfId="0" applyNumberFormat="1"/>
    <xf numFmtId="168" fontId="15" fillId="0" borderId="0" xfId="2" applyNumberFormat="1" applyFont="1" applyFill="1"/>
    <xf numFmtId="168" fontId="16" fillId="0" borderId="0" xfId="2" applyNumberFormat="1" applyFont="1" applyFill="1"/>
    <xf numFmtId="4" fontId="4" fillId="0" borderId="0" xfId="0" applyNumberFormat="1" applyFont="1"/>
    <xf numFmtId="3" fontId="0" fillId="0" borderId="0" xfId="0" applyNumberFormat="1"/>
    <xf numFmtId="43" fontId="4" fillId="0" borderId="0" xfId="0" applyNumberFormat="1" applyFont="1"/>
    <xf numFmtId="171" fontId="15" fillId="0" borderId="0" xfId="2" applyNumberFormat="1" applyFont="1" applyFill="1"/>
    <xf numFmtId="168" fontId="40" fillId="0" borderId="0" xfId="2" applyNumberFormat="1" applyFont="1" applyFill="1"/>
    <xf numFmtId="0" fontId="4" fillId="0" borderId="0" xfId="0" applyFont="1" applyAlignment="1">
      <alignment horizontal="center"/>
    </xf>
    <xf numFmtId="0" fontId="4" fillId="3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4" fillId="3" borderId="18" xfId="0" applyFont="1" applyFill="1" applyBorder="1" applyAlignment="1">
      <alignment vertical="center"/>
    </xf>
    <xf numFmtId="165" fontId="4" fillId="4" borderId="3" xfId="3" applyFont="1" applyFill="1" applyBorder="1" applyAlignment="1">
      <alignment vertical="center"/>
    </xf>
    <xf numFmtId="165" fontId="4" fillId="4" borderId="4" xfId="3" applyFont="1" applyFill="1" applyBorder="1" applyAlignment="1">
      <alignment vertical="center"/>
    </xf>
    <xf numFmtId="165" fontId="4" fillId="4" borderId="18" xfId="3" applyFont="1" applyFill="1" applyBorder="1" applyAlignment="1">
      <alignment vertical="center"/>
    </xf>
    <xf numFmtId="0" fontId="7" fillId="3" borderId="21" xfId="0" applyFont="1" applyFill="1" applyBorder="1" applyAlignment="1">
      <alignment horizontal="center"/>
    </xf>
    <xf numFmtId="0" fontId="7" fillId="3" borderId="20" xfId="0" applyFont="1" applyFill="1" applyBorder="1" applyAlignment="1">
      <alignment horizontal="center"/>
    </xf>
    <xf numFmtId="0" fontId="19" fillId="2" borderId="22" xfId="0" applyFont="1" applyFill="1" applyBorder="1" applyAlignment="1">
      <alignment horizontal="left"/>
    </xf>
    <xf numFmtId="0" fontId="19" fillId="2" borderId="23" xfId="0" applyFont="1" applyFill="1" applyBorder="1" applyAlignment="1">
      <alignment horizontal="left"/>
    </xf>
    <xf numFmtId="0" fontId="19" fillId="2" borderId="24" xfId="0" applyFont="1" applyFill="1" applyBorder="1" applyAlignment="1">
      <alignment horizontal="left"/>
    </xf>
    <xf numFmtId="0" fontId="19" fillId="2" borderId="22" xfId="0" applyFont="1" applyFill="1" applyBorder="1" applyAlignment="1">
      <alignment horizontal="justify" vertical="justify" wrapText="1"/>
    </xf>
    <xf numFmtId="0" fontId="19" fillId="2" borderId="23" xfId="0" applyFont="1" applyFill="1" applyBorder="1" applyAlignment="1">
      <alignment horizontal="justify" vertical="justify" wrapText="1"/>
    </xf>
    <xf numFmtId="0" fontId="19" fillId="2" borderId="24" xfId="0" applyFont="1" applyFill="1" applyBorder="1" applyAlignment="1">
      <alignment horizontal="justify" vertical="justify" wrapText="1"/>
    </xf>
    <xf numFmtId="0" fontId="16" fillId="2" borderId="31" xfId="0" applyFont="1" applyFill="1" applyBorder="1" applyAlignment="1">
      <alignment horizontal="justify" vertical="justify" wrapText="1"/>
    </xf>
    <xf numFmtId="0" fontId="16" fillId="2" borderId="0" xfId="0" applyFont="1" applyFill="1" applyAlignment="1">
      <alignment horizontal="justify" vertical="justify" wrapText="1"/>
    </xf>
    <xf numFmtId="0" fontId="16" fillId="0" borderId="0" xfId="0" applyFont="1" applyAlignment="1">
      <alignment horizontal="justify" vertical="justify" wrapText="1"/>
    </xf>
    <xf numFmtId="0" fontId="16" fillId="2" borderId="29" xfId="0" applyFont="1" applyFill="1" applyBorder="1" applyAlignment="1">
      <alignment horizontal="justify" vertical="justify" wrapText="1"/>
    </xf>
    <xf numFmtId="0" fontId="0" fillId="0" borderId="19" xfId="0" applyBorder="1" applyAlignment="1">
      <alignment horizontal="justify" vertical="justify" wrapText="1"/>
    </xf>
    <xf numFmtId="0" fontId="11" fillId="0" borderId="21" xfId="0" applyFont="1" applyBorder="1" applyAlignment="1">
      <alignment horizontal="left" vertical="center" wrapText="1"/>
    </xf>
    <xf numFmtId="0" fontId="11" fillId="0" borderId="25" xfId="0" applyFont="1" applyBorder="1" applyAlignment="1">
      <alignment horizontal="left" vertical="center" wrapText="1"/>
    </xf>
    <xf numFmtId="0" fontId="7" fillId="4" borderId="21" xfId="0" applyFont="1" applyFill="1" applyBorder="1" applyAlignment="1">
      <alignment horizontal="left" vertical="center" wrapText="1"/>
    </xf>
    <xf numFmtId="0" fontId="7" fillId="4" borderId="20" xfId="0" applyFont="1" applyFill="1" applyBorder="1" applyAlignment="1">
      <alignment horizontal="left" vertical="center" wrapText="1"/>
    </xf>
    <xf numFmtId="0" fontId="15" fillId="4" borderId="21" xfId="0" applyFont="1" applyFill="1" applyBorder="1" applyAlignment="1">
      <alignment horizontal="left" vertical="center" wrapText="1"/>
    </xf>
    <xf numFmtId="0" fontId="15" fillId="4" borderId="20" xfId="0" applyFont="1" applyFill="1" applyBorder="1" applyAlignment="1">
      <alignment horizontal="left" vertical="center" wrapText="1"/>
    </xf>
    <xf numFmtId="0" fontId="10" fillId="3" borderId="19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5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165" fontId="5" fillId="4" borderId="21" xfId="0" applyNumberFormat="1" applyFont="1" applyFill="1" applyBorder="1" applyAlignment="1">
      <alignment horizontal="center" vertical="center" wrapText="1"/>
    </xf>
    <xf numFmtId="165" fontId="5" fillId="4" borderId="20" xfId="0" applyNumberFormat="1" applyFont="1" applyFill="1" applyBorder="1" applyAlignment="1">
      <alignment horizontal="center" vertical="center" wrapText="1"/>
    </xf>
    <xf numFmtId="0" fontId="13" fillId="3" borderId="21" xfId="0" applyFont="1" applyFill="1" applyBorder="1" applyAlignment="1">
      <alignment horizontal="center" vertical="center" wrapText="1"/>
    </xf>
    <xf numFmtId="0" fontId="13" fillId="3" borderId="25" xfId="0" applyFont="1" applyFill="1" applyBorder="1" applyAlignment="1">
      <alignment horizontal="center" vertical="center" wrapText="1"/>
    </xf>
    <xf numFmtId="0" fontId="13" fillId="3" borderId="20" xfId="0" applyFont="1" applyFill="1" applyBorder="1" applyAlignment="1">
      <alignment horizontal="center" vertical="center" wrapText="1"/>
    </xf>
    <xf numFmtId="165" fontId="5" fillId="0" borderId="21" xfId="0" applyNumberFormat="1" applyFont="1" applyBorder="1" applyAlignment="1">
      <alignment horizontal="center" vertical="center" wrapText="1"/>
    </xf>
    <xf numFmtId="165" fontId="5" fillId="0" borderId="20" xfId="0" applyNumberFormat="1" applyFont="1" applyBorder="1" applyAlignment="1">
      <alignment horizontal="center" vertical="center" wrapText="1"/>
    </xf>
    <xf numFmtId="10" fontId="5" fillId="0" borderId="21" xfId="0" applyNumberFormat="1" applyFont="1" applyBorder="1" applyAlignment="1">
      <alignment horizontal="center" vertical="center" wrapText="1"/>
    </xf>
    <xf numFmtId="10" fontId="5" fillId="0" borderId="20" xfId="0" applyNumberFormat="1" applyFont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left"/>
    </xf>
    <xf numFmtId="0" fontId="5" fillId="2" borderId="25" xfId="0" applyFont="1" applyFill="1" applyBorder="1" applyAlignment="1">
      <alignment horizontal="left"/>
    </xf>
    <xf numFmtId="0" fontId="5" fillId="2" borderId="20" xfId="0" applyFont="1" applyFill="1" applyBorder="1" applyAlignment="1">
      <alignment horizontal="left"/>
    </xf>
    <xf numFmtId="0" fontId="15" fillId="0" borderId="0" xfId="0" applyFont="1" applyAlignment="1">
      <alignment horizontal="center"/>
    </xf>
    <xf numFmtId="0" fontId="15" fillId="4" borderId="0" xfId="0" applyFont="1" applyFill="1" applyAlignment="1">
      <alignment wrapText="1"/>
    </xf>
    <xf numFmtId="0" fontId="0" fillId="0" borderId="0" xfId="0" applyAlignment="1">
      <alignment wrapText="1"/>
    </xf>
    <xf numFmtId="14" fontId="31" fillId="0" borderId="32" xfId="0" applyNumberFormat="1" applyFont="1" applyBorder="1" applyAlignment="1">
      <alignment horizontal="center" vertical="center" wrapText="1"/>
    </xf>
    <xf numFmtId="14" fontId="31" fillId="0" borderId="49" xfId="0" applyNumberFormat="1" applyFont="1" applyBorder="1" applyAlignment="1">
      <alignment horizontal="center" vertical="center" wrapText="1"/>
    </xf>
    <xf numFmtId="0" fontId="31" fillId="0" borderId="32" xfId="0" applyFont="1" applyBorder="1" applyAlignment="1">
      <alignment horizontal="center" vertical="top" wrapText="1"/>
    </xf>
    <xf numFmtId="0" fontId="31" fillId="0" borderId="33" xfId="0" applyFont="1" applyBorder="1" applyAlignment="1">
      <alignment horizontal="center" vertical="top" wrapText="1"/>
    </xf>
    <xf numFmtId="14" fontId="31" fillId="0" borderId="33" xfId="0" applyNumberFormat="1" applyFont="1" applyBorder="1" applyAlignment="1">
      <alignment horizontal="center" vertical="center" wrapText="1"/>
    </xf>
    <xf numFmtId="0" fontId="30" fillId="14" borderId="46" xfId="0" applyFont="1" applyFill="1" applyBorder="1" applyAlignment="1">
      <alignment horizontal="center" vertical="center" wrapText="1"/>
    </xf>
    <xf numFmtId="0" fontId="30" fillId="14" borderId="49" xfId="0" applyFont="1" applyFill="1" applyBorder="1" applyAlignment="1">
      <alignment horizontal="center" vertical="center" wrapText="1"/>
    </xf>
    <xf numFmtId="0" fontId="30" fillId="15" borderId="40" xfId="0" applyFont="1" applyFill="1" applyBorder="1" applyAlignment="1">
      <alignment horizontal="center" vertical="center" wrapText="1"/>
    </xf>
    <xf numFmtId="0" fontId="30" fillId="15" borderId="31" xfId="0" applyFont="1" applyFill="1" applyBorder="1" applyAlignment="1">
      <alignment horizontal="center" vertical="center" wrapText="1"/>
    </xf>
    <xf numFmtId="0" fontId="30" fillId="9" borderId="21" xfId="0" applyFont="1" applyFill="1" applyBorder="1" applyAlignment="1">
      <alignment horizontal="center" vertical="center" wrapText="1"/>
    </xf>
    <xf numFmtId="0" fontId="30" fillId="9" borderId="25" xfId="0" applyFont="1" applyFill="1" applyBorder="1" applyAlignment="1">
      <alignment horizontal="center" vertical="center" wrapText="1"/>
    </xf>
    <xf numFmtId="0" fontId="30" fillId="9" borderId="51" xfId="0" applyFont="1" applyFill="1" applyBorder="1" applyAlignment="1">
      <alignment horizontal="center" vertical="center" wrapText="1"/>
    </xf>
    <xf numFmtId="4" fontId="31" fillId="0" borderId="32" xfId="0" applyNumberFormat="1" applyFont="1" applyBorder="1" applyAlignment="1">
      <alignment horizontal="center" vertical="top" wrapText="1"/>
    </xf>
    <xf numFmtId="4" fontId="31" fillId="0" borderId="33" xfId="0" applyNumberFormat="1" applyFont="1" applyBorder="1" applyAlignment="1">
      <alignment horizontal="center" vertical="top" wrapText="1"/>
    </xf>
    <xf numFmtId="0" fontId="31" fillId="0" borderId="46" xfId="0" applyFont="1" applyBorder="1" applyAlignment="1">
      <alignment horizontal="center" vertical="top" wrapText="1"/>
    </xf>
    <xf numFmtId="0" fontId="31" fillId="0" borderId="49" xfId="0" applyFont="1" applyBorder="1" applyAlignment="1">
      <alignment horizontal="center" vertical="top" wrapText="1"/>
    </xf>
    <xf numFmtId="0" fontId="31" fillId="0" borderId="32" xfId="0" applyFont="1" applyBorder="1" applyAlignment="1">
      <alignment horizontal="left" vertical="top" wrapText="1"/>
    </xf>
    <xf numFmtId="0" fontId="31" fillId="0" borderId="33" xfId="0" applyFont="1" applyBorder="1" applyAlignment="1">
      <alignment horizontal="left" vertical="top" wrapText="1"/>
    </xf>
    <xf numFmtId="14" fontId="31" fillId="0" borderId="32" xfId="0" applyNumberFormat="1" applyFont="1" applyBorder="1" applyAlignment="1">
      <alignment horizontal="center" vertical="top" wrapText="1"/>
    </xf>
    <xf numFmtId="14" fontId="31" fillId="0" borderId="33" xfId="0" applyNumberFormat="1" applyFont="1" applyBorder="1" applyAlignment="1">
      <alignment horizontal="center" vertical="top" wrapText="1"/>
    </xf>
    <xf numFmtId="0" fontId="32" fillId="0" borderId="45" xfId="0" applyFont="1" applyBorder="1"/>
    <xf numFmtId="0" fontId="32" fillId="0" borderId="42" xfId="0" applyFont="1" applyBorder="1"/>
    <xf numFmtId="0" fontId="32" fillId="0" borderId="43" xfId="0" applyFont="1" applyBorder="1"/>
    <xf numFmtId="0" fontId="32" fillId="0" borderId="2" xfId="0" applyFont="1" applyBorder="1"/>
    <xf numFmtId="0" fontId="32" fillId="0" borderId="0" xfId="0" applyFont="1"/>
    <xf numFmtId="0" fontId="30" fillId="8" borderId="21" xfId="0" applyFont="1" applyFill="1" applyBorder="1" applyAlignment="1">
      <alignment horizontal="right" vertical="top" wrapText="1"/>
    </xf>
    <xf numFmtId="0" fontId="30" fillId="8" borderId="25" xfId="0" applyFont="1" applyFill="1" applyBorder="1" applyAlignment="1">
      <alignment horizontal="right" vertical="top" wrapText="1"/>
    </xf>
    <xf numFmtId="0" fontId="39" fillId="13" borderId="21" xfId="0" applyFont="1" applyFill="1" applyBorder="1" applyAlignment="1">
      <alignment horizontal="center" vertical="top" wrapText="1"/>
    </xf>
    <xf numFmtId="0" fontId="39" fillId="13" borderId="25" xfId="0" applyFont="1" applyFill="1" applyBorder="1" applyAlignment="1">
      <alignment horizontal="center" vertical="top" wrapText="1"/>
    </xf>
    <xf numFmtId="8" fontId="31" fillId="0" borderId="32" xfId="0" applyNumberFormat="1" applyFont="1" applyBorder="1" applyAlignment="1">
      <alignment horizontal="center" vertical="center" wrapText="1"/>
    </xf>
    <xf numFmtId="8" fontId="31" fillId="0" borderId="49" xfId="0" applyNumberFormat="1" applyFont="1" applyBorder="1" applyAlignment="1">
      <alignment horizontal="center" vertical="center" wrapText="1"/>
    </xf>
    <xf numFmtId="8" fontId="31" fillId="0" borderId="33" xfId="0" applyNumberFormat="1" applyFont="1" applyBorder="1" applyAlignment="1">
      <alignment horizontal="center" vertical="center" wrapText="1"/>
    </xf>
    <xf numFmtId="14" fontId="31" fillId="0" borderId="46" xfId="0" applyNumberFormat="1" applyFont="1" applyBorder="1" applyAlignment="1">
      <alignment horizontal="center" vertical="center" wrapText="1"/>
    </xf>
    <xf numFmtId="14" fontId="31" fillId="0" borderId="46" xfId="0" applyNumberFormat="1" applyFont="1" applyBorder="1" applyAlignment="1">
      <alignment vertical="center"/>
    </xf>
    <xf numFmtId="14" fontId="31" fillId="0" borderId="49" xfId="0" applyNumberFormat="1" applyFont="1" applyBorder="1" applyAlignment="1">
      <alignment vertical="center"/>
    </xf>
    <xf numFmtId="14" fontId="31" fillId="0" borderId="33" xfId="0" applyNumberFormat="1" applyFont="1" applyBorder="1" applyAlignment="1">
      <alignment vertical="center"/>
    </xf>
    <xf numFmtId="0" fontId="32" fillId="0" borderId="32" xfId="0" applyFont="1" applyBorder="1"/>
    <xf numFmtId="0" fontId="32" fillId="0" borderId="49" xfId="0" applyFont="1" applyBorder="1"/>
    <xf numFmtId="0" fontId="32" fillId="0" borderId="33" xfId="0" applyFont="1" applyBorder="1"/>
    <xf numFmtId="0" fontId="34" fillId="8" borderId="38" xfId="0" applyFont="1" applyFill="1" applyBorder="1" applyAlignment="1">
      <alignment horizontal="center" vertical="center" wrapText="1"/>
    </xf>
    <xf numFmtId="0" fontId="34" fillId="8" borderId="37" xfId="0" applyFont="1" applyFill="1" applyBorder="1" applyAlignment="1">
      <alignment horizontal="center" vertical="center" wrapText="1"/>
    </xf>
    <xf numFmtId="0" fontId="34" fillId="8" borderId="46" xfId="0" applyFont="1" applyFill="1" applyBorder="1" applyAlignment="1">
      <alignment horizontal="center" vertical="center" wrapText="1"/>
    </xf>
    <xf numFmtId="0" fontId="34" fillId="8" borderId="33" xfId="0" applyFont="1" applyFill="1" applyBorder="1" applyAlignment="1">
      <alignment horizontal="center" vertical="center" wrapText="1"/>
    </xf>
    <xf numFmtId="0" fontId="30" fillId="8" borderId="46" xfId="0" applyFont="1" applyFill="1" applyBorder="1" applyAlignment="1">
      <alignment horizontal="center" vertical="center" wrapText="1"/>
    </xf>
    <xf numFmtId="0" fontId="30" fillId="8" borderId="33" xfId="0" applyFont="1" applyFill="1" applyBorder="1" applyAlignment="1">
      <alignment horizontal="center" vertical="center" wrapText="1"/>
    </xf>
    <xf numFmtId="0" fontId="30" fillId="14" borderId="52" xfId="0" applyFont="1" applyFill="1" applyBorder="1" applyAlignment="1">
      <alignment horizontal="center" vertical="center" wrapText="1"/>
    </xf>
    <xf numFmtId="6" fontId="31" fillId="0" borderId="32" xfId="0" applyNumberFormat="1" applyFont="1" applyBorder="1" applyAlignment="1">
      <alignment vertical="center" wrapText="1"/>
    </xf>
    <xf numFmtId="6" fontId="31" fillId="0" borderId="49" xfId="0" applyNumberFormat="1" applyFont="1" applyBorder="1" applyAlignment="1">
      <alignment vertical="center" wrapText="1"/>
    </xf>
    <xf numFmtId="6" fontId="31" fillId="0" borderId="33" xfId="0" applyNumberFormat="1" applyFont="1" applyBorder="1" applyAlignment="1">
      <alignment vertical="center" wrapText="1"/>
    </xf>
    <xf numFmtId="14" fontId="31" fillId="0" borderId="52" xfId="0" applyNumberFormat="1" applyFont="1" applyBorder="1" applyAlignment="1">
      <alignment horizontal="center" vertical="center" wrapText="1"/>
    </xf>
    <xf numFmtId="14" fontId="31" fillId="0" borderId="52" xfId="0" applyNumberFormat="1" applyFont="1" applyBorder="1" applyAlignment="1">
      <alignment vertical="center"/>
    </xf>
    <xf numFmtId="0" fontId="30" fillId="8" borderId="38" xfId="0" applyFont="1" applyFill="1" applyBorder="1" applyAlignment="1">
      <alignment horizontal="center" vertical="center" wrapText="1"/>
    </xf>
    <xf numFmtId="0" fontId="30" fillId="8" borderId="34" xfId="0" applyFont="1" applyFill="1" applyBorder="1" applyAlignment="1">
      <alignment horizontal="center" vertical="center" wrapText="1"/>
    </xf>
    <xf numFmtId="0" fontId="30" fillId="8" borderId="39" xfId="0" applyFont="1" applyFill="1" applyBorder="1" applyAlignment="1">
      <alignment horizontal="center" vertical="center" wrapText="1"/>
    </xf>
    <xf numFmtId="0" fontId="30" fillId="8" borderId="55" xfId="0" applyFont="1" applyFill="1" applyBorder="1" applyAlignment="1">
      <alignment horizontal="center" vertical="center" wrapText="1"/>
    </xf>
    <xf numFmtId="0" fontId="30" fillId="8" borderId="3" xfId="0" applyFont="1" applyFill="1" applyBorder="1" applyAlignment="1">
      <alignment horizontal="center" vertical="center" wrapText="1"/>
    </xf>
    <xf numFmtId="0" fontId="30" fillId="8" borderId="18" xfId="0" applyFont="1" applyFill="1" applyBorder="1" applyAlignment="1">
      <alignment horizontal="center" vertical="center" wrapText="1"/>
    </xf>
    <xf numFmtId="8" fontId="31" fillId="0" borderId="32" xfId="0" applyNumberFormat="1" applyFont="1" applyBorder="1" applyAlignment="1">
      <alignment vertical="center" wrapText="1"/>
    </xf>
    <xf numFmtId="8" fontId="31" fillId="0" borderId="49" xfId="0" applyNumberFormat="1" applyFont="1" applyBorder="1" applyAlignment="1">
      <alignment vertical="center" wrapText="1"/>
    </xf>
    <xf numFmtId="8" fontId="31" fillId="0" borderId="33" xfId="0" applyNumberFormat="1" applyFont="1" applyBorder="1" applyAlignment="1">
      <alignment vertical="center" wrapText="1"/>
    </xf>
    <xf numFmtId="0" fontId="32" fillId="0" borderId="46" xfId="0" applyFont="1" applyBorder="1"/>
    <xf numFmtId="0" fontId="32" fillId="0" borderId="41" xfId="0" applyFont="1" applyBorder="1"/>
    <xf numFmtId="0" fontId="30" fillId="13" borderId="41" xfId="0" applyFont="1" applyFill="1" applyBorder="1" applyAlignment="1">
      <alignment horizontal="center" vertical="center" wrapText="1"/>
    </xf>
    <xf numFmtId="0" fontId="30" fillId="13" borderId="43" xfId="0" applyFont="1" applyFill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0" fontId="30" fillId="0" borderId="37" xfId="0" applyFont="1" applyBorder="1" applyAlignment="1">
      <alignment horizontal="center" vertical="center" wrapText="1"/>
    </xf>
    <xf numFmtId="0" fontId="32" fillId="0" borderId="41" xfId="0" applyFont="1" applyBorder="1" applyAlignment="1">
      <alignment horizontal="center" vertical="center"/>
    </xf>
    <xf numFmtId="0" fontId="32" fillId="0" borderId="42" xfId="0" applyFont="1" applyBorder="1" applyAlignment="1">
      <alignment horizontal="center" vertical="center"/>
    </xf>
    <xf numFmtId="0" fontId="32" fillId="0" borderId="43" xfId="0" applyFont="1" applyBorder="1" applyAlignment="1">
      <alignment horizontal="center" vertical="center"/>
    </xf>
    <xf numFmtId="9" fontId="37" fillId="0" borderId="38" xfId="0" applyNumberFormat="1" applyFont="1" applyBorder="1" applyAlignment="1">
      <alignment horizontal="center" vertical="center"/>
    </xf>
    <xf numFmtId="9" fontId="37" fillId="0" borderId="35" xfId="0" applyNumberFormat="1" applyFont="1" applyBorder="1" applyAlignment="1">
      <alignment horizontal="center" vertical="center"/>
    </xf>
    <xf numFmtId="9" fontId="37" fillId="0" borderId="37" xfId="0" applyNumberFormat="1" applyFont="1" applyBorder="1" applyAlignment="1">
      <alignment horizontal="center" vertical="center"/>
    </xf>
    <xf numFmtId="0" fontId="37" fillId="0" borderId="44" xfId="0" applyFont="1" applyBorder="1" applyAlignment="1">
      <alignment horizontal="center" vertical="center"/>
    </xf>
    <xf numFmtId="0" fontId="37" fillId="0" borderId="37" xfId="0" applyFont="1" applyBorder="1" applyAlignment="1">
      <alignment horizontal="center" vertical="center"/>
    </xf>
    <xf numFmtId="0" fontId="32" fillId="0" borderId="45" xfId="0" applyFont="1" applyBorder="1" applyAlignment="1">
      <alignment horizontal="center" vertical="center"/>
    </xf>
    <xf numFmtId="9" fontId="37" fillId="0" borderId="44" xfId="0" applyNumberFormat="1" applyFont="1" applyBorder="1" applyAlignment="1">
      <alignment horizontal="center" vertical="center" wrapText="1"/>
    </xf>
    <xf numFmtId="9" fontId="37" fillId="0" borderId="37" xfId="0" applyNumberFormat="1" applyFont="1" applyBorder="1" applyAlignment="1">
      <alignment horizontal="center" vertical="center" wrapText="1"/>
    </xf>
    <xf numFmtId="0" fontId="30" fillId="0" borderId="44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/>
    </xf>
    <xf numFmtId="0" fontId="37" fillId="0" borderId="44" xfId="0" applyFont="1" applyBorder="1" applyAlignment="1">
      <alignment horizontal="center" vertical="center" wrapText="1"/>
    </xf>
    <xf numFmtId="0" fontId="37" fillId="0" borderId="34" xfId="0" applyFont="1" applyBorder="1" applyAlignment="1">
      <alignment horizontal="center" vertical="center" wrapText="1"/>
    </xf>
    <xf numFmtId="0" fontId="34" fillId="10" borderId="21" xfId="0" applyFont="1" applyFill="1" applyBorder="1" applyAlignment="1">
      <alignment horizontal="center" vertical="center" wrapText="1"/>
    </xf>
    <xf numFmtId="0" fontId="34" fillId="10" borderId="25" xfId="0" applyFont="1" applyFill="1" applyBorder="1" applyAlignment="1">
      <alignment horizontal="center" vertical="center" wrapText="1"/>
    </xf>
    <xf numFmtId="0" fontId="34" fillId="11" borderId="21" xfId="0" applyFont="1" applyFill="1" applyBorder="1" applyAlignment="1">
      <alignment horizontal="center" vertical="center"/>
    </xf>
    <xf numFmtId="0" fontId="34" fillId="11" borderId="25" xfId="0" applyFont="1" applyFill="1" applyBorder="1" applyAlignment="1">
      <alignment horizontal="center" vertical="center"/>
    </xf>
    <xf numFmtId="0" fontId="30" fillId="12" borderId="3" xfId="0" applyFont="1" applyFill="1" applyBorder="1" applyAlignment="1">
      <alignment horizontal="center" vertical="center" wrapText="1"/>
    </xf>
    <xf numFmtId="0" fontId="30" fillId="12" borderId="18" xfId="0" applyFont="1" applyFill="1" applyBorder="1" applyAlignment="1">
      <alignment horizontal="center" vertical="center" wrapText="1"/>
    </xf>
    <xf numFmtId="0" fontId="30" fillId="13" borderId="36" xfId="0" applyFont="1" applyFill="1" applyBorder="1" applyAlignment="1">
      <alignment horizontal="center" vertical="center" wrapText="1"/>
    </xf>
    <xf numFmtId="0" fontId="30" fillId="13" borderId="54" xfId="0" applyFont="1" applyFill="1" applyBorder="1" applyAlignment="1">
      <alignment horizontal="center" vertical="center" wrapText="1"/>
    </xf>
    <xf numFmtId="0" fontId="30" fillId="12" borderId="36" xfId="0" applyFont="1" applyFill="1" applyBorder="1" applyAlignment="1">
      <alignment horizontal="center" vertical="center" wrapText="1"/>
    </xf>
    <xf numFmtId="0" fontId="30" fillId="12" borderId="54" xfId="0" applyFont="1" applyFill="1" applyBorder="1" applyAlignment="1">
      <alignment horizontal="center" vertical="center" wrapText="1"/>
    </xf>
    <xf numFmtId="0" fontId="30" fillId="13" borderId="17" xfId="0" applyFont="1" applyFill="1" applyBorder="1" applyAlignment="1">
      <alignment horizontal="center" vertical="center" wrapText="1"/>
    </xf>
    <xf numFmtId="0" fontId="32" fillId="0" borderId="17" xfId="0" applyFont="1" applyBorder="1"/>
    <xf numFmtId="0" fontId="35" fillId="13" borderId="29" xfId="0" applyFont="1" applyFill="1" applyBorder="1" applyAlignment="1">
      <alignment horizontal="center" vertical="center" wrapText="1"/>
    </xf>
    <xf numFmtId="0" fontId="35" fillId="13" borderId="26" xfId="0" applyFont="1" applyFill="1" applyBorder="1" applyAlignment="1">
      <alignment horizontal="center" vertical="center" wrapText="1"/>
    </xf>
    <xf numFmtId="0" fontId="35" fillId="12" borderId="29" xfId="0" applyFont="1" applyFill="1" applyBorder="1" applyAlignment="1">
      <alignment horizontal="center" vertical="center" wrapText="1"/>
    </xf>
    <xf numFmtId="0" fontId="35" fillId="12" borderId="26" xfId="0" applyFont="1" applyFill="1" applyBorder="1" applyAlignment="1">
      <alignment horizontal="center" vertical="center" wrapText="1"/>
    </xf>
    <xf numFmtId="0" fontId="35" fillId="13" borderId="19" xfId="0" applyFont="1" applyFill="1" applyBorder="1" applyAlignment="1">
      <alignment horizontal="center" vertical="center" wrapText="1"/>
    </xf>
    <xf numFmtId="168" fontId="7" fillId="0" borderId="0" xfId="2" applyNumberFormat="1" applyFont="1" applyFill="1"/>
  </cellXfs>
  <cellStyles count="24">
    <cellStyle name="Millares" xfId="1" builtinId="3"/>
    <cellStyle name="Millares [0]" xfId="2" builtinId="6"/>
    <cellStyle name="Millares [0] 2" xfId="15" xr:uid="{00000000-0005-0000-0000-000002000000}"/>
    <cellStyle name="Millares 2" xfId="5" xr:uid="{00000000-0005-0000-0000-000003000000}"/>
    <cellStyle name="Millares 2 2" xfId="16" xr:uid="{00000000-0005-0000-0000-000004000000}"/>
    <cellStyle name="Millares 3" xfId="4" xr:uid="{00000000-0005-0000-0000-000005000000}"/>
    <cellStyle name="Millares 4" xfId="12" xr:uid="{00000000-0005-0000-0000-000006000000}"/>
    <cellStyle name="Moneda" xfId="3" builtinId="4"/>
    <cellStyle name="Moneda 2" xfId="6" xr:uid="{00000000-0005-0000-0000-000008000000}"/>
    <cellStyle name="Moneda 3" xfId="13" xr:uid="{00000000-0005-0000-0000-000009000000}"/>
    <cellStyle name="Moneda 4" xfId="22" xr:uid="{6FF89EA7-22C8-4D23-803E-3BDA70118F3A}"/>
    <cellStyle name="Normal" xfId="0" builtinId="0"/>
    <cellStyle name="Normal 2" xfId="7" xr:uid="{00000000-0005-0000-0000-00000B000000}"/>
    <cellStyle name="Normal 3" xfId="8" xr:uid="{00000000-0005-0000-0000-00000C000000}"/>
    <cellStyle name="Normal 3 2" xfId="17" xr:uid="{00000000-0005-0000-0000-00000D000000}"/>
    <cellStyle name="Normal 4" xfId="9" xr:uid="{00000000-0005-0000-0000-00000E000000}"/>
    <cellStyle name="Normal 4 2" xfId="18" xr:uid="{00000000-0005-0000-0000-00000F000000}"/>
    <cellStyle name="Normal 5" xfId="21" xr:uid="{F95074D5-3758-44E9-8039-A8D8BE7E48E2}"/>
    <cellStyle name="Porcentaje 2" xfId="10" xr:uid="{00000000-0005-0000-0000-000010000000}"/>
    <cellStyle name="Porcentaje 2 2" xfId="19" xr:uid="{00000000-0005-0000-0000-000011000000}"/>
    <cellStyle name="Porcentaje 3" xfId="11" xr:uid="{00000000-0005-0000-0000-000012000000}"/>
    <cellStyle name="Porcentaje 3 2" xfId="20" xr:uid="{00000000-0005-0000-0000-000013000000}"/>
    <cellStyle name="Porcentaje 4" xfId="14" xr:uid="{00000000-0005-0000-0000-000014000000}"/>
    <cellStyle name="Porcentaje 5" xfId="23" xr:uid="{3A9111B3-9298-4ACC-A797-0060A32E14C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28575</xdr:rowOff>
        </xdr:from>
        <xdr:to>
          <xdr:col>1</xdr:col>
          <xdr:colOff>123825</xdr:colOff>
          <xdr:row>3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0</xdr:col>
      <xdr:colOff>1219200</xdr:colOff>
      <xdr:row>14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640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1219200</xdr:colOff>
      <xdr:row>79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401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3</xdr:col>
          <xdr:colOff>190500</xdr:colOff>
          <xdr:row>2</xdr:row>
          <xdr:rowOff>180975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1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0</xdr:colOff>
      <xdr:row>56</xdr:row>
      <xdr:rowOff>161925</xdr:rowOff>
    </xdr:from>
    <xdr:ext cx="2237426" cy="78645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267575"/>
          <a:ext cx="2237426" cy="78645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65</xdr:row>
          <xdr:rowOff>28575</xdr:rowOff>
        </xdr:from>
        <xdr:to>
          <xdr:col>3</xdr:col>
          <xdr:colOff>0</xdr:colOff>
          <xdr:row>68</xdr:row>
          <xdr:rowOff>0</xdr:rowOff>
        </xdr:to>
        <xdr:sp macro="" textlink="">
          <xdr:nvSpPr>
            <xdr:cNvPr id="17410" name="Object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1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0</xdr:colOff>
      <xdr:row>121</xdr:row>
      <xdr:rowOff>161925</xdr:rowOff>
    </xdr:from>
    <xdr:ext cx="2237426" cy="786452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858125"/>
          <a:ext cx="2237426" cy="78645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130</xdr:row>
          <xdr:rowOff>28575</xdr:rowOff>
        </xdr:from>
        <xdr:to>
          <xdr:col>3</xdr:col>
          <xdr:colOff>0</xdr:colOff>
          <xdr:row>133</xdr:row>
          <xdr:rowOff>0</xdr:rowOff>
        </xdr:to>
        <xdr:sp macro="" textlink="">
          <xdr:nvSpPr>
            <xdr:cNvPr id="17411" name="Object 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01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0</xdr:colOff>
      <xdr:row>187</xdr:row>
      <xdr:rowOff>161925</xdr:rowOff>
    </xdr:from>
    <xdr:ext cx="2237426" cy="786452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240250"/>
          <a:ext cx="2237426" cy="786452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4</xdr:col>
          <xdr:colOff>571500</xdr:colOff>
          <xdr:row>2</xdr:row>
          <xdr:rowOff>180975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2</xdr:col>
          <xdr:colOff>390525</xdr:colOff>
          <xdr:row>3</xdr:row>
          <xdr:rowOff>9525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3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123825</xdr:rowOff>
        </xdr:from>
        <xdr:to>
          <xdr:col>2</xdr:col>
          <xdr:colOff>361950</xdr:colOff>
          <xdr:row>2</xdr:row>
          <xdr:rowOff>152400</xdr:rowOff>
        </xdr:to>
        <xdr:sp macro="" textlink="">
          <xdr:nvSpPr>
            <xdr:cNvPr id="30722" name="Object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3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0</xdr:colOff>
      <xdr:row>33</xdr:row>
      <xdr:rowOff>0</xdr:rowOff>
    </xdr:from>
    <xdr:ext cx="2237426" cy="78645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810500"/>
          <a:ext cx="2237426" cy="78645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40</xdr:row>
          <xdr:rowOff>9525</xdr:rowOff>
        </xdr:from>
        <xdr:to>
          <xdr:col>2</xdr:col>
          <xdr:colOff>390525</xdr:colOff>
          <xdr:row>43</xdr:row>
          <xdr:rowOff>9525</xdr:rowOff>
        </xdr:to>
        <xdr:sp macro="" textlink="">
          <xdr:nvSpPr>
            <xdr:cNvPr id="30725" name="Object 5" hidden="1">
              <a:extLst>
                <a:ext uri="{63B3BB69-23CF-44E3-9099-C40C66FF867C}">
                  <a14:compatExt spid="_x0000_s30725"/>
                </a:ext>
                <a:ext uri="{FF2B5EF4-FFF2-40B4-BE49-F238E27FC236}">
                  <a16:creationId xmlns:a16="http://schemas.microsoft.com/office/drawing/2014/main" id="{00000000-0008-0000-0300-00000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123825</xdr:rowOff>
        </xdr:from>
        <xdr:to>
          <xdr:col>2</xdr:col>
          <xdr:colOff>361950</xdr:colOff>
          <xdr:row>42</xdr:row>
          <xdr:rowOff>152400</xdr:rowOff>
        </xdr:to>
        <xdr:sp macro="" textlink="">
          <xdr:nvSpPr>
            <xdr:cNvPr id="30726" name="Object 6" hidden="1">
              <a:extLst>
                <a:ext uri="{63B3BB69-23CF-44E3-9099-C40C66FF867C}">
                  <a14:compatExt spid="_x0000_s30726"/>
                </a:ext>
                <a:ext uri="{FF2B5EF4-FFF2-40B4-BE49-F238E27FC236}">
                  <a16:creationId xmlns:a16="http://schemas.microsoft.com/office/drawing/2014/main" id="{00000000-0008-0000-0300-00000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0</xdr:colOff>
      <xdr:row>73</xdr:row>
      <xdr:rowOff>0</xdr:rowOff>
    </xdr:from>
    <xdr:ext cx="2237426" cy="786452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276975"/>
          <a:ext cx="2237426" cy="78645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80</xdr:row>
          <xdr:rowOff>9525</xdr:rowOff>
        </xdr:from>
        <xdr:to>
          <xdr:col>2</xdr:col>
          <xdr:colOff>390525</xdr:colOff>
          <xdr:row>83</xdr:row>
          <xdr:rowOff>9525</xdr:rowOff>
        </xdr:to>
        <xdr:sp macro="" textlink="">
          <xdr:nvSpPr>
            <xdr:cNvPr id="30727" name="Object 7" hidden="1">
              <a:extLst>
                <a:ext uri="{63B3BB69-23CF-44E3-9099-C40C66FF867C}">
                  <a14:compatExt spid="_x0000_s30727"/>
                </a:ext>
                <a:ext uri="{FF2B5EF4-FFF2-40B4-BE49-F238E27FC236}">
                  <a16:creationId xmlns:a16="http://schemas.microsoft.com/office/drawing/2014/main" id="{00000000-0008-0000-0300-00000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80</xdr:row>
          <xdr:rowOff>123825</xdr:rowOff>
        </xdr:from>
        <xdr:to>
          <xdr:col>2</xdr:col>
          <xdr:colOff>361950</xdr:colOff>
          <xdr:row>82</xdr:row>
          <xdr:rowOff>152400</xdr:rowOff>
        </xdr:to>
        <xdr:sp macro="" textlink="">
          <xdr:nvSpPr>
            <xdr:cNvPr id="30728" name="Object 8" hidden="1">
              <a:extLst>
                <a:ext uri="{63B3BB69-23CF-44E3-9099-C40C66FF867C}">
                  <a14:compatExt spid="_x0000_s30728"/>
                </a:ext>
                <a:ext uri="{FF2B5EF4-FFF2-40B4-BE49-F238E27FC236}">
                  <a16:creationId xmlns:a16="http://schemas.microsoft.com/office/drawing/2014/main" id="{00000000-0008-0000-0300-00000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0</xdr:colOff>
      <xdr:row>112</xdr:row>
      <xdr:rowOff>0</xdr:rowOff>
    </xdr:from>
    <xdr:ext cx="2237426" cy="786452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792200"/>
          <a:ext cx="2237426" cy="78645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2</xdr:col>
          <xdr:colOff>390525</xdr:colOff>
          <xdr:row>3</xdr:row>
          <xdr:rowOff>9525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4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123825</xdr:rowOff>
        </xdr:from>
        <xdr:to>
          <xdr:col>2</xdr:col>
          <xdr:colOff>361950</xdr:colOff>
          <xdr:row>2</xdr:row>
          <xdr:rowOff>152400</xdr:rowOff>
        </xdr:to>
        <xdr:sp macro="" textlink="">
          <xdr:nvSpPr>
            <xdr:cNvPr id="33794" name="Object 2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4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0</xdr:colOff>
      <xdr:row>32</xdr:row>
      <xdr:rowOff>0</xdr:rowOff>
    </xdr:from>
    <xdr:ext cx="2237426" cy="78645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57950"/>
          <a:ext cx="2237426" cy="78645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70</xdr:row>
      <xdr:rowOff>0</xdr:rowOff>
    </xdr:from>
    <xdr:ext cx="2237426" cy="786452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611225"/>
          <a:ext cx="2237426" cy="78645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108</xdr:row>
      <xdr:rowOff>0</xdr:rowOff>
    </xdr:from>
    <xdr:ext cx="2237426" cy="786452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640675"/>
          <a:ext cx="2237426" cy="786452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2</xdr:col>
          <xdr:colOff>390525</xdr:colOff>
          <xdr:row>3</xdr:row>
          <xdr:rowOff>9525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05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123825</xdr:rowOff>
        </xdr:from>
        <xdr:to>
          <xdr:col>2</xdr:col>
          <xdr:colOff>361950</xdr:colOff>
          <xdr:row>2</xdr:row>
          <xdr:rowOff>152400</xdr:rowOff>
        </xdr:to>
        <xdr:sp macro="" textlink="">
          <xdr:nvSpPr>
            <xdr:cNvPr id="37890" name="Object 2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05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0</xdr:colOff>
      <xdr:row>37</xdr:row>
      <xdr:rowOff>0</xdr:rowOff>
    </xdr:from>
    <xdr:ext cx="2237426" cy="78645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257925"/>
          <a:ext cx="2237426" cy="78645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82</xdr:row>
      <xdr:rowOff>0</xdr:rowOff>
    </xdr:from>
    <xdr:ext cx="2237426" cy="786452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411200"/>
          <a:ext cx="2237426" cy="78645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143</xdr:row>
      <xdr:rowOff>0</xdr:rowOff>
    </xdr:from>
    <xdr:ext cx="2237426" cy="786452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440650"/>
          <a:ext cx="2237426" cy="78645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2</xdr:col>
          <xdr:colOff>390525</xdr:colOff>
          <xdr:row>3</xdr:row>
          <xdr:rowOff>9525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06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123825</xdr:rowOff>
        </xdr:from>
        <xdr:to>
          <xdr:col>2</xdr:col>
          <xdr:colOff>361950</xdr:colOff>
          <xdr:row>2</xdr:row>
          <xdr:rowOff>152400</xdr:rowOff>
        </xdr:to>
        <xdr:sp macro="" textlink="">
          <xdr:nvSpPr>
            <xdr:cNvPr id="38914" name="Object 2" hidden="1">
              <a:extLst>
                <a:ext uri="{63B3BB69-23CF-44E3-9099-C40C66FF867C}">
                  <a14:compatExt spid="_x0000_s38914"/>
                </a:ext>
                <a:ext uri="{FF2B5EF4-FFF2-40B4-BE49-F238E27FC236}">
                  <a16:creationId xmlns:a16="http://schemas.microsoft.com/office/drawing/2014/main" id="{00000000-0008-0000-0600-00000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0</xdr:colOff>
      <xdr:row>64</xdr:row>
      <xdr:rowOff>0</xdr:rowOff>
    </xdr:from>
    <xdr:ext cx="2237426" cy="78645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257925"/>
          <a:ext cx="2237426" cy="78645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134</xdr:row>
      <xdr:rowOff>57150</xdr:rowOff>
    </xdr:from>
    <xdr:ext cx="2237426" cy="786452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326975"/>
          <a:ext cx="2237426" cy="78645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204</xdr:row>
      <xdr:rowOff>104775</xdr:rowOff>
    </xdr:from>
    <xdr:ext cx="2237426" cy="786452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47625"/>
          <a:ext cx="2237426" cy="78645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31</xdr:row>
          <xdr:rowOff>9525</xdr:rowOff>
        </xdr:from>
        <xdr:to>
          <xdr:col>2</xdr:col>
          <xdr:colOff>390525</xdr:colOff>
          <xdr:row>34</xdr:row>
          <xdr:rowOff>9525</xdr:rowOff>
        </xdr:to>
        <xdr:sp macro="" textlink="">
          <xdr:nvSpPr>
            <xdr:cNvPr id="38915" name="Object 3" hidden="1">
              <a:extLst>
                <a:ext uri="{63B3BB69-23CF-44E3-9099-C40C66FF867C}">
                  <a14:compatExt spid="_x0000_s38915"/>
                </a:ext>
                <a:ext uri="{FF2B5EF4-FFF2-40B4-BE49-F238E27FC236}">
                  <a16:creationId xmlns:a16="http://schemas.microsoft.com/office/drawing/2014/main" id="{00000000-0008-0000-0600-00000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31</xdr:row>
          <xdr:rowOff>123825</xdr:rowOff>
        </xdr:from>
        <xdr:to>
          <xdr:col>2</xdr:col>
          <xdr:colOff>361950</xdr:colOff>
          <xdr:row>33</xdr:row>
          <xdr:rowOff>152400</xdr:rowOff>
        </xdr:to>
        <xdr:sp macro="" textlink="">
          <xdr:nvSpPr>
            <xdr:cNvPr id="38916" name="Object 4" hidden="1">
              <a:extLst>
                <a:ext uri="{63B3BB69-23CF-44E3-9099-C40C66FF867C}">
                  <a14:compatExt spid="_x0000_s38916"/>
                </a:ext>
                <a:ext uri="{FF2B5EF4-FFF2-40B4-BE49-F238E27FC236}">
                  <a16:creationId xmlns:a16="http://schemas.microsoft.com/office/drawing/2014/main" id="{00000000-0008-0000-0600-000004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2</xdr:col>
          <xdr:colOff>390525</xdr:colOff>
          <xdr:row>3</xdr:row>
          <xdr:rowOff>9525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07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123825</xdr:rowOff>
        </xdr:from>
        <xdr:to>
          <xdr:col>2</xdr:col>
          <xdr:colOff>361950</xdr:colOff>
          <xdr:row>2</xdr:row>
          <xdr:rowOff>152400</xdr:rowOff>
        </xdr:to>
        <xdr:sp macro="" textlink="">
          <xdr:nvSpPr>
            <xdr:cNvPr id="26626" name="Object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07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0</xdr:colOff>
      <xdr:row>69</xdr:row>
      <xdr:rowOff>0</xdr:rowOff>
    </xdr:from>
    <xdr:ext cx="2237426" cy="78645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001000"/>
          <a:ext cx="2237426" cy="78645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144</xdr:row>
      <xdr:rowOff>95250</xdr:rowOff>
    </xdr:from>
    <xdr:ext cx="2237426" cy="786452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927050"/>
          <a:ext cx="2237426" cy="786452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221</xdr:row>
      <xdr:rowOff>95250</xdr:rowOff>
    </xdr:from>
    <xdr:ext cx="2237426" cy="786452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8604825"/>
          <a:ext cx="2237426" cy="786452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14</xdr:col>
      <xdr:colOff>544013</xdr:colOff>
      <xdr:row>41</xdr:row>
      <xdr:rowOff>51321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0"/>
          <a:ext cx="9631119" cy="6782747"/>
        </a:xfrm>
        <a:prstGeom prst="rect">
          <a:avLst/>
        </a:prstGeom>
      </xdr:spPr>
    </xdr:pic>
    <xdr:clientData/>
  </xdr:twoCellAnchor>
  <xdr:twoCellAnchor editAs="oneCell">
    <xdr:from>
      <xdr:col>1</xdr:col>
      <xdr:colOff>642458</xdr:colOff>
      <xdr:row>43</xdr:row>
      <xdr:rowOff>137441</xdr:rowOff>
    </xdr:from>
    <xdr:to>
      <xdr:col>10</xdr:col>
      <xdr:colOff>198170</xdr:colOff>
      <xdr:row>66</xdr:row>
      <xdr:rowOff>150227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4958" y="7194891"/>
          <a:ext cx="6584395" cy="37620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9</xdr:col>
      <xdr:colOff>1165267</xdr:colOff>
      <xdr:row>106</xdr:row>
      <xdr:rowOff>137421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0" y="12110814"/>
          <a:ext cx="7020905" cy="53537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10</xdr:col>
      <xdr:colOff>1748</xdr:colOff>
      <xdr:row>153</xdr:row>
      <xdr:rowOff>104534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0" y="17653213"/>
          <a:ext cx="7030431" cy="744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163011</xdr:rowOff>
    </xdr:from>
    <xdr:to>
      <xdr:col>9</xdr:col>
      <xdr:colOff>1127161</xdr:colOff>
      <xdr:row>200</xdr:row>
      <xdr:rowOff>8207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00" y="25151753"/>
          <a:ext cx="6982799" cy="7506748"/>
        </a:xfrm>
        <a:prstGeom prst="rect">
          <a:avLst/>
        </a:prstGeom>
      </xdr:spPr>
    </xdr:pic>
    <xdr:clientData/>
  </xdr:twoCellAnchor>
  <xdr:twoCellAnchor editAs="oneCell">
    <xdr:from>
      <xdr:col>1</xdr:col>
      <xdr:colOff>1236971</xdr:colOff>
      <xdr:row>200</xdr:row>
      <xdr:rowOff>163011</xdr:rowOff>
    </xdr:from>
    <xdr:to>
      <xdr:col>12</xdr:col>
      <xdr:colOff>153101</xdr:colOff>
      <xdr:row>241</xdr:row>
      <xdr:rowOff>138434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89471" y="32813305"/>
          <a:ext cx="6858957" cy="665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9</xdr:col>
      <xdr:colOff>184188</xdr:colOff>
      <xdr:row>285</xdr:row>
      <xdr:rowOff>30452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9496787"/>
          <a:ext cx="6992326" cy="7039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9</xdr:col>
      <xdr:colOff>184188</xdr:colOff>
      <xdr:row>327</xdr:row>
      <xdr:rowOff>126780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6506292"/>
          <a:ext cx="6992326" cy="6973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9</xdr:col>
      <xdr:colOff>203240</xdr:colOff>
      <xdr:row>368</xdr:row>
      <xdr:rowOff>109855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3515797"/>
          <a:ext cx="7011378" cy="6630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9</xdr:col>
      <xdr:colOff>146082</xdr:colOff>
      <xdr:row>414</xdr:row>
      <xdr:rowOff>75956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0199279"/>
          <a:ext cx="6954220" cy="74114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</xdr:row>
      <xdr:rowOff>0</xdr:rowOff>
    </xdr:from>
    <xdr:to>
      <xdr:col>9</xdr:col>
      <xdr:colOff>155609</xdr:colOff>
      <xdr:row>434</xdr:row>
      <xdr:rowOff>75045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67697819"/>
          <a:ext cx="6963747" cy="3172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435</xdr:row>
      <xdr:rowOff>0</xdr:rowOff>
    </xdr:from>
    <xdr:to>
      <xdr:col>9</xdr:col>
      <xdr:colOff>212767</xdr:colOff>
      <xdr:row>455</xdr:row>
      <xdr:rowOff>83507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70958054"/>
          <a:ext cx="7020905" cy="3343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</xdr:row>
      <xdr:rowOff>163011</xdr:rowOff>
    </xdr:from>
    <xdr:to>
      <xdr:col>9</xdr:col>
      <xdr:colOff>193714</xdr:colOff>
      <xdr:row>475</xdr:row>
      <xdr:rowOff>94097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4381300"/>
          <a:ext cx="7001852" cy="3191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475</xdr:row>
      <xdr:rowOff>163012</xdr:rowOff>
    </xdr:from>
    <xdr:to>
      <xdr:col>9</xdr:col>
      <xdr:colOff>184188</xdr:colOff>
      <xdr:row>500</xdr:row>
      <xdr:rowOff>69724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77641535"/>
          <a:ext cx="6992326" cy="39820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</xdr:row>
      <xdr:rowOff>0</xdr:rowOff>
    </xdr:from>
    <xdr:to>
      <xdr:col>9</xdr:col>
      <xdr:colOff>917715</xdr:colOff>
      <xdr:row>551</xdr:row>
      <xdr:rowOff>157437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81879841"/>
          <a:ext cx="7725853" cy="8145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9</xdr:col>
      <xdr:colOff>1003452</xdr:colOff>
      <xdr:row>592</xdr:row>
      <xdr:rowOff>14592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90030428"/>
          <a:ext cx="7811590" cy="6535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14</xdr:col>
      <xdr:colOff>467935</xdr:colOff>
      <xdr:row>594</xdr:row>
      <xdr:rowOff>117254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90030428"/>
          <a:ext cx="10507541" cy="6963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4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3" Type="http://schemas.openxmlformats.org/officeDocument/2006/relationships/vmlDrawing" Target="../drawings/vmlDrawing4.vml"/><Relationship Id="rId7" Type="http://schemas.openxmlformats.org/officeDocument/2006/relationships/oleObject" Target="../embeddings/oleObject8.bin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7.bin"/><Relationship Id="rId5" Type="http://schemas.openxmlformats.org/officeDocument/2006/relationships/image" Target="../media/image1.emf"/><Relationship Id="rId10" Type="http://schemas.openxmlformats.org/officeDocument/2006/relationships/oleObject" Target="../embeddings/oleObject11.bin"/><Relationship Id="rId4" Type="http://schemas.openxmlformats.org/officeDocument/2006/relationships/oleObject" Target="../embeddings/oleObject6.bin"/><Relationship Id="rId9" Type="http://schemas.openxmlformats.org/officeDocument/2006/relationships/oleObject" Target="../embeddings/oleObject1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9.bin"/><Relationship Id="rId3" Type="http://schemas.openxmlformats.org/officeDocument/2006/relationships/vmlDrawing" Target="../drawings/vmlDrawing7.vml"/><Relationship Id="rId7" Type="http://schemas.openxmlformats.org/officeDocument/2006/relationships/oleObject" Target="../embeddings/oleObject18.bin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2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9"/>
  <sheetViews>
    <sheetView topLeftCell="A4" workbookViewId="0">
      <selection activeCell="B6" sqref="B6:D6"/>
    </sheetView>
  </sheetViews>
  <sheetFormatPr baseColWidth="10" defaultColWidth="11.42578125" defaultRowHeight="12.75"/>
  <cols>
    <col min="1" max="1" width="30.85546875" customWidth="1"/>
    <col min="2" max="2" width="39.85546875" customWidth="1"/>
    <col min="3" max="3" width="3.42578125" customWidth="1"/>
    <col min="4" max="4" width="29.7109375" customWidth="1"/>
    <col min="5" max="5" width="36.7109375" customWidth="1"/>
  </cols>
  <sheetData>
    <row r="1" spans="1:5" ht="15.95" customHeight="1">
      <c r="A1" s="279" t="s">
        <v>0</v>
      </c>
      <c r="B1" s="279"/>
      <c r="C1" s="279"/>
      <c r="D1" s="279"/>
      <c r="E1" s="279"/>
    </row>
    <row r="2" spans="1:5" ht="15.95" customHeight="1">
      <c r="A2" s="279" t="s">
        <v>1</v>
      </c>
      <c r="B2" s="279"/>
      <c r="C2" s="279"/>
      <c r="D2" s="279"/>
      <c r="E2" s="279"/>
    </row>
    <row r="3" spans="1:5" ht="15.95" customHeight="1">
      <c r="A3" s="279" t="s">
        <v>2</v>
      </c>
      <c r="B3" s="279"/>
      <c r="C3" s="279"/>
      <c r="D3" s="279"/>
      <c r="E3" s="279"/>
    </row>
    <row r="4" spans="1:5" ht="15.95" customHeight="1">
      <c r="A4" s="279" t="s">
        <v>3</v>
      </c>
      <c r="B4" s="279"/>
      <c r="C4" s="279"/>
      <c r="D4" s="279"/>
      <c r="E4" s="279"/>
    </row>
    <row r="6" spans="1:5" ht="18">
      <c r="A6" s="58" t="s">
        <v>4</v>
      </c>
      <c r="B6" s="288"/>
      <c r="C6" s="289"/>
      <c r="D6" s="290"/>
    </row>
    <row r="7" spans="1:5" ht="15">
      <c r="A7" s="58"/>
      <c r="B7" s="67"/>
      <c r="C7" s="67"/>
      <c r="D7" s="67"/>
    </row>
    <row r="8" spans="1:5" ht="36" customHeight="1">
      <c r="A8" s="58" t="s">
        <v>5</v>
      </c>
      <c r="B8" s="291"/>
      <c r="C8" s="292"/>
      <c r="D8" s="292"/>
      <c r="E8" s="293"/>
    </row>
    <row r="9" spans="1:5" ht="15.75" thickBot="1">
      <c r="A9" s="58"/>
    </row>
    <row r="10" spans="1:5" ht="26.25" customHeight="1" thickBot="1">
      <c r="A10" t="s">
        <v>6</v>
      </c>
      <c r="B10" s="70"/>
      <c r="C10" s="2"/>
      <c r="D10" s="286" t="s">
        <v>7</v>
      </c>
      <c r="E10" s="287"/>
    </row>
    <row r="11" spans="1:5">
      <c r="D11" s="9"/>
      <c r="E11" s="10"/>
    </row>
    <row r="12" spans="1:5" ht="27" customHeight="1">
      <c r="A12" t="s">
        <v>8</v>
      </c>
      <c r="B12" s="68"/>
      <c r="C12" s="3"/>
      <c r="D12" s="118" t="s">
        <v>9</v>
      </c>
      <c r="E12" s="119">
        <f>(B12)</f>
        <v>0</v>
      </c>
    </row>
    <row r="13" spans="1:5">
      <c r="A13" s="8"/>
      <c r="B13" s="8"/>
      <c r="C13" s="8"/>
      <c r="D13" s="9"/>
      <c r="E13" s="11"/>
    </row>
    <row r="14" spans="1:5" ht="21.75" customHeight="1">
      <c r="A14" t="s">
        <v>10</v>
      </c>
      <c r="B14" s="69"/>
      <c r="C14" s="4"/>
      <c r="D14" s="118" t="s">
        <v>11</v>
      </c>
      <c r="E14" s="120">
        <f>(E12*B10*D17)/365</f>
        <v>0</v>
      </c>
    </row>
    <row r="15" spans="1:5">
      <c r="D15" s="9"/>
      <c r="E15" s="11"/>
    </row>
    <row r="16" spans="1:5" ht="22.5" customHeight="1">
      <c r="A16" t="s">
        <v>12</v>
      </c>
      <c r="B16" s="68"/>
      <c r="D16" s="118" t="s">
        <v>13</v>
      </c>
      <c r="E16" s="119">
        <f>(B16)</f>
        <v>0</v>
      </c>
    </row>
    <row r="17" spans="1:5" ht="13.5" thickBot="1">
      <c r="D17" s="65">
        <f>(B20-B18)</f>
        <v>0</v>
      </c>
      <c r="E17" s="11"/>
    </row>
    <row r="18" spans="1:5" ht="21" customHeight="1">
      <c r="A18" t="s">
        <v>14</v>
      </c>
      <c r="B18" s="116"/>
      <c r="D18" s="280" t="s">
        <v>15</v>
      </c>
      <c r="E18" s="283">
        <f>SUM(E12:E17)</f>
        <v>0</v>
      </c>
    </row>
    <row r="19" spans="1:5" ht="12.75" customHeight="1">
      <c r="D19" s="281"/>
      <c r="E19" s="284"/>
    </row>
    <row r="20" spans="1:5" ht="26.25" customHeight="1" thickBot="1">
      <c r="A20" t="s">
        <v>16</v>
      </c>
      <c r="B20" s="105"/>
      <c r="D20" s="282"/>
      <c r="E20" s="285"/>
    </row>
    <row r="22" spans="1:5">
      <c r="A22" s="61" t="s">
        <v>17</v>
      </c>
    </row>
    <row r="23" spans="1:5" ht="15.75">
      <c r="A23" s="61"/>
      <c r="D23" s="75" t="s">
        <v>9</v>
      </c>
    </row>
    <row r="24" spans="1:5">
      <c r="A24" s="61" t="s">
        <v>18</v>
      </c>
      <c r="D24" s="66"/>
    </row>
    <row r="25" spans="1:5">
      <c r="A25" s="114"/>
      <c r="D25" s="66"/>
    </row>
    <row r="26" spans="1:5" ht="15.75">
      <c r="A26" s="1" t="s">
        <v>19</v>
      </c>
      <c r="B26" s="1"/>
      <c r="C26" s="1"/>
      <c r="D26" s="115">
        <f>+D24+D25</f>
        <v>0</v>
      </c>
    </row>
    <row r="27" spans="1:5">
      <c r="A27" s="61"/>
      <c r="B27" s="74"/>
    </row>
    <row r="29" spans="1:5" ht="14.25">
      <c r="A29" s="56"/>
    </row>
  </sheetData>
  <protectedRanges>
    <protectedRange password="CC03" sqref="B6 B8 B10 B12 B14 B16 B20 B18" name="Rango1_1" securityDescriptor="O:WDG:WDD:(A;;CC;;;WD)"/>
  </protectedRanges>
  <mergeCells count="9">
    <mergeCell ref="A1:E1"/>
    <mergeCell ref="A2:E2"/>
    <mergeCell ref="D18:D20"/>
    <mergeCell ref="E18:E20"/>
    <mergeCell ref="A3:E3"/>
    <mergeCell ref="D10:E10"/>
    <mergeCell ref="B6:D6"/>
    <mergeCell ref="B8:E8"/>
    <mergeCell ref="A4:E4"/>
  </mergeCells>
  <phoneticPr fontId="6" type="noConversion"/>
  <printOptions horizontalCentered="1" verticalCentered="1"/>
  <pageMargins left="0.78740157480314965" right="0.78740157480314965" top="0.78740157480314965" bottom="0.78740157480314965" header="0" footer="0"/>
  <pageSetup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28575</xdr:rowOff>
              </from>
              <to>
                <xdr:col>1</xdr:col>
                <xdr:colOff>123825</xdr:colOff>
                <xdr:row>3</xdr:row>
                <xdr:rowOff>0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EAA73-3484-4753-BFD5-891A7A8D2961}">
  <dimension ref="A1:L63"/>
  <sheetViews>
    <sheetView topLeftCell="A13" workbookViewId="0">
      <selection activeCell="C36" sqref="C36"/>
    </sheetView>
  </sheetViews>
  <sheetFormatPr baseColWidth="10" defaultColWidth="11.42578125" defaultRowHeight="12.75"/>
  <cols>
    <col min="1" max="1" width="27.5703125" customWidth="1"/>
    <col min="2" max="2" width="33.5703125" customWidth="1"/>
    <col min="3" max="3" width="31.85546875" customWidth="1"/>
    <col min="4" max="4" width="19.5703125" customWidth="1"/>
    <col min="5" max="5" width="19.140625" customWidth="1"/>
    <col min="6" max="6" width="33.85546875" customWidth="1"/>
    <col min="7" max="8" width="17.42578125" customWidth="1"/>
    <col min="9" max="9" width="17.85546875" customWidth="1"/>
    <col min="10" max="10" width="17.5703125" customWidth="1"/>
    <col min="11" max="11" width="17" customWidth="1"/>
    <col min="12" max="12" width="17.140625" customWidth="1"/>
    <col min="13" max="13" width="17" customWidth="1"/>
    <col min="14" max="14" width="0.140625" customWidth="1"/>
    <col min="15" max="15" width="20.5703125" customWidth="1"/>
    <col min="16" max="16" width="9.42578125" customWidth="1"/>
    <col min="18" max="18" width="12.85546875" bestFit="1" customWidth="1"/>
  </cols>
  <sheetData>
    <row r="1" spans="1:12" ht="15.75" thickBot="1">
      <c r="A1" s="414" t="s">
        <v>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</row>
    <row r="2" spans="1:12" ht="15.75" thickBot="1">
      <c r="A2" s="416" t="s">
        <v>90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</row>
    <row r="3" spans="1:12" ht="12.75" customHeight="1">
      <c r="A3" s="418" t="s">
        <v>91</v>
      </c>
      <c r="B3" s="420" t="s">
        <v>92</v>
      </c>
      <c r="C3" s="421"/>
      <c r="D3" s="422" t="s">
        <v>93</v>
      </c>
      <c r="E3" s="423"/>
      <c r="F3" s="420" t="s">
        <v>94</v>
      </c>
      <c r="G3" s="424"/>
      <c r="H3" s="425"/>
      <c r="I3" s="425"/>
      <c r="J3" s="425"/>
      <c r="K3" s="425"/>
      <c r="L3" s="425"/>
    </row>
    <row r="4" spans="1:12" ht="13.5" thickBot="1">
      <c r="A4" s="419"/>
      <c r="B4" s="426" t="s">
        <v>95</v>
      </c>
      <c r="C4" s="427"/>
      <c r="D4" s="428" t="s">
        <v>96</v>
      </c>
      <c r="E4" s="429"/>
      <c r="F4" s="426" t="s">
        <v>96</v>
      </c>
      <c r="G4" s="430"/>
      <c r="H4" s="352"/>
      <c r="I4" s="352"/>
      <c r="J4" s="352"/>
      <c r="K4" s="352"/>
      <c r="L4" s="352"/>
    </row>
    <row r="5" spans="1:12" ht="15">
      <c r="A5" s="392" t="s">
        <v>40</v>
      </c>
      <c r="B5" s="161" t="s">
        <v>97</v>
      </c>
      <c r="C5" s="162" t="s">
        <v>98</v>
      </c>
      <c r="D5" s="395" t="s">
        <v>99</v>
      </c>
      <c r="E5" s="398"/>
      <c r="F5" s="401">
        <v>0.06</v>
      </c>
      <c r="G5" s="398"/>
      <c r="H5" s="160"/>
      <c r="I5" s="160"/>
      <c r="J5" s="160"/>
      <c r="K5" s="160"/>
      <c r="L5" s="160"/>
    </row>
    <row r="6" spans="1:12" ht="15">
      <c r="A6" s="393"/>
      <c r="B6" s="163" t="s">
        <v>100</v>
      </c>
      <c r="C6" s="162"/>
      <c r="D6" s="396"/>
      <c r="E6" s="399"/>
      <c r="F6" s="402"/>
      <c r="G6" s="399"/>
      <c r="H6" s="160"/>
      <c r="I6" s="160"/>
      <c r="J6" s="160"/>
      <c r="K6" s="160"/>
      <c r="L6" s="160"/>
    </row>
    <row r="7" spans="1:12" ht="15">
      <c r="A7" s="393"/>
      <c r="B7" s="163" t="s">
        <v>101</v>
      </c>
      <c r="C7" s="162"/>
      <c r="D7" s="397"/>
      <c r="E7" s="400"/>
      <c r="F7" s="403"/>
      <c r="G7" s="400"/>
      <c r="H7" s="160"/>
      <c r="I7" s="160"/>
      <c r="J7" s="160"/>
      <c r="K7" s="160"/>
      <c r="L7" s="160"/>
    </row>
    <row r="8" spans="1:12" ht="15">
      <c r="A8" s="393"/>
      <c r="B8" s="163" t="s">
        <v>102</v>
      </c>
      <c r="C8" s="162"/>
      <c r="D8" s="404" t="s">
        <v>103</v>
      </c>
      <c r="E8" s="406" t="s">
        <v>98</v>
      </c>
      <c r="F8" s="407">
        <v>0.12</v>
      </c>
      <c r="G8" s="406" t="s">
        <v>98</v>
      </c>
      <c r="H8" s="160"/>
      <c r="I8" s="160"/>
      <c r="J8" s="160"/>
      <c r="K8" s="160"/>
      <c r="L8" s="160"/>
    </row>
    <row r="9" spans="1:12" ht="15">
      <c r="A9" s="393"/>
      <c r="B9" s="163" t="s">
        <v>104</v>
      </c>
      <c r="C9" s="162"/>
      <c r="D9" s="405"/>
      <c r="E9" s="400"/>
      <c r="F9" s="408"/>
      <c r="G9" s="400"/>
      <c r="H9" s="160"/>
      <c r="I9" s="160"/>
      <c r="J9" s="160"/>
      <c r="K9" s="160"/>
      <c r="L9" s="160"/>
    </row>
    <row r="10" spans="1:12" ht="15">
      <c r="A10" s="393"/>
      <c r="B10" s="164" t="s">
        <v>105</v>
      </c>
      <c r="C10" s="162"/>
      <c r="D10" s="409" t="s">
        <v>106</v>
      </c>
      <c r="E10" s="406"/>
      <c r="F10" s="412" t="s">
        <v>107</v>
      </c>
      <c r="G10" s="406"/>
      <c r="H10" s="160"/>
      <c r="I10" s="160"/>
      <c r="J10" s="160"/>
      <c r="K10" s="160"/>
      <c r="L10" s="160"/>
    </row>
    <row r="11" spans="1:12" ht="15.75" thickBot="1">
      <c r="A11" s="394"/>
      <c r="B11" s="165" t="s">
        <v>108</v>
      </c>
      <c r="C11" s="162"/>
      <c r="D11" s="410"/>
      <c r="E11" s="411"/>
      <c r="F11" s="413"/>
      <c r="G11" s="411"/>
      <c r="H11" s="160"/>
      <c r="I11" s="160"/>
      <c r="J11" s="160"/>
      <c r="K11" s="160"/>
      <c r="L11" s="160"/>
    </row>
    <row r="12" spans="1:12" ht="25.5" customHeight="1">
      <c r="A12" s="383" t="s">
        <v>109</v>
      </c>
      <c r="B12" s="379" t="s">
        <v>110</v>
      </c>
      <c r="C12" s="390" t="s">
        <v>111</v>
      </c>
      <c r="D12" s="383" t="s">
        <v>112</v>
      </c>
      <c r="E12" s="383" t="s">
        <v>113</v>
      </c>
      <c r="F12" s="383" t="s">
        <v>114</v>
      </c>
      <c r="G12" s="379" t="s">
        <v>115</v>
      </c>
      <c r="H12" s="381" t="s">
        <v>116</v>
      </c>
      <c r="I12" s="382"/>
      <c r="J12" s="383" t="s">
        <v>13</v>
      </c>
      <c r="K12" s="160"/>
      <c r="L12" s="160"/>
    </row>
    <row r="13" spans="1:12" ht="51.75" thickBot="1">
      <c r="A13" s="384"/>
      <c r="B13" s="380"/>
      <c r="C13" s="391"/>
      <c r="D13" s="384"/>
      <c r="E13" s="384"/>
      <c r="F13" s="384"/>
      <c r="G13" s="380"/>
      <c r="H13" s="166" t="s">
        <v>117</v>
      </c>
      <c r="I13" s="167" t="s">
        <v>118</v>
      </c>
      <c r="J13" s="384"/>
      <c r="K13" s="160"/>
      <c r="L13" s="160"/>
    </row>
    <row r="14" spans="1:12" ht="25.5">
      <c r="A14" s="168" t="s">
        <v>119</v>
      </c>
      <c r="B14" s="171">
        <v>79856702</v>
      </c>
      <c r="C14" s="385">
        <v>1212027462</v>
      </c>
      <c r="D14" s="360">
        <v>45530</v>
      </c>
      <c r="E14" s="361">
        <v>45321</v>
      </c>
      <c r="F14" s="388"/>
      <c r="G14" s="388"/>
      <c r="H14" s="342"/>
      <c r="I14" s="342"/>
      <c r="J14" s="389"/>
      <c r="K14" s="351"/>
      <c r="L14" s="352"/>
    </row>
    <row r="15" spans="1:12">
      <c r="A15" s="169"/>
      <c r="B15" s="172"/>
      <c r="C15" s="386"/>
      <c r="D15" s="329"/>
      <c r="E15" s="362"/>
      <c r="F15" s="365"/>
      <c r="G15" s="365"/>
      <c r="H15" s="343"/>
      <c r="I15" s="343"/>
      <c r="J15" s="349"/>
      <c r="K15" s="351"/>
      <c r="L15" s="352"/>
    </row>
    <row r="16" spans="1:12" ht="25.5">
      <c r="A16" s="169" t="s">
        <v>120</v>
      </c>
      <c r="B16" s="172"/>
      <c r="C16" s="386"/>
      <c r="D16" s="329"/>
      <c r="E16" s="362"/>
      <c r="F16" s="365"/>
      <c r="G16" s="365"/>
      <c r="H16" s="343"/>
      <c r="I16" s="343"/>
      <c r="J16" s="349"/>
      <c r="K16" s="351"/>
      <c r="L16" s="352"/>
    </row>
    <row r="17" spans="1:12" ht="13.5" thickBot="1">
      <c r="A17" s="170"/>
      <c r="B17" s="173">
        <v>13748679</v>
      </c>
      <c r="C17" s="387"/>
      <c r="D17" s="377"/>
      <c r="E17" s="378"/>
      <c r="F17" s="366"/>
      <c r="G17" s="366"/>
      <c r="H17" s="331"/>
      <c r="I17" s="331"/>
      <c r="J17" s="350"/>
      <c r="K17" s="351"/>
      <c r="L17" s="352"/>
    </row>
    <row r="18" spans="1:12" ht="25.5">
      <c r="A18" s="174" t="s">
        <v>121</v>
      </c>
      <c r="B18" s="175">
        <v>94448427</v>
      </c>
      <c r="C18" s="374">
        <v>1059259878</v>
      </c>
      <c r="D18" s="360">
        <v>45530</v>
      </c>
      <c r="E18" s="361">
        <v>45321</v>
      </c>
      <c r="F18" s="364"/>
      <c r="G18" s="364"/>
      <c r="H18" s="330"/>
      <c r="I18" s="330"/>
      <c r="J18" s="348"/>
      <c r="K18" s="351"/>
      <c r="L18" s="352"/>
    </row>
    <row r="19" spans="1:12">
      <c r="A19" s="169"/>
      <c r="B19" s="172"/>
      <c r="C19" s="375"/>
      <c r="D19" s="329"/>
      <c r="E19" s="362"/>
      <c r="F19" s="365"/>
      <c r="G19" s="365"/>
      <c r="H19" s="343"/>
      <c r="I19" s="343"/>
      <c r="J19" s="349"/>
      <c r="K19" s="351"/>
      <c r="L19" s="352"/>
    </row>
    <row r="20" spans="1:12" ht="25.5">
      <c r="A20" s="169" t="s">
        <v>120</v>
      </c>
      <c r="B20" s="172"/>
      <c r="C20" s="375"/>
      <c r="D20" s="329"/>
      <c r="E20" s="362"/>
      <c r="F20" s="365"/>
      <c r="G20" s="365"/>
      <c r="H20" s="343"/>
      <c r="I20" s="343"/>
      <c r="J20" s="349"/>
      <c r="K20" s="351"/>
      <c r="L20" s="352"/>
    </row>
    <row r="21" spans="1:12" ht="13.5" thickBot="1">
      <c r="A21" s="170"/>
      <c r="B21" s="173">
        <v>13748679</v>
      </c>
      <c r="C21" s="376"/>
      <c r="D21" s="377"/>
      <c r="E21" s="378"/>
      <c r="F21" s="366"/>
      <c r="G21" s="366"/>
      <c r="H21" s="331"/>
      <c r="I21" s="331"/>
      <c r="J21" s="350"/>
      <c r="K21" s="351"/>
      <c r="L21" s="352"/>
    </row>
    <row r="22" spans="1:12" ht="25.5">
      <c r="A22" s="174" t="s">
        <v>122</v>
      </c>
      <c r="B22" s="175">
        <v>18009085</v>
      </c>
      <c r="C22" s="357">
        <v>278946513</v>
      </c>
      <c r="D22" s="360">
        <v>45530</v>
      </c>
      <c r="E22" s="361">
        <v>45321</v>
      </c>
      <c r="F22" s="364"/>
      <c r="G22" s="364"/>
      <c r="H22" s="330"/>
      <c r="I22" s="330"/>
      <c r="J22" s="348"/>
      <c r="K22" s="351"/>
      <c r="L22" s="352"/>
    </row>
    <row r="23" spans="1:12">
      <c r="A23" s="177"/>
      <c r="B23" s="172"/>
      <c r="C23" s="358"/>
      <c r="D23" s="329"/>
      <c r="E23" s="362"/>
      <c r="F23" s="365"/>
      <c r="G23" s="365"/>
      <c r="H23" s="343"/>
      <c r="I23" s="343"/>
      <c r="J23" s="349"/>
      <c r="K23" s="351"/>
      <c r="L23" s="352"/>
    </row>
    <row r="24" spans="1:12" ht="25.5">
      <c r="A24" s="169" t="s">
        <v>120</v>
      </c>
      <c r="B24" s="172"/>
      <c r="C24" s="358"/>
      <c r="D24" s="329"/>
      <c r="E24" s="362"/>
      <c r="F24" s="365"/>
      <c r="G24" s="365"/>
      <c r="H24" s="343"/>
      <c r="I24" s="343"/>
      <c r="J24" s="349"/>
      <c r="K24" s="351"/>
      <c r="L24" s="352"/>
    </row>
    <row r="25" spans="1:12">
      <c r="A25" s="170"/>
      <c r="B25" s="173">
        <v>13748679</v>
      </c>
      <c r="C25" s="359"/>
      <c r="D25" s="332"/>
      <c r="E25" s="363"/>
      <c r="F25" s="366"/>
      <c r="G25" s="366"/>
      <c r="H25" s="331"/>
      <c r="I25" s="331"/>
      <c r="J25" s="350"/>
      <c r="K25" s="351"/>
      <c r="L25" s="352"/>
    </row>
    <row r="26" spans="1:12" ht="15">
      <c r="A26" s="178"/>
      <c r="B26" s="152"/>
      <c r="C26" s="152"/>
      <c r="D26" s="152"/>
      <c r="E26" s="151"/>
      <c r="F26" s="151"/>
      <c r="G26" s="151"/>
      <c r="H26" s="152"/>
      <c r="I26" s="152"/>
      <c r="J26" s="179"/>
      <c r="K26" s="160"/>
      <c r="L26" s="160"/>
    </row>
    <row r="27" spans="1:12" ht="15">
      <c r="A27" s="178"/>
      <c r="B27" s="152"/>
      <c r="C27" s="152"/>
      <c r="D27" s="152"/>
      <c r="E27" s="151"/>
      <c r="F27" s="151"/>
      <c r="G27" s="151"/>
      <c r="H27" s="152"/>
      <c r="I27" s="152"/>
      <c r="J27" s="179"/>
      <c r="K27" s="160"/>
      <c r="L27" s="160"/>
    </row>
    <row r="28" spans="1:12" ht="15">
      <c r="A28" s="178"/>
      <c r="B28" s="152"/>
      <c r="C28" s="152"/>
      <c r="D28" s="152"/>
      <c r="E28" s="151"/>
      <c r="F28" s="151"/>
      <c r="G28" s="151"/>
      <c r="H28" s="152"/>
      <c r="I28" s="152"/>
      <c r="J28" s="179"/>
      <c r="K28" s="160"/>
      <c r="L28" s="160"/>
    </row>
    <row r="29" spans="1:12" ht="15">
      <c r="A29" s="178"/>
      <c r="B29" s="152"/>
      <c r="C29" s="152"/>
      <c r="D29" s="152"/>
      <c r="E29" s="151"/>
      <c r="F29" s="151"/>
      <c r="G29" s="151"/>
      <c r="H29" s="152"/>
      <c r="I29" s="152"/>
      <c r="J29" s="179"/>
      <c r="K29" s="160"/>
      <c r="L29" s="160"/>
    </row>
    <row r="30" spans="1:12" ht="15">
      <c r="A30" s="178"/>
      <c r="B30" s="152"/>
      <c r="C30" s="152"/>
      <c r="D30" s="152"/>
      <c r="E30" s="151"/>
      <c r="F30" s="151"/>
      <c r="G30" s="151"/>
      <c r="H30" s="152"/>
      <c r="I30" s="152"/>
      <c r="J30" s="179"/>
      <c r="K30" s="160"/>
      <c r="L30" s="160"/>
    </row>
    <row r="31" spans="1:12" ht="15">
      <c r="A31" s="178"/>
      <c r="B31" s="152"/>
      <c r="C31" s="152"/>
      <c r="D31" s="152"/>
      <c r="E31" s="151"/>
      <c r="F31" s="151"/>
      <c r="G31" s="151"/>
      <c r="H31" s="152"/>
      <c r="I31" s="152"/>
      <c r="J31" s="179"/>
      <c r="K31" s="160"/>
      <c r="L31" s="160"/>
    </row>
    <row r="32" spans="1:12" ht="15">
      <c r="A32" s="178"/>
      <c r="B32" s="152"/>
      <c r="C32" s="152"/>
      <c r="D32" s="152"/>
      <c r="E32" s="151"/>
      <c r="F32" s="151"/>
      <c r="G32" s="151"/>
      <c r="H32" s="152"/>
      <c r="I32" s="152"/>
      <c r="J32" s="179"/>
      <c r="K32" s="160"/>
      <c r="L32" s="160"/>
    </row>
    <row r="33" spans="1:12" ht="15">
      <c r="A33" s="178"/>
      <c r="B33" s="152"/>
      <c r="C33" s="152"/>
      <c r="D33" s="152"/>
      <c r="E33" s="151"/>
      <c r="F33" s="151"/>
      <c r="G33" s="151"/>
      <c r="H33" s="152"/>
      <c r="I33" s="152"/>
      <c r="J33" s="179"/>
      <c r="K33" s="160"/>
      <c r="L33" s="160"/>
    </row>
    <row r="34" spans="1:12" ht="15">
      <c r="A34" s="178"/>
      <c r="B34" s="152"/>
      <c r="C34" s="152"/>
      <c r="D34" s="152"/>
      <c r="E34" s="151"/>
      <c r="F34" s="151"/>
      <c r="G34" s="151"/>
      <c r="H34" s="152"/>
      <c r="I34" s="152"/>
      <c r="J34" s="179"/>
      <c r="K34" s="160"/>
      <c r="L34" s="160"/>
    </row>
    <row r="35" spans="1:12" ht="15.75" thickBot="1">
      <c r="A35" s="180"/>
      <c r="B35" s="181"/>
      <c r="C35" s="181"/>
      <c r="D35" s="181"/>
      <c r="E35" s="182"/>
      <c r="F35" s="182"/>
      <c r="G35" s="182"/>
      <c r="H35" s="181"/>
      <c r="I35" s="181"/>
      <c r="J35" s="183"/>
      <c r="K35" s="160"/>
      <c r="L35" s="160"/>
    </row>
    <row r="36" spans="1:12" ht="15.75" thickBot="1">
      <c r="A36" s="353" t="s">
        <v>123</v>
      </c>
      <c r="B36" s="354"/>
      <c r="C36" s="184">
        <v>2550233853</v>
      </c>
      <c r="D36" s="150"/>
      <c r="E36" s="160"/>
      <c r="F36" s="150"/>
      <c r="G36" s="150"/>
      <c r="H36" s="160"/>
      <c r="I36" s="160"/>
      <c r="J36" s="160"/>
      <c r="K36" s="160"/>
      <c r="L36" s="160"/>
    </row>
    <row r="37" spans="1:12" ht="15.75" thickBot="1">
      <c r="A37" s="160"/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</row>
    <row r="38" spans="1:12" ht="16.5" thickBot="1">
      <c r="A38" s="355" t="s">
        <v>124</v>
      </c>
      <c r="B38" s="356"/>
      <c r="C38" s="356"/>
      <c r="D38" s="356"/>
      <c r="E38" s="356"/>
      <c r="F38" s="356"/>
      <c r="G38" s="356"/>
      <c r="H38" s="356"/>
      <c r="I38" s="356"/>
      <c r="J38" s="356"/>
      <c r="K38" s="356"/>
      <c r="L38" s="356"/>
    </row>
    <row r="39" spans="1:12" ht="13.5" thickBot="1">
      <c r="A39" s="367" t="s">
        <v>125</v>
      </c>
      <c r="B39" s="369" t="s">
        <v>126</v>
      </c>
      <c r="C39" s="371" t="s">
        <v>112</v>
      </c>
      <c r="D39" s="371" t="s">
        <v>113</v>
      </c>
      <c r="E39" s="333" t="s">
        <v>127</v>
      </c>
      <c r="F39" s="333" t="s">
        <v>128</v>
      </c>
      <c r="G39" s="185" t="s">
        <v>129</v>
      </c>
      <c r="H39" s="187" t="s">
        <v>130</v>
      </c>
      <c r="I39" s="335" t="s">
        <v>131</v>
      </c>
      <c r="J39" s="337" t="s">
        <v>116</v>
      </c>
      <c r="K39" s="338"/>
      <c r="L39" s="339"/>
    </row>
    <row r="40" spans="1:12" ht="77.25" thickBot="1">
      <c r="A40" s="368"/>
      <c r="B40" s="370"/>
      <c r="C40" s="372"/>
      <c r="D40" s="372"/>
      <c r="E40" s="373"/>
      <c r="F40" s="334"/>
      <c r="G40" s="186" t="s">
        <v>132</v>
      </c>
      <c r="H40" s="188" t="s">
        <v>133</v>
      </c>
      <c r="I40" s="336"/>
      <c r="J40" s="189" t="s">
        <v>134</v>
      </c>
      <c r="K40" s="189" t="s">
        <v>118</v>
      </c>
      <c r="L40" s="190" t="s">
        <v>135</v>
      </c>
    </row>
    <row r="41" spans="1:12" ht="38.25">
      <c r="A41" s="191" t="s">
        <v>136</v>
      </c>
      <c r="B41" s="191">
        <v>92100001578</v>
      </c>
      <c r="C41" s="192">
        <v>45561</v>
      </c>
      <c r="D41" s="192">
        <v>45548</v>
      </c>
      <c r="E41" s="342" t="s">
        <v>137</v>
      </c>
      <c r="F41" s="193">
        <v>800000000</v>
      </c>
      <c r="G41" s="194">
        <v>0.04</v>
      </c>
      <c r="H41" s="195" t="s">
        <v>138</v>
      </c>
      <c r="I41" s="195" t="s">
        <v>138</v>
      </c>
      <c r="J41" s="196">
        <v>430000000</v>
      </c>
      <c r="K41" s="192">
        <v>45558</v>
      </c>
      <c r="L41" s="195"/>
    </row>
    <row r="42" spans="1:12">
      <c r="A42" s="191"/>
      <c r="B42" s="191">
        <v>705407957</v>
      </c>
      <c r="C42" s="192">
        <v>45561</v>
      </c>
      <c r="D42" s="192">
        <v>45548</v>
      </c>
      <c r="E42" s="343"/>
      <c r="F42" s="193">
        <v>1000000000</v>
      </c>
      <c r="G42" s="195">
        <v>0</v>
      </c>
      <c r="H42" s="195" t="s">
        <v>138</v>
      </c>
      <c r="I42" s="195" t="s">
        <v>138</v>
      </c>
      <c r="J42" s="195"/>
      <c r="K42" s="195"/>
      <c r="L42" s="195"/>
    </row>
    <row r="43" spans="1:12">
      <c r="A43" s="191"/>
      <c r="B43" s="191">
        <v>706237136</v>
      </c>
      <c r="C43" s="192">
        <v>45561</v>
      </c>
      <c r="D43" s="192">
        <v>45548</v>
      </c>
      <c r="E43" s="343"/>
      <c r="F43" s="193">
        <v>1000000000</v>
      </c>
      <c r="G43" s="195">
        <v>0</v>
      </c>
      <c r="H43" s="195" t="s">
        <v>138</v>
      </c>
      <c r="I43" s="195" t="s">
        <v>138</v>
      </c>
      <c r="J43" s="195"/>
      <c r="K43" s="195"/>
      <c r="L43" s="195"/>
    </row>
    <row r="44" spans="1:12">
      <c r="A44" s="191"/>
      <c r="B44" s="191"/>
      <c r="C44" s="195"/>
      <c r="D44" s="195"/>
      <c r="E44" s="343"/>
      <c r="F44" s="195"/>
      <c r="G44" s="195"/>
      <c r="H44" s="195"/>
      <c r="I44" s="195"/>
      <c r="J44" s="195"/>
      <c r="K44" s="195"/>
      <c r="L44" s="195"/>
    </row>
    <row r="45" spans="1:12" ht="38.25">
      <c r="A45" s="152" t="s">
        <v>139</v>
      </c>
      <c r="B45" s="191">
        <v>92100001578</v>
      </c>
      <c r="C45" s="192">
        <v>45561</v>
      </c>
      <c r="D45" s="192">
        <v>45548</v>
      </c>
      <c r="E45" s="343"/>
      <c r="F45" s="193">
        <v>800000000</v>
      </c>
      <c r="G45" s="194">
        <v>0.04</v>
      </c>
      <c r="H45" s="197">
        <v>11999</v>
      </c>
      <c r="I45" s="197">
        <v>11999</v>
      </c>
      <c r="J45" s="152"/>
      <c r="K45" s="152"/>
      <c r="L45" s="152"/>
    </row>
    <row r="46" spans="1:12">
      <c r="A46" s="152"/>
      <c r="B46" s="191">
        <v>705407957</v>
      </c>
      <c r="C46" s="192">
        <v>45561</v>
      </c>
      <c r="D46" s="192">
        <v>45548</v>
      </c>
      <c r="E46" s="172"/>
      <c r="F46" s="193">
        <v>1000000000</v>
      </c>
      <c r="G46" s="195">
        <v>0</v>
      </c>
      <c r="H46" s="197">
        <v>11999</v>
      </c>
      <c r="I46" s="197">
        <v>11999</v>
      </c>
      <c r="J46" s="152"/>
      <c r="K46" s="152"/>
      <c r="L46" s="152"/>
    </row>
    <row r="47" spans="1:12">
      <c r="A47" s="152"/>
      <c r="B47" s="191">
        <v>706237136</v>
      </c>
      <c r="C47" s="192">
        <v>45561</v>
      </c>
      <c r="D47" s="192">
        <v>45548</v>
      </c>
      <c r="E47" s="172"/>
      <c r="F47" s="193">
        <v>1000000000</v>
      </c>
      <c r="G47" s="195">
        <v>0</v>
      </c>
      <c r="H47" s="197">
        <v>11999</v>
      </c>
      <c r="I47" s="197">
        <v>11999</v>
      </c>
      <c r="J47" s="152"/>
      <c r="K47" s="152"/>
      <c r="L47" s="152"/>
    </row>
    <row r="48" spans="1:12">
      <c r="A48" s="152"/>
      <c r="B48" s="191"/>
      <c r="C48" s="195"/>
      <c r="D48" s="195"/>
      <c r="E48" s="172"/>
      <c r="F48" s="195"/>
      <c r="G48" s="195"/>
      <c r="H48" s="152"/>
      <c r="I48" s="152"/>
      <c r="J48" s="152"/>
      <c r="K48" s="152"/>
      <c r="L48" s="152"/>
    </row>
    <row r="49" spans="1:12">
      <c r="A49" s="330" t="s">
        <v>140</v>
      </c>
      <c r="B49" s="344">
        <v>92100001578</v>
      </c>
      <c r="C49" s="346">
        <v>45561</v>
      </c>
      <c r="D49" s="346">
        <v>45548</v>
      </c>
      <c r="E49" s="343"/>
      <c r="F49" s="340">
        <v>800000000</v>
      </c>
      <c r="G49" s="330"/>
      <c r="H49" s="330" t="s">
        <v>141</v>
      </c>
      <c r="I49" s="330" t="s">
        <v>141</v>
      </c>
      <c r="J49" s="198">
        <v>241514951</v>
      </c>
      <c r="K49" s="328">
        <v>45555</v>
      </c>
      <c r="L49" s="330"/>
    </row>
    <row r="50" spans="1:12">
      <c r="A50" s="331"/>
      <c r="B50" s="345"/>
      <c r="C50" s="347"/>
      <c r="D50" s="347"/>
      <c r="E50" s="331"/>
      <c r="F50" s="341"/>
      <c r="G50" s="331"/>
      <c r="H50" s="331"/>
      <c r="I50" s="331"/>
      <c r="J50" s="199">
        <v>23991228</v>
      </c>
      <c r="K50" s="329"/>
      <c r="L50" s="331"/>
    </row>
    <row r="51" spans="1:12">
      <c r="A51" s="152"/>
      <c r="B51" s="191">
        <v>705407957</v>
      </c>
      <c r="C51" s="192">
        <v>45561</v>
      </c>
      <c r="D51" s="192">
        <v>45548</v>
      </c>
      <c r="E51" s="195"/>
      <c r="F51" s="193">
        <v>1000000000</v>
      </c>
      <c r="G51" s="152"/>
      <c r="H51" s="152" t="s">
        <v>141</v>
      </c>
      <c r="I51" s="152" t="s">
        <v>141</v>
      </c>
      <c r="J51" s="200">
        <v>205746765</v>
      </c>
      <c r="K51" s="329"/>
      <c r="L51" s="152"/>
    </row>
    <row r="52" spans="1:12">
      <c r="A52" s="152"/>
      <c r="B52" s="191">
        <v>706237136</v>
      </c>
      <c r="C52" s="192">
        <v>45561</v>
      </c>
      <c r="D52" s="192">
        <v>45548</v>
      </c>
      <c r="E52" s="195"/>
      <c r="F52" s="193">
        <v>1000000000</v>
      </c>
      <c r="G52" s="152"/>
      <c r="H52" s="152" t="s">
        <v>141</v>
      </c>
      <c r="I52" s="152" t="s">
        <v>141</v>
      </c>
      <c r="J52" s="200">
        <v>95349674</v>
      </c>
      <c r="K52" s="332"/>
      <c r="L52" s="152"/>
    </row>
    <row r="53" spans="1:12" ht="14.25">
      <c r="A53" s="152"/>
      <c r="B53" s="191"/>
      <c r="C53" s="201"/>
      <c r="D53" s="152"/>
      <c r="E53" s="195"/>
      <c r="F53" s="152"/>
      <c r="G53" s="152"/>
      <c r="H53" s="152"/>
      <c r="I53" s="152"/>
      <c r="J53" s="152"/>
      <c r="K53" s="152"/>
      <c r="L53" s="152"/>
    </row>
    <row r="54" spans="1:12" ht="14.25">
      <c r="A54" s="152"/>
      <c r="B54" s="191"/>
      <c r="C54" s="201"/>
      <c r="D54" s="152"/>
      <c r="E54" s="195"/>
      <c r="F54" s="152"/>
      <c r="G54" s="152"/>
      <c r="H54" s="152"/>
      <c r="I54" s="152"/>
      <c r="J54" s="152"/>
      <c r="K54" s="152"/>
      <c r="L54" s="152"/>
    </row>
    <row r="55" spans="1:12" ht="25.5">
      <c r="A55" s="152" t="s">
        <v>142</v>
      </c>
      <c r="B55" s="191">
        <v>92100001578</v>
      </c>
      <c r="C55" s="192">
        <v>45561</v>
      </c>
      <c r="D55" s="192">
        <v>45548</v>
      </c>
      <c r="E55" s="152"/>
      <c r="F55" s="193">
        <v>800000000</v>
      </c>
      <c r="G55" s="194">
        <v>0.04</v>
      </c>
      <c r="H55" s="152" t="s">
        <v>141</v>
      </c>
      <c r="I55" s="152" t="s">
        <v>141</v>
      </c>
      <c r="J55" s="200">
        <v>468357572</v>
      </c>
      <c r="K55" s="328">
        <v>45555</v>
      </c>
      <c r="L55" s="152"/>
    </row>
    <row r="56" spans="1:12">
      <c r="A56" s="152"/>
      <c r="B56" s="191">
        <v>705407957</v>
      </c>
      <c r="C56" s="192">
        <v>45561</v>
      </c>
      <c r="D56" s="192">
        <v>45548</v>
      </c>
      <c r="E56" s="152"/>
      <c r="F56" s="193">
        <v>1000000000</v>
      </c>
      <c r="G56" s="195">
        <v>0</v>
      </c>
      <c r="H56" s="152" t="s">
        <v>141</v>
      </c>
      <c r="I56" s="152" t="s">
        <v>141</v>
      </c>
      <c r="J56" s="150"/>
      <c r="K56" s="329"/>
      <c r="L56" s="152"/>
    </row>
    <row r="57" spans="1:12">
      <c r="A57" s="152"/>
      <c r="B57" s="191">
        <v>706237136</v>
      </c>
      <c r="C57" s="192">
        <v>45561</v>
      </c>
      <c r="D57" s="192">
        <v>45548</v>
      </c>
      <c r="E57" s="152"/>
      <c r="F57" s="193">
        <v>1000000000</v>
      </c>
      <c r="G57" s="195">
        <v>0</v>
      </c>
      <c r="H57" s="152" t="s">
        <v>141</v>
      </c>
      <c r="I57" s="152" t="s">
        <v>141</v>
      </c>
      <c r="J57" s="152"/>
      <c r="K57" s="332"/>
      <c r="L57" s="152"/>
    </row>
    <row r="58" spans="1:12">
      <c r="A58" s="152"/>
      <c r="B58" s="191"/>
      <c r="C58" s="152"/>
      <c r="D58" s="152"/>
      <c r="E58" s="152"/>
      <c r="F58" s="152"/>
      <c r="G58" s="152"/>
      <c r="H58" s="152"/>
      <c r="I58" s="152"/>
      <c r="J58" s="152"/>
      <c r="K58" s="152"/>
      <c r="L58" s="152"/>
    </row>
    <row r="59" spans="1:12">
      <c r="A59" s="152" t="s">
        <v>143</v>
      </c>
      <c r="B59" s="191">
        <v>92100001578</v>
      </c>
      <c r="C59" s="192">
        <v>45561</v>
      </c>
      <c r="D59" s="192">
        <v>45548</v>
      </c>
      <c r="E59" s="152"/>
      <c r="F59" s="193">
        <v>800000000</v>
      </c>
      <c r="G59" s="194">
        <v>0.04</v>
      </c>
      <c r="H59" s="195" t="s">
        <v>138</v>
      </c>
      <c r="I59" s="195" t="s">
        <v>138</v>
      </c>
      <c r="J59" s="153">
        <v>453899523.35000002</v>
      </c>
      <c r="K59" s="328">
        <v>45568</v>
      </c>
      <c r="L59" s="152"/>
    </row>
    <row r="60" spans="1:12">
      <c r="A60" s="176"/>
      <c r="B60" s="191">
        <v>705407957</v>
      </c>
      <c r="C60" s="192">
        <v>45561</v>
      </c>
      <c r="D60" s="192">
        <v>45548</v>
      </c>
      <c r="E60" s="152"/>
      <c r="F60" s="193">
        <v>1000000000</v>
      </c>
      <c r="G60" s="195">
        <v>0</v>
      </c>
      <c r="H60" s="172" t="s">
        <v>138</v>
      </c>
      <c r="I60" s="172" t="s">
        <v>138</v>
      </c>
      <c r="J60" s="176"/>
      <c r="K60" s="329"/>
      <c r="L60" s="176"/>
    </row>
    <row r="61" spans="1:12">
      <c r="A61" s="152"/>
      <c r="B61" s="191">
        <v>706237136</v>
      </c>
      <c r="C61" s="192">
        <v>45561</v>
      </c>
      <c r="D61" s="192">
        <v>45548</v>
      </c>
      <c r="E61" s="152"/>
      <c r="F61" s="193">
        <v>1000000000</v>
      </c>
      <c r="G61" s="195">
        <v>0</v>
      </c>
      <c r="H61" s="152" t="s">
        <v>138</v>
      </c>
      <c r="I61" s="152" t="s">
        <v>138</v>
      </c>
      <c r="J61" s="152"/>
      <c r="K61" s="329"/>
      <c r="L61" s="152"/>
    </row>
    <row r="62" spans="1:12" ht="13.5" thickBot="1">
      <c r="A62" s="202"/>
      <c r="B62" s="202"/>
      <c r="C62" s="150"/>
      <c r="D62" s="150"/>
      <c r="E62" s="150"/>
      <c r="F62" s="150"/>
      <c r="G62" s="150"/>
      <c r="H62" s="150"/>
      <c r="I62" s="150"/>
      <c r="J62" s="150"/>
      <c r="K62" s="150"/>
      <c r="L62" s="150"/>
    </row>
    <row r="63" spans="1:12" ht="15">
      <c r="A63" s="203" t="s">
        <v>144</v>
      </c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</row>
  </sheetData>
  <mergeCells count="90">
    <mergeCell ref="A1:L1"/>
    <mergeCell ref="A2:L2"/>
    <mergeCell ref="A3:A4"/>
    <mergeCell ref="B3:C3"/>
    <mergeCell ref="D3:E3"/>
    <mergeCell ref="F3:G3"/>
    <mergeCell ref="H3:H4"/>
    <mergeCell ref="I3:I4"/>
    <mergeCell ref="J3:J4"/>
    <mergeCell ref="K3:K4"/>
    <mergeCell ref="L3:L4"/>
    <mergeCell ref="B4:C4"/>
    <mergeCell ref="D4:E4"/>
    <mergeCell ref="F4:G4"/>
    <mergeCell ref="A5:A11"/>
    <mergeCell ref="D5:D7"/>
    <mergeCell ref="E5:E7"/>
    <mergeCell ref="F5:F7"/>
    <mergeCell ref="G5:G7"/>
    <mergeCell ref="D8:D9"/>
    <mergeCell ref="E8:E9"/>
    <mergeCell ref="F8:F9"/>
    <mergeCell ref="G8:G9"/>
    <mergeCell ref="D10:D11"/>
    <mergeCell ref="E10:E11"/>
    <mergeCell ref="F10:F11"/>
    <mergeCell ref="G10:G11"/>
    <mergeCell ref="A12:A13"/>
    <mergeCell ref="B12:B13"/>
    <mergeCell ref="C12:C13"/>
    <mergeCell ref="D12:D13"/>
    <mergeCell ref="E12:E13"/>
    <mergeCell ref="G12:G13"/>
    <mergeCell ref="H12:I12"/>
    <mergeCell ref="J12:J13"/>
    <mergeCell ref="C14:C17"/>
    <mergeCell ref="D14:D17"/>
    <mergeCell ref="E14:E17"/>
    <mergeCell ref="F14:F17"/>
    <mergeCell ref="G14:G17"/>
    <mergeCell ref="H14:H17"/>
    <mergeCell ref="I14:I17"/>
    <mergeCell ref="F12:F13"/>
    <mergeCell ref="J14:J17"/>
    <mergeCell ref="K14:K17"/>
    <mergeCell ref="L14:L17"/>
    <mergeCell ref="C18:C21"/>
    <mergeCell ref="D18:D21"/>
    <mergeCell ref="E18:E21"/>
    <mergeCell ref="F18:F21"/>
    <mergeCell ref="G18:G21"/>
    <mergeCell ref="H18:H21"/>
    <mergeCell ref="I18:I21"/>
    <mergeCell ref="J18:J21"/>
    <mergeCell ref="K18:K21"/>
    <mergeCell ref="L18:L21"/>
    <mergeCell ref="A39:A40"/>
    <mergeCell ref="B39:B40"/>
    <mergeCell ref="C39:C40"/>
    <mergeCell ref="D39:D40"/>
    <mergeCell ref="E39:E40"/>
    <mergeCell ref="J22:J25"/>
    <mergeCell ref="K22:K25"/>
    <mergeCell ref="L22:L25"/>
    <mergeCell ref="A36:B36"/>
    <mergeCell ref="A38:L38"/>
    <mergeCell ref="H22:H25"/>
    <mergeCell ref="I22:I25"/>
    <mergeCell ref="C22:C25"/>
    <mergeCell ref="D22:D25"/>
    <mergeCell ref="E22:E25"/>
    <mergeCell ref="F22:F25"/>
    <mergeCell ref="G22:G25"/>
    <mergeCell ref="E41:E45"/>
    <mergeCell ref="A49:A50"/>
    <mergeCell ref="B49:B50"/>
    <mergeCell ref="C49:C50"/>
    <mergeCell ref="D49:D50"/>
    <mergeCell ref="E49:E50"/>
    <mergeCell ref="L49:L50"/>
    <mergeCell ref="K55:K57"/>
    <mergeCell ref="F39:F40"/>
    <mergeCell ref="I39:I40"/>
    <mergeCell ref="J39:L39"/>
    <mergeCell ref="F49:F50"/>
    <mergeCell ref="K59:K61"/>
    <mergeCell ref="G49:G50"/>
    <mergeCell ref="H49:H50"/>
    <mergeCell ref="I49:I50"/>
    <mergeCell ref="K49:K52"/>
  </mergeCells>
  <printOptions horizontalCentered="1"/>
  <pageMargins left="0" right="0" top="0.78740157480314965" bottom="0" header="0.31496062992125984" footer="0.31496062992125984"/>
  <pageSetup paperSize="256" scale="8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8400C-92C1-4EF7-80A3-487286A6B0B7}">
  <dimension ref="A1:A113"/>
  <sheetViews>
    <sheetView workbookViewId="0">
      <selection activeCell="C67" sqref="C67"/>
    </sheetView>
  </sheetViews>
  <sheetFormatPr baseColWidth="10" defaultColWidth="11.42578125" defaultRowHeight="12.75"/>
  <cols>
    <col min="1" max="1" width="152.140625" customWidth="1"/>
    <col min="2" max="2" width="33.5703125" customWidth="1"/>
    <col min="3" max="3" width="31.85546875" customWidth="1"/>
    <col min="4" max="4" width="19.5703125" customWidth="1"/>
    <col min="5" max="5" width="19.140625" customWidth="1"/>
    <col min="6" max="6" width="33.85546875" customWidth="1"/>
    <col min="7" max="8" width="17.42578125" customWidth="1"/>
    <col min="9" max="9" width="17.85546875" customWidth="1"/>
    <col min="10" max="10" width="17.5703125" customWidth="1"/>
    <col min="11" max="11" width="17" customWidth="1"/>
    <col min="12" max="12" width="17.140625" customWidth="1"/>
    <col min="13" max="13" width="17" customWidth="1"/>
    <col min="14" max="14" width="0.140625" customWidth="1"/>
    <col min="15" max="15" width="20.5703125" customWidth="1"/>
    <col min="16" max="16" width="9.42578125" customWidth="1"/>
    <col min="18" max="18" width="12.85546875" bestFit="1" customWidth="1"/>
  </cols>
  <sheetData>
    <row r="1" spans="1:1" ht="15">
      <c r="A1" s="249" t="s">
        <v>176</v>
      </c>
    </row>
    <row r="2" spans="1:1" ht="14.25">
      <c r="A2" s="251" t="s">
        <v>177</v>
      </c>
    </row>
    <row r="3" spans="1:1">
      <c r="A3" s="252" t="s">
        <v>178</v>
      </c>
    </row>
    <row r="4" spans="1:1" ht="14.25">
      <c r="A4" s="253" t="s">
        <v>179</v>
      </c>
    </row>
    <row r="5" spans="1:1" ht="18.75">
      <c r="A5" s="254" t="s">
        <v>180</v>
      </c>
    </row>
    <row r="6" spans="1:1" ht="18.75">
      <c r="A6" s="254" t="s">
        <v>181</v>
      </c>
    </row>
    <row r="7" spans="1:1" ht="18.75">
      <c r="A7" s="254" t="s">
        <v>182</v>
      </c>
    </row>
    <row r="8" spans="1:1" ht="18.75">
      <c r="A8" s="255" t="s">
        <v>183</v>
      </c>
    </row>
    <row r="9" spans="1:1" ht="16.5">
      <c r="A9" s="256"/>
    </row>
    <row r="10" spans="1:1" ht="18.75">
      <c r="A10" s="254" t="s">
        <v>184</v>
      </c>
    </row>
    <row r="11" spans="1:1" ht="18.75">
      <c r="A11" s="254" t="s">
        <v>185</v>
      </c>
    </row>
    <row r="12" spans="1:1" ht="14.25">
      <c r="A12" s="253" t="s">
        <v>186</v>
      </c>
    </row>
    <row r="13" spans="1:1">
      <c r="A13" s="257" t="s">
        <v>187</v>
      </c>
    </row>
    <row r="14" spans="1:1" ht="14.25">
      <c r="A14" s="253" t="s">
        <v>188</v>
      </c>
    </row>
    <row r="15" spans="1:1" ht="14.25">
      <c r="A15" s="253" t="s">
        <v>189</v>
      </c>
    </row>
    <row r="16" spans="1:1">
      <c r="A16" s="258" t="s">
        <v>178</v>
      </c>
    </row>
    <row r="17" spans="1:1" ht="14.25">
      <c r="A17" s="253" t="s">
        <v>190</v>
      </c>
    </row>
    <row r="18" spans="1:1">
      <c r="A18" s="259" t="s">
        <v>191</v>
      </c>
    </row>
    <row r="19" spans="1:1">
      <c r="A19" s="250"/>
    </row>
    <row r="20" spans="1:1">
      <c r="A20" s="250"/>
    </row>
    <row r="21" spans="1:1" ht="15.75">
      <c r="A21" s="260" t="s">
        <v>192</v>
      </c>
    </row>
    <row r="22" spans="1:1" ht="18.75" customHeight="1">
      <c r="A22" s="260" t="s">
        <v>193</v>
      </c>
    </row>
    <row r="23" spans="1:1">
      <c r="A23" s="250"/>
    </row>
    <row r="24" spans="1:1">
      <c r="A24" s="250"/>
    </row>
    <row r="25" spans="1:1" ht="15" customHeight="1">
      <c r="A25" s="261" t="s">
        <v>194</v>
      </c>
    </row>
    <row r="26" spans="1:1">
      <c r="A26" s="250"/>
    </row>
    <row r="27" spans="1:1" ht="15.75">
      <c r="A27" s="260" t="s">
        <v>195</v>
      </c>
    </row>
    <row r="28" spans="1:1">
      <c r="A28" s="250"/>
    </row>
    <row r="29" spans="1:1">
      <c r="A29" s="250"/>
    </row>
    <row r="30" spans="1:1" ht="15.75">
      <c r="A30" s="262" t="s">
        <v>196</v>
      </c>
    </row>
    <row r="31" spans="1:1" ht="15.75">
      <c r="A31" s="260" t="s">
        <v>197</v>
      </c>
    </row>
    <row r="32" spans="1:1" ht="15.75">
      <c r="A32" s="260" t="s">
        <v>198</v>
      </c>
    </row>
    <row r="33" spans="1:1">
      <c r="A33" s="250"/>
    </row>
    <row r="34" spans="1:1" ht="38.25" customHeight="1">
      <c r="A34" s="260" t="s">
        <v>199</v>
      </c>
    </row>
    <row r="35" spans="1:1">
      <c r="A35" s="250"/>
    </row>
    <row r="36" spans="1:1" ht="23.25" customHeight="1">
      <c r="A36" s="263" t="s">
        <v>200</v>
      </c>
    </row>
    <row r="37" spans="1:1">
      <c r="A37" s="250"/>
    </row>
    <row r="38" spans="1:1" ht="16.5" customHeight="1">
      <c r="A38" s="260" t="s">
        <v>201</v>
      </c>
    </row>
    <row r="39" spans="1:1">
      <c r="A39" s="250"/>
    </row>
    <row r="40" spans="1:1">
      <c r="A40" s="250"/>
    </row>
    <row r="41" spans="1:1" ht="15.75">
      <c r="A41" s="262" t="s">
        <v>202</v>
      </c>
    </row>
    <row r="42" spans="1:1" ht="15.75">
      <c r="A42" s="260" t="s">
        <v>203</v>
      </c>
    </row>
    <row r="43" spans="1:1" ht="15.75">
      <c r="A43" s="260" t="s">
        <v>204</v>
      </c>
    </row>
    <row r="44" spans="1:1">
      <c r="A44" s="250"/>
    </row>
    <row r="45" spans="1:1" ht="24" customHeight="1">
      <c r="A45" s="263" t="s">
        <v>205</v>
      </c>
    </row>
    <row r="46" spans="1:1">
      <c r="A46" s="250"/>
    </row>
    <row r="47" spans="1:1">
      <c r="A47" s="250"/>
    </row>
    <row r="48" spans="1:1">
      <c r="A48" s="250"/>
    </row>
    <row r="49" spans="1:1" ht="15.75">
      <c r="A49" s="262" t="s">
        <v>206</v>
      </c>
    </row>
    <row r="50" spans="1:1" ht="15.75">
      <c r="A50" s="260" t="s">
        <v>207</v>
      </c>
    </row>
    <row r="51" spans="1:1" ht="15.75">
      <c r="A51" s="260" t="s">
        <v>208</v>
      </c>
    </row>
    <row r="52" spans="1:1">
      <c r="A52" s="250"/>
    </row>
    <row r="53" spans="1:1">
      <c r="A53" s="250"/>
    </row>
    <row r="54" spans="1:1" ht="15.75">
      <c r="A54" s="260" t="s">
        <v>209</v>
      </c>
    </row>
    <row r="55" spans="1:1">
      <c r="A55" s="250"/>
    </row>
    <row r="56" spans="1:1" ht="19.5" customHeight="1">
      <c r="A56" s="263" t="s">
        <v>210</v>
      </c>
    </row>
    <row r="57" spans="1:1">
      <c r="A57" s="250"/>
    </row>
    <row r="58" spans="1:1" ht="23.25" customHeight="1">
      <c r="A58" s="261" t="s">
        <v>211</v>
      </c>
    </row>
    <row r="59" spans="1:1">
      <c r="A59" s="250"/>
    </row>
    <row r="60" spans="1:1">
      <c r="A60" s="250"/>
    </row>
    <row r="61" spans="1:1" ht="18.75">
      <c r="A61" s="261" t="s">
        <v>212</v>
      </c>
    </row>
    <row r="62" spans="1:1">
      <c r="A62" s="250"/>
    </row>
    <row r="63" spans="1:1" ht="18.75">
      <c r="A63" s="261" t="s">
        <v>213</v>
      </c>
    </row>
    <row r="66" spans="1:1" ht="15">
      <c r="A66" s="249" t="s">
        <v>176</v>
      </c>
    </row>
    <row r="67" spans="1:1" ht="14.25">
      <c r="A67" s="251" t="s">
        <v>177</v>
      </c>
    </row>
    <row r="68" spans="1:1">
      <c r="A68" s="252" t="s">
        <v>178</v>
      </c>
    </row>
    <row r="69" spans="1:1" ht="14.25">
      <c r="A69" s="253" t="s">
        <v>179</v>
      </c>
    </row>
    <row r="70" spans="1:1" ht="18.75">
      <c r="A70" s="254" t="s">
        <v>180</v>
      </c>
    </row>
    <row r="71" spans="1:1" ht="18.75">
      <c r="A71" s="254" t="s">
        <v>181</v>
      </c>
    </row>
    <row r="72" spans="1:1" ht="18.75">
      <c r="A72" s="254" t="s">
        <v>182</v>
      </c>
    </row>
    <row r="73" spans="1:1" ht="18.75">
      <c r="A73" s="255" t="s">
        <v>183</v>
      </c>
    </row>
    <row r="74" spans="1:1" ht="16.5">
      <c r="A74" s="256"/>
    </row>
    <row r="75" spans="1:1" ht="18.75">
      <c r="A75" s="254" t="s">
        <v>184</v>
      </c>
    </row>
    <row r="76" spans="1:1" ht="18.75">
      <c r="A76" s="254" t="s">
        <v>185</v>
      </c>
    </row>
    <row r="77" spans="1:1" ht="14.25">
      <c r="A77" s="253" t="s">
        <v>186</v>
      </c>
    </row>
    <row r="78" spans="1:1">
      <c r="A78" s="257" t="s">
        <v>187</v>
      </c>
    </row>
    <row r="79" spans="1:1" ht="14.25">
      <c r="A79" s="253" t="s">
        <v>188</v>
      </c>
    </row>
    <row r="80" spans="1:1" ht="14.25">
      <c r="A80" s="253" t="s">
        <v>189</v>
      </c>
    </row>
    <row r="81" spans="1:1">
      <c r="A81" s="258" t="s">
        <v>178</v>
      </c>
    </row>
    <row r="82" spans="1:1" ht="14.25">
      <c r="A82" s="253" t="s">
        <v>190</v>
      </c>
    </row>
    <row r="83" spans="1:1">
      <c r="A83" s="259" t="s">
        <v>214</v>
      </c>
    </row>
    <row r="84" spans="1:1">
      <c r="A84" s="250"/>
    </row>
    <row r="85" spans="1:1">
      <c r="A85" s="250"/>
    </row>
    <row r="86" spans="1:1" ht="15.75">
      <c r="A86" s="260" t="s">
        <v>215</v>
      </c>
    </row>
    <row r="87" spans="1:1">
      <c r="A87" s="250"/>
    </row>
    <row r="88" spans="1:1" ht="15.75">
      <c r="A88" s="260" t="s">
        <v>216</v>
      </c>
    </row>
    <row r="89" spans="1:1">
      <c r="A89" s="250"/>
    </row>
    <row r="90" spans="1:1">
      <c r="A90" s="250"/>
    </row>
    <row r="91" spans="1:1" ht="15.75">
      <c r="A91" s="260" t="s">
        <v>217</v>
      </c>
    </row>
    <row r="92" spans="1:1">
      <c r="A92" s="250"/>
    </row>
    <row r="93" spans="1:1" ht="15.75">
      <c r="A93" s="260" t="s">
        <v>218</v>
      </c>
    </row>
    <row r="94" spans="1:1" ht="15.75">
      <c r="A94" s="260" t="s">
        <v>219</v>
      </c>
    </row>
    <row r="95" spans="1:1">
      <c r="A95" s="250"/>
    </row>
    <row r="96" spans="1:1" ht="15.75">
      <c r="A96" s="260" t="s">
        <v>220</v>
      </c>
    </row>
    <row r="97" spans="1:1" ht="33">
      <c r="A97" s="263" t="s">
        <v>221</v>
      </c>
    </row>
    <row r="98" spans="1:1">
      <c r="A98" s="250"/>
    </row>
    <row r="99" spans="1:1" ht="15.75">
      <c r="A99" s="260" t="s">
        <v>222</v>
      </c>
    </row>
    <row r="100" spans="1:1" ht="15.75">
      <c r="A100" s="260" t="s">
        <v>223</v>
      </c>
    </row>
    <row r="101" spans="1:1" ht="18">
      <c r="A101" s="263" t="s">
        <v>224</v>
      </c>
    </row>
    <row r="102" spans="1:1">
      <c r="A102" s="250"/>
    </row>
    <row r="103" spans="1:1" ht="15.75">
      <c r="A103" s="260" t="s">
        <v>225</v>
      </c>
    </row>
    <row r="104" spans="1:1" ht="15.75">
      <c r="A104" s="260" t="s">
        <v>226</v>
      </c>
    </row>
    <row r="105" spans="1:1" ht="18">
      <c r="A105" s="263" t="s">
        <v>227</v>
      </c>
    </row>
    <row r="106" spans="1:1">
      <c r="A106" s="250"/>
    </row>
    <row r="107" spans="1:1">
      <c r="A107" s="250"/>
    </row>
    <row r="108" spans="1:1">
      <c r="A108" s="250"/>
    </row>
    <row r="109" spans="1:1" ht="18">
      <c r="A109" s="263" t="s">
        <v>228</v>
      </c>
    </row>
    <row r="110" spans="1:1">
      <c r="A110" s="250"/>
    </row>
    <row r="111" spans="1:1" ht="15.75">
      <c r="A111" s="260" t="s">
        <v>212</v>
      </c>
    </row>
    <row r="112" spans="1:1">
      <c r="A112" s="250"/>
    </row>
    <row r="113" spans="1:1" ht="15.75">
      <c r="A113" s="260" t="s">
        <v>213</v>
      </c>
    </row>
  </sheetData>
  <printOptions horizontalCentered="1"/>
  <pageMargins left="0" right="0" top="0.78740157480314965" bottom="0" header="0.31496062992125984" footer="0.31496062992125984"/>
  <pageSetup paperSize="256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C788A-09DC-4ADC-9138-5D5D047D3DA3}">
  <dimension ref="A1:Q193"/>
  <sheetViews>
    <sheetView topLeftCell="A103" workbookViewId="0">
      <selection activeCell="K185" sqref="K185"/>
    </sheetView>
  </sheetViews>
  <sheetFormatPr baseColWidth="10" defaultColWidth="11.42578125" defaultRowHeight="12.75"/>
  <cols>
    <col min="1" max="1" width="27.28515625" customWidth="1"/>
    <col min="2" max="2" width="37.42578125" customWidth="1"/>
    <col min="3" max="3" width="21" customWidth="1"/>
    <col min="4" max="4" width="0.140625" hidden="1" customWidth="1"/>
    <col min="5" max="5" width="22" hidden="1" customWidth="1"/>
    <col min="6" max="6" width="20.28515625" customWidth="1"/>
    <col min="7" max="7" width="17.140625" hidden="1" customWidth="1"/>
    <col min="8" max="8" width="14.5703125" hidden="1" customWidth="1"/>
    <col min="9" max="9" width="21.5703125" customWidth="1"/>
    <col min="10" max="10" width="7.5703125" hidden="1" customWidth="1"/>
    <col min="11" max="11" width="21.7109375" customWidth="1"/>
    <col min="12" max="12" width="32.7109375" customWidth="1"/>
    <col min="13" max="13" width="0.28515625" hidden="1" customWidth="1"/>
    <col min="14" max="14" width="20.85546875" customWidth="1"/>
    <col min="15" max="15" width="21" customWidth="1"/>
    <col min="16" max="16" width="20.5703125" customWidth="1"/>
    <col min="17" max="17" width="16.5703125" bestFit="1" customWidth="1"/>
  </cols>
  <sheetData>
    <row r="1" spans="1:17" ht="15.95" customHeight="1">
      <c r="A1" s="279" t="s">
        <v>0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</row>
    <row r="2" spans="1:17" ht="15.95" customHeight="1">
      <c r="A2" s="279" t="s">
        <v>1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</row>
    <row r="3" spans="1:17" ht="15.95" customHeight="1">
      <c r="A3" s="279" t="s">
        <v>2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</row>
    <row r="4" spans="1:17" ht="15.95" customHeight="1">
      <c r="A4" s="279" t="s">
        <v>20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</row>
    <row r="5" spans="1:17" ht="16.5" customHeight="1"/>
    <row r="6" spans="1:17" ht="15" customHeight="1" thickBot="1">
      <c r="A6" s="1" t="s">
        <v>4</v>
      </c>
      <c r="B6" s="58"/>
      <c r="C6" s="297" t="s">
        <v>21</v>
      </c>
      <c r="D6" s="298"/>
      <c r="E6" s="298"/>
      <c r="F6" s="298"/>
      <c r="G6" s="298"/>
      <c r="H6" s="298"/>
      <c r="I6" s="8"/>
      <c r="J6" s="8"/>
      <c r="K6" s="8"/>
      <c r="L6" s="8"/>
    </row>
    <row r="7" spans="1:17" ht="24" customHeight="1">
      <c r="A7" s="1" t="s">
        <v>5</v>
      </c>
      <c r="B7" s="58"/>
      <c r="C7" s="294" t="s">
        <v>22</v>
      </c>
      <c r="D7" s="295"/>
      <c r="E7" s="295"/>
      <c r="F7" s="295"/>
      <c r="G7" s="296"/>
      <c r="H7" s="296"/>
      <c r="I7" s="296"/>
      <c r="J7" s="296"/>
      <c r="K7" s="296"/>
      <c r="L7" s="296"/>
      <c r="M7" s="296"/>
      <c r="N7" s="296"/>
      <c r="O7" s="296"/>
    </row>
    <row r="8" spans="1:17" ht="15.75">
      <c r="A8" s="1"/>
      <c r="B8" s="58"/>
      <c r="C8" s="58"/>
      <c r="D8" s="58"/>
      <c r="E8" s="58"/>
    </row>
    <row r="9" spans="1:17">
      <c r="A9" s="29" t="s">
        <v>10</v>
      </c>
      <c r="F9" s="69">
        <v>45530</v>
      </c>
      <c r="G9" s="14"/>
      <c r="H9" s="14"/>
    </row>
    <row r="10" spans="1:17" ht="14.25" customHeight="1">
      <c r="A10" s="29" t="s">
        <v>23</v>
      </c>
      <c r="F10" s="12">
        <v>0.12</v>
      </c>
      <c r="G10" s="15"/>
      <c r="H10" s="15"/>
      <c r="L10" s="41"/>
      <c r="M10" s="4"/>
    </row>
    <row r="11" spans="1:17">
      <c r="A11" s="29" t="s">
        <v>8</v>
      </c>
      <c r="F11" s="126">
        <v>1212027462</v>
      </c>
      <c r="G11" s="16"/>
      <c r="H11" s="16"/>
      <c r="I11" s="220">
        <f>F11/F186*100</f>
        <v>47.526130224262218</v>
      </c>
      <c r="L11" s="42"/>
    </row>
    <row r="12" spans="1:17">
      <c r="A12" s="29" t="s">
        <v>13</v>
      </c>
      <c r="F12" s="13"/>
      <c r="G12" s="16"/>
      <c r="H12" s="16"/>
      <c r="L12" s="43"/>
      <c r="M12" s="4"/>
    </row>
    <row r="13" spans="1:17">
      <c r="A13" s="29" t="s">
        <v>24</v>
      </c>
      <c r="F13" s="69">
        <v>45530</v>
      </c>
      <c r="G13" s="17"/>
      <c r="H13" s="17"/>
    </row>
    <row r="14" spans="1:17" ht="5.25" customHeight="1" thickBot="1"/>
    <row r="15" spans="1:17" ht="33" customHeight="1" thickBot="1">
      <c r="A15" s="28" t="s">
        <v>25</v>
      </c>
      <c r="B15" s="28" t="s">
        <v>26</v>
      </c>
      <c r="C15" s="28" t="s">
        <v>27</v>
      </c>
      <c r="D15" s="28" t="s">
        <v>27</v>
      </c>
      <c r="E15" s="28"/>
      <c r="F15" s="28" t="s">
        <v>28</v>
      </c>
      <c r="G15" s="28"/>
      <c r="H15" s="28"/>
      <c r="I15" s="28" t="s">
        <v>29</v>
      </c>
      <c r="J15" s="28" t="s">
        <v>30</v>
      </c>
      <c r="K15" s="28"/>
      <c r="L15" s="28" t="s">
        <v>31</v>
      </c>
      <c r="M15" s="28" t="s">
        <v>32</v>
      </c>
      <c r="N15" s="28" t="s">
        <v>32</v>
      </c>
    </row>
    <row r="16" spans="1:17" ht="15">
      <c r="A16" s="134">
        <v>45595</v>
      </c>
      <c r="B16" s="24"/>
      <c r="C16" s="25">
        <f>(F11)</f>
        <v>1212027462</v>
      </c>
      <c r="D16" s="25">
        <f t="shared" ref="D16:D29" si="0">IF(C16&gt;=0,C16,0)</f>
        <v>1212027462</v>
      </c>
      <c r="E16" s="25">
        <f t="shared" ref="E16:E29" si="1">(B16-I16)</f>
        <v>0</v>
      </c>
      <c r="F16" s="25">
        <f t="shared" ref="F16:F29" si="2">IF(E16&gt;=D16,D16,E16)</f>
        <v>0</v>
      </c>
      <c r="G16" s="25">
        <f>IF(L16&gt;=B16,B16,L16)</f>
        <v>0</v>
      </c>
      <c r="H16" s="25">
        <f>(L16-G16)</f>
        <v>25900860.831780825</v>
      </c>
      <c r="I16" s="25">
        <f>(G16)</f>
        <v>0</v>
      </c>
      <c r="J16" s="26">
        <f>(A16-F13)</f>
        <v>65</v>
      </c>
      <c r="K16" s="26">
        <f t="shared" ref="K16:K29" si="3">IF(J16&gt;0,J16,0)</f>
        <v>65</v>
      </c>
      <c r="L16" s="25">
        <f>(D16*K16*$F$10)/365+$F$12</f>
        <v>25900860.831780825</v>
      </c>
      <c r="M16" s="25">
        <f>(C16+L16-B16)</f>
        <v>1237928322.8317809</v>
      </c>
      <c r="N16" s="149">
        <f t="shared" ref="N16:N29" si="4">IF(A16&gt;0,M16,0)</f>
        <v>1237928322.8317809</v>
      </c>
      <c r="O16" s="103"/>
      <c r="P16" s="104"/>
      <c r="Q16" s="132"/>
    </row>
    <row r="17" spans="1:16" ht="15">
      <c r="A17" s="140"/>
      <c r="B17" s="6"/>
      <c r="C17" s="5">
        <f>IF(N16&gt;=C16,C16,N16)</f>
        <v>1212027462</v>
      </c>
      <c r="D17" s="5">
        <f t="shared" si="0"/>
        <v>1212027462</v>
      </c>
      <c r="E17" s="5">
        <f t="shared" si="1"/>
        <v>0</v>
      </c>
      <c r="F17" s="5">
        <f t="shared" si="2"/>
        <v>0</v>
      </c>
      <c r="G17" s="5">
        <f>(H16+L17)</f>
        <v>25900860.831780825</v>
      </c>
      <c r="H17" s="5">
        <f t="shared" ref="H17:H29" si="5">IF(G17&gt;=B17,B17,G17)</f>
        <v>0</v>
      </c>
      <c r="I17" s="5">
        <f t="shared" ref="I17:I29" si="6">(H17)</f>
        <v>0</v>
      </c>
      <c r="J17" s="7">
        <f>(A17-A16)</f>
        <v>-45595</v>
      </c>
      <c r="K17" s="7">
        <f t="shared" si="3"/>
        <v>0</v>
      </c>
      <c r="L17" s="5">
        <f t="shared" ref="L17:L29" si="7">(D17*K17*$F$10)/365</f>
        <v>0</v>
      </c>
      <c r="M17" s="5">
        <f>(M16+L17-B17)</f>
        <v>1237928322.8317809</v>
      </c>
      <c r="N17" s="135">
        <f t="shared" si="4"/>
        <v>0</v>
      </c>
      <c r="O17" s="104"/>
      <c r="P17" s="132"/>
    </row>
    <row r="18" spans="1:16">
      <c r="A18" s="134"/>
      <c r="B18" s="6"/>
      <c r="C18" s="5">
        <f>IF(N17&gt;=C17,C17,N17)</f>
        <v>0</v>
      </c>
      <c r="D18" s="5">
        <f t="shared" si="0"/>
        <v>0</v>
      </c>
      <c r="E18" s="5">
        <f t="shared" si="1"/>
        <v>0</v>
      </c>
      <c r="F18" s="5">
        <f t="shared" si="2"/>
        <v>0</v>
      </c>
      <c r="G18" s="5">
        <f>(G17+L18-H17)</f>
        <v>25900860.831780825</v>
      </c>
      <c r="H18" s="5">
        <f t="shared" si="5"/>
        <v>0</v>
      </c>
      <c r="I18" s="5">
        <f t="shared" si="6"/>
        <v>0</v>
      </c>
      <c r="J18" s="7">
        <f>(A18-A17)</f>
        <v>0</v>
      </c>
      <c r="K18" s="7">
        <f t="shared" si="3"/>
        <v>0</v>
      </c>
      <c r="L18" s="5">
        <f t="shared" si="7"/>
        <v>0</v>
      </c>
      <c r="M18" s="5">
        <f>(M17+L18-B18)</f>
        <v>1237928322.8317809</v>
      </c>
      <c r="N18" s="135">
        <f t="shared" si="4"/>
        <v>0</v>
      </c>
    </row>
    <row r="19" spans="1:16">
      <c r="A19" s="127"/>
      <c r="B19" s="6"/>
      <c r="C19" s="5">
        <f>IF(N18&gt;=C18,C18,N18)</f>
        <v>0</v>
      </c>
      <c r="D19" s="5">
        <f t="shared" si="0"/>
        <v>0</v>
      </c>
      <c r="E19" s="5">
        <f t="shared" si="1"/>
        <v>0</v>
      </c>
      <c r="F19" s="5">
        <f t="shared" si="2"/>
        <v>0</v>
      </c>
      <c r="G19" s="5">
        <f>(G18+L19-H18)</f>
        <v>25900860.831780825</v>
      </c>
      <c r="H19" s="5">
        <f t="shared" si="5"/>
        <v>0</v>
      </c>
      <c r="I19" s="5">
        <f t="shared" si="6"/>
        <v>0</v>
      </c>
      <c r="J19" s="7">
        <f>(A19-A18)</f>
        <v>0</v>
      </c>
      <c r="K19" s="7">
        <f t="shared" si="3"/>
        <v>0</v>
      </c>
      <c r="L19" s="5">
        <f t="shared" si="7"/>
        <v>0</v>
      </c>
      <c r="M19" s="5">
        <f>(M18+L19-B19)</f>
        <v>1237928322.8317809</v>
      </c>
      <c r="N19" s="135">
        <f t="shared" si="4"/>
        <v>0</v>
      </c>
    </row>
    <row r="20" spans="1:16">
      <c r="A20" s="134"/>
      <c r="B20" s="6"/>
      <c r="C20" s="5">
        <f>IF(N19&gt;=C19,C19,N19)</f>
        <v>0</v>
      </c>
      <c r="D20" s="5">
        <f t="shared" si="0"/>
        <v>0</v>
      </c>
      <c r="E20" s="5">
        <f t="shared" si="1"/>
        <v>0</v>
      </c>
      <c r="F20" s="5">
        <f t="shared" si="2"/>
        <v>0</v>
      </c>
      <c r="G20" s="5">
        <f>(G19+L20-H19)</f>
        <v>25900860.831780825</v>
      </c>
      <c r="H20" s="5">
        <f t="shared" si="5"/>
        <v>0</v>
      </c>
      <c r="I20" s="5">
        <f t="shared" si="6"/>
        <v>0</v>
      </c>
      <c r="J20" s="7">
        <f>(A20-A19)</f>
        <v>0</v>
      </c>
      <c r="K20" s="7">
        <f t="shared" si="3"/>
        <v>0</v>
      </c>
      <c r="L20" s="5">
        <f t="shared" si="7"/>
        <v>0</v>
      </c>
      <c r="M20" s="5">
        <f>(M19+L20-B20)</f>
        <v>1237928322.8317809</v>
      </c>
      <c r="N20" s="136">
        <f t="shared" si="4"/>
        <v>0</v>
      </c>
      <c r="O20" s="101"/>
    </row>
    <row r="21" spans="1:16">
      <c r="A21" s="134"/>
      <c r="B21" s="6"/>
      <c r="C21" s="5">
        <f t="shared" ref="C21:C27" si="8">IF(N20&gt;=C20,C20,N20)</f>
        <v>0</v>
      </c>
      <c r="D21" s="5">
        <f t="shared" si="0"/>
        <v>0</v>
      </c>
      <c r="E21" s="5">
        <f t="shared" si="1"/>
        <v>0</v>
      </c>
      <c r="F21" s="5">
        <f t="shared" si="2"/>
        <v>0</v>
      </c>
      <c r="G21" s="5">
        <f t="shared" ref="G21:G27" si="9">(G20+L21-H20)</f>
        <v>25900860.831780825</v>
      </c>
      <c r="H21" s="5">
        <f t="shared" si="5"/>
        <v>0</v>
      </c>
      <c r="I21" s="5">
        <f t="shared" si="6"/>
        <v>0</v>
      </c>
      <c r="J21" s="7">
        <f t="shared" ref="J21:J27" si="10">(A21-A20)</f>
        <v>0</v>
      </c>
      <c r="K21" s="7">
        <f t="shared" si="3"/>
        <v>0</v>
      </c>
      <c r="L21" s="5">
        <f t="shared" si="7"/>
        <v>0</v>
      </c>
      <c r="M21" s="5">
        <f t="shared" ref="M21:M27" si="11">(M20+L21-B21)</f>
        <v>1237928322.8317809</v>
      </c>
      <c r="N21" s="136">
        <f t="shared" si="4"/>
        <v>0</v>
      </c>
    </row>
    <row r="22" spans="1:16">
      <c r="A22" s="134"/>
      <c r="B22" s="6"/>
      <c r="C22" s="5">
        <f t="shared" si="8"/>
        <v>0</v>
      </c>
      <c r="D22" s="5">
        <f t="shared" si="0"/>
        <v>0</v>
      </c>
      <c r="E22" s="5">
        <f t="shared" si="1"/>
        <v>0</v>
      </c>
      <c r="F22" s="5">
        <f t="shared" si="2"/>
        <v>0</v>
      </c>
      <c r="G22" s="5">
        <f t="shared" si="9"/>
        <v>25900860.831780825</v>
      </c>
      <c r="H22" s="5">
        <f t="shared" si="5"/>
        <v>0</v>
      </c>
      <c r="I22" s="5">
        <f t="shared" si="6"/>
        <v>0</v>
      </c>
      <c r="J22" s="7">
        <f t="shared" si="10"/>
        <v>0</v>
      </c>
      <c r="K22" s="7">
        <f t="shared" si="3"/>
        <v>0</v>
      </c>
      <c r="L22" s="5">
        <f t="shared" si="7"/>
        <v>0</v>
      </c>
      <c r="M22" s="5">
        <f t="shared" si="11"/>
        <v>1237928322.8317809</v>
      </c>
      <c r="N22" s="136">
        <f t="shared" si="4"/>
        <v>0</v>
      </c>
    </row>
    <row r="23" spans="1:16">
      <c r="A23" s="134"/>
      <c r="B23" s="6"/>
      <c r="C23" s="5">
        <f t="shared" si="8"/>
        <v>0</v>
      </c>
      <c r="D23" s="5">
        <f t="shared" si="0"/>
        <v>0</v>
      </c>
      <c r="E23" s="5">
        <f t="shared" si="1"/>
        <v>0</v>
      </c>
      <c r="F23" s="5">
        <f t="shared" si="2"/>
        <v>0</v>
      </c>
      <c r="G23" s="5">
        <f t="shared" si="9"/>
        <v>25900860.831780825</v>
      </c>
      <c r="H23" s="5">
        <f t="shared" si="5"/>
        <v>0</v>
      </c>
      <c r="I23" s="5">
        <f t="shared" si="6"/>
        <v>0</v>
      </c>
      <c r="J23" s="7">
        <f t="shared" si="10"/>
        <v>0</v>
      </c>
      <c r="K23" s="7">
        <f t="shared" si="3"/>
        <v>0</v>
      </c>
      <c r="L23" s="5">
        <f t="shared" si="7"/>
        <v>0</v>
      </c>
      <c r="M23" s="5">
        <f t="shared" si="11"/>
        <v>1237928322.8317809</v>
      </c>
      <c r="N23" s="136">
        <f t="shared" si="4"/>
        <v>0</v>
      </c>
    </row>
    <row r="24" spans="1:16">
      <c r="A24" s="134"/>
      <c r="B24" s="6"/>
      <c r="C24" s="5">
        <f t="shared" si="8"/>
        <v>0</v>
      </c>
      <c r="D24" s="5">
        <f t="shared" si="0"/>
        <v>0</v>
      </c>
      <c r="E24" s="5">
        <f t="shared" si="1"/>
        <v>0</v>
      </c>
      <c r="F24" s="5">
        <f t="shared" si="2"/>
        <v>0</v>
      </c>
      <c r="G24" s="5">
        <f t="shared" si="9"/>
        <v>25900860.831780825</v>
      </c>
      <c r="H24" s="5">
        <f t="shared" si="5"/>
        <v>0</v>
      </c>
      <c r="I24" s="5">
        <f t="shared" si="6"/>
        <v>0</v>
      </c>
      <c r="J24" s="7">
        <f t="shared" si="10"/>
        <v>0</v>
      </c>
      <c r="K24" s="7">
        <f t="shared" si="3"/>
        <v>0</v>
      </c>
      <c r="L24" s="5">
        <f t="shared" si="7"/>
        <v>0</v>
      </c>
      <c r="M24" s="5">
        <f t="shared" si="11"/>
        <v>1237928322.8317809</v>
      </c>
      <c r="N24" s="136">
        <f t="shared" si="4"/>
        <v>0</v>
      </c>
    </row>
    <row r="25" spans="1:16">
      <c r="A25" s="134"/>
      <c r="B25" s="6"/>
      <c r="C25" s="5">
        <f t="shared" si="8"/>
        <v>0</v>
      </c>
      <c r="D25" s="5">
        <f t="shared" si="0"/>
        <v>0</v>
      </c>
      <c r="E25" s="5">
        <f t="shared" si="1"/>
        <v>0</v>
      </c>
      <c r="F25" s="5">
        <f t="shared" si="2"/>
        <v>0</v>
      </c>
      <c r="G25" s="5">
        <f t="shared" si="9"/>
        <v>25900860.831780825</v>
      </c>
      <c r="H25" s="5">
        <f t="shared" si="5"/>
        <v>0</v>
      </c>
      <c r="I25" s="5">
        <f t="shared" si="6"/>
        <v>0</v>
      </c>
      <c r="J25" s="7">
        <f t="shared" si="10"/>
        <v>0</v>
      </c>
      <c r="K25" s="7">
        <f t="shared" si="3"/>
        <v>0</v>
      </c>
      <c r="L25" s="5">
        <f t="shared" si="7"/>
        <v>0</v>
      </c>
      <c r="M25" s="5">
        <f t="shared" si="11"/>
        <v>1237928322.8317809</v>
      </c>
      <c r="N25" s="136">
        <f t="shared" si="4"/>
        <v>0</v>
      </c>
    </row>
    <row r="26" spans="1:16">
      <c r="A26" s="134"/>
      <c r="B26" s="6"/>
      <c r="C26" s="5">
        <f t="shared" si="8"/>
        <v>0</v>
      </c>
      <c r="D26" s="5">
        <f t="shared" si="0"/>
        <v>0</v>
      </c>
      <c r="E26" s="5">
        <f t="shared" si="1"/>
        <v>0</v>
      </c>
      <c r="F26" s="5">
        <f t="shared" si="2"/>
        <v>0</v>
      </c>
      <c r="G26" s="5">
        <f t="shared" si="9"/>
        <v>25900860.831780825</v>
      </c>
      <c r="H26" s="5">
        <f t="shared" si="5"/>
        <v>0</v>
      </c>
      <c r="I26" s="5">
        <f t="shared" si="6"/>
        <v>0</v>
      </c>
      <c r="J26" s="7">
        <f t="shared" si="10"/>
        <v>0</v>
      </c>
      <c r="K26" s="7">
        <f t="shared" si="3"/>
        <v>0</v>
      </c>
      <c r="L26" s="5">
        <f t="shared" si="7"/>
        <v>0</v>
      </c>
      <c r="M26" s="5">
        <f t="shared" si="11"/>
        <v>1237928322.8317809</v>
      </c>
      <c r="N26" s="138">
        <f t="shared" si="4"/>
        <v>0</v>
      </c>
      <c r="O26" s="101"/>
    </row>
    <row r="27" spans="1:16">
      <c r="A27" s="127"/>
      <c r="B27" s="6"/>
      <c r="C27" s="5">
        <f t="shared" si="8"/>
        <v>0</v>
      </c>
      <c r="D27" s="5">
        <f t="shared" si="0"/>
        <v>0</v>
      </c>
      <c r="E27" s="5">
        <f t="shared" si="1"/>
        <v>0</v>
      </c>
      <c r="F27" s="5">
        <f t="shared" si="2"/>
        <v>0</v>
      </c>
      <c r="G27" s="5">
        <f t="shared" si="9"/>
        <v>25900860.831780825</v>
      </c>
      <c r="H27" s="5">
        <f t="shared" si="5"/>
        <v>0</v>
      </c>
      <c r="I27" s="5">
        <f t="shared" si="6"/>
        <v>0</v>
      </c>
      <c r="J27" s="7">
        <f t="shared" si="10"/>
        <v>0</v>
      </c>
      <c r="K27" s="7">
        <f t="shared" si="3"/>
        <v>0</v>
      </c>
      <c r="L27" s="5">
        <f t="shared" si="7"/>
        <v>0</v>
      </c>
      <c r="M27" s="5">
        <f t="shared" si="11"/>
        <v>1237928322.8317809</v>
      </c>
      <c r="N27" s="27">
        <f t="shared" si="4"/>
        <v>0</v>
      </c>
      <c r="O27" s="101"/>
    </row>
    <row r="28" spans="1:16">
      <c r="A28" s="127"/>
      <c r="B28" s="6"/>
      <c r="C28" s="5">
        <f>IF(N27&gt;=C27,C27,N27)</f>
        <v>0</v>
      </c>
      <c r="D28" s="5">
        <f t="shared" si="0"/>
        <v>0</v>
      </c>
      <c r="E28" s="5">
        <f t="shared" si="1"/>
        <v>0</v>
      </c>
      <c r="F28" s="5">
        <f t="shared" si="2"/>
        <v>0</v>
      </c>
      <c r="G28" s="5">
        <f>(G20+L28-H20)</f>
        <v>25900860.831780825</v>
      </c>
      <c r="H28" s="5">
        <f t="shared" si="5"/>
        <v>0</v>
      </c>
      <c r="I28" s="5">
        <f t="shared" si="6"/>
        <v>0</v>
      </c>
      <c r="J28" s="7">
        <f>(A28-A27)</f>
        <v>0</v>
      </c>
      <c r="K28" s="7">
        <f t="shared" si="3"/>
        <v>0</v>
      </c>
      <c r="L28" s="5">
        <f t="shared" si="7"/>
        <v>0</v>
      </c>
      <c r="M28" s="5">
        <f>(M27+L28-B28)</f>
        <v>1237928322.8317809</v>
      </c>
      <c r="N28" s="27">
        <f t="shared" si="4"/>
        <v>0</v>
      </c>
    </row>
    <row r="29" spans="1:16" ht="13.5" thickBot="1">
      <c r="A29" s="127"/>
      <c r="B29" s="6"/>
      <c r="C29" s="5">
        <f>IF(N28&gt;=C28,C28,N28)</f>
        <v>0</v>
      </c>
      <c r="D29" s="5">
        <f t="shared" si="0"/>
        <v>0</v>
      </c>
      <c r="E29" s="5">
        <f t="shared" si="1"/>
        <v>0</v>
      </c>
      <c r="F29" s="5">
        <f t="shared" si="2"/>
        <v>0</v>
      </c>
      <c r="G29" s="5">
        <f>(G28+L29-H28)</f>
        <v>25900860.831780825</v>
      </c>
      <c r="H29" s="5">
        <f t="shared" si="5"/>
        <v>0</v>
      </c>
      <c r="I29" s="5">
        <f t="shared" si="6"/>
        <v>0</v>
      </c>
      <c r="J29" s="7">
        <f>(A29-A28)</f>
        <v>0</v>
      </c>
      <c r="K29" s="7">
        <f t="shared" si="3"/>
        <v>0</v>
      </c>
      <c r="L29" s="5">
        <f t="shared" si="7"/>
        <v>0</v>
      </c>
      <c r="M29" s="5">
        <f>(M28+L29-B29)</f>
        <v>1237928322.8317809</v>
      </c>
      <c r="N29" s="27">
        <f t="shared" si="4"/>
        <v>0</v>
      </c>
      <c r="O29" s="101"/>
    </row>
    <row r="30" spans="1:16" ht="16.5" thickBot="1">
      <c r="A30" s="19" t="s">
        <v>33</v>
      </c>
      <c r="B30" s="20">
        <f>SUM(B16:B29)</f>
        <v>0</v>
      </c>
      <c r="C30" s="21"/>
      <c r="D30" s="20"/>
      <c r="E30" s="21"/>
      <c r="F30" s="20">
        <f>SUM(F16:F29)</f>
        <v>0</v>
      </c>
      <c r="G30" s="20"/>
      <c r="H30" s="20"/>
      <c r="I30" s="20">
        <f>SUM(I16:I29)</f>
        <v>0</v>
      </c>
      <c r="J30" s="22"/>
      <c r="K30" s="22"/>
      <c r="L30" s="22">
        <f>SUM(L16:L29)</f>
        <v>25900860.831780825</v>
      </c>
      <c r="M30" s="23"/>
      <c r="N30" s="18"/>
    </row>
    <row r="31" spans="1:16">
      <c r="A31" s="61" t="s">
        <v>17</v>
      </c>
      <c r="I31" s="43"/>
      <c r="L31" s="101"/>
    </row>
    <row r="32" spans="1:16">
      <c r="I32" s="43"/>
      <c r="L32" s="141"/>
      <c r="N32" s="128"/>
      <c r="O32" s="117"/>
      <c r="P32" s="117"/>
    </row>
    <row r="33" spans="1:16">
      <c r="I33" s="43"/>
      <c r="L33" s="101"/>
      <c r="N33" s="128"/>
      <c r="O33" s="117"/>
      <c r="P33" s="117"/>
    </row>
    <row r="34" spans="1:16" ht="15.75">
      <c r="A34" s="61"/>
      <c r="D34" s="75" t="s">
        <v>9</v>
      </c>
      <c r="F34" s="75" t="s">
        <v>9</v>
      </c>
      <c r="G34" s="67"/>
      <c r="H34" s="110"/>
      <c r="I34" s="75" t="s">
        <v>34</v>
      </c>
      <c r="J34" s="67"/>
      <c r="K34" s="75" t="s">
        <v>35</v>
      </c>
      <c r="L34" s="155"/>
      <c r="M34" s="132"/>
      <c r="N34" s="156"/>
      <c r="O34" s="117"/>
      <c r="P34" s="117"/>
    </row>
    <row r="35" spans="1:16">
      <c r="A35" s="61" t="s">
        <v>36</v>
      </c>
      <c r="D35" s="66">
        <v>361332693.45999998</v>
      </c>
      <c r="F35" s="66">
        <v>1212027462</v>
      </c>
      <c r="L35" s="101"/>
      <c r="N35" s="128"/>
      <c r="O35" s="117"/>
      <c r="P35" s="117"/>
    </row>
    <row r="36" spans="1:16">
      <c r="A36" s="71" t="s">
        <v>153</v>
      </c>
      <c r="B36" s="144"/>
      <c r="C36" s="157"/>
      <c r="D36" s="114"/>
      <c r="E36" s="158"/>
      <c r="F36" s="66">
        <v>102181179.98</v>
      </c>
      <c r="G36" s="66"/>
      <c r="K36" s="229">
        <f t="shared" ref="K36:K51" si="12">SUM(F36:J36)</f>
        <v>102181179.98</v>
      </c>
      <c r="L36" s="101"/>
      <c r="N36" s="128"/>
      <c r="O36" s="117"/>
      <c r="P36" s="117"/>
    </row>
    <row r="37" spans="1:16" ht="15.75">
      <c r="A37" s="71" t="s">
        <v>161</v>
      </c>
      <c r="B37" s="144"/>
      <c r="C37" s="133"/>
      <c r="D37" s="1"/>
      <c r="E37" s="66"/>
      <c r="F37" s="66">
        <v>102181179.98</v>
      </c>
      <c r="G37" s="66"/>
      <c r="K37" s="229">
        <f t="shared" si="12"/>
        <v>102181179.98</v>
      </c>
      <c r="L37" s="66"/>
      <c r="N37" s="128"/>
      <c r="O37" s="117"/>
      <c r="P37" s="117"/>
    </row>
    <row r="38" spans="1:16" ht="15.75">
      <c r="A38" s="139" t="s">
        <v>159</v>
      </c>
      <c r="B38" s="144"/>
      <c r="C38" s="133"/>
      <c r="D38" s="1"/>
      <c r="E38" s="66"/>
      <c r="F38" s="66">
        <v>45625085.020000003</v>
      </c>
      <c r="G38" s="66"/>
      <c r="H38" s="66"/>
      <c r="I38" s="66">
        <v>1165414.67</v>
      </c>
      <c r="J38" s="66"/>
      <c r="K38" s="66">
        <f t="shared" si="12"/>
        <v>46790499.690000005</v>
      </c>
      <c r="L38" s="243"/>
      <c r="N38" s="128"/>
      <c r="O38" s="117"/>
      <c r="P38" s="117"/>
    </row>
    <row r="39" spans="1:16" ht="15.75">
      <c r="A39" s="139" t="s">
        <v>159</v>
      </c>
      <c r="B39" s="144"/>
      <c r="C39" s="133"/>
      <c r="D39" s="1"/>
      <c r="E39" s="66"/>
      <c r="F39" s="66">
        <v>57031340.585491687</v>
      </c>
      <c r="G39" s="66"/>
      <c r="H39" s="66"/>
      <c r="I39" s="66">
        <v>1456767.9399826555</v>
      </c>
      <c r="J39" s="66"/>
      <c r="K39" s="66">
        <f t="shared" si="12"/>
        <v>58488108.52547434</v>
      </c>
      <c r="L39" s="66"/>
      <c r="N39" s="128"/>
      <c r="O39" s="117"/>
      <c r="P39" s="117"/>
    </row>
    <row r="40" spans="1:16" ht="15.75">
      <c r="A40" s="139" t="s">
        <v>159</v>
      </c>
      <c r="B40" s="144"/>
      <c r="C40" s="133"/>
      <c r="D40" s="1"/>
      <c r="E40" s="66"/>
      <c r="F40" s="66">
        <v>10919655.970000001</v>
      </c>
      <c r="G40" s="66"/>
      <c r="H40" s="66"/>
      <c r="I40" s="66">
        <v>1456767.97</v>
      </c>
      <c r="J40" s="66"/>
      <c r="K40" s="66">
        <f t="shared" si="12"/>
        <v>12376423.940000001</v>
      </c>
      <c r="L40" s="66"/>
      <c r="N40" s="128"/>
      <c r="O40" s="117"/>
      <c r="P40" s="117"/>
    </row>
    <row r="41" spans="1:16" ht="15.75">
      <c r="A41" s="71" t="s">
        <v>162</v>
      </c>
      <c r="B41" s="144"/>
      <c r="C41" s="133"/>
      <c r="D41" s="1"/>
      <c r="E41" s="66"/>
      <c r="F41" s="66">
        <v>85547033.260000005</v>
      </c>
      <c r="G41" s="66"/>
      <c r="H41" s="66"/>
      <c r="I41" s="66"/>
      <c r="J41" s="66"/>
      <c r="K41" s="66">
        <f t="shared" si="12"/>
        <v>85547033.260000005</v>
      </c>
      <c r="L41" s="66"/>
      <c r="N41" s="128"/>
      <c r="O41" s="117"/>
      <c r="P41" s="117"/>
    </row>
    <row r="42" spans="1:16" ht="15.75">
      <c r="A42" s="71" t="s">
        <v>166</v>
      </c>
      <c r="B42" s="144"/>
      <c r="C42" s="133"/>
      <c r="D42" s="1"/>
      <c r="E42" s="66"/>
      <c r="F42" s="66">
        <v>97783475.469999999</v>
      </c>
      <c r="G42" s="66"/>
      <c r="H42" s="66"/>
      <c r="I42" s="66"/>
      <c r="J42" s="66"/>
      <c r="K42" s="66">
        <f t="shared" si="12"/>
        <v>97783475.469999999</v>
      </c>
      <c r="L42" s="66"/>
      <c r="N42" s="128"/>
      <c r="O42" s="117"/>
      <c r="P42" s="117"/>
    </row>
    <row r="43" spans="1:16" ht="15.75">
      <c r="A43" s="71" t="s">
        <v>162</v>
      </c>
      <c r="B43" s="144"/>
      <c r="C43" s="133"/>
      <c r="D43" s="1"/>
      <c r="E43" s="66"/>
      <c r="F43" s="66">
        <v>9150316.1099999994</v>
      </c>
      <c r="G43" s="66"/>
      <c r="H43" s="66"/>
      <c r="I43" s="66"/>
      <c r="J43" s="66"/>
      <c r="K43" s="66">
        <f t="shared" si="12"/>
        <v>9150316.1099999994</v>
      </c>
      <c r="L43" s="66"/>
      <c r="N43" s="128"/>
      <c r="O43" s="117"/>
      <c r="P43" s="117"/>
    </row>
    <row r="44" spans="1:16" ht="15.75">
      <c r="A44" s="71" t="s">
        <v>167</v>
      </c>
      <c r="B44" s="144"/>
      <c r="C44" s="133"/>
      <c r="D44" s="1"/>
      <c r="E44" s="66"/>
      <c r="F44" s="66">
        <v>45316010.229999997</v>
      </c>
      <c r="G44" s="66"/>
      <c r="H44" s="66"/>
      <c r="I44" s="66"/>
      <c r="J44" s="66"/>
      <c r="K44" s="66">
        <f t="shared" si="12"/>
        <v>45316010.229999997</v>
      </c>
      <c r="L44" s="66"/>
      <c r="N44" s="128"/>
      <c r="O44" s="117"/>
      <c r="P44" s="117"/>
    </row>
    <row r="45" spans="1:16" ht="15.75">
      <c r="A45" s="71" t="s">
        <v>168</v>
      </c>
      <c r="B45" s="144"/>
      <c r="C45" s="133"/>
      <c r="D45" s="1"/>
      <c r="E45" s="66"/>
      <c r="F45" s="66">
        <v>31487463.010000002</v>
      </c>
      <c r="G45" s="66"/>
      <c r="H45" s="66"/>
      <c r="I45" s="66"/>
      <c r="J45" s="66"/>
      <c r="K45" s="66">
        <f t="shared" si="12"/>
        <v>31487463.010000002</v>
      </c>
      <c r="L45" s="66"/>
      <c r="N45" s="128"/>
      <c r="O45" s="117"/>
      <c r="P45" s="117"/>
    </row>
    <row r="46" spans="1:16" ht="15.75">
      <c r="A46" s="71" t="s">
        <v>148</v>
      </c>
      <c r="B46" s="144"/>
      <c r="C46" s="133"/>
      <c r="D46" s="1"/>
      <c r="E46" s="66"/>
      <c r="F46" s="66">
        <v>85547033.260000005</v>
      </c>
      <c r="G46" s="66"/>
      <c r="H46" s="66"/>
      <c r="I46" s="66"/>
      <c r="J46" s="66"/>
      <c r="K46" s="66">
        <f t="shared" si="12"/>
        <v>85547033.260000005</v>
      </c>
      <c r="L46" s="66"/>
      <c r="N46" s="128"/>
      <c r="O46" s="117"/>
      <c r="P46" s="117"/>
    </row>
    <row r="47" spans="1:16" ht="15.75">
      <c r="A47" s="71" t="s">
        <v>148</v>
      </c>
      <c r="B47" s="144"/>
      <c r="C47" s="133"/>
      <c r="D47" s="1"/>
      <c r="E47" s="66"/>
      <c r="F47" s="66">
        <v>106933791.57880607</v>
      </c>
      <c r="G47" s="66"/>
      <c r="H47" s="66"/>
      <c r="I47" s="66"/>
      <c r="J47" s="66"/>
      <c r="K47" s="66">
        <f t="shared" si="12"/>
        <v>106933791.57880607</v>
      </c>
      <c r="L47" s="66"/>
      <c r="N47" s="128"/>
      <c r="O47" s="117"/>
      <c r="P47" s="117"/>
    </row>
    <row r="48" spans="1:16" ht="15.75">
      <c r="A48" s="71" t="s">
        <v>148</v>
      </c>
      <c r="B48" s="144"/>
      <c r="C48" s="133"/>
      <c r="D48" s="1"/>
      <c r="E48" s="66"/>
      <c r="F48" s="66">
        <v>30111404.74206173</v>
      </c>
      <c r="G48" s="66"/>
      <c r="H48" s="66"/>
      <c r="I48" s="66"/>
      <c r="J48" s="66"/>
      <c r="K48" s="66">
        <f t="shared" si="12"/>
        <v>30111404.74206173</v>
      </c>
      <c r="L48" s="66"/>
      <c r="N48" s="128"/>
      <c r="O48" s="117"/>
      <c r="P48" s="117"/>
    </row>
    <row r="49" spans="1:16" ht="15.75">
      <c r="A49" s="139" t="s">
        <v>151</v>
      </c>
      <c r="B49" s="144"/>
      <c r="C49" s="133"/>
      <c r="D49" s="1"/>
      <c r="E49" s="66"/>
      <c r="F49" s="66">
        <v>81744958.811641544</v>
      </c>
      <c r="G49" s="66"/>
      <c r="H49" s="66"/>
      <c r="I49" s="66">
        <v>447716.01962968434</v>
      </c>
      <c r="J49" s="66"/>
      <c r="K49" s="66">
        <f t="shared" si="12"/>
        <v>82192674.831271231</v>
      </c>
      <c r="L49" s="66"/>
      <c r="N49" s="128"/>
      <c r="O49" s="117"/>
      <c r="P49" s="117"/>
    </row>
    <row r="50" spans="1:16" ht="15.75">
      <c r="A50" s="139" t="s">
        <v>151</v>
      </c>
      <c r="B50" s="144"/>
      <c r="C50" s="133"/>
      <c r="D50" s="1"/>
      <c r="E50" s="66"/>
      <c r="F50" s="66">
        <v>102181198.51735456</v>
      </c>
      <c r="G50" s="66"/>
      <c r="H50" s="66"/>
      <c r="I50" s="66">
        <v>559645.02453710546</v>
      </c>
      <c r="J50" s="66"/>
      <c r="K50" s="66">
        <f t="shared" si="12"/>
        <v>102740843.54189166</v>
      </c>
      <c r="L50" s="66"/>
      <c r="N50" s="128"/>
      <c r="O50" s="117"/>
      <c r="P50" s="117"/>
    </row>
    <row r="51" spans="1:16" ht="15.75">
      <c r="A51" s="139" t="s">
        <v>151</v>
      </c>
      <c r="B51" s="144"/>
      <c r="C51" s="133"/>
      <c r="D51" s="1"/>
      <c r="E51" s="66"/>
      <c r="F51" s="66">
        <v>30227715.156164631</v>
      </c>
      <c r="G51" s="66"/>
      <c r="H51" s="66"/>
      <c r="I51" s="66">
        <v>559645.02453710546</v>
      </c>
      <c r="J51" s="66"/>
      <c r="K51" s="66">
        <f t="shared" si="12"/>
        <v>30787360.180701736</v>
      </c>
      <c r="L51" s="66"/>
      <c r="N51" s="128"/>
      <c r="O51" s="117"/>
      <c r="P51" s="117"/>
    </row>
    <row r="52" spans="1:16" ht="15.75">
      <c r="A52" s="1" t="s">
        <v>19</v>
      </c>
      <c r="B52" s="1"/>
      <c r="C52" s="1"/>
      <c r="D52" s="115" t="e">
        <f>+D35-#REF!</f>
        <v>#REF!</v>
      </c>
      <c r="F52" s="159">
        <f>+F35-F36-F37-F38-F39-F40-F41-F42-F43-F44-F45-F46-F47-F48-F49-F50-F51</f>
        <v>188058620.31847972</v>
      </c>
      <c r="I52" s="66">
        <f>SUM(I35:I51)</f>
        <v>5645956.6486865496</v>
      </c>
      <c r="J52" s="66"/>
      <c r="K52" s="66">
        <f>+K36+K37+K38+K39+K40+K41+K42+K43+K44+K45+K46+K47+K48+K49+K50+K51</f>
        <v>1029614798.3302068</v>
      </c>
      <c r="L52" s="101"/>
      <c r="N52" s="101"/>
      <c r="O52" s="42"/>
      <c r="P52" s="101"/>
    </row>
    <row r="53" spans="1:16" ht="15.75">
      <c r="A53" s="61"/>
      <c r="D53" s="75" t="s">
        <v>9</v>
      </c>
      <c r="F53" s="75"/>
      <c r="G53" s="67"/>
      <c r="H53" s="110"/>
      <c r="I53" s="75"/>
      <c r="J53" s="67"/>
      <c r="K53" s="242"/>
      <c r="L53" s="101"/>
      <c r="N53" s="102"/>
      <c r="O53" s="42"/>
      <c r="P53" s="101"/>
    </row>
    <row r="54" spans="1:16">
      <c r="A54" s="61"/>
      <c r="D54" s="66"/>
      <c r="F54" s="66">
        <f>F36+F37+F38+F39+F40+F41+F42+F43+F44+F45+F46+F47+F48+F49+F50+F51</f>
        <v>1023968841.6815203</v>
      </c>
      <c r="K54" s="101"/>
      <c r="L54" s="101"/>
      <c r="N54" s="102"/>
      <c r="O54" s="42"/>
      <c r="P54" s="101"/>
    </row>
    <row r="55" spans="1:16">
      <c r="A55" s="139"/>
      <c r="D55" s="66"/>
      <c r="E55" s="66"/>
      <c r="F55" s="66"/>
      <c r="G55" s="66"/>
      <c r="H55" s="66"/>
      <c r="I55" s="66"/>
      <c r="L55" s="101"/>
      <c r="N55" s="102"/>
      <c r="O55" s="42"/>
      <c r="P55" s="102"/>
    </row>
    <row r="56" spans="1:16" ht="15.75">
      <c r="A56" s="1"/>
      <c r="B56" s="1"/>
      <c r="C56" s="1"/>
      <c r="D56" s="115"/>
      <c r="F56" s="71"/>
      <c r="L56" s="71"/>
      <c r="N56" s="101"/>
    </row>
    <row r="57" spans="1:16" ht="15.75">
      <c r="A57" s="1"/>
      <c r="B57" s="1"/>
      <c r="C57" s="1"/>
      <c r="D57" s="115"/>
      <c r="F57" s="71"/>
      <c r="L57" s="71"/>
      <c r="N57" s="102"/>
    </row>
    <row r="58" spans="1:16" ht="15.75">
      <c r="A58" s="1"/>
      <c r="B58" s="1"/>
      <c r="C58" s="1"/>
      <c r="D58" s="115"/>
      <c r="F58" s="71"/>
      <c r="L58" s="71"/>
    </row>
    <row r="59" spans="1:16" ht="15.75">
      <c r="A59" s="1"/>
      <c r="B59" s="1"/>
      <c r="C59" s="1"/>
      <c r="D59" s="115"/>
      <c r="F59" s="71"/>
      <c r="L59" s="71"/>
    </row>
    <row r="61" spans="1:16" ht="15.75">
      <c r="F61" s="1"/>
      <c r="L61" s="1" t="s">
        <v>37</v>
      </c>
    </row>
    <row r="62" spans="1:16" ht="14.25">
      <c r="A62" s="56" t="s">
        <v>38</v>
      </c>
      <c r="F62" s="56"/>
      <c r="L62" s="56" t="s">
        <v>39</v>
      </c>
    </row>
    <row r="66" spans="1:15" ht="15.75">
      <c r="A66" s="279" t="s">
        <v>0</v>
      </c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</row>
    <row r="67" spans="1:15" ht="15.75">
      <c r="A67" s="279" t="s">
        <v>1</v>
      </c>
      <c r="B67" s="279"/>
      <c r="C67" s="279"/>
      <c r="D67" s="279"/>
      <c r="E67" s="279"/>
      <c r="F67" s="279"/>
      <c r="G67" s="279"/>
      <c r="H67" s="279"/>
      <c r="I67" s="279"/>
      <c r="J67" s="279"/>
      <c r="K67" s="279"/>
      <c r="L67" s="279"/>
      <c r="M67" s="279"/>
      <c r="N67" s="279"/>
    </row>
    <row r="68" spans="1:15" ht="15.75">
      <c r="A68" s="279" t="s">
        <v>2</v>
      </c>
      <c r="B68" s="279"/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</row>
    <row r="69" spans="1:15" ht="15.75">
      <c r="A69" s="279" t="s">
        <v>20</v>
      </c>
      <c r="B69" s="279"/>
      <c r="C69" s="279"/>
      <c r="D69" s="279"/>
      <c r="E69" s="279"/>
      <c r="F69" s="279"/>
      <c r="G69" s="279"/>
      <c r="H69" s="279"/>
      <c r="I69" s="279"/>
      <c r="J69" s="279"/>
      <c r="K69" s="279"/>
      <c r="L69" s="279"/>
      <c r="M69" s="279"/>
      <c r="N69" s="279"/>
    </row>
    <row r="71" spans="1:15" ht="16.5" thickBot="1">
      <c r="A71" s="1" t="s">
        <v>4</v>
      </c>
      <c r="B71" s="58"/>
      <c r="C71" s="297" t="s">
        <v>40</v>
      </c>
      <c r="D71" s="298"/>
      <c r="E71" s="298"/>
      <c r="F71" s="298"/>
      <c r="G71" s="298"/>
      <c r="H71" s="298"/>
      <c r="I71" s="8"/>
      <c r="J71" s="8"/>
      <c r="K71" s="8"/>
      <c r="L71" s="8"/>
    </row>
    <row r="72" spans="1:15" ht="15.75">
      <c r="A72" s="1" t="s">
        <v>5</v>
      </c>
      <c r="B72" s="58"/>
      <c r="C72" s="294" t="s">
        <v>41</v>
      </c>
      <c r="D72" s="295"/>
      <c r="E72" s="295"/>
      <c r="F72" s="295"/>
      <c r="G72" s="296"/>
      <c r="H72" s="296"/>
      <c r="I72" s="296"/>
      <c r="J72" s="296"/>
      <c r="K72" s="296"/>
      <c r="L72" s="296"/>
      <c r="M72" s="296"/>
      <c r="N72" s="296"/>
      <c r="O72" s="296"/>
    </row>
    <row r="73" spans="1:15" ht="15.75">
      <c r="A73" s="1"/>
      <c r="B73" s="58"/>
      <c r="C73" s="58"/>
      <c r="D73" s="58"/>
      <c r="E73" s="58"/>
    </row>
    <row r="74" spans="1:15">
      <c r="A74" s="29" t="s">
        <v>10</v>
      </c>
      <c r="F74" s="69">
        <v>45530</v>
      </c>
      <c r="G74" s="14"/>
      <c r="H74" s="14"/>
    </row>
    <row r="75" spans="1:15">
      <c r="A75" s="29" t="s">
        <v>23</v>
      </c>
      <c r="F75" s="12">
        <v>0.12</v>
      </c>
      <c r="G75" s="15"/>
      <c r="H75" s="15"/>
      <c r="L75" s="41"/>
      <c r="M75" s="4"/>
    </row>
    <row r="76" spans="1:15">
      <c r="A76" s="29" t="s">
        <v>8</v>
      </c>
      <c r="F76" s="126">
        <v>1059259878</v>
      </c>
      <c r="G76" s="16"/>
      <c r="H76" s="16"/>
      <c r="I76" s="220">
        <f>F76/F186*100</f>
        <v>41.535793933326005</v>
      </c>
      <c r="L76" s="42"/>
    </row>
    <row r="77" spans="1:15">
      <c r="A77" s="29" t="s">
        <v>13</v>
      </c>
      <c r="F77" s="13"/>
      <c r="G77" s="16"/>
      <c r="H77" s="16"/>
      <c r="L77" s="43"/>
      <c r="M77" s="4"/>
    </row>
    <row r="78" spans="1:15">
      <c r="A78" s="29" t="s">
        <v>24</v>
      </c>
      <c r="F78" s="69">
        <v>45530</v>
      </c>
      <c r="G78" s="17"/>
      <c r="H78" s="17"/>
    </row>
    <row r="79" spans="1:15" ht="13.5" thickBot="1"/>
    <row r="80" spans="1:15" ht="41.25" customHeight="1" thickBot="1">
      <c r="A80" s="28" t="s">
        <v>25</v>
      </c>
      <c r="B80" s="28" t="s">
        <v>26</v>
      </c>
      <c r="C80" s="28" t="s">
        <v>27</v>
      </c>
      <c r="D80" s="28" t="s">
        <v>27</v>
      </c>
      <c r="E80" s="28"/>
      <c r="F80" s="28" t="s">
        <v>28</v>
      </c>
      <c r="G80" s="28"/>
      <c r="H80" s="28"/>
      <c r="I80" s="28" t="s">
        <v>29</v>
      </c>
      <c r="J80" s="28" t="s">
        <v>30</v>
      </c>
      <c r="K80" s="28"/>
      <c r="L80" s="28" t="s">
        <v>31</v>
      </c>
      <c r="M80" s="28" t="s">
        <v>32</v>
      </c>
      <c r="N80" s="28" t="s">
        <v>32</v>
      </c>
    </row>
    <row r="81" spans="1:15" ht="15">
      <c r="A81" s="134">
        <v>45595</v>
      </c>
      <c r="B81" s="24"/>
      <c r="C81" s="25">
        <f>(F76)</f>
        <v>1059259878</v>
      </c>
      <c r="D81" s="25">
        <f t="shared" ref="D81:D94" si="13">IF(C81&gt;=0,C81,0)</f>
        <v>1059259878</v>
      </c>
      <c r="E81" s="25">
        <f t="shared" ref="E81:E94" si="14">(B81-I81)</f>
        <v>0</v>
      </c>
      <c r="F81" s="25">
        <f t="shared" ref="F81:F94" si="15">IF(E81&gt;=D81,D81,E81)</f>
        <v>0</v>
      </c>
      <c r="G81" s="25">
        <f>IF(L81&gt;=B81,B81,L81)</f>
        <v>0</v>
      </c>
      <c r="H81" s="25">
        <f>(L81-G81)</f>
        <v>22636238.488767121</v>
      </c>
      <c r="I81" s="25">
        <f>(G81)</f>
        <v>0</v>
      </c>
      <c r="J81" s="26">
        <f>(A81-F78)</f>
        <v>65</v>
      </c>
      <c r="K81" s="26">
        <f t="shared" ref="K81:K94" si="16">IF(J81&gt;0,J81,0)</f>
        <v>65</v>
      </c>
      <c r="L81" s="25">
        <f>(D81*K81*$F$10)/365+$F$12</f>
        <v>22636238.488767121</v>
      </c>
      <c r="M81" s="25">
        <f>(C81+L81-B81)</f>
        <v>1081896116.4887671</v>
      </c>
      <c r="N81" s="149">
        <f t="shared" ref="N81:N94" si="17">IF(A81&gt;0,M81,0)</f>
        <v>1081896116.4887671</v>
      </c>
      <c r="O81" s="103"/>
    </row>
    <row r="82" spans="1:15" ht="15">
      <c r="A82" s="140"/>
      <c r="B82" s="6"/>
      <c r="C82" s="5">
        <f>IF(N81&gt;=C81,C81,N81)</f>
        <v>1059259878</v>
      </c>
      <c r="D82" s="5">
        <f t="shared" si="13"/>
        <v>1059259878</v>
      </c>
      <c r="E82" s="5">
        <f t="shared" si="14"/>
        <v>0</v>
      </c>
      <c r="F82" s="5">
        <f t="shared" si="15"/>
        <v>0</v>
      </c>
      <c r="G82" s="5">
        <f>(H81+L82)</f>
        <v>22636238.488767121</v>
      </c>
      <c r="H82" s="5">
        <f t="shared" ref="H82:H94" si="18">IF(G82&gt;=B82,B82,G82)</f>
        <v>0</v>
      </c>
      <c r="I82" s="5">
        <f t="shared" ref="I82:I94" si="19">(H82)</f>
        <v>0</v>
      </c>
      <c r="J82" s="7">
        <f>(A82-A81)</f>
        <v>-45595</v>
      </c>
      <c r="K82" s="7">
        <f t="shared" si="16"/>
        <v>0</v>
      </c>
      <c r="L82" s="5">
        <f t="shared" ref="L82:L94" si="20">(D82*K82*$F$10)/365</f>
        <v>0</v>
      </c>
      <c r="M82" s="5">
        <f>(M81+L82-B82)</f>
        <v>1081896116.4887671</v>
      </c>
      <c r="N82" s="135">
        <f t="shared" si="17"/>
        <v>0</v>
      </c>
      <c r="O82" s="104"/>
    </row>
    <row r="83" spans="1:15">
      <c r="A83" s="134"/>
      <c r="B83" s="6"/>
      <c r="C83" s="5">
        <f>IF(N82&gt;=C82,C82,N82)</f>
        <v>0</v>
      </c>
      <c r="D83" s="5">
        <f t="shared" si="13"/>
        <v>0</v>
      </c>
      <c r="E83" s="5">
        <f t="shared" si="14"/>
        <v>0</v>
      </c>
      <c r="F83" s="5">
        <f t="shared" si="15"/>
        <v>0</v>
      </c>
      <c r="G83" s="5">
        <f>(G82+L83-H82)</f>
        <v>22636238.488767121</v>
      </c>
      <c r="H83" s="5">
        <f t="shared" si="18"/>
        <v>0</v>
      </c>
      <c r="I83" s="5">
        <f t="shared" si="19"/>
        <v>0</v>
      </c>
      <c r="J83" s="7">
        <f>(A83-A82)</f>
        <v>0</v>
      </c>
      <c r="K83" s="7">
        <f t="shared" si="16"/>
        <v>0</v>
      </c>
      <c r="L83" s="5">
        <f t="shared" si="20"/>
        <v>0</v>
      </c>
      <c r="M83" s="5">
        <f>(M82+L83-B83)</f>
        <v>1081896116.4887671</v>
      </c>
      <c r="N83" s="135">
        <f t="shared" si="17"/>
        <v>0</v>
      </c>
    </row>
    <row r="84" spans="1:15">
      <c r="A84" s="127"/>
      <c r="B84" s="6"/>
      <c r="C84" s="5">
        <f>IF(N83&gt;=C83,C83,N83)</f>
        <v>0</v>
      </c>
      <c r="D84" s="5">
        <f t="shared" si="13"/>
        <v>0</v>
      </c>
      <c r="E84" s="5">
        <f t="shared" si="14"/>
        <v>0</v>
      </c>
      <c r="F84" s="5">
        <f t="shared" si="15"/>
        <v>0</v>
      </c>
      <c r="G84" s="5">
        <f>(G83+L84-H83)</f>
        <v>22636238.488767121</v>
      </c>
      <c r="H84" s="5">
        <f t="shared" si="18"/>
        <v>0</v>
      </c>
      <c r="I84" s="5">
        <f t="shared" si="19"/>
        <v>0</v>
      </c>
      <c r="J84" s="7">
        <f>(A84-A83)</f>
        <v>0</v>
      </c>
      <c r="K84" s="7">
        <f t="shared" si="16"/>
        <v>0</v>
      </c>
      <c r="L84" s="5">
        <f t="shared" si="20"/>
        <v>0</v>
      </c>
      <c r="M84" s="5">
        <f>(M83+L84-B84)</f>
        <v>1081896116.4887671</v>
      </c>
      <c r="N84" s="135">
        <f t="shared" si="17"/>
        <v>0</v>
      </c>
    </row>
    <row r="85" spans="1:15">
      <c r="A85" s="134"/>
      <c r="B85" s="6"/>
      <c r="C85" s="5">
        <f>IF(N84&gt;=C84,C84,N84)</f>
        <v>0</v>
      </c>
      <c r="D85" s="5">
        <f t="shared" si="13"/>
        <v>0</v>
      </c>
      <c r="E85" s="5">
        <f t="shared" si="14"/>
        <v>0</v>
      </c>
      <c r="F85" s="5">
        <f t="shared" si="15"/>
        <v>0</v>
      </c>
      <c r="G85" s="5">
        <f>(G84+L85-H84)</f>
        <v>22636238.488767121</v>
      </c>
      <c r="H85" s="5">
        <f t="shared" si="18"/>
        <v>0</v>
      </c>
      <c r="I85" s="5">
        <f t="shared" si="19"/>
        <v>0</v>
      </c>
      <c r="J85" s="7">
        <f>(A85-A84)</f>
        <v>0</v>
      </c>
      <c r="K85" s="7">
        <f t="shared" si="16"/>
        <v>0</v>
      </c>
      <c r="L85" s="5">
        <f t="shared" si="20"/>
        <v>0</v>
      </c>
      <c r="M85" s="5">
        <f>(M84+L85-B85)</f>
        <v>1081896116.4887671</v>
      </c>
      <c r="N85" s="136">
        <f t="shared" si="17"/>
        <v>0</v>
      </c>
      <c r="O85" s="101"/>
    </row>
    <row r="86" spans="1:15">
      <c r="A86" s="134"/>
      <c r="B86" s="6"/>
      <c r="C86" s="5">
        <f t="shared" ref="C86:C92" si="21">IF(N85&gt;=C85,C85,N85)</f>
        <v>0</v>
      </c>
      <c r="D86" s="5">
        <f t="shared" si="13"/>
        <v>0</v>
      </c>
      <c r="E86" s="5">
        <f t="shared" si="14"/>
        <v>0</v>
      </c>
      <c r="F86" s="5">
        <f t="shared" si="15"/>
        <v>0</v>
      </c>
      <c r="G86" s="5">
        <f t="shared" ref="G86:G92" si="22">(G85+L86-H85)</f>
        <v>22636238.488767121</v>
      </c>
      <c r="H86" s="5">
        <f t="shared" si="18"/>
        <v>0</v>
      </c>
      <c r="I86" s="5">
        <f t="shared" si="19"/>
        <v>0</v>
      </c>
      <c r="J86" s="7">
        <f t="shared" ref="J86:J92" si="23">(A86-A85)</f>
        <v>0</v>
      </c>
      <c r="K86" s="7">
        <f t="shared" si="16"/>
        <v>0</v>
      </c>
      <c r="L86" s="5">
        <f t="shared" si="20"/>
        <v>0</v>
      </c>
      <c r="M86" s="5">
        <f t="shared" ref="M86:M92" si="24">(M85+L86-B86)</f>
        <v>1081896116.4887671</v>
      </c>
      <c r="N86" s="136">
        <f t="shared" si="17"/>
        <v>0</v>
      </c>
    </row>
    <row r="87" spans="1:15">
      <c r="A87" s="134"/>
      <c r="B87" s="6"/>
      <c r="C87" s="5">
        <f t="shared" si="21"/>
        <v>0</v>
      </c>
      <c r="D87" s="5">
        <f t="shared" si="13"/>
        <v>0</v>
      </c>
      <c r="E87" s="5">
        <f t="shared" si="14"/>
        <v>0</v>
      </c>
      <c r="F87" s="5">
        <f t="shared" si="15"/>
        <v>0</v>
      </c>
      <c r="G87" s="5">
        <f t="shared" si="22"/>
        <v>22636238.488767121</v>
      </c>
      <c r="H87" s="5">
        <f t="shared" si="18"/>
        <v>0</v>
      </c>
      <c r="I87" s="5">
        <f t="shared" si="19"/>
        <v>0</v>
      </c>
      <c r="J87" s="7">
        <f t="shared" si="23"/>
        <v>0</v>
      </c>
      <c r="K87" s="7">
        <f t="shared" si="16"/>
        <v>0</v>
      </c>
      <c r="L87" s="5">
        <f t="shared" si="20"/>
        <v>0</v>
      </c>
      <c r="M87" s="5">
        <f t="shared" si="24"/>
        <v>1081896116.4887671</v>
      </c>
      <c r="N87" s="136">
        <f t="shared" si="17"/>
        <v>0</v>
      </c>
    </row>
    <row r="88" spans="1:15">
      <c r="A88" s="134"/>
      <c r="B88" s="6"/>
      <c r="C88" s="5">
        <f t="shared" si="21"/>
        <v>0</v>
      </c>
      <c r="D88" s="5">
        <f t="shared" si="13"/>
        <v>0</v>
      </c>
      <c r="E88" s="5">
        <f t="shared" si="14"/>
        <v>0</v>
      </c>
      <c r="F88" s="5">
        <f t="shared" si="15"/>
        <v>0</v>
      </c>
      <c r="G88" s="5">
        <f t="shared" si="22"/>
        <v>22636238.488767121</v>
      </c>
      <c r="H88" s="5">
        <f t="shared" si="18"/>
        <v>0</v>
      </c>
      <c r="I88" s="5">
        <f t="shared" si="19"/>
        <v>0</v>
      </c>
      <c r="J88" s="7">
        <f t="shared" si="23"/>
        <v>0</v>
      </c>
      <c r="K88" s="7">
        <f t="shared" si="16"/>
        <v>0</v>
      </c>
      <c r="L88" s="5">
        <f t="shared" si="20"/>
        <v>0</v>
      </c>
      <c r="M88" s="5">
        <f t="shared" si="24"/>
        <v>1081896116.4887671</v>
      </c>
      <c r="N88" s="136">
        <f t="shared" si="17"/>
        <v>0</v>
      </c>
    </row>
    <row r="89" spans="1:15">
      <c r="A89" s="134"/>
      <c r="B89" s="6"/>
      <c r="C89" s="5">
        <f t="shared" si="21"/>
        <v>0</v>
      </c>
      <c r="D89" s="5">
        <f t="shared" si="13"/>
        <v>0</v>
      </c>
      <c r="E89" s="5">
        <f t="shared" si="14"/>
        <v>0</v>
      </c>
      <c r="F89" s="5">
        <f t="shared" si="15"/>
        <v>0</v>
      </c>
      <c r="G89" s="5">
        <f t="shared" si="22"/>
        <v>22636238.488767121</v>
      </c>
      <c r="H89" s="5">
        <f t="shared" si="18"/>
        <v>0</v>
      </c>
      <c r="I89" s="5">
        <f t="shared" si="19"/>
        <v>0</v>
      </c>
      <c r="J89" s="7">
        <f t="shared" si="23"/>
        <v>0</v>
      </c>
      <c r="K89" s="7">
        <f t="shared" si="16"/>
        <v>0</v>
      </c>
      <c r="L89" s="5">
        <f t="shared" si="20"/>
        <v>0</v>
      </c>
      <c r="M89" s="5">
        <f t="shared" si="24"/>
        <v>1081896116.4887671</v>
      </c>
      <c r="N89" s="136">
        <f t="shared" si="17"/>
        <v>0</v>
      </c>
    </row>
    <row r="90" spans="1:15">
      <c r="A90" s="134"/>
      <c r="B90" s="6"/>
      <c r="C90" s="5">
        <f t="shared" si="21"/>
        <v>0</v>
      </c>
      <c r="D90" s="5">
        <f t="shared" si="13"/>
        <v>0</v>
      </c>
      <c r="E90" s="5">
        <f t="shared" si="14"/>
        <v>0</v>
      </c>
      <c r="F90" s="5">
        <f t="shared" si="15"/>
        <v>0</v>
      </c>
      <c r="G90" s="5">
        <f t="shared" si="22"/>
        <v>22636238.488767121</v>
      </c>
      <c r="H90" s="5">
        <f t="shared" si="18"/>
        <v>0</v>
      </c>
      <c r="I90" s="5">
        <f t="shared" si="19"/>
        <v>0</v>
      </c>
      <c r="J90" s="7">
        <f t="shared" si="23"/>
        <v>0</v>
      </c>
      <c r="K90" s="7">
        <f t="shared" si="16"/>
        <v>0</v>
      </c>
      <c r="L90" s="5">
        <f t="shared" si="20"/>
        <v>0</v>
      </c>
      <c r="M90" s="5">
        <f t="shared" si="24"/>
        <v>1081896116.4887671</v>
      </c>
      <c r="N90" s="136">
        <f t="shared" si="17"/>
        <v>0</v>
      </c>
    </row>
    <row r="91" spans="1:15">
      <c r="A91" s="134"/>
      <c r="B91" s="6"/>
      <c r="C91" s="5">
        <f t="shared" si="21"/>
        <v>0</v>
      </c>
      <c r="D91" s="5">
        <f t="shared" si="13"/>
        <v>0</v>
      </c>
      <c r="E91" s="5">
        <f t="shared" si="14"/>
        <v>0</v>
      </c>
      <c r="F91" s="5">
        <f t="shared" si="15"/>
        <v>0</v>
      </c>
      <c r="G91" s="5">
        <f t="shared" si="22"/>
        <v>22636238.488767121</v>
      </c>
      <c r="H91" s="5">
        <f t="shared" si="18"/>
        <v>0</v>
      </c>
      <c r="I91" s="5">
        <f t="shared" si="19"/>
        <v>0</v>
      </c>
      <c r="J91" s="7">
        <f t="shared" si="23"/>
        <v>0</v>
      </c>
      <c r="K91" s="7">
        <f t="shared" si="16"/>
        <v>0</v>
      </c>
      <c r="L91" s="5">
        <f t="shared" si="20"/>
        <v>0</v>
      </c>
      <c r="M91" s="5">
        <f t="shared" si="24"/>
        <v>1081896116.4887671</v>
      </c>
      <c r="N91" s="138">
        <f t="shared" si="17"/>
        <v>0</v>
      </c>
      <c r="O91" s="101"/>
    </row>
    <row r="92" spans="1:15">
      <c r="A92" s="127"/>
      <c r="B92" s="6"/>
      <c r="C92" s="5">
        <f t="shared" si="21"/>
        <v>0</v>
      </c>
      <c r="D92" s="5">
        <f t="shared" si="13"/>
        <v>0</v>
      </c>
      <c r="E92" s="5">
        <f t="shared" si="14"/>
        <v>0</v>
      </c>
      <c r="F92" s="5">
        <f t="shared" si="15"/>
        <v>0</v>
      </c>
      <c r="G92" s="5">
        <f t="shared" si="22"/>
        <v>22636238.488767121</v>
      </c>
      <c r="H92" s="5">
        <f t="shared" si="18"/>
        <v>0</v>
      </c>
      <c r="I92" s="5">
        <f t="shared" si="19"/>
        <v>0</v>
      </c>
      <c r="J92" s="7">
        <f t="shared" si="23"/>
        <v>0</v>
      </c>
      <c r="K92" s="7">
        <f t="shared" si="16"/>
        <v>0</v>
      </c>
      <c r="L92" s="5">
        <f t="shared" si="20"/>
        <v>0</v>
      </c>
      <c r="M92" s="5">
        <f t="shared" si="24"/>
        <v>1081896116.4887671</v>
      </c>
      <c r="N92" s="27">
        <f t="shared" si="17"/>
        <v>0</v>
      </c>
      <c r="O92" s="101"/>
    </row>
    <row r="93" spans="1:15">
      <c r="A93" s="127"/>
      <c r="B93" s="6"/>
      <c r="C93" s="5">
        <f>IF(N92&gt;=C92,C92,N92)</f>
        <v>0</v>
      </c>
      <c r="D93" s="5">
        <f t="shared" si="13"/>
        <v>0</v>
      </c>
      <c r="E93" s="5">
        <f t="shared" si="14"/>
        <v>0</v>
      </c>
      <c r="F93" s="5">
        <f t="shared" si="15"/>
        <v>0</v>
      </c>
      <c r="G93" s="5">
        <f>(G85+L93-H85)</f>
        <v>22636238.488767121</v>
      </c>
      <c r="H93" s="5">
        <f t="shared" si="18"/>
        <v>0</v>
      </c>
      <c r="I93" s="5">
        <f t="shared" si="19"/>
        <v>0</v>
      </c>
      <c r="J93" s="7">
        <f>(A93-A92)</f>
        <v>0</v>
      </c>
      <c r="K93" s="7">
        <f t="shared" si="16"/>
        <v>0</v>
      </c>
      <c r="L93" s="5">
        <f t="shared" si="20"/>
        <v>0</v>
      </c>
      <c r="M93" s="5">
        <f>(M92+L93-B93)</f>
        <v>1081896116.4887671</v>
      </c>
      <c r="N93" s="27">
        <f t="shared" si="17"/>
        <v>0</v>
      </c>
    </row>
    <row r="94" spans="1:15" ht="13.5" thickBot="1">
      <c r="A94" s="127"/>
      <c r="B94" s="6"/>
      <c r="C94" s="5">
        <f>IF(N93&gt;=C93,C93,N93)</f>
        <v>0</v>
      </c>
      <c r="D94" s="5">
        <f t="shared" si="13"/>
        <v>0</v>
      </c>
      <c r="E94" s="5">
        <f t="shared" si="14"/>
        <v>0</v>
      </c>
      <c r="F94" s="5">
        <f t="shared" si="15"/>
        <v>0</v>
      </c>
      <c r="G94" s="5">
        <f>(G93+L94-H93)</f>
        <v>22636238.488767121</v>
      </c>
      <c r="H94" s="5">
        <f t="shared" si="18"/>
        <v>0</v>
      </c>
      <c r="I94" s="5">
        <f t="shared" si="19"/>
        <v>0</v>
      </c>
      <c r="J94" s="7">
        <f>(A94-A93)</f>
        <v>0</v>
      </c>
      <c r="K94" s="7">
        <f t="shared" si="16"/>
        <v>0</v>
      </c>
      <c r="L94" s="5">
        <f t="shared" si="20"/>
        <v>0</v>
      </c>
      <c r="M94" s="5">
        <f>(M93+L94-B94)</f>
        <v>1081896116.4887671</v>
      </c>
      <c r="N94" s="27">
        <f t="shared" si="17"/>
        <v>0</v>
      </c>
      <c r="O94" s="101"/>
    </row>
    <row r="95" spans="1:15" ht="16.5" thickBot="1">
      <c r="A95" s="19" t="s">
        <v>33</v>
      </c>
      <c r="B95" s="20">
        <f>SUM(B81:B94)</f>
        <v>0</v>
      </c>
      <c r="C95" s="21"/>
      <c r="D95" s="20"/>
      <c r="E95" s="21"/>
      <c r="F95" s="20">
        <f>SUM(F81:F94)</f>
        <v>0</v>
      </c>
      <c r="G95" s="20"/>
      <c r="H95" s="20"/>
      <c r="I95" s="20">
        <f>SUM(I81:I94)</f>
        <v>0</v>
      </c>
      <c r="J95" s="22"/>
      <c r="K95" s="22"/>
      <c r="L95" s="22">
        <f>SUM(L81:L94)</f>
        <v>22636238.488767121</v>
      </c>
      <c r="M95" s="23"/>
      <c r="N95" s="18"/>
    </row>
    <row r="96" spans="1:15">
      <c r="A96" s="61" t="s">
        <v>17</v>
      </c>
      <c r="I96" s="43"/>
      <c r="L96" s="101"/>
    </row>
    <row r="97" spans="1:15">
      <c r="I97" s="43"/>
      <c r="L97" s="141"/>
      <c r="N97" s="128"/>
      <c r="O97" s="117"/>
    </row>
    <row r="98" spans="1:15">
      <c r="I98" s="43"/>
      <c r="L98" s="101"/>
      <c r="N98" s="128"/>
      <c r="O98" s="117"/>
    </row>
    <row r="99" spans="1:15" ht="15.75">
      <c r="A99" s="61"/>
      <c r="D99" s="75" t="s">
        <v>9</v>
      </c>
      <c r="F99" s="75" t="s">
        <v>9</v>
      </c>
      <c r="G99" s="67"/>
      <c r="H99" s="110"/>
      <c r="I99" s="75" t="s">
        <v>34</v>
      </c>
      <c r="J99" s="67"/>
      <c r="K99" s="75" t="s">
        <v>35</v>
      </c>
      <c r="L99" s="155"/>
      <c r="M99" s="132"/>
      <c r="N99" s="156"/>
      <c r="O99" s="117"/>
    </row>
    <row r="100" spans="1:15">
      <c r="A100" s="61" t="s">
        <v>36</v>
      </c>
      <c r="D100" s="66">
        <v>361332693.45999998</v>
      </c>
      <c r="F100" s="66">
        <v>1059259878</v>
      </c>
      <c r="L100" s="101"/>
      <c r="N100" s="128"/>
      <c r="O100" s="117"/>
    </row>
    <row r="101" spans="1:15">
      <c r="A101" s="71" t="s">
        <v>153</v>
      </c>
      <c r="B101" s="114"/>
      <c r="C101" s="157"/>
      <c r="D101" s="114"/>
      <c r="E101" s="158"/>
      <c r="F101" s="66">
        <v>89301956.956650913</v>
      </c>
      <c r="G101" s="66"/>
      <c r="K101" s="229">
        <f t="shared" ref="K101:K116" si="25">SUM(F101:J101)</f>
        <v>89301956.956650913</v>
      </c>
      <c r="L101" s="66"/>
      <c r="N101" s="128">
        <f>L101*I76/100</f>
        <v>0</v>
      </c>
      <c r="O101" s="117"/>
    </row>
    <row r="102" spans="1:15" ht="15.75">
      <c r="A102" s="71" t="s">
        <v>161</v>
      </c>
      <c r="B102" s="55"/>
      <c r="C102" s="133"/>
      <c r="D102" s="1"/>
      <c r="E102" s="66"/>
      <c r="F102" s="66">
        <v>89301956.956650913</v>
      </c>
      <c r="G102" s="66"/>
      <c r="K102" s="229">
        <f t="shared" si="25"/>
        <v>89301956.956650913</v>
      </c>
      <c r="L102" s="101"/>
      <c r="N102" s="128"/>
      <c r="O102" s="117"/>
    </row>
    <row r="103" spans="1:15" ht="15.75">
      <c r="A103" s="139" t="s">
        <v>159</v>
      </c>
      <c r="B103" s="55"/>
      <c r="C103" s="133"/>
      <c r="D103" s="1"/>
      <c r="E103" s="66"/>
      <c r="F103" s="66">
        <v>39874362.175992966</v>
      </c>
      <c r="G103" s="66"/>
      <c r="H103" s="66"/>
      <c r="I103" s="66">
        <v>1018522.3037683156</v>
      </c>
      <c r="J103" s="66"/>
      <c r="K103" s="66">
        <f t="shared" si="25"/>
        <v>40892884.47976128</v>
      </c>
      <c r="L103" s="101"/>
      <c r="N103" s="128"/>
      <c r="O103" s="117"/>
    </row>
    <row r="104" spans="1:15" ht="15.75">
      <c r="A104" s="139" t="s">
        <v>159</v>
      </c>
      <c r="B104" s="55"/>
      <c r="C104" s="133"/>
      <c r="D104" s="1"/>
      <c r="E104" s="66"/>
      <c r="F104" s="66">
        <v>49842939.013179205</v>
      </c>
      <c r="G104" s="66"/>
      <c r="H104" s="66"/>
      <c r="I104" s="66">
        <v>1273152.5305821323</v>
      </c>
      <c r="J104" s="66"/>
      <c r="K104" s="66">
        <f t="shared" si="25"/>
        <v>51116091.543761335</v>
      </c>
      <c r="L104" s="101"/>
      <c r="N104" s="128"/>
      <c r="O104" s="117"/>
    </row>
    <row r="105" spans="1:15" ht="15.75">
      <c r="A105" s="139" t="s">
        <v>159</v>
      </c>
      <c r="B105" s="55"/>
      <c r="C105" s="133"/>
      <c r="D105" s="1"/>
      <c r="E105" s="66"/>
      <c r="F105" s="66">
        <v>9543309.7127902471</v>
      </c>
      <c r="G105" s="66"/>
      <c r="H105" s="66"/>
      <c r="I105" s="66">
        <v>1273152.5295933527</v>
      </c>
      <c r="J105" s="66"/>
      <c r="K105" s="66">
        <f t="shared" si="25"/>
        <v>10816462.242383599</v>
      </c>
      <c r="L105" s="101"/>
      <c r="N105" s="128"/>
      <c r="O105" s="117"/>
    </row>
    <row r="106" spans="1:15" ht="15.75">
      <c r="A106" s="71" t="s">
        <v>162</v>
      </c>
      <c r="B106" s="55"/>
      <c r="C106" s="133"/>
      <c r="D106" s="1"/>
      <c r="E106" s="66"/>
      <c r="F106" s="66">
        <v>74764428.083127752</v>
      </c>
      <c r="G106" s="66"/>
      <c r="H106" s="66"/>
      <c r="I106" s="66"/>
      <c r="J106" s="66"/>
      <c r="K106" s="66">
        <f t="shared" si="25"/>
        <v>74764428.083127752</v>
      </c>
      <c r="L106" s="101"/>
      <c r="N106" s="128"/>
      <c r="O106" s="117"/>
    </row>
    <row r="107" spans="1:15" ht="15.75">
      <c r="A107" s="71" t="s">
        <v>166</v>
      </c>
      <c r="B107" s="55"/>
      <c r="C107" s="133"/>
      <c r="D107" s="1"/>
      <c r="E107" s="66"/>
      <c r="F107" s="66">
        <v>85458552.334884509</v>
      </c>
      <c r="G107" s="66"/>
      <c r="H107" s="66"/>
      <c r="I107" s="66"/>
      <c r="J107" s="66"/>
      <c r="K107" s="66">
        <f t="shared" si="25"/>
        <v>85458552.334884509</v>
      </c>
      <c r="L107" s="101"/>
      <c r="N107" s="128"/>
      <c r="O107" s="117"/>
    </row>
    <row r="108" spans="1:15" ht="15.75">
      <c r="A108" s="71" t="s">
        <v>162</v>
      </c>
      <c r="B108" s="55"/>
      <c r="C108" s="133"/>
      <c r="D108" s="1"/>
      <c r="E108" s="66"/>
      <c r="F108" s="66">
        <v>7996982.7690251814</v>
      </c>
      <c r="G108" s="66"/>
      <c r="H108" s="66"/>
      <c r="I108" s="66"/>
      <c r="J108" s="66"/>
      <c r="K108" s="66">
        <f t="shared" si="25"/>
        <v>7996982.7690251814</v>
      </c>
      <c r="L108" s="101"/>
      <c r="N108" s="128"/>
      <c r="O108" s="117"/>
    </row>
    <row r="109" spans="1:15" ht="15.75">
      <c r="A109" s="71" t="s">
        <v>167</v>
      </c>
      <c r="B109" s="55"/>
      <c r="C109" s="133"/>
      <c r="D109" s="1"/>
      <c r="E109" s="66"/>
      <c r="F109" s="66">
        <v>39604244.108738124</v>
      </c>
      <c r="G109" s="66"/>
      <c r="H109" s="66"/>
      <c r="I109" s="66"/>
      <c r="J109" s="66"/>
      <c r="K109" s="66">
        <f t="shared" si="25"/>
        <v>39604244.108738124</v>
      </c>
      <c r="L109" s="101"/>
      <c r="N109" s="128"/>
      <c r="O109" s="117"/>
    </row>
    <row r="110" spans="1:15" ht="15.75">
      <c r="A110" s="71" t="s">
        <v>168</v>
      </c>
      <c r="B110" s="55"/>
      <c r="C110" s="133"/>
      <c r="D110" s="1"/>
      <c r="E110" s="66"/>
      <c r="F110" s="66">
        <v>27518688.537534747</v>
      </c>
      <c r="G110" s="66"/>
      <c r="H110" s="66"/>
      <c r="I110" s="66"/>
      <c r="J110" s="66"/>
      <c r="K110" s="66">
        <f t="shared" si="25"/>
        <v>27518688.537534747</v>
      </c>
      <c r="L110" s="101"/>
      <c r="N110" s="128"/>
      <c r="O110" s="117"/>
    </row>
    <row r="111" spans="1:15" ht="15.75">
      <c r="A111" s="71" t="s">
        <v>148</v>
      </c>
      <c r="B111" s="55"/>
      <c r="C111" s="133"/>
      <c r="D111" s="1"/>
      <c r="E111" s="66"/>
      <c r="F111" s="66">
        <v>74764428.083127752</v>
      </c>
      <c r="G111" s="66"/>
      <c r="H111" s="66"/>
      <c r="I111" s="66"/>
      <c r="J111" s="66"/>
      <c r="K111" s="66">
        <f t="shared" si="25"/>
        <v>74764428.083127752</v>
      </c>
      <c r="L111" s="101"/>
      <c r="N111" s="128"/>
      <c r="O111" s="117"/>
    </row>
    <row r="112" spans="1:15" ht="15.75">
      <c r="A112" s="71" t="s">
        <v>148</v>
      </c>
      <c r="B112" s="55"/>
      <c r="C112" s="133"/>
      <c r="D112" s="1"/>
      <c r="E112" s="66"/>
      <c r="F112" s="66">
        <v>93455535.103909701</v>
      </c>
      <c r="G112" s="66"/>
      <c r="H112" s="66"/>
      <c r="I112" s="66"/>
      <c r="J112" s="66"/>
      <c r="K112" s="66">
        <f t="shared" si="25"/>
        <v>93455535.103909701</v>
      </c>
      <c r="L112" s="101"/>
      <c r="N112" s="128"/>
      <c r="O112" s="117"/>
    </row>
    <row r="113" spans="1:15" ht="15.75">
      <c r="A113" s="71" t="s">
        <v>148</v>
      </c>
      <c r="B113" s="55"/>
      <c r="C113" s="133"/>
      <c r="D113" s="1"/>
      <c r="E113" s="66"/>
      <c r="F113" s="66">
        <v>26316072.790011525</v>
      </c>
      <c r="G113" s="66"/>
      <c r="H113" s="66"/>
      <c r="I113" s="66"/>
      <c r="J113" s="66"/>
      <c r="K113" s="66">
        <f t="shared" si="25"/>
        <v>26316072.790011525</v>
      </c>
      <c r="L113" s="101"/>
      <c r="N113" s="128"/>
      <c r="O113" s="117"/>
    </row>
    <row r="114" spans="1:15" ht="15.75">
      <c r="A114" s="139" t="s">
        <v>151</v>
      </c>
      <c r="B114" s="55"/>
      <c r="C114" s="133"/>
      <c r="D114" s="1"/>
      <c r="E114" s="66"/>
      <c r="F114" s="66">
        <v>71441578.522528946</v>
      </c>
      <c r="G114" s="66"/>
      <c r="H114" s="66"/>
      <c r="I114" s="102">
        <v>391284.5469268625</v>
      </c>
      <c r="J114" s="66"/>
      <c r="K114" s="66">
        <f t="shared" si="25"/>
        <v>71832863.069455802</v>
      </c>
      <c r="L114" s="101"/>
      <c r="N114" s="128"/>
      <c r="O114" s="117"/>
    </row>
    <row r="115" spans="1:15" ht="15.75">
      <c r="A115" s="139" t="s">
        <v>151</v>
      </c>
      <c r="B115" s="55"/>
      <c r="C115" s="133"/>
      <c r="D115" s="1"/>
      <c r="E115" s="66"/>
      <c r="F115" s="66">
        <v>89301973.155610546</v>
      </c>
      <c r="G115" s="66"/>
      <c r="H115" s="66"/>
      <c r="I115" s="66">
        <v>489105.6836585782</v>
      </c>
      <c r="J115" s="66"/>
      <c r="K115" s="66">
        <f t="shared" si="25"/>
        <v>89791078.839269131</v>
      </c>
      <c r="L115" s="101"/>
      <c r="N115" s="128"/>
      <c r="O115" s="117"/>
    </row>
    <row r="116" spans="1:15" ht="15.75">
      <c r="A116" s="139" t="s">
        <v>151</v>
      </c>
      <c r="B116" s="55"/>
      <c r="C116" s="133"/>
      <c r="D116" s="1"/>
      <c r="E116" s="66"/>
      <c r="F116" s="66">
        <v>26417723.089955617</v>
      </c>
      <c r="G116" s="66"/>
      <c r="H116" s="66"/>
      <c r="I116" s="66">
        <v>489105.6836585782</v>
      </c>
      <c r="J116" s="66"/>
      <c r="K116" s="66">
        <f t="shared" si="25"/>
        <v>26906828.773614194</v>
      </c>
      <c r="L116" s="101"/>
      <c r="N116" s="128"/>
      <c r="O116" s="117"/>
    </row>
    <row r="117" spans="1:15" ht="15.75">
      <c r="A117" s="1" t="s">
        <v>19</v>
      </c>
      <c r="B117" s="1"/>
      <c r="C117" s="1"/>
      <c r="D117" s="115" t="e">
        <f>+D100-#REF!</f>
        <v>#REF!</v>
      </c>
      <c r="F117" s="159">
        <f>+F100-F101-F102-F103-F104-F105-F106-F107-F108-F109-F110-F111-F112-F113-F114-F115-F116</f>
        <v>164355146.60628128</v>
      </c>
      <c r="I117" s="66">
        <f>SUM(I100:I116)</f>
        <v>4934323.2781878198</v>
      </c>
      <c r="K117" s="229">
        <f>SUM(K101:K116)</f>
        <v>899839054.67190647</v>
      </c>
      <c r="L117" s="101"/>
      <c r="N117" s="101"/>
      <c r="O117" s="42"/>
    </row>
    <row r="118" spans="1:15" ht="15.75">
      <c r="A118" s="61"/>
      <c r="D118" s="75" t="s">
        <v>9</v>
      </c>
      <c r="F118" s="75"/>
      <c r="G118" s="67"/>
      <c r="H118" s="110"/>
      <c r="I118" s="75"/>
      <c r="J118" s="67"/>
      <c r="K118" s="241"/>
      <c r="L118" s="101"/>
      <c r="N118" s="102"/>
      <c r="O118" s="42"/>
    </row>
    <row r="119" spans="1:15">
      <c r="A119" s="61"/>
      <c r="D119" s="66"/>
      <c r="F119" s="66">
        <f>+F101+F102+F103+F104+F105+F106+F107+F108+F109+F110+F111+F112+F113+F114+F115+F116</f>
        <v>894904731.39371872</v>
      </c>
      <c r="K119" s="101"/>
      <c r="L119" s="101"/>
      <c r="N119" s="102"/>
      <c r="O119" s="42"/>
    </row>
    <row r="120" spans="1:15">
      <c r="A120" s="139"/>
      <c r="D120" s="66"/>
      <c r="E120" s="66"/>
      <c r="F120" s="66"/>
      <c r="G120" s="66"/>
      <c r="H120" s="66"/>
      <c r="I120" s="66"/>
      <c r="L120" s="101"/>
      <c r="N120" s="102"/>
      <c r="O120" s="42"/>
    </row>
    <row r="121" spans="1:15" ht="15.75">
      <c r="A121" s="1"/>
      <c r="B121" s="1"/>
      <c r="C121" s="1"/>
      <c r="D121" s="115"/>
      <c r="F121" s="71"/>
      <c r="L121" s="71"/>
    </row>
    <row r="122" spans="1:15" ht="15.75">
      <c r="A122" s="1"/>
      <c r="B122" s="1"/>
      <c r="C122" s="1"/>
      <c r="D122" s="115"/>
      <c r="F122" s="71"/>
      <c r="L122" s="71"/>
    </row>
    <row r="123" spans="1:15" ht="15.75">
      <c r="A123" s="1"/>
      <c r="B123" s="1"/>
      <c r="C123" s="1"/>
      <c r="D123" s="115"/>
      <c r="F123" s="71"/>
      <c r="L123" s="71"/>
    </row>
    <row r="124" spans="1:15" ht="15.75">
      <c r="A124" s="1"/>
      <c r="B124" s="1"/>
      <c r="C124" s="1"/>
      <c r="D124" s="115"/>
      <c r="F124" s="71"/>
      <c r="L124" s="71"/>
    </row>
    <row r="126" spans="1:15" ht="15.75">
      <c r="F126" s="1"/>
      <c r="L126" s="1" t="s">
        <v>37</v>
      </c>
    </row>
    <row r="127" spans="1:15" ht="14.25">
      <c r="A127" s="56" t="s">
        <v>38</v>
      </c>
      <c r="F127" s="56"/>
      <c r="L127" s="56" t="s">
        <v>39</v>
      </c>
    </row>
    <row r="131" spans="1:15" ht="15.75">
      <c r="A131" s="279" t="s">
        <v>0</v>
      </c>
      <c r="B131" s="279"/>
      <c r="C131" s="279"/>
      <c r="D131" s="279"/>
      <c r="E131" s="279"/>
      <c r="F131" s="279"/>
      <c r="G131" s="279"/>
      <c r="H131" s="279"/>
      <c r="I131" s="279"/>
      <c r="J131" s="279"/>
      <c r="K131" s="279"/>
      <c r="L131" s="279"/>
      <c r="M131" s="279"/>
      <c r="N131" s="279"/>
    </row>
    <row r="132" spans="1:15" ht="15.75">
      <c r="A132" s="279" t="s">
        <v>1</v>
      </c>
      <c r="B132" s="279"/>
      <c r="C132" s="279"/>
      <c r="D132" s="279"/>
      <c r="E132" s="279"/>
      <c r="F132" s="279"/>
      <c r="G132" s="279"/>
      <c r="H132" s="279"/>
      <c r="I132" s="279"/>
      <c r="J132" s="279"/>
      <c r="K132" s="279"/>
      <c r="L132" s="279"/>
      <c r="M132" s="279"/>
      <c r="N132" s="279"/>
    </row>
    <row r="133" spans="1:15" ht="15.75">
      <c r="A133" s="279" t="s">
        <v>2</v>
      </c>
      <c r="B133" s="279"/>
      <c r="C133" s="279"/>
      <c r="D133" s="279"/>
      <c r="E133" s="279"/>
      <c r="F133" s="279"/>
      <c r="G133" s="279"/>
      <c r="H133" s="279"/>
      <c r="I133" s="279"/>
      <c r="J133" s="279"/>
      <c r="K133" s="279"/>
      <c r="L133" s="279"/>
      <c r="M133" s="279"/>
      <c r="N133" s="279"/>
    </row>
    <row r="134" spans="1:15" ht="15.75">
      <c r="A134" s="279" t="s">
        <v>20</v>
      </c>
      <c r="B134" s="279"/>
      <c r="C134" s="279"/>
      <c r="D134" s="279"/>
      <c r="E134" s="279"/>
      <c r="F134" s="279"/>
      <c r="G134" s="279"/>
      <c r="H134" s="279"/>
      <c r="I134" s="279"/>
      <c r="J134" s="279"/>
      <c r="K134" s="279"/>
      <c r="L134" s="279"/>
      <c r="M134" s="279"/>
      <c r="N134" s="279"/>
    </row>
    <row r="136" spans="1:15" ht="16.5" thickBot="1">
      <c r="A136" s="1" t="s">
        <v>4</v>
      </c>
      <c r="B136" s="58"/>
      <c r="C136" s="297" t="s">
        <v>40</v>
      </c>
      <c r="D136" s="298"/>
      <c r="E136" s="298"/>
      <c r="F136" s="298"/>
      <c r="G136" s="298"/>
      <c r="H136" s="298"/>
      <c r="I136" s="8"/>
      <c r="J136" s="8"/>
      <c r="K136" s="8"/>
      <c r="L136" s="8"/>
    </row>
    <row r="137" spans="1:15" ht="15.75">
      <c r="A137" s="1" t="s">
        <v>5</v>
      </c>
      <c r="B137" s="58"/>
      <c r="C137" s="294" t="s">
        <v>42</v>
      </c>
      <c r="D137" s="295"/>
      <c r="E137" s="295"/>
      <c r="F137" s="295"/>
      <c r="G137" s="296"/>
      <c r="H137" s="296"/>
      <c r="I137" s="296"/>
      <c r="J137" s="296"/>
      <c r="K137" s="296"/>
      <c r="L137" s="296"/>
      <c r="M137" s="296"/>
      <c r="N137" s="296"/>
      <c r="O137" s="296"/>
    </row>
    <row r="138" spans="1:15" ht="15.75">
      <c r="A138" s="1"/>
      <c r="B138" s="58"/>
      <c r="C138" s="58"/>
      <c r="D138" s="58"/>
      <c r="E138" s="58"/>
    </row>
    <row r="139" spans="1:15">
      <c r="A139" s="29" t="s">
        <v>10</v>
      </c>
      <c r="F139" s="69">
        <v>45530</v>
      </c>
      <c r="G139" s="14"/>
      <c r="H139" s="14"/>
    </row>
    <row r="140" spans="1:15">
      <c r="A140" s="29" t="s">
        <v>23</v>
      </c>
      <c r="F140" s="12">
        <v>0.12</v>
      </c>
      <c r="G140" s="15"/>
      <c r="H140" s="15"/>
      <c r="L140" s="41"/>
      <c r="M140" s="4"/>
    </row>
    <row r="141" spans="1:15" ht="15">
      <c r="A141" s="29" t="s">
        <v>8</v>
      </c>
      <c r="F141" s="126">
        <v>278946513</v>
      </c>
      <c r="G141" s="16"/>
      <c r="H141" s="16"/>
      <c r="I141" s="220">
        <f>F141/F186*100</f>
        <v>10.938075842411775</v>
      </c>
      <c r="K141" s="221">
        <f>+I11+I76+I141</f>
        <v>100</v>
      </c>
      <c r="L141" s="42"/>
    </row>
    <row r="142" spans="1:15">
      <c r="A142" s="29" t="s">
        <v>13</v>
      </c>
      <c r="F142" s="13"/>
      <c r="G142" s="16"/>
      <c r="H142" s="16"/>
      <c r="L142" s="43"/>
      <c r="M142" s="4"/>
    </row>
    <row r="143" spans="1:15">
      <c r="A143" s="29" t="s">
        <v>24</v>
      </c>
      <c r="F143" s="69">
        <v>45530</v>
      </c>
      <c r="G143" s="17"/>
      <c r="H143" s="17"/>
    </row>
    <row r="144" spans="1:15" ht="13.5" thickBot="1"/>
    <row r="145" spans="1:15" ht="40.5" customHeight="1" thickBot="1">
      <c r="A145" s="28" t="s">
        <v>25</v>
      </c>
      <c r="B145" s="28" t="s">
        <v>26</v>
      </c>
      <c r="C145" s="28" t="s">
        <v>27</v>
      </c>
      <c r="D145" s="28" t="s">
        <v>27</v>
      </c>
      <c r="E145" s="28"/>
      <c r="F145" s="28" t="s">
        <v>28</v>
      </c>
      <c r="G145" s="28"/>
      <c r="H145" s="28"/>
      <c r="I145" s="28" t="s">
        <v>29</v>
      </c>
      <c r="J145" s="28" t="s">
        <v>30</v>
      </c>
      <c r="K145" s="28"/>
      <c r="L145" s="28" t="s">
        <v>31</v>
      </c>
      <c r="M145" s="28" t="s">
        <v>32</v>
      </c>
      <c r="N145" s="28" t="s">
        <v>32</v>
      </c>
    </row>
    <row r="146" spans="1:15" ht="15">
      <c r="A146" s="134">
        <v>45595</v>
      </c>
      <c r="B146" s="24"/>
      <c r="C146" s="25">
        <f>(F141)</f>
        <v>278946513</v>
      </c>
      <c r="D146" s="25">
        <f t="shared" ref="D146:D159" si="26">IF(C146&gt;=0,C146,0)</f>
        <v>278946513</v>
      </c>
      <c r="E146" s="25">
        <f t="shared" ref="E146:E159" si="27">(B146-I146)</f>
        <v>0</v>
      </c>
      <c r="F146" s="25">
        <f t="shared" ref="F146:F159" si="28">IF(E146&gt;=D146,D146,E146)</f>
        <v>0</v>
      </c>
      <c r="G146" s="25">
        <f>IF(L146&gt;=B146,B146,L146)</f>
        <v>0</v>
      </c>
      <c r="H146" s="25">
        <f>(L146-G146)</f>
        <v>5961048.7709589042</v>
      </c>
      <c r="I146" s="25">
        <f>(G146)</f>
        <v>0</v>
      </c>
      <c r="J146" s="26">
        <f>(A146-F143)</f>
        <v>65</v>
      </c>
      <c r="K146" s="26">
        <f t="shared" ref="K146:K159" si="29">IF(J146&gt;0,J146,0)</f>
        <v>65</v>
      </c>
      <c r="L146" s="25">
        <f>(D146*K146*$F$10)/365+$F$12</f>
        <v>5961048.7709589042</v>
      </c>
      <c r="M146" s="25">
        <f>(C146+L146-B146)</f>
        <v>284907561.7709589</v>
      </c>
      <c r="N146" s="149">
        <f t="shared" ref="N146:N159" si="30">IF(A146&gt;0,M146,0)</f>
        <v>284907561.7709589</v>
      </c>
      <c r="O146" s="103"/>
    </row>
    <row r="147" spans="1:15" ht="15">
      <c r="A147" s="140"/>
      <c r="B147" s="6"/>
      <c r="C147" s="5">
        <f>IF(N146&gt;=C146,C146,N146)</f>
        <v>278946513</v>
      </c>
      <c r="D147" s="5">
        <f t="shared" si="26"/>
        <v>278946513</v>
      </c>
      <c r="E147" s="5">
        <f t="shared" si="27"/>
        <v>0</v>
      </c>
      <c r="F147" s="5">
        <f t="shared" si="28"/>
        <v>0</v>
      </c>
      <c r="G147" s="5">
        <f>(H146+L147)</f>
        <v>5961048.7709589042</v>
      </c>
      <c r="H147" s="5">
        <f t="shared" ref="H147:H159" si="31">IF(G147&gt;=B147,B147,G147)</f>
        <v>0</v>
      </c>
      <c r="I147" s="5">
        <f t="shared" ref="I147:I159" si="32">(H147)</f>
        <v>0</v>
      </c>
      <c r="J147" s="7">
        <f>(A147-A146)</f>
        <v>-45595</v>
      </c>
      <c r="K147" s="7">
        <f t="shared" si="29"/>
        <v>0</v>
      </c>
      <c r="L147" s="5">
        <f t="shared" ref="L147:L159" si="33">(D147*K147*$F$10)/365</f>
        <v>0</v>
      </c>
      <c r="M147" s="5">
        <f>(M146+L147-B147)</f>
        <v>284907561.7709589</v>
      </c>
      <c r="N147" s="135">
        <f t="shared" si="30"/>
        <v>0</v>
      </c>
      <c r="O147" s="104"/>
    </row>
    <row r="148" spans="1:15">
      <c r="A148" s="134"/>
      <c r="B148" s="6"/>
      <c r="C148" s="5">
        <f>IF(N147&gt;=C147,C147,N147)</f>
        <v>0</v>
      </c>
      <c r="D148" s="5">
        <f t="shared" si="26"/>
        <v>0</v>
      </c>
      <c r="E148" s="5">
        <f t="shared" si="27"/>
        <v>0</v>
      </c>
      <c r="F148" s="5">
        <f t="shared" si="28"/>
        <v>0</v>
      </c>
      <c r="G148" s="5">
        <f>(G147+L148-H147)</f>
        <v>5961048.7709589042</v>
      </c>
      <c r="H148" s="5">
        <f t="shared" si="31"/>
        <v>0</v>
      </c>
      <c r="I148" s="5">
        <f t="shared" si="32"/>
        <v>0</v>
      </c>
      <c r="J148" s="7">
        <f>(A148-A147)</f>
        <v>0</v>
      </c>
      <c r="K148" s="7">
        <f t="shared" si="29"/>
        <v>0</v>
      </c>
      <c r="L148" s="5">
        <f t="shared" si="33"/>
        <v>0</v>
      </c>
      <c r="M148" s="5">
        <f>(M147+L148-B148)</f>
        <v>284907561.7709589</v>
      </c>
      <c r="N148" s="135">
        <f t="shared" si="30"/>
        <v>0</v>
      </c>
    </row>
    <row r="149" spans="1:15">
      <c r="A149" s="127"/>
      <c r="B149" s="6"/>
      <c r="C149" s="5">
        <f>IF(N148&gt;=C148,C148,N148)</f>
        <v>0</v>
      </c>
      <c r="D149" s="5">
        <f t="shared" si="26"/>
        <v>0</v>
      </c>
      <c r="E149" s="5">
        <f t="shared" si="27"/>
        <v>0</v>
      </c>
      <c r="F149" s="5">
        <f t="shared" si="28"/>
        <v>0</v>
      </c>
      <c r="G149" s="5">
        <f>(G148+L149-H148)</f>
        <v>5961048.7709589042</v>
      </c>
      <c r="H149" s="5">
        <f t="shared" si="31"/>
        <v>0</v>
      </c>
      <c r="I149" s="5">
        <f t="shared" si="32"/>
        <v>0</v>
      </c>
      <c r="J149" s="7">
        <f>(A149-A148)</f>
        <v>0</v>
      </c>
      <c r="K149" s="7">
        <f t="shared" si="29"/>
        <v>0</v>
      </c>
      <c r="L149" s="5">
        <f t="shared" si="33"/>
        <v>0</v>
      </c>
      <c r="M149" s="5">
        <f>(M148+L149-B149)</f>
        <v>284907561.7709589</v>
      </c>
      <c r="N149" s="135">
        <f t="shared" si="30"/>
        <v>0</v>
      </c>
    </row>
    <row r="150" spans="1:15">
      <c r="A150" s="134"/>
      <c r="B150" s="6"/>
      <c r="C150" s="5">
        <f>IF(N149&gt;=C149,C149,N149)</f>
        <v>0</v>
      </c>
      <c r="D150" s="5">
        <f t="shared" si="26"/>
        <v>0</v>
      </c>
      <c r="E150" s="5">
        <f t="shared" si="27"/>
        <v>0</v>
      </c>
      <c r="F150" s="5">
        <f t="shared" si="28"/>
        <v>0</v>
      </c>
      <c r="G150" s="5">
        <f>(G149+L150-H149)</f>
        <v>5961048.7709589042</v>
      </c>
      <c r="H150" s="5">
        <f t="shared" si="31"/>
        <v>0</v>
      </c>
      <c r="I150" s="5">
        <f t="shared" si="32"/>
        <v>0</v>
      </c>
      <c r="J150" s="7">
        <f>(A150-A149)</f>
        <v>0</v>
      </c>
      <c r="K150" s="7">
        <f t="shared" si="29"/>
        <v>0</v>
      </c>
      <c r="L150" s="5">
        <f t="shared" si="33"/>
        <v>0</v>
      </c>
      <c r="M150" s="5">
        <f>(M149+L150-B150)</f>
        <v>284907561.7709589</v>
      </c>
      <c r="N150" s="136">
        <f t="shared" si="30"/>
        <v>0</v>
      </c>
      <c r="O150" s="101"/>
    </row>
    <row r="151" spans="1:15">
      <c r="A151" s="134"/>
      <c r="B151" s="6"/>
      <c r="C151" s="5">
        <f t="shared" ref="C151:C157" si="34">IF(N150&gt;=C150,C150,N150)</f>
        <v>0</v>
      </c>
      <c r="D151" s="5">
        <f t="shared" si="26"/>
        <v>0</v>
      </c>
      <c r="E151" s="5">
        <f t="shared" si="27"/>
        <v>0</v>
      </c>
      <c r="F151" s="5">
        <f t="shared" si="28"/>
        <v>0</v>
      </c>
      <c r="G151" s="5">
        <f t="shared" ref="G151:G157" si="35">(G150+L151-H150)</f>
        <v>5961048.7709589042</v>
      </c>
      <c r="H151" s="5">
        <f t="shared" si="31"/>
        <v>0</v>
      </c>
      <c r="I151" s="5">
        <f t="shared" si="32"/>
        <v>0</v>
      </c>
      <c r="J151" s="7">
        <f t="shared" ref="J151:J157" si="36">(A151-A150)</f>
        <v>0</v>
      </c>
      <c r="K151" s="7">
        <f t="shared" si="29"/>
        <v>0</v>
      </c>
      <c r="L151" s="5">
        <f t="shared" si="33"/>
        <v>0</v>
      </c>
      <c r="M151" s="5">
        <f t="shared" ref="M151:M157" si="37">(M150+L151-B151)</f>
        <v>284907561.7709589</v>
      </c>
      <c r="N151" s="136">
        <f t="shared" si="30"/>
        <v>0</v>
      </c>
    </row>
    <row r="152" spans="1:15">
      <c r="A152" s="134"/>
      <c r="B152" s="6"/>
      <c r="C152" s="5">
        <f t="shared" si="34"/>
        <v>0</v>
      </c>
      <c r="D152" s="5">
        <f t="shared" si="26"/>
        <v>0</v>
      </c>
      <c r="E152" s="5">
        <f t="shared" si="27"/>
        <v>0</v>
      </c>
      <c r="F152" s="5">
        <f t="shared" si="28"/>
        <v>0</v>
      </c>
      <c r="G152" s="5">
        <f t="shared" si="35"/>
        <v>5961048.7709589042</v>
      </c>
      <c r="H152" s="5">
        <f t="shared" si="31"/>
        <v>0</v>
      </c>
      <c r="I152" s="5">
        <f t="shared" si="32"/>
        <v>0</v>
      </c>
      <c r="J152" s="7">
        <f t="shared" si="36"/>
        <v>0</v>
      </c>
      <c r="K152" s="7">
        <f t="shared" si="29"/>
        <v>0</v>
      </c>
      <c r="L152" s="5">
        <f t="shared" si="33"/>
        <v>0</v>
      </c>
      <c r="M152" s="5">
        <f t="shared" si="37"/>
        <v>284907561.7709589</v>
      </c>
      <c r="N152" s="136">
        <f t="shared" si="30"/>
        <v>0</v>
      </c>
    </row>
    <row r="153" spans="1:15">
      <c r="A153" s="134"/>
      <c r="B153" s="6"/>
      <c r="C153" s="5">
        <f t="shared" si="34"/>
        <v>0</v>
      </c>
      <c r="D153" s="5">
        <f t="shared" si="26"/>
        <v>0</v>
      </c>
      <c r="E153" s="5">
        <f t="shared" si="27"/>
        <v>0</v>
      </c>
      <c r="F153" s="5">
        <f t="shared" si="28"/>
        <v>0</v>
      </c>
      <c r="G153" s="5">
        <f t="shared" si="35"/>
        <v>5961048.7709589042</v>
      </c>
      <c r="H153" s="5">
        <f t="shared" si="31"/>
        <v>0</v>
      </c>
      <c r="I153" s="5">
        <f t="shared" si="32"/>
        <v>0</v>
      </c>
      <c r="J153" s="7">
        <f t="shared" si="36"/>
        <v>0</v>
      </c>
      <c r="K153" s="7">
        <f t="shared" si="29"/>
        <v>0</v>
      </c>
      <c r="L153" s="5">
        <f t="shared" si="33"/>
        <v>0</v>
      </c>
      <c r="M153" s="5">
        <f t="shared" si="37"/>
        <v>284907561.7709589</v>
      </c>
      <c r="N153" s="136">
        <f t="shared" si="30"/>
        <v>0</v>
      </c>
    </row>
    <row r="154" spans="1:15">
      <c r="A154" s="134"/>
      <c r="B154" s="6"/>
      <c r="C154" s="5">
        <f t="shared" si="34"/>
        <v>0</v>
      </c>
      <c r="D154" s="5">
        <f t="shared" si="26"/>
        <v>0</v>
      </c>
      <c r="E154" s="5">
        <f t="shared" si="27"/>
        <v>0</v>
      </c>
      <c r="F154" s="5">
        <f t="shared" si="28"/>
        <v>0</v>
      </c>
      <c r="G154" s="5">
        <f t="shared" si="35"/>
        <v>5961048.7709589042</v>
      </c>
      <c r="H154" s="5">
        <f t="shared" si="31"/>
        <v>0</v>
      </c>
      <c r="I154" s="5">
        <f t="shared" si="32"/>
        <v>0</v>
      </c>
      <c r="J154" s="7">
        <f t="shared" si="36"/>
        <v>0</v>
      </c>
      <c r="K154" s="7">
        <f t="shared" si="29"/>
        <v>0</v>
      </c>
      <c r="L154" s="5">
        <f t="shared" si="33"/>
        <v>0</v>
      </c>
      <c r="M154" s="5">
        <f t="shared" si="37"/>
        <v>284907561.7709589</v>
      </c>
      <c r="N154" s="136">
        <f t="shared" si="30"/>
        <v>0</v>
      </c>
    </row>
    <row r="155" spans="1:15">
      <c r="A155" s="134"/>
      <c r="B155" s="6"/>
      <c r="C155" s="5">
        <f t="shared" si="34"/>
        <v>0</v>
      </c>
      <c r="D155" s="5">
        <f t="shared" si="26"/>
        <v>0</v>
      </c>
      <c r="E155" s="5">
        <f t="shared" si="27"/>
        <v>0</v>
      </c>
      <c r="F155" s="5">
        <f t="shared" si="28"/>
        <v>0</v>
      </c>
      <c r="G155" s="5">
        <f t="shared" si="35"/>
        <v>5961048.7709589042</v>
      </c>
      <c r="H155" s="5">
        <f t="shared" si="31"/>
        <v>0</v>
      </c>
      <c r="I155" s="5">
        <f t="shared" si="32"/>
        <v>0</v>
      </c>
      <c r="J155" s="7">
        <f t="shared" si="36"/>
        <v>0</v>
      </c>
      <c r="K155" s="7">
        <f t="shared" si="29"/>
        <v>0</v>
      </c>
      <c r="L155" s="5">
        <f t="shared" si="33"/>
        <v>0</v>
      </c>
      <c r="M155" s="5">
        <f t="shared" si="37"/>
        <v>284907561.7709589</v>
      </c>
      <c r="N155" s="136">
        <f t="shared" si="30"/>
        <v>0</v>
      </c>
    </row>
    <row r="156" spans="1:15">
      <c r="A156" s="134"/>
      <c r="B156" s="6"/>
      <c r="C156" s="5">
        <f t="shared" si="34"/>
        <v>0</v>
      </c>
      <c r="D156" s="5">
        <f t="shared" si="26"/>
        <v>0</v>
      </c>
      <c r="E156" s="5">
        <f t="shared" si="27"/>
        <v>0</v>
      </c>
      <c r="F156" s="5">
        <f t="shared" si="28"/>
        <v>0</v>
      </c>
      <c r="G156" s="5">
        <f t="shared" si="35"/>
        <v>5961048.7709589042</v>
      </c>
      <c r="H156" s="5">
        <f t="shared" si="31"/>
        <v>0</v>
      </c>
      <c r="I156" s="5">
        <f t="shared" si="32"/>
        <v>0</v>
      </c>
      <c r="J156" s="7">
        <f t="shared" si="36"/>
        <v>0</v>
      </c>
      <c r="K156" s="7">
        <f t="shared" si="29"/>
        <v>0</v>
      </c>
      <c r="L156" s="5">
        <f t="shared" si="33"/>
        <v>0</v>
      </c>
      <c r="M156" s="5">
        <f t="shared" si="37"/>
        <v>284907561.7709589</v>
      </c>
      <c r="N156" s="138">
        <f t="shared" si="30"/>
        <v>0</v>
      </c>
      <c r="O156" s="101"/>
    </row>
    <row r="157" spans="1:15">
      <c r="A157" s="127"/>
      <c r="B157" s="6"/>
      <c r="C157" s="5">
        <f t="shared" si="34"/>
        <v>0</v>
      </c>
      <c r="D157" s="5">
        <f t="shared" si="26"/>
        <v>0</v>
      </c>
      <c r="E157" s="5">
        <f t="shared" si="27"/>
        <v>0</v>
      </c>
      <c r="F157" s="5">
        <f t="shared" si="28"/>
        <v>0</v>
      </c>
      <c r="G157" s="5">
        <f t="shared" si="35"/>
        <v>5961048.7709589042</v>
      </c>
      <c r="H157" s="5">
        <f t="shared" si="31"/>
        <v>0</v>
      </c>
      <c r="I157" s="5">
        <f t="shared" si="32"/>
        <v>0</v>
      </c>
      <c r="J157" s="7">
        <f t="shared" si="36"/>
        <v>0</v>
      </c>
      <c r="K157" s="7">
        <f t="shared" si="29"/>
        <v>0</v>
      </c>
      <c r="L157" s="5">
        <f t="shared" si="33"/>
        <v>0</v>
      </c>
      <c r="M157" s="5">
        <f t="shared" si="37"/>
        <v>284907561.7709589</v>
      </c>
      <c r="N157" s="27">
        <f t="shared" si="30"/>
        <v>0</v>
      </c>
      <c r="O157" s="101"/>
    </row>
    <row r="158" spans="1:15">
      <c r="A158" s="127"/>
      <c r="B158" s="6"/>
      <c r="C158" s="5">
        <f>IF(N157&gt;=C157,C157,N157)</f>
        <v>0</v>
      </c>
      <c r="D158" s="5">
        <f t="shared" si="26"/>
        <v>0</v>
      </c>
      <c r="E158" s="5">
        <f t="shared" si="27"/>
        <v>0</v>
      </c>
      <c r="F158" s="5">
        <f t="shared" si="28"/>
        <v>0</v>
      </c>
      <c r="G158" s="5">
        <f>(G150+L158-H150)</f>
        <v>5961048.7709589042</v>
      </c>
      <c r="H158" s="5">
        <f t="shared" si="31"/>
        <v>0</v>
      </c>
      <c r="I158" s="5">
        <f t="shared" si="32"/>
        <v>0</v>
      </c>
      <c r="J158" s="7">
        <f>(A158-A157)</f>
        <v>0</v>
      </c>
      <c r="K158" s="7">
        <f t="shared" si="29"/>
        <v>0</v>
      </c>
      <c r="L158" s="5">
        <f t="shared" si="33"/>
        <v>0</v>
      </c>
      <c r="M158" s="5">
        <f>(M157+L158-B158)</f>
        <v>284907561.7709589</v>
      </c>
      <c r="N158" s="27">
        <f t="shared" si="30"/>
        <v>0</v>
      </c>
    </row>
    <row r="159" spans="1:15" ht="13.5" thickBot="1">
      <c r="A159" s="127"/>
      <c r="B159" s="6"/>
      <c r="C159" s="5">
        <f>IF(N158&gt;=C158,C158,N158)</f>
        <v>0</v>
      </c>
      <c r="D159" s="5">
        <f t="shared" si="26"/>
        <v>0</v>
      </c>
      <c r="E159" s="5">
        <f t="shared" si="27"/>
        <v>0</v>
      </c>
      <c r="F159" s="5">
        <f t="shared" si="28"/>
        <v>0</v>
      </c>
      <c r="G159" s="5">
        <f>(G158+L159-H158)</f>
        <v>5961048.7709589042</v>
      </c>
      <c r="H159" s="5">
        <f t="shared" si="31"/>
        <v>0</v>
      </c>
      <c r="I159" s="5">
        <f t="shared" si="32"/>
        <v>0</v>
      </c>
      <c r="J159" s="7">
        <f>(A159-A158)</f>
        <v>0</v>
      </c>
      <c r="K159" s="7">
        <f t="shared" si="29"/>
        <v>0</v>
      </c>
      <c r="L159" s="5">
        <f t="shared" si="33"/>
        <v>0</v>
      </c>
      <c r="M159" s="5">
        <f>(M158+L159-B159)</f>
        <v>284907561.7709589</v>
      </c>
      <c r="N159" s="27">
        <f t="shared" si="30"/>
        <v>0</v>
      </c>
      <c r="O159" s="101"/>
    </row>
    <row r="160" spans="1:15" ht="16.5" thickBot="1">
      <c r="A160" s="19" t="s">
        <v>33</v>
      </c>
      <c r="B160" s="20">
        <f>SUM(B146:B159)</f>
        <v>0</v>
      </c>
      <c r="C160" s="21"/>
      <c r="D160" s="20"/>
      <c r="E160" s="21"/>
      <c r="F160" s="20">
        <f>SUM(F146:F159)</f>
        <v>0</v>
      </c>
      <c r="G160" s="20"/>
      <c r="H160" s="20"/>
      <c r="I160" s="20">
        <f>SUM(I146:I159)</f>
        <v>0</v>
      </c>
      <c r="J160" s="22"/>
      <c r="K160" s="22"/>
      <c r="L160" s="22">
        <f>SUM(L146:L159)</f>
        <v>5961048.7709589042</v>
      </c>
      <c r="M160" s="23"/>
      <c r="N160" s="18"/>
    </row>
    <row r="161" spans="1:15">
      <c r="A161" s="61" t="s">
        <v>17</v>
      </c>
      <c r="I161" s="43"/>
      <c r="L161" s="101"/>
    </row>
    <row r="162" spans="1:15">
      <c r="B162" s="101">
        <f>+F11+F76+F141</f>
        <v>2550233853</v>
      </c>
      <c r="I162" s="43"/>
      <c r="L162" s="141"/>
      <c r="N162" s="128"/>
      <c r="O162" s="117"/>
    </row>
    <row r="163" spans="1:15">
      <c r="B163" s="66"/>
      <c r="I163" s="43"/>
      <c r="L163" s="101"/>
      <c r="N163" s="128"/>
      <c r="O163" s="117"/>
    </row>
    <row r="164" spans="1:15" ht="15.75">
      <c r="A164" s="61"/>
      <c r="D164" s="75" t="s">
        <v>9</v>
      </c>
      <c r="F164" s="75" t="s">
        <v>9</v>
      </c>
      <c r="G164" s="67"/>
      <c r="H164" s="110"/>
      <c r="I164" s="75" t="s">
        <v>34</v>
      </c>
      <c r="J164" s="67"/>
      <c r="K164" s="75" t="s">
        <v>35</v>
      </c>
      <c r="L164" s="155"/>
      <c r="M164" s="132"/>
      <c r="N164" s="156"/>
      <c r="O164" s="117"/>
    </row>
    <row r="165" spans="1:15">
      <c r="A165" s="61" t="s">
        <v>36</v>
      </c>
      <c r="D165" s="66">
        <v>361332693.45999998</v>
      </c>
      <c r="F165" s="66">
        <v>278946513</v>
      </c>
      <c r="K165" s="229"/>
      <c r="L165" s="101"/>
      <c r="N165" s="128"/>
      <c r="O165" s="117"/>
    </row>
    <row r="166" spans="1:15">
      <c r="A166" s="71" t="s">
        <v>153</v>
      </c>
      <c r="B166" s="114"/>
      <c r="C166" s="157"/>
      <c r="D166" s="114"/>
      <c r="E166" s="158"/>
      <c r="F166" s="66">
        <v>23516863.059999999</v>
      </c>
      <c r="G166" s="66"/>
      <c r="K166" s="229">
        <f t="shared" ref="K166:K181" si="38">SUM(F166:J166)</f>
        <v>23516863.059999999</v>
      </c>
      <c r="L166" s="66"/>
      <c r="N166" s="128">
        <f>L166*I141/100</f>
        <v>0</v>
      </c>
      <c r="O166" s="117"/>
    </row>
    <row r="167" spans="1:15" ht="15.75">
      <c r="A167" s="71" t="s">
        <v>161</v>
      </c>
      <c r="B167" s="55"/>
      <c r="C167" s="133"/>
      <c r="D167" s="1"/>
      <c r="E167" s="66"/>
      <c r="F167" s="66">
        <v>23516863.07</v>
      </c>
      <c r="G167" s="66"/>
      <c r="K167" s="229">
        <f t="shared" si="38"/>
        <v>23516863.07</v>
      </c>
      <c r="L167" s="101"/>
      <c r="N167" s="128"/>
      <c r="O167" s="117"/>
    </row>
    <row r="168" spans="1:15" ht="15.75">
      <c r="A168" s="139" t="s">
        <v>159</v>
      </c>
      <c r="B168" s="55"/>
      <c r="C168" s="133"/>
      <c r="D168" s="1"/>
      <c r="E168" s="66"/>
      <c r="F168" s="66">
        <v>10500552.808715304</v>
      </c>
      <c r="G168" s="66"/>
      <c r="H168" s="66"/>
      <c r="I168" s="66">
        <v>268218.64109998738</v>
      </c>
      <c r="J168" s="66"/>
      <c r="K168" s="66">
        <f t="shared" si="38"/>
        <v>10768771.449815292</v>
      </c>
      <c r="L168" s="101"/>
      <c r="N168" s="128"/>
      <c r="O168" s="117"/>
    </row>
    <row r="169" spans="1:15" ht="15.75">
      <c r="A169" s="139" t="s">
        <v>159</v>
      </c>
      <c r="B169" s="55"/>
      <c r="C169" s="133"/>
      <c r="D169" s="1"/>
      <c r="E169" s="66"/>
      <c r="F169" s="66">
        <v>13125687.401329102</v>
      </c>
      <c r="G169" s="66"/>
      <c r="H169" s="66"/>
      <c r="I169" s="66">
        <v>335273.20943521248</v>
      </c>
      <c r="J169" s="66"/>
      <c r="K169" s="66">
        <f t="shared" si="38"/>
        <v>13460960.610764315</v>
      </c>
      <c r="L169" s="101"/>
      <c r="N169" s="128"/>
      <c r="O169" s="117"/>
    </row>
    <row r="170" spans="1:15" ht="15.75">
      <c r="A170" s="139" t="s">
        <v>159</v>
      </c>
      <c r="B170" s="55"/>
      <c r="C170" s="133"/>
      <c r="D170" s="1"/>
      <c r="E170" s="66"/>
      <c r="F170" s="66">
        <v>2513144.3398839571</v>
      </c>
      <c r="G170" s="66"/>
      <c r="I170" s="66">
        <v>335273.20917482639</v>
      </c>
      <c r="K170" s="229">
        <f t="shared" si="38"/>
        <v>2848417.5490587833</v>
      </c>
      <c r="L170" s="101"/>
      <c r="N170" s="128"/>
      <c r="O170" s="117"/>
    </row>
    <row r="171" spans="1:15" ht="15.75">
      <c r="A171" s="71" t="s">
        <v>162</v>
      </c>
      <c r="B171" s="55"/>
      <c r="C171" s="133"/>
      <c r="D171" s="1"/>
      <c r="E171" s="66"/>
      <c r="F171" s="66">
        <v>19688536.253827374</v>
      </c>
      <c r="G171" s="66"/>
      <c r="I171" s="66"/>
      <c r="K171" s="229">
        <f t="shared" si="38"/>
        <v>19688536.253827374</v>
      </c>
      <c r="L171" s="101"/>
      <c r="N171" s="128"/>
      <c r="O171" s="117"/>
    </row>
    <row r="172" spans="1:15" ht="15.75">
      <c r="A172" s="71" t="s">
        <v>166</v>
      </c>
      <c r="B172" s="55"/>
      <c r="C172" s="133"/>
      <c r="D172" s="1"/>
      <c r="E172" s="66"/>
      <c r="F172" s="66">
        <v>22504737.199008726</v>
      </c>
      <c r="G172" s="66"/>
      <c r="I172" s="66"/>
      <c r="K172" s="229">
        <f t="shared" si="38"/>
        <v>22504737.199008726</v>
      </c>
      <c r="L172" s="101"/>
      <c r="N172" s="128"/>
      <c r="O172" s="117"/>
    </row>
    <row r="173" spans="1:15" ht="15.75">
      <c r="A173" s="71" t="s">
        <v>162</v>
      </c>
      <c r="B173" s="55"/>
      <c r="C173" s="133"/>
      <c r="D173" s="1"/>
      <c r="E173" s="66"/>
      <c r="F173" s="66">
        <v>2105933.1182754934</v>
      </c>
      <c r="G173" s="66"/>
      <c r="I173" s="66"/>
      <c r="K173" s="229">
        <f t="shared" si="38"/>
        <v>2105933.1182754934</v>
      </c>
      <c r="L173" s="101"/>
      <c r="N173" s="128"/>
      <c r="O173" s="117"/>
    </row>
    <row r="174" spans="1:15" ht="15.75">
      <c r="A174" s="71" t="s">
        <v>167</v>
      </c>
      <c r="B174" s="55"/>
      <c r="C174" s="133"/>
      <c r="D174" s="1"/>
      <c r="E174" s="66"/>
      <c r="F174" s="66">
        <v>10429419.657612382</v>
      </c>
      <c r="G174" s="66"/>
      <c r="I174" s="66"/>
      <c r="K174" s="229">
        <f t="shared" si="38"/>
        <v>10429419.657612382</v>
      </c>
      <c r="L174" s="101"/>
      <c r="N174" s="128"/>
      <c r="O174" s="117"/>
    </row>
    <row r="175" spans="1:15" ht="15.75">
      <c r="A175" s="71" t="s">
        <v>168</v>
      </c>
      <c r="B175" s="55"/>
      <c r="C175" s="133"/>
      <c r="D175" s="1"/>
      <c r="E175" s="66"/>
      <c r="F175" s="66">
        <v>7246797.8532066979</v>
      </c>
      <c r="G175" s="66"/>
      <c r="I175" s="66"/>
      <c r="K175" s="229">
        <f t="shared" si="38"/>
        <v>7246797.8532066979</v>
      </c>
      <c r="L175" s="101"/>
      <c r="N175" s="128"/>
      <c r="O175" s="117"/>
    </row>
    <row r="176" spans="1:15" ht="15.75">
      <c r="A176" s="71" t="s">
        <v>148</v>
      </c>
      <c r="B176" s="55"/>
      <c r="C176" s="133"/>
      <c r="D176" s="1"/>
      <c r="E176" s="66"/>
      <c r="F176" s="66">
        <v>19688536.253827374</v>
      </c>
      <c r="G176" s="66"/>
      <c r="I176" s="66"/>
      <c r="K176" s="229">
        <f t="shared" si="38"/>
        <v>19688536.253827374</v>
      </c>
      <c r="L176" s="101"/>
      <c r="N176" s="128"/>
      <c r="O176" s="117"/>
    </row>
    <row r="177" spans="1:15" ht="15.75">
      <c r="A177" s="71" t="s">
        <v>148</v>
      </c>
      <c r="B177" s="55"/>
      <c r="C177" s="133"/>
      <c r="D177" s="1"/>
      <c r="E177" s="66"/>
      <c r="F177" s="66">
        <v>24610670.317284223</v>
      </c>
      <c r="G177" s="66"/>
      <c r="I177" s="66"/>
      <c r="K177" s="229">
        <f t="shared" si="38"/>
        <v>24610670.317284223</v>
      </c>
      <c r="L177" s="101"/>
      <c r="N177" s="128"/>
      <c r="O177" s="117"/>
    </row>
    <row r="178" spans="1:15" ht="15.75">
      <c r="A178" s="71" t="s">
        <v>148</v>
      </c>
      <c r="B178" s="55"/>
      <c r="C178" s="133"/>
      <c r="D178" s="1"/>
      <c r="E178" s="66"/>
      <c r="F178" s="66">
        <v>6930099.8679267429</v>
      </c>
      <c r="G178" s="66"/>
      <c r="I178" s="66"/>
      <c r="K178" s="229">
        <f t="shared" si="38"/>
        <v>6930099.8679267429</v>
      </c>
      <c r="L178" s="101"/>
      <c r="N178" s="128"/>
      <c r="O178" s="117"/>
    </row>
    <row r="179" spans="1:15" ht="15.75">
      <c r="A179" s="139" t="s">
        <v>151</v>
      </c>
      <c r="B179" s="55"/>
      <c r="C179" s="133"/>
      <c r="D179" s="1"/>
      <c r="E179" s="66"/>
      <c r="F179" s="66">
        <v>18813493.861111902</v>
      </c>
      <c r="G179" s="66"/>
      <c r="I179" s="66">
        <v>103041.24816104209</v>
      </c>
      <c r="K179" s="229">
        <f t="shared" si="38"/>
        <v>18916535.109272942</v>
      </c>
      <c r="L179" s="101"/>
      <c r="N179" s="128"/>
      <c r="O179" s="117"/>
    </row>
    <row r="180" spans="1:15" ht="15.75">
      <c r="A180" s="139" t="s">
        <v>151</v>
      </c>
      <c r="B180" s="55"/>
      <c r="C180" s="133"/>
      <c r="D180" s="1"/>
      <c r="E180" s="66"/>
      <c r="F180" s="66">
        <v>23516867.327034898</v>
      </c>
      <c r="G180" s="66"/>
      <c r="I180" s="66">
        <v>128801.56020130262</v>
      </c>
      <c r="K180" s="229">
        <f t="shared" si="38"/>
        <v>23645668.8872362</v>
      </c>
      <c r="L180" s="101"/>
      <c r="N180" s="128"/>
      <c r="O180" s="117"/>
    </row>
    <row r="181" spans="1:15" ht="15.75">
      <c r="A181" s="139" t="s">
        <v>151</v>
      </c>
      <c r="B181" s="55"/>
      <c r="C181" s="133"/>
      <c r="D181" s="1"/>
      <c r="E181" s="66"/>
      <c r="F181" s="66">
        <v>6956868.555482761</v>
      </c>
      <c r="G181" s="66"/>
      <c r="I181" s="66">
        <v>128801.56020130262</v>
      </c>
      <c r="K181" s="229">
        <f t="shared" si="38"/>
        <v>7085670.1156840632</v>
      </c>
      <c r="L181" s="101"/>
      <c r="N181" s="128"/>
      <c r="O181" s="117"/>
    </row>
    <row r="182" spans="1:15" ht="15.75">
      <c r="A182" s="1" t="s">
        <v>19</v>
      </c>
      <c r="B182" s="1"/>
      <c r="C182" s="1"/>
      <c r="D182" s="115" t="e">
        <f>+D165-#REF!</f>
        <v>#REF!</v>
      </c>
      <c r="F182" s="159">
        <f>+F165-F166-F167-F168-F169-F170-F171-F172-F173-F174-F175-F176-F177-F178-F179-F180-F181</f>
        <v>43281442.055473067</v>
      </c>
      <c r="I182" s="66">
        <f>SUM(I165:I181)</f>
        <v>1299409.4282736736</v>
      </c>
      <c r="K182" s="229">
        <f>SUM(K165:K181)</f>
        <v>236964480.37280059</v>
      </c>
      <c r="L182" s="101"/>
      <c r="N182" s="101"/>
      <c r="O182" s="42"/>
    </row>
    <row r="183" spans="1:15" ht="15.75">
      <c r="A183" s="61"/>
      <c r="D183" s="75" t="s">
        <v>9</v>
      </c>
      <c r="F183" s="241"/>
      <c r="G183" s="67"/>
      <c r="H183" s="110"/>
      <c r="I183" s="75"/>
      <c r="J183" s="67"/>
      <c r="K183" s="241"/>
      <c r="L183" s="101"/>
      <c r="N183" s="102"/>
      <c r="O183" s="42"/>
    </row>
    <row r="184" spans="1:15" ht="15.75">
      <c r="A184" s="61"/>
      <c r="D184" s="75"/>
      <c r="F184" s="242">
        <f>+F166+F167+F168+F169+F170+F171+F172+F173+F174+F175+F176+F177+F178+F179+F180+F181</f>
        <v>235665070.94452694</v>
      </c>
      <c r="G184" s="67"/>
      <c r="H184" s="110"/>
      <c r="I184" s="75"/>
      <c r="J184" s="67"/>
      <c r="K184" s="241">
        <f>+K52+K117+K182</f>
        <v>2166418333.3749142</v>
      </c>
      <c r="L184" s="101"/>
      <c r="N184" s="102"/>
      <c r="O184" s="42"/>
    </row>
    <row r="185" spans="1:15">
      <c r="A185" s="61"/>
      <c r="D185" s="66"/>
      <c r="F185" s="66"/>
      <c r="L185" s="101"/>
      <c r="N185" s="102"/>
      <c r="O185" s="42"/>
    </row>
    <row r="186" spans="1:15">
      <c r="A186" s="139"/>
      <c r="D186" s="66"/>
      <c r="E186" s="66"/>
      <c r="F186" s="66">
        <f>+F11+F76+F141</f>
        <v>2550233853</v>
      </c>
      <c r="G186" s="66"/>
      <c r="H186" s="66"/>
      <c r="I186" s="66"/>
      <c r="L186" s="101"/>
      <c r="N186" s="102"/>
      <c r="O186" s="42"/>
    </row>
    <row r="187" spans="1:15" ht="15.75">
      <c r="A187" s="1"/>
      <c r="B187" s="1"/>
      <c r="C187" s="1"/>
      <c r="D187" s="115"/>
      <c r="F187" s="141">
        <f>F54+F119+F184</f>
        <v>2154538644.0197663</v>
      </c>
      <c r="I187" s="101">
        <f>+I52+I117+I182</f>
        <v>11879689.355148043</v>
      </c>
      <c r="K187" s="101">
        <f>SUM(F187:J187)</f>
        <v>2166418333.3749142</v>
      </c>
      <c r="L187" s="71"/>
    </row>
    <row r="188" spans="1:15" ht="15.75">
      <c r="A188" s="1"/>
      <c r="B188" s="1"/>
      <c r="C188" s="1"/>
      <c r="D188" s="115"/>
      <c r="F188" s="141">
        <f>+F186-F187</f>
        <v>395695208.98023367</v>
      </c>
      <c r="K188" s="101">
        <f>+K52+K117+K182</f>
        <v>2166418333.3749142</v>
      </c>
      <c r="L188" s="71"/>
    </row>
    <row r="189" spans="1:15" ht="15.75">
      <c r="A189" s="1"/>
      <c r="B189" s="1"/>
      <c r="C189" s="1"/>
      <c r="D189" s="115"/>
      <c r="F189" s="141"/>
      <c r="L189" s="71"/>
    </row>
    <row r="190" spans="1:15" ht="15.75">
      <c r="A190" s="1"/>
      <c r="B190" s="1"/>
      <c r="C190" s="1"/>
      <c r="D190" s="115"/>
      <c r="F190" s="71"/>
      <c r="L190" s="71"/>
    </row>
    <row r="192" spans="1:15" ht="15.75">
      <c r="F192" s="1"/>
      <c r="L192" s="1" t="s">
        <v>37</v>
      </c>
    </row>
    <row r="193" spans="1:12" ht="14.25">
      <c r="A193" s="56" t="s">
        <v>38</v>
      </c>
      <c r="F193" s="56"/>
      <c r="L193" s="56" t="s">
        <v>39</v>
      </c>
    </row>
  </sheetData>
  <protectedRanges>
    <protectedRange password="CC03" sqref="F10 F12 A27:B29 B16:B26 A19 F75 F77 A92:B94 B81:B91 A84 F140 F142 A157:B159 B146:B156 A149" name="Rango1" securityDescriptor="O:WDG:WDD:(A;;CC;;;WD)"/>
    <protectedRange password="CC03" sqref="C7 G7 K7 C72 G72 K72 C137 G137 K137" name="Rango1_1" securityDescriptor="O:WDG:WDD:(A;;CC;;;WD)"/>
    <protectedRange password="CC03" sqref="F9 F13 F74 F78 F139 F143" name="Rango1_1_1" securityDescriptor="O:WDG:WDD:(A;;CC;;;WD)"/>
    <protectedRange password="CC03" sqref="F11 F76 F141" name="Rango1_1_2" securityDescriptor="O:WDG:WDD:(A;;CC;;;WD)"/>
    <protectedRange password="CC03" sqref="A20:A26 A16:A18 A85:A91 A81:A83 A150:A156 A146:A148" name="Rango1_4_1_1_1" securityDescriptor="O:WDG:WDD:(A;;CC;;;WD)"/>
  </protectedRanges>
  <mergeCells count="18">
    <mergeCell ref="C136:H136"/>
    <mergeCell ref="C137:O137"/>
    <mergeCell ref="C72:O72"/>
    <mergeCell ref="A131:N131"/>
    <mergeCell ref="A132:N132"/>
    <mergeCell ref="A133:N133"/>
    <mergeCell ref="A134:N134"/>
    <mergeCell ref="A66:N66"/>
    <mergeCell ref="A67:N67"/>
    <mergeCell ref="A68:N68"/>
    <mergeCell ref="A69:N69"/>
    <mergeCell ref="C71:H71"/>
    <mergeCell ref="C7:O7"/>
    <mergeCell ref="A1:N1"/>
    <mergeCell ref="A2:N2"/>
    <mergeCell ref="A3:N3"/>
    <mergeCell ref="A4:N4"/>
    <mergeCell ref="C6:H6"/>
  </mergeCells>
  <printOptions horizontalCentered="1" verticalCentered="1"/>
  <pageMargins left="0.78740157480314965" right="0.78740157480314965" top="0.78740157480314965" bottom="0.78740157480314965" header="0" footer="0"/>
  <pageSetup scale="95"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17409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3</xdr:col>
                <xdr:colOff>190500</xdr:colOff>
                <xdr:row>2</xdr:row>
                <xdr:rowOff>180975</xdr:rowOff>
              </to>
            </anchor>
          </objectPr>
        </oleObject>
      </mc:Choice>
      <mc:Fallback>
        <oleObject progId="Word.Picture.8" shapeId="17409" r:id="rId4"/>
      </mc:Fallback>
    </mc:AlternateContent>
    <mc:AlternateContent xmlns:mc="http://schemas.openxmlformats.org/markup-compatibility/2006">
      <mc:Choice Requires="x14">
        <oleObject progId="Word.Picture.8" shapeId="17410" r:id="rId6">
          <objectPr defaultSize="0" autoPict="0" r:id="rId5">
            <anchor moveWithCells="1" sizeWithCells="1">
              <from>
                <xdr:col>0</xdr:col>
                <xdr:colOff>28575</xdr:colOff>
                <xdr:row>65</xdr:row>
                <xdr:rowOff>28575</xdr:rowOff>
              </from>
              <to>
                <xdr:col>3</xdr:col>
                <xdr:colOff>0</xdr:colOff>
                <xdr:row>68</xdr:row>
                <xdr:rowOff>0</xdr:rowOff>
              </to>
            </anchor>
          </objectPr>
        </oleObject>
      </mc:Choice>
      <mc:Fallback>
        <oleObject progId="Word.Picture.8" shapeId="17410" r:id="rId6"/>
      </mc:Fallback>
    </mc:AlternateContent>
    <mc:AlternateContent xmlns:mc="http://schemas.openxmlformats.org/markup-compatibility/2006">
      <mc:Choice Requires="x14">
        <oleObject progId="Word.Picture.8" shapeId="17411" r:id="rId7">
          <objectPr defaultSize="0" autoPict="0" r:id="rId5">
            <anchor moveWithCells="1" sizeWithCells="1">
              <from>
                <xdr:col>0</xdr:col>
                <xdr:colOff>28575</xdr:colOff>
                <xdr:row>130</xdr:row>
                <xdr:rowOff>28575</xdr:rowOff>
              </from>
              <to>
                <xdr:col>3</xdr:col>
                <xdr:colOff>0</xdr:colOff>
                <xdr:row>133</xdr:row>
                <xdr:rowOff>0</xdr:rowOff>
              </to>
            </anchor>
          </objectPr>
        </oleObject>
      </mc:Choice>
      <mc:Fallback>
        <oleObject progId="Word.Picture.8" shapeId="17411" r:id="rId7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91"/>
  <sheetViews>
    <sheetView workbookViewId="0">
      <selection activeCell="G12" sqref="G12"/>
    </sheetView>
  </sheetViews>
  <sheetFormatPr baseColWidth="10" defaultColWidth="11.42578125" defaultRowHeight="12.75"/>
  <cols>
    <col min="1" max="1" width="11.28515625" customWidth="1"/>
    <col min="2" max="2" width="11.85546875" customWidth="1"/>
    <col min="3" max="3" width="14.5703125" customWidth="1"/>
    <col min="4" max="4" width="15.28515625" customWidth="1"/>
    <col min="5" max="5" width="22" customWidth="1"/>
    <col min="6" max="6" width="17.140625" customWidth="1"/>
    <col min="7" max="7" width="13.7109375" customWidth="1"/>
    <col min="8" max="8" width="15.28515625" customWidth="1"/>
    <col min="9" max="9" width="17.5703125" customWidth="1"/>
    <col min="10" max="10" width="16.140625" customWidth="1"/>
    <col min="11" max="11" width="14.140625" customWidth="1"/>
    <col min="12" max="13" width="16.140625" customWidth="1"/>
    <col min="14" max="14" width="17.28515625" customWidth="1"/>
    <col min="15" max="15" width="0.140625" customWidth="1"/>
  </cols>
  <sheetData>
    <row r="1" spans="1:16" ht="15.95" customHeight="1">
      <c r="A1" s="279" t="s">
        <v>0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</row>
    <row r="2" spans="1:16" ht="15.95" customHeight="1">
      <c r="A2" s="279" t="s">
        <v>43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</row>
    <row r="3" spans="1:16" ht="15.95" customHeight="1">
      <c r="A3" s="279" t="s">
        <v>44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</row>
    <row r="4" spans="1:16" ht="15.95" customHeight="1">
      <c r="A4" s="279" t="s">
        <v>45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</row>
    <row r="5" spans="1:16" ht="15.95" customHeight="1" thickBot="1">
      <c r="A5" s="75"/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</row>
    <row r="6" spans="1:16" ht="36.75" customHeight="1" thickBot="1">
      <c r="A6" s="301" t="s">
        <v>46</v>
      </c>
      <c r="B6" s="302"/>
      <c r="C6" s="44"/>
      <c r="D6" s="37"/>
      <c r="E6" s="40"/>
      <c r="F6" s="53" t="s">
        <v>5</v>
      </c>
      <c r="G6" s="54" t="s">
        <v>47</v>
      </c>
      <c r="H6" s="299"/>
      <c r="I6" s="300"/>
      <c r="J6" s="300"/>
      <c r="K6" s="300"/>
      <c r="L6" s="300"/>
      <c r="M6" s="300"/>
      <c r="N6" s="300"/>
      <c r="O6" s="300"/>
      <c r="P6" s="86"/>
    </row>
    <row r="7" spans="1:16" ht="33" customHeight="1" thickBot="1">
      <c r="A7" s="303" t="s">
        <v>14</v>
      </c>
      <c r="B7" s="304"/>
      <c r="C7" s="46"/>
      <c r="D7" s="30"/>
      <c r="E7" s="48"/>
      <c r="F7" s="303" t="s">
        <v>48</v>
      </c>
      <c r="G7" s="304"/>
      <c r="H7" s="30"/>
      <c r="I7" s="85"/>
      <c r="J7" s="90"/>
      <c r="K7" s="91"/>
      <c r="L7" s="92">
        <f>(D8*H8*N7)/365</f>
        <v>0</v>
      </c>
      <c r="M7" s="93"/>
      <c r="N7" s="94">
        <f>(I9-E7)</f>
        <v>0</v>
      </c>
      <c r="O7" s="95"/>
      <c r="P7" s="96"/>
    </row>
    <row r="8" spans="1:16" ht="25.5" customHeight="1" thickBot="1">
      <c r="A8" s="303" t="s">
        <v>9</v>
      </c>
      <c r="B8" s="304"/>
      <c r="C8" s="45"/>
      <c r="D8" s="318"/>
      <c r="E8" s="319"/>
      <c r="F8" s="53" t="s">
        <v>49</v>
      </c>
      <c r="G8" s="53" t="s">
        <v>50</v>
      </c>
      <c r="H8" s="320"/>
      <c r="I8" s="321"/>
      <c r="J8" s="87" t="s">
        <v>51</v>
      </c>
      <c r="K8" s="88" t="s">
        <v>52</v>
      </c>
      <c r="L8" s="89"/>
      <c r="M8" s="310"/>
      <c r="N8" s="311"/>
      <c r="O8" s="312"/>
    </row>
    <row r="9" spans="1:16" ht="46.5" customHeight="1" thickBot="1">
      <c r="A9" s="303" t="s">
        <v>53</v>
      </c>
      <c r="B9" s="304"/>
      <c r="C9" s="45"/>
      <c r="D9" s="313"/>
      <c r="E9" s="314"/>
      <c r="F9" s="303" t="s">
        <v>16</v>
      </c>
      <c r="G9" s="304" t="s">
        <v>54</v>
      </c>
      <c r="H9" s="49"/>
      <c r="I9" s="48"/>
      <c r="J9" s="52" t="s">
        <v>13</v>
      </c>
      <c r="K9" s="50" t="s">
        <v>55</v>
      </c>
      <c r="L9" s="51"/>
      <c r="M9" s="307"/>
      <c r="N9" s="308"/>
      <c r="O9" s="309"/>
    </row>
    <row r="10" spans="1:16" ht="15.75" thickBot="1">
      <c r="A10" s="315" t="s">
        <v>56</v>
      </c>
      <c r="B10" s="316"/>
      <c r="C10" s="316"/>
      <c r="D10" s="316"/>
      <c r="E10" s="316"/>
      <c r="F10" s="316"/>
      <c r="G10" s="316"/>
      <c r="H10" s="316"/>
      <c r="I10" s="316"/>
      <c r="J10" s="316"/>
      <c r="K10" s="316"/>
      <c r="L10" s="316"/>
      <c r="M10" s="316"/>
      <c r="N10" s="316"/>
      <c r="O10" s="317"/>
    </row>
    <row r="11" spans="1:16" ht="51.75" customHeight="1" thickBot="1">
      <c r="A11" s="31" t="s">
        <v>57</v>
      </c>
      <c r="B11" s="32" t="s">
        <v>13</v>
      </c>
      <c r="C11" s="32" t="s">
        <v>55</v>
      </c>
      <c r="D11" s="31" t="s">
        <v>58</v>
      </c>
      <c r="E11" s="31" t="s">
        <v>58</v>
      </c>
      <c r="F11" s="32" t="s">
        <v>59</v>
      </c>
      <c r="G11" s="32" t="s">
        <v>59</v>
      </c>
      <c r="H11" s="31" t="s">
        <v>60</v>
      </c>
      <c r="I11" s="31" t="s">
        <v>60</v>
      </c>
      <c r="J11" s="32" t="s">
        <v>61</v>
      </c>
      <c r="K11" s="32" t="s">
        <v>61</v>
      </c>
      <c r="L11" s="31" t="s">
        <v>62</v>
      </c>
      <c r="M11" s="31" t="s">
        <v>62</v>
      </c>
      <c r="N11" s="31" t="s">
        <v>63</v>
      </c>
      <c r="O11" s="31" t="s">
        <v>63</v>
      </c>
      <c r="P11" s="84" t="s">
        <v>64</v>
      </c>
    </row>
    <row r="12" spans="1:16" ht="13.5">
      <c r="A12" s="47">
        <f>DATE(YEAR(I9),MONTH(I9)+1,DAY(I9))</f>
        <v>31</v>
      </c>
      <c r="B12" s="38">
        <f>IF(E12&gt;1,C12,0)</f>
        <v>0</v>
      </c>
      <c r="C12" s="33" t="e">
        <f t="shared" ref="C12:C43" si="0">$M$9/$M$8</f>
        <v>#DIV/0!</v>
      </c>
      <c r="D12" s="33">
        <f>D8*(H8/12)</f>
        <v>0</v>
      </c>
      <c r="E12" s="33">
        <f>IF(D12&gt;=0,D12,0)</f>
        <v>0</v>
      </c>
      <c r="F12" s="33">
        <f>IF(E12&gt;1,G12,0)</f>
        <v>0</v>
      </c>
      <c r="G12" s="33" t="s">
        <v>65</v>
      </c>
      <c r="H12" s="33" t="e">
        <f>(D8*(H8/12))/((POWER((1+(H8/12)),M8))-1)</f>
        <v>#DIV/0!</v>
      </c>
      <c r="I12" s="33">
        <f>IF(E12&gt;1,H12,0)</f>
        <v>0</v>
      </c>
      <c r="J12" s="33">
        <f>IF(E12&gt;1,K12,0)</f>
        <v>0</v>
      </c>
      <c r="K12" s="33" t="e">
        <f>C12+D12+G12+H12</f>
        <v>#DIV/0!</v>
      </c>
      <c r="L12" s="33" t="e">
        <f>IF(M12&gt;=0,M12,0)</f>
        <v>#DIV/0!</v>
      </c>
      <c r="M12" s="33" t="e">
        <f>D8-H12</f>
        <v>#DIV/0!</v>
      </c>
      <c r="N12" s="33" t="e">
        <f>IF(O12&gt;=0,O12,0)</f>
        <v>#DIV/0!</v>
      </c>
      <c r="O12" s="33" t="e">
        <f>($D$8+$D$9+$M$9+D12)-(K12)</f>
        <v>#DIV/0!</v>
      </c>
      <c r="P12" s="78">
        <v>1</v>
      </c>
    </row>
    <row r="13" spans="1:16" ht="13.5">
      <c r="A13" s="47">
        <f>DATE(YEAR(A12),MONTH(A12)+1,DAY(A12))</f>
        <v>62</v>
      </c>
      <c r="B13" s="38" t="e">
        <f t="shared" ref="B13:B71" si="1">IF(E13&gt;1,C13,0)</f>
        <v>#DIV/0!</v>
      </c>
      <c r="C13" s="33" t="e">
        <f t="shared" si="0"/>
        <v>#DIV/0!</v>
      </c>
      <c r="D13" s="33" t="e">
        <f>M12*$H$8/12</f>
        <v>#DIV/0!</v>
      </c>
      <c r="E13" s="33" t="e">
        <f t="shared" ref="E13:E71" si="2">IF(D13&gt;=0,D13,0)</f>
        <v>#DIV/0!</v>
      </c>
      <c r="F13" s="33" t="e">
        <f t="shared" ref="F13:F71" si="3">IF(E13&gt;1,G13,0)</f>
        <v>#DIV/0!</v>
      </c>
      <c r="G13" s="33" t="e">
        <f t="shared" ref="G13:G43" si="4">$D$9/$M$8</f>
        <v>#DIV/0!</v>
      </c>
      <c r="H13" s="33" t="e">
        <f t="shared" ref="H13:H44" si="5">K13-C13-D13-G13</f>
        <v>#DIV/0!</v>
      </c>
      <c r="I13" s="33" t="e">
        <f t="shared" ref="I13:I71" si="6">IF(E13&gt;1,H13,0)</f>
        <v>#DIV/0!</v>
      </c>
      <c r="J13" s="33" t="e">
        <f t="shared" ref="J13:J71" si="7">IF(E13&gt;1,K13,0)</f>
        <v>#DIV/0!</v>
      </c>
      <c r="K13" s="33" t="e">
        <f>$K$12</f>
        <v>#DIV/0!</v>
      </c>
      <c r="L13" s="33" t="e">
        <f t="shared" ref="L13:L71" si="8">IF(M13&gt;=0,M13,0)</f>
        <v>#DIV/0!</v>
      </c>
      <c r="M13" s="33" t="e">
        <f t="shared" ref="M13:M44" si="9">M12-H13</f>
        <v>#DIV/0!</v>
      </c>
      <c r="N13" s="33" t="e">
        <f t="shared" ref="N13:N71" si="10">IF(O13&gt;=0,O13,0)</f>
        <v>#DIV/0!</v>
      </c>
      <c r="O13" s="33" t="e">
        <f t="shared" ref="O13:O44" si="11">(O12+D13)-K13</f>
        <v>#DIV/0!</v>
      </c>
      <c r="P13" s="79">
        <v>2</v>
      </c>
    </row>
    <row r="14" spans="1:16" ht="13.5">
      <c r="A14" s="47">
        <f t="shared" ref="A14:A71" si="12">DATE(YEAR(A13),MONTH(A13)+1,DAY(A13))</f>
        <v>93</v>
      </c>
      <c r="B14" s="38" t="e">
        <f t="shared" si="1"/>
        <v>#DIV/0!</v>
      </c>
      <c r="C14" s="33" t="e">
        <f t="shared" si="0"/>
        <v>#DIV/0!</v>
      </c>
      <c r="D14" s="33" t="e">
        <f t="shared" ref="D14:D71" si="13">M13*$H$8/12</f>
        <v>#DIV/0!</v>
      </c>
      <c r="E14" s="33" t="e">
        <f t="shared" si="2"/>
        <v>#DIV/0!</v>
      </c>
      <c r="F14" s="33" t="e">
        <f t="shared" si="3"/>
        <v>#DIV/0!</v>
      </c>
      <c r="G14" s="33" t="e">
        <f t="shared" si="4"/>
        <v>#DIV/0!</v>
      </c>
      <c r="H14" s="33" t="e">
        <f t="shared" si="5"/>
        <v>#DIV/0!</v>
      </c>
      <c r="I14" s="33" t="e">
        <f t="shared" si="6"/>
        <v>#DIV/0!</v>
      </c>
      <c r="J14" s="33" t="e">
        <f t="shared" si="7"/>
        <v>#DIV/0!</v>
      </c>
      <c r="K14" s="33" t="e">
        <f t="shared" ref="K14:K71" si="14">$K$12</f>
        <v>#DIV/0!</v>
      </c>
      <c r="L14" s="33" t="e">
        <f t="shared" si="8"/>
        <v>#DIV/0!</v>
      </c>
      <c r="M14" s="33" t="e">
        <f t="shared" si="9"/>
        <v>#DIV/0!</v>
      </c>
      <c r="N14" s="33" t="e">
        <f t="shared" si="10"/>
        <v>#DIV/0!</v>
      </c>
      <c r="O14" s="33" t="e">
        <f t="shared" si="11"/>
        <v>#DIV/0!</v>
      </c>
      <c r="P14" s="79">
        <v>3</v>
      </c>
    </row>
    <row r="15" spans="1:16" ht="13.5">
      <c r="A15" s="47">
        <f t="shared" si="12"/>
        <v>123</v>
      </c>
      <c r="B15" s="38" t="e">
        <f t="shared" si="1"/>
        <v>#DIV/0!</v>
      </c>
      <c r="C15" s="33" t="e">
        <f t="shared" si="0"/>
        <v>#DIV/0!</v>
      </c>
      <c r="D15" s="33" t="e">
        <f t="shared" si="13"/>
        <v>#DIV/0!</v>
      </c>
      <c r="E15" s="33" t="e">
        <f t="shared" si="2"/>
        <v>#DIV/0!</v>
      </c>
      <c r="F15" s="33" t="e">
        <f t="shared" si="3"/>
        <v>#DIV/0!</v>
      </c>
      <c r="G15" s="33" t="e">
        <f t="shared" si="4"/>
        <v>#DIV/0!</v>
      </c>
      <c r="H15" s="33" t="e">
        <f t="shared" si="5"/>
        <v>#DIV/0!</v>
      </c>
      <c r="I15" s="33" t="e">
        <f t="shared" si="6"/>
        <v>#DIV/0!</v>
      </c>
      <c r="J15" s="33" t="e">
        <f t="shared" si="7"/>
        <v>#DIV/0!</v>
      </c>
      <c r="K15" s="33" t="e">
        <f t="shared" si="14"/>
        <v>#DIV/0!</v>
      </c>
      <c r="L15" s="33" t="e">
        <f t="shared" si="8"/>
        <v>#DIV/0!</v>
      </c>
      <c r="M15" s="33" t="e">
        <f t="shared" si="9"/>
        <v>#DIV/0!</v>
      </c>
      <c r="N15" s="33" t="e">
        <f t="shared" si="10"/>
        <v>#DIV/0!</v>
      </c>
      <c r="O15" s="33" t="e">
        <f t="shared" si="11"/>
        <v>#DIV/0!</v>
      </c>
      <c r="P15" s="79">
        <v>4</v>
      </c>
    </row>
    <row r="16" spans="1:16" ht="13.5">
      <c r="A16" s="47">
        <f t="shared" si="12"/>
        <v>154</v>
      </c>
      <c r="B16" s="38" t="e">
        <f t="shared" si="1"/>
        <v>#DIV/0!</v>
      </c>
      <c r="C16" s="33" t="e">
        <f t="shared" si="0"/>
        <v>#DIV/0!</v>
      </c>
      <c r="D16" s="33" t="e">
        <f t="shared" si="13"/>
        <v>#DIV/0!</v>
      </c>
      <c r="E16" s="33" t="e">
        <f t="shared" si="2"/>
        <v>#DIV/0!</v>
      </c>
      <c r="F16" s="33" t="e">
        <f t="shared" si="3"/>
        <v>#DIV/0!</v>
      </c>
      <c r="G16" s="33" t="e">
        <f t="shared" si="4"/>
        <v>#DIV/0!</v>
      </c>
      <c r="H16" s="33" t="e">
        <f t="shared" si="5"/>
        <v>#DIV/0!</v>
      </c>
      <c r="I16" s="33" t="e">
        <f t="shared" si="6"/>
        <v>#DIV/0!</v>
      </c>
      <c r="J16" s="33" t="e">
        <f t="shared" si="7"/>
        <v>#DIV/0!</v>
      </c>
      <c r="K16" s="33" t="e">
        <f t="shared" si="14"/>
        <v>#DIV/0!</v>
      </c>
      <c r="L16" s="33" t="e">
        <f t="shared" si="8"/>
        <v>#DIV/0!</v>
      </c>
      <c r="M16" s="33" t="e">
        <f t="shared" si="9"/>
        <v>#DIV/0!</v>
      </c>
      <c r="N16" s="33" t="e">
        <f t="shared" si="10"/>
        <v>#DIV/0!</v>
      </c>
      <c r="O16" s="33" t="e">
        <f t="shared" si="11"/>
        <v>#DIV/0!</v>
      </c>
      <c r="P16" s="79">
        <v>5</v>
      </c>
    </row>
    <row r="17" spans="1:16" ht="13.5">
      <c r="A17" s="47">
        <f t="shared" si="12"/>
        <v>184</v>
      </c>
      <c r="B17" s="38" t="e">
        <f t="shared" si="1"/>
        <v>#DIV/0!</v>
      </c>
      <c r="C17" s="33" t="e">
        <f t="shared" si="0"/>
        <v>#DIV/0!</v>
      </c>
      <c r="D17" s="33" t="e">
        <f t="shared" si="13"/>
        <v>#DIV/0!</v>
      </c>
      <c r="E17" s="33" t="e">
        <f t="shared" si="2"/>
        <v>#DIV/0!</v>
      </c>
      <c r="F17" s="33" t="e">
        <f t="shared" si="3"/>
        <v>#DIV/0!</v>
      </c>
      <c r="G17" s="33" t="e">
        <f t="shared" si="4"/>
        <v>#DIV/0!</v>
      </c>
      <c r="H17" s="33" t="e">
        <f t="shared" si="5"/>
        <v>#DIV/0!</v>
      </c>
      <c r="I17" s="33" t="e">
        <f t="shared" si="6"/>
        <v>#DIV/0!</v>
      </c>
      <c r="J17" s="33" t="e">
        <f t="shared" si="7"/>
        <v>#DIV/0!</v>
      </c>
      <c r="K17" s="33" t="e">
        <f t="shared" si="14"/>
        <v>#DIV/0!</v>
      </c>
      <c r="L17" s="33" t="e">
        <f t="shared" si="8"/>
        <v>#DIV/0!</v>
      </c>
      <c r="M17" s="33" t="e">
        <f t="shared" si="9"/>
        <v>#DIV/0!</v>
      </c>
      <c r="N17" s="33" t="e">
        <f t="shared" si="10"/>
        <v>#DIV/0!</v>
      </c>
      <c r="O17" s="33" t="e">
        <f t="shared" si="11"/>
        <v>#DIV/0!</v>
      </c>
      <c r="P17" s="79">
        <v>6</v>
      </c>
    </row>
    <row r="18" spans="1:16" ht="13.5">
      <c r="A18" s="47">
        <f t="shared" si="12"/>
        <v>215</v>
      </c>
      <c r="B18" s="38" t="e">
        <f t="shared" si="1"/>
        <v>#DIV/0!</v>
      </c>
      <c r="C18" s="33" t="e">
        <f t="shared" si="0"/>
        <v>#DIV/0!</v>
      </c>
      <c r="D18" s="33" t="e">
        <f t="shared" si="13"/>
        <v>#DIV/0!</v>
      </c>
      <c r="E18" s="33" t="e">
        <f t="shared" si="2"/>
        <v>#DIV/0!</v>
      </c>
      <c r="F18" s="33" t="e">
        <f t="shared" si="3"/>
        <v>#DIV/0!</v>
      </c>
      <c r="G18" s="33" t="e">
        <f t="shared" si="4"/>
        <v>#DIV/0!</v>
      </c>
      <c r="H18" s="33" t="e">
        <f t="shared" si="5"/>
        <v>#DIV/0!</v>
      </c>
      <c r="I18" s="33" t="e">
        <f t="shared" si="6"/>
        <v>#DIV/0!</v>
      </c>
      <c r="J18" s="33" t="e">
        <f t="shared" si="7"/>
        <v>#DIV/0!</v>
      </c>
      <c r="K18" s="33" t="e">
        <f t="shared" si="14"/>
        <v>#DIV/0!</v>
      </c>
      <c r="L18" s="33" t="e">
        <f t="shared" si="8"/>
        <v>#DIV/0!</v>
      </c>
      <c r="M18" s="33" t="e">
        <f t="shared" si="9"/>
        <v>#DIV/0!</v>
      </c>
      <c r="N18" s="33" t="e">
        <f t="shared" si="10"/>
        <v>#DIV/0!</v>
      </c>
      <c r="O18" s="33" t="e">
        <f t="shared" si="11"/>
        <v>#DIV/0!</v>
      </c>
      <c r="P18" s="79">
        <v>7</v>
      </c>
    </row>
    <row r="19" spans="1:16" ht="13.5">
      <c r="A19" s="47">
        <f t="shared" si="12"/>
        <v>246</v>
      </c>
      <c r="B19" s="38" t="e">
        <f t="shared" si="1"/>
        <v>#DIV/0!</v>
      </c>
      <c r="C19" s="33" t="e">
        <f t="shared" si="0"/>
        <v>#DIV/0!</v>
      </c>
      <c r="D19" s="33" t="e">
        <f t="shared" si="13"/>
        <v>#DIV/0!</v>
      </c>
      <c r="E19" s="33" t="e">
        <f t="shared" si="2"/>
        <v>#DIV/0!</v>
      </c>
      <c r="F19" s="33" t="e">
        <f t="shared" si="3"/>
        <v>#DIV/0!</v>
      </c>
      <c r="G19" s="33" t="e">
        <f t="shared" si="4"/>
        <v>#DIV/0!</v>
      </c>
      <c r="H19" s="33" t="e">
        <f t="shared" si="5"/>
        <v>#DIV/0!</v>
      </c>
      <c r="I19" s="33" t="e">
        <f t="shared" si="6"/>
        <v>#DIV/0!</v>
      </c>
      <c r="J19" s="33" t="e">
        <f t="shared" si="7"/>
        <v>#DIV/0!</v>
      </c>
      <c r="K19" s="33" t="e">
        <f t="shared" si="14"/>
        <v>#DIV/0!</v>
      </c>
      <c r="L19" s="33" t="e">
        <f t="shared" si="8"/>
        <v>#DIV/0!</v>
      </c>
      <c r="M19" s="33" t="e">
        <f t="shared" si="9"/>
        <v>#DIV/0!</v>
      </c>
      <c r="N19" s="33" t="e">
        <f t="shared" si="10"/>
        <v>#DIV/0!</v>
      </c>
      <c r="O19" s="33" t="e">
        <f t="shared" si="11"/>
        <v>#DIV/0!</v>
      </c>
      <c r="P19" s="79">
        <v>8</v>
      </c>
    </row>
    <row r="20" spans="1:16" ht="13.5">
      <c r="A20" s="47">
        <f t="shared" si="12"/>
        <v>276</v>
      </c>
      <c r="B20" s="38" t="e">
        <f t="shared" si="1"/>
        <v>#DIV/0!</v>
      </c>
      <c r="C20" s="33" t="e">
        <f t="shared" si="0"/>
        <v>#DIV/0!</v>
      </c>
      <c r="D20" s="33" t="e">
        <f t="shared" si="13"/>
        <v>#DIV/0!</v>
      </c>
      <c r="E20" s="33" t="e">
        <f t="shared" si="2"/>
        <v>#DIV/0!</v>
      </c>
      <c r="F20" s="33" t="e">
        <f t="shared" si="3"/>
        <v>#DIV/0!</v>
      </c>
      <c r="G20" s="33" t="e">
        <f t="shared" si="4"/>
        <v>#DIV/0!</v>
      </c>
      <c r="H20" s="33" t="e">
        <f t="shared" si="5"/>
        <v>#DIV/0!</v>
      </c>
      <c r="I20" s="33" t="e">
        <f t="shared" si="6"/>
        <v>#DIV/0!</v>
      </c>
      <c r="J20" s="33" t="e">
        <f t="shared" si="7"/>
        <v>#DIV/0!</v>
      </c>
      <c r="K20" s="33" t="e">
        <f t="shared" si="14"/>
        <v>#DIV/0!</v>
      </c>
      <c r="L20" s="33" t="e">
        <f t="shared" si="8"/>
        <v>#DIV/0!</v>
      </c>
      <c r="M20" s="33" t="e">
        <f t="shared" si="9"/>
        <v>#DIV/0!</v>
      </c>
      <c r="N20" s="33" t="e">
        <f t="shared" si="10"/>
        <v>#DIV/0!</v>
      </c>
      <c r="O20" s="33" t="e">
        <f t="shared" si="11"/>
        <v>#DIV/0!</v>
      </c>
      <c r="P20" s="79">
        <v>9</v>
      </c>
    </row>
    <row r="21" spans="1:16" ht="13.5">
      <c r="A21" s="47">
        <f t="shared" si="12"/>
        <v>307</v>
      </c>
      <c r="B21" s="38" t="e">
        <f t="shared" si="1"/>
        <v>#DIV/0!</v>
      </c>
      <c r="C21" s="33" t="e">
        <f t="shared" si="0"/>
        <v>#DIV/0!</v>
      </c>
      <c r="D21" s="33" t="e">
        <f t="shared" si="13"/>
        <v>#DIV/0!</v>
      </c>
      <c r="E21" s="33" t="e">
        <f t="shared" si="2"/>
        <v>#DIV/0!</v>
      </c>
      <c r="F21" s="33" t="e">
        <f t="shared" si="3"/>
        <v>#DIV/0!</v>
      </c>
      <c r="G21" s="33" t="e">
        <f t="shared" si="4"/>
        <v>#DIV/0!</v>
      </c>
      <c r="H21" s="33" t="e">
        <f t="shared" si="5"/>
        <v>#DIV/0!</v>
      </c>
      <c r="I21" s="33" t="e">
        <f t="shared" si="6"/>
        <v>#DIV/0!</v>
      </c>
      <c r="J21" s="33" t="e">
        <f t="shared" si="7"/>
        <v>#DIV/0!</v>
      </c>
      <c r="K21" s="33" t="e">
        <f t="shared" si="14"/>
        <v>#DIV/0!</v>
      </c>
      <c r="L21" s="33" t="e">
        <f t="shared" si="8"/>
        <v>#DIV/0!</v>
      </c>
      <c r="M21" s="33" t="e">
        <f t="shared" si="9"/>
        <v>#DIV/0!</v>
      </c>
      <c r="N21" s="33" t="e">
        <f t="shared" si="10"/>
        <v>#DIV/0!</v>
      </c>
      <c r="O21" s="33" t="e">
        <f t="shared" si="11"/>
        <v>#DIV/0!</v>
      </c>
      <c r="P21" s="79">
        <v>10</v>
      </c>
    </row>
    <row r="22" spans="1:16" ht="13.5">
      <c r="A22" s="47">
        <f t="shared" si="12"/>
        <v>337</v>
      </c>
      <c r="B22" s="38" t="e">
        <f t="shared" si="1"/>
        <v>#DIV/0!</v>
      </c>
      <c r="C22" s="33" t="e">
        <f t="shared" si="0"/>
        <v>#DIV/0!</v>
      </c>
      <c r="D22" s="33" t="e">
        <f t="shared" si="13"/>
        <v>#DIV/0!</v>
      </c>
      <c r="E22" s="33" t="e">
        <f t="shared" si="2"/>
        <v>#DIV/0!</v>
      </c>
      <c r="F22" s="33" t="e">
        <f t="shared" si="3"/>
        <v>#DIV/0!</v>
      </c>
      <c r="G22" s="33" t="e">
        <f t="shared" si="4"/>
        <v>#DIV/0!</v>
      </c>
      <c r="H22" s="33" t="e">
        <f t="shared" si="5"/>
        <v>#DIV/0!</v>
      </c>
      <c r="I22" s="33" t="e">
        <f t="shared" si="6"/>
        <v>#DIV/0!</v>
      </c>
      <c r="J22" s="33" t="e">
        <f t="shared" si="7"/>
        <v>#DIV/0!</v>
      </c>
      <c r="K22" s="33" t="e">
        <f t="shared" si="14"/>
        <v>#DIV/0!</v>
      </c>
      <c r="L22" s="33" t="e">
        <f t="shared" si="8"/>
        <v>#DIV/0!</v>
      </c>
      <c r="M22" s="33" t="e">
        <f t="shared" si="9"/>
        <v>#DIV/0!</v>
      </c>
      <c r="N22" s="33" t="e">
        <f t="shared" si="10"/>
        <v>#DIV/0!</v>
      </c>
      <c r="O22" s="33" t="e">
        <f t="shared" si="11"/>
        <v>#DIV/0!</v>
      </c>
      <c r="P22" s="79">
        <v>11</v>
      </c>
    </row>
    <row r="23" spans="1:16" ht="13.5">
      <c r="A23" s="47">
        <f t="shared" si="12"/>
        <v>368</v>
      </c>
      <c r="B23" s="38" t="e">
        <f t="shared" si="1"/>
        <v>#DIV/0!</v>
      </c>
      <c r="C23" s="33" t="e">
        <f t="shared" si="0"/>
        <v>#DIV/0!</v>
      </c>
      <c r="D23" s="33" t="e">
        <f t="shared" si="13"/>
        <v>#DIV/0!</v>
      </c>
      <c r="E23" s="33" t="e">
        <f t="shared" si="2"/>
        <v>#DIV/0!</v>
      </c>
      <c r="F23" s="33" t="e">
        <f t="shared" si="3"/>
        <v>#DIV/0!</v>
      </c>
      <c r="G23" s="33" t="e">
        <f t="shared" si="4"/>
        <v>#DIV/0!</v>
      </c>
      <c r="H23" s="33" t="e">
        <f t="shared" si="5"/>
        <v>#DIV/0!</v>
      </c>
      <c r="I23" s="33" t="e">
        <f t="shared" si="6"/>
        <v>#DIV/0!</v>
      </c>
      <c r="J23" s="33" t="e">
        <f t="shared" si="7"/>
        <v>#DIV/0!</v>
      </c>
      <c r="K23" s="33" t="e">
        <f t="shared" si="14"/>
        <v>#DIV/0!</v>
      </c>
      <c r="L23" s="33" t="e">
        <f t="shared" si="8"/>
        <v>#DIV/0!</v>
      </c>
      <c r="M23" s="33" t="e">
        <f t="shared" si="9"/>
        <v>#DIV/0!</v>
      </c>
      <c r="N23" s="33" t="e">
        <f t="shared" si="10"/>
        <v>#DIV/0!</v>
      </c>
      <c r="O23" s="33" t="e">
        <f t="shared" si="11"/>
        <v>#DIV/0!</v>
      </c>
      <c r="P23" s="79">
        <v>12</v>
      </c>
    </row>
    <row r="24" spans="1:16" ht="13.5">
      <c r="A24" s="47">
        <f t="shared" si="12"/>
        <v>399</v>
      </c>
      <c r="B24" s="38" t="e">
        <f t="shared" si="1"/>
        <v>#DIV/0!</v>
      </c>
      <c r="C24" s="33" t="e">
        <f t="shared" si="0"/>
        <v>#DIV/0!</v>
      </c>
      <c r="D24" s="33" t="e">
        <f t="shared" si="13"/>
        <v>#DIV/0!</v>
      </c>
      <c r="E24" s="33" t="e">
        <f t="shared" si="2"/>
        <v>#DIV/0!</v>
      </c>
      <c r="F24" s="33" t="e">
        <f t="shared" si="3"/>
        <v>#DIV/0!</v>
      </c>
      <c r="G24" s="33" t="e">
        <f t="shared" si="4"/>
        <v>#DIV/0!</v>
      </c>
      <c r="H24" s="33" t="e">
        <f t="shared" si="5"/>
        <v>#DIV/0!</v>
      </c>
      <c r="I24" s="33" t="e">
        <f t="shared" si="6"/>
        <v>#DIV/0!</v>
      </c>
      <c r="J24" s="33" t="e">
        <f t="shared" si="7"/>
        <v>#DIV/0!</v>
      </c>
      <c r="K24" s="33" t="e">
        <f t="shared" si="14"/>
        <v>#DIV/0!</v>
      </c>
      <c r="L24" s="33" t="e">
        <f t="shared" si="8"/>
        <v>#DIV/0!</v>
      </c>
      <c r="M24" s="33" t="e">
        <f t="shared" si="9"/>
        <v>#DIV/0!</v>
      </c>
      <c r="N24" s="33" t="e">
        <f t="shared" si="10"/>
        <v>#DIV/0!</v>
      </c>
      <c r="O24" s="33" t="e">
        <f t="shared" si="11"/>
        <v>#DIV/0!</v>
      </c>
      <c r="P24" s="79">
        <v>13</v>
      </c>
    </row>
    <row r="25" spans="1:16" ht="13.5">
      <c r="A25" s="47">
        <f t="shared" si="12"/>
        <v>427</v>
      </c>
      <c r="B25" s="38" t="e">
        <f t="shared" si="1"/>
        <v>#DIV/0!</v>
      </c>
      <c r="C25" s="33" t="e">
        <f t="shared" si="0"/>
        <v>#DIV/0!</v>
      </c>
      <c r="D25" s="33" t="e">
        <f t="shared" si="13"/>
        <v>#DIV/0!</v>
      </c>
      <c r="E25" s="33" t="e">
        <f t="shared" si="2"/>
        <v>#DIV/0!</v>
      </c>
      <c r="F25" s="33" t="e">
        <f t="shared" si="3"/>
        <v>#DIV/0!</v>
      </c>
      <c r="G25" s="33" t="e">
        <f t="shared" si="4"/>
        <v>#DIV/0!</v>
      </c>
      <c r="H25" s="33" t="e">
        <f t="shared" si="5"/>
        <v>#DIV/0!</v>
      </c>
      <c r="I25" s="33" t="e">
        <f t="shared" si="6"/>
        <v>#DIV/0!</v>
      </c>
      <c r="J25" s="33" t="e">
        <f t="shared" si="7"/>
        <v>#DIV/0!</v>
      </c>
      <c r="K25" s="33" t="e">
        <f t="shared" si="14"/>
        <v>#DIV/0!</v>
      </c>
      <c r="L25" s="33" t="e">
        <f t="shared" si="8"/>
        <v>#DIV/0!</v>
      </c>
      <c r="M25" s="33" t="e">
        <f t="shared" si="9"/>
        <v>#DIV/0!</v>
      </c>
      <c r="N25" s="33" t="e">
        <f t="shared" si="10"/>
        <v>#DIV/0!</v>
      </c>
      <c r="O25" s="33" t="e">
        <f t="shared" si="11"/>
        <v>#DIV/0!</v>
      </c>
      <c r="P25" s="79">
        <v>14</v>
      </c>
    </row>
    <row r="26" spans="1:16" ht="13.5">
      <c r="A26" s="47">
        <f t="shared" si="12"/>
        <v>458</v>
      </c>
      <c r="B26" s="38" t="e">
        <f t="shared" si="1"/>
        <v>#DIV/0!</v>
      </c>
      <c r="C26" s="33" t="e">
        <f t="shared" si="0"/>
        <v>#DIV/0!</v>
      </c>
      <c r="D26" s="33" t="e">
        <f t="shared" si="13"/>
        <v>#DIV/0!</v>
      </c>
      <c r="E26" s="33" t="e">
        <f t="shared" si="2"/>
        <v>#DIV/0!</v>
      </c>
      <c r="F26" s="33" t="e">
        <f t="shared" si="3"/>
        <v>#DIV/0!</v>
      </c>
      <c r="G26" s="33" t="e">
        <f t="shared" si="4"/>
        <v>#DIV/0!</v>
      </c>
      <c r="H26" s="33" t="e">
        <f t="shared" si="5"/>
        <v>#DIV/0!</v>
      </c>
      <c r="I26" s="33" t="e">
        <f t="shared" si="6"/>
        <v>#DIV/0!</v>
      </c>
      <c r="J26" s="33" t="e">
        <f t="shared" si="7"/>
        <v>#DIV/0!</v>
      </c>
      <c r="K26" s="33" t="e">
        <f t="shared" si="14"/>
        <v>#DIV/0!</v>
      </c>
      <c r="L26" s="33" t="e">
        <f t="shared" si="8"/>
        <v>#DIV/0!</v>
      </c>
      <c r="M26" s="33" t="e">
        <f t="shared" si="9"/>
        <v>#DIV/0!</v>
      </c>
      <c r="N26" s="33" t="e">
        <f t="shared" si="10"/>
        <v>#DIV/0!</v>
      </c>
      <c r="O26" s="33" t="e">
        <f t="shared" si="11"/>
        <v>#DIV/0!</v>
      </c>
      <c r="P26" s="79">
        <v>15</v>
      </c>
    </row>
    <row r="27" spans="1:16" ht="13.5">
      <c r="A27" s="47">
        <f t="shared" si="12"/>
        <v>488</v>
      </c>
      <c r="B27" s="38" t="e">
        <f t="shared" si="1"/>
        <v>#DIV/0!</v>
      </c>
      <c r="C27" s="33" t="e">
        <f t="shared" si="0"/>
        <v>#DIV/0!</v>
      </c>
      <c r="D27" s="33" t="e">
        <f t="shared" si="13"/>
        <v>#DIV/0!</v>
      </c>
      <c r="E27" s="33" t="e">
        <f t="shared" si="2"/>
        <v>#DIV/0!</v>
      </c>
      <c r="F27" s="33" t="e">
        <f t="shared" si="3"/>
        <v>#DIV/0!</v>
      </c>
      <c r="G27" s="33" t="e">
        <f t="shared" si="4"/>
        <v>#DIV/0!</v>
      </c>
      <c r="H27" s="33" t="e">
        <f t="shared" si="5"/>
        <v>#DIV/0!</v>
      </c>
      <c r="I27" s="33" t="e">
        <f t="shared" si="6"/>
        <v>#DIV/0!</v>
      </c>
      <c r="J27" s="33" t="e">
        <f t="shared" si="7"/>
        <v>#DIV/0!</v>
      </c>
      <c r="K27" s="33" t="e">
        <f t="shared" si="14"/>
        <v>#DIV/0!</v>
      </c>
      <c r="L27" s="33" t="e">
        <f t="shared" si="8"/>
        <v>#DIV/0!</v>
      </c>
      <c r="M27" s="33" t="e">
        <f t="shared" si="9"/>
        <v>#DIV/0!</v>
      </c>
      <c r="N27" s="33" t="e">
        <f t="shared" si="10"/>
        <v>#DIV/0!</v>
      </c>
      <c r="O27" s="33" t="e">
        <f t="shared" si="11"/>
        <v>#DIV/0!</v>
      </c>
      <c r="P27" s="79">
        <v>16</v>
      </c>
    </row>
    <row r="28" spans="1:16" ht="13.5">
      <c r="A28" s="47">
        <f t="shared" si="12"/>
        <v>519</v>
      </c>
      <c r="B28" s="38" t="e">
        <f t="shared" si="1"/>
        <v>#DIV/0!</v>
      </c>
      <c r="C28" s="33" t="e">
        <f t="shared" si="0"/>
        <v>#DIV/0!</v>
      </c>
      <c r="D28" s="33" t="e">
        <f t="shared" si="13"/>
        <v>#DIV/0!</v>
      </c>
      <c r="E28" s="33" t="e">
        <f t="shared" si="2"/>
        <v>#DIV/0!</v>
      </c>
      <c r="F28" s="33" t="e">
        <f t="shared" si="3"/>
        <v>#DIV/0!</v>
      </c>
      <c r="G28" s="33" t="e">
        <f t="shared" si="4"/>
        <v>#DIV/0!</v>
      </c>
      <c r="H28" s="33" t="e">
        <f t="shared" si="5"/>
        <v>#DIV/0!</v>
      </c>
      <c r="I28" s="33" t="e">
        <f t="shared" si="6"/>
        <v>#DIV/0!</v>
      </c>
      <c r="J28" s="33" t="e">
        <f t="shared" si="7"/>
        <v>#DIV/0!</v>
      </c>
      <c r="K28" s="33" t="e">
        <f t="shared" si="14"/>
        <v>#DIV/0!</v>
      </c>
      <c r="L28" s="33" t="e">
        <f t="shared" si="8"/>
        <v>#DIV/0!</v>
      </c>
      <c r="M28" s="33" t="e">
        <f t="shared" si="9"/>
        <v>#DIV/0!</v>
      </c>
      <c r="N28" s="33" t="e">
        <f t="shared" si="10"/>
        <v>#DIV/0!</v>
      </c>
      <c r="O28" s="33" t="e">
        <f t="shared" si="11"/>
        <v>#DIV/0!</v>
      </c>
      <c r="P28" s="79">
        <v>17</v>
      </c>
    </row>
    <row r="29" spans="1:16" ht="13.5">
      <c r="A29" s="47">
        <f t="shared" si="12"/>
        <v>549</v>
      </c>
      <c r="B29" s="38" t="e">
        <f t="shared" si="1"/>
        <v>#DIV/0!</v>
      </c>
      <c r="C29" s="33" t="e">
        <f t="shared" si="0"/>
        <v>#DIV/0!</v>
      </c>
      <c r="D29" s="33" t="e">
        <f t="shared" si="13"/>
        <v>#DIV/0!</v>
      </c>
      <c r="E29" s="33" t="e">
        <f t="shared" si="2"/>
        <v>#DIV/0!</v>
      </c>
      <c r="F29" s="33" t="e">
        <f t="shared" si="3"/>
        <v>#DIV/0!</v>
      </c>
      <c r="G29" s="33" t="e">
        <f t="shared" si="4"/>
        <v>#DIV/0!</v>
      </c>
      <c r="H29" s="33" t="e">
        <f t="shared" si="5"/>
        <v>#DIV/0!</v>
      </c>
      <c r="I29" s="33" t="e">
        <f t="shared" si="6"/>
        <v>#DIV/0!</v>
      </c>
      <c r="J29" s="33" t="e">
        <f t="shared" si="7"/>
        <v>#DIV/0!</v>
      </c>
      <c r="K29" s="33" t="e">
        <f t="shared" si="14"/>
        <v>#DIV/0!</v>
      </c>
      <c r="L29" s="33" t="e">
        <f t="shared" si="8"/>
        <v>#DIV/0!</v>
      </c>
      <c r="M29" s="33" t="e">
        <f t="shared" si="9"/>
        <v>#DIV/0!</v>
      </c>
      <c r="N29" s="33" t="e">
        <f t="shared" si="10"/>
        <v>#DIV/0!</v>
      </c>
      <c r="O29" s="33" t="e">
        <f t="shared" si="11"/>
        <v>#DIV/0!</v>
      </c>
      <c r="P29" s="79">
        <v>18</v>
      </c>
    </row>
    <row r="30" spans="1:16" ht="13.5">
      <c r="A30" s="47">
        <f t="shared" si="12"/>
        <v>580</v>
      </c>
      <c r="B30" s="38" t="e">
        <f t="shared" si="1"/>
        <v>#DIV/0!</v>
      </c>
      <c r="C30" s="33" t="e">
        <f t="shared" si="0"/>
        <v>#DIV/0!</v>
      </c>
      <c r="D30" s="33" t="e">
        <f t="shared" si="13"/>
        <v>#DIV/0!</v>
      </c>
      <c r="E30" s="33" t="e">
        <f t="shared" si="2"/>
        <v>#DIV/0!</v>
      </c>
      <c r="F30" s="33" t="e">
        <f t="shared" si="3"/>
        <v>#DIV/0!</v>
      </c>
      <c r="G30" s="33" t="e">
        <f t="shared" si="4"/>
        <v>#DIV/0!</v>
      </c>
      <c r="H30" s="33" t="e">
        <f t="shared" si="5"/>
        <v>#DIV/0!</v>
      </c>
      <c r="I30" s="33" t="e">
        <f t="shared" si="6"/>
        <v>#DIV/0!</v>
      </c>
      <c r="J30" s="33" t="e">
        <f t="shared" si="7"/>
        <v>#DIV/0!</v>
      </c>
      <c r="K30" s="33" t="e">
        <f t="shared" si="14"/>
        <v>#DIV/0!</v>
      </c>
      <c r="L30" s="33" t="e">
        <f t="shared" si="8"/>
        <v>#DIV/0!</v>
      </c>
      <c r="M30" s="33" t="e">
        <f t="shared" si="9"/>
        <v>#DIV/0!</v>
      </c>
      <c r="N30" s="33" t="e">
        <f t="shared" si="10"/>
        <v>#DIV/0!</v>
      </c>
      <c r="O30" s="33" t="e">
        <f t="shared" si="11"/>
        <v>#DIV/0!</v>
      </c>
      <c r="P30" s="79">
        <v>19</v>
      </c>
    </row>
    <row r="31" spans="1:16" ht="13.5">
      <c r="A31" s="47">
        <f t="shared" si="12"/>
        <v>611</v>
      </c>
      <c r="B31" s="38" t="e">
        <f t="shared" si="1"/>
        <v>#DIV/0!</v>
      </c>
      <c r="C31" s="33" t="e">
        <f t="shared" si="0"/>
        <v>#DIV/0!</v>
      </c>
      <c r="D31" s="33" t="e">
        <f t="shared" si="13"/>
        <v>#DIV/0!</v>
      </c>
      <c r="E31" s="33" t="e">
        <f t="shared" si="2"/>
        <v>#DIV/0!</v>
      </c>
      <c r="F31" s="33" t="e">
        <f t="shared" si="3"/>
        <v>#DIV/0!</v>
      </c>
      <c r="G31" s="33" t="e">
        <f t="shared" si="4"/>
        <v>#DIV/0!</v>
      </c>
      <c r="H31" s="33" t="e">
        <f t="shared" si="5"/>
        <v>#DIV/0!</v>
      </c>
      <c r="I31" s="33" t="e">
        <f t="shared" si="6"/>
        <v>#DIV/0!</v>
      </c>
      <c r="J31" s="33" t="e">
        <f t="shared" si="7"/>
        <v>#DIV/0!</v>
      </c>
      <c r="K31" s="33" t="e">
        <f t="shared" si="14"/>
        <v>#DIV/0!</v>
      </c>
      <c r="L31" s="33" t="e">
        <f t="shared" si="8"/>
        <v>#DIV/0!</v>
      </c>
      <c r="M31" s="33" t="e">
        <f t="shared" si="9"/>
        <v>#DIV/0!</v>
      </c>
      <c r="N31" s="33" t="e">
        <f t="shared" si="10"/>
        <v>#DIV/0!</v>
      </c>
      <c r="O31" s="33" t="e">
        <f t="shared" si="11"/>
        <v>#DIV/0!</v>
      </c>
      <c r="P31" s="79">
        <v>20</v>
      </c>
    </row>
    <row r="32" spans="1:16" ht="13.5">
      <c r="A32" s="47">
        <f t="shared" si="12"/>
        <v>641</v>
      </c>
      <c r="B32" s="38" t="e">
        <f t="shared" si="1"/>
        <v>#DIV/0!</v>
      </c>
      <c r="C32" s="33" t="e">
        <f t="shared" si="0"/>
        <v>#DIV/0!</v>
      </c>
      <c r="D32" s="33" t="e">
        <f t="shared" si="13"/>
        <v>#DIV/0!</v>
      </c>
      <c r="E32" s="33" t="e">
        <f t="shared" si="2"/>
        <v>#DIV/0!</v>
      </c>
      <c r="F32" s="33" t="e">
        <f t="shared" si="3"/>
        <v>#DIV/0!</v>
      </c>
      <c r="G32" s="33" t="e">
        <f t="shared" si="4"/>
        <v>#DIV/0!</v>
      </c>
      <c r="H32" s="33" t="e">
        <f t="shared" si="5"/>
        <v>#DIV/0!</v>
      </c>
      <c r="I32" s="33" t="e">
        <f t="shared" si="6"/>
        <v>#DIV/0!</v>
      </c>
      <c r="J32" s="33" t="e">
        <f t="shared" si="7"/>
        <v>#DIV/0!</v>
      </c>
      <c r="K32" s="33" t="e">
        <f t="shared" si="14"/>
        <v>#DIV/0!</v>
      </c>
      <c r="L32" s="33" t="e">
        <f t="shared" si="8"/>
        <v>#DIV/0!</v>
      </c>
      <c r="M32" s="33" t="e">
        <f t="shared" si="9"/>
        <v>#DIV/0!</v>
      </c>
      <c r="N32" s="33" t="e">
        <f t="shared" si="10"/>
        <v>#DIV/0!</v>
      </c>
      <c r="O32" s="33" t="e">
        <f t="shared" si="11"/>
        <v>#DIV/0!</v>
      </c>
      <c r="P32" s="79">
        <v>21</v>
      </c>
    </row>
    <row r="33" spans="1:16" ht="13.5">
      <c r="A33" s="47">
        <f t="shared" si="12"/>
        <v>672</v>
      </c>
      <c r="B33" s="38" t="e">
        <f t="shared" si="1"/>
        <v>#DIV/0!</v>
      </c>
      <c r="C33" s="33" t="e">
        <f t="shared" si="0"/>
        <v>#DIV/0!</v>
      </c>
      <c r="D33" s="33" t="e">
        <f t="shared" si="13"/>
        <v>#DIV/0!</v>
      </c>
      <c r="E33" s="33" t="e">
        <f t="shared" si="2"/>
        <v>#DIV/0!</v>
      </c>
      <c r="F33" s="33" t="e">
        <f t="shared" si="3"/>
        <v>#DIV/0!</v>
      </c>
      <c r="G33" s="33" t="e">
        <f t="shared" si="4"/>
        <v>#DIV/0!</v>
      </c>
      <c r="H33" s="33" t="e">
        <f t="shared" si="5"/>
        <v>#DIV/0!</v>
      </c>
      <c r="I33" s="33" t="e">
        <f t="shared" si="6"/>
        <v>#DIV/0!</v>
      </c>
      <c r="J33" s="33" t="e">
        <f t="shared" si="7"/>
        <v>#DIV/0!</v>
      </c>
      <c r="K33" s="33" t="e">
        <f t="shared" si="14"/>
        <v>#DIV/0!</v>
      </c>
      <c r="L33" s="33" t="e">
        <f t="shared" si="8"/>
        <v>#DIV/0!</v>
      </c>
      <c r="M33" s="33" t="e">
        <f t="shared" si="9"/>
        <v>#DIV/0!</v>
      </c>
      <c r="N33" s="33" t="e">
        <f t="shared" si="10"/>
        <v>#DIV/0!</v>
      </c>
      <c r="O33" s="33" t="e">
        <f t="shared" si="11"/>
        <v>#DIV/0!</v>
      </c>
      <c r="P33" s="79">
        <v>22</v>
      </c>
    </row>
    <row r="34" spans="1:16" ht="13.5">
      <c r="A34" s="47">
        <f t="shared" si="12"/>
        <v>702</v>
      </c>
      <c r="B34" s="38" t="e">
        <f t="shared" si="1"/>
        <v>#DIV/0!</v>
      </c>
      <c r="C34" s="33" t="e">
        <f t="shared" si="0"/>
        <v>#DIV/0!</v>
      </c>
      <c r="D34" s="33" t="e">
        <f t="shared" si="13"/>
        <v>#DIV/0!</v>
      </c>
      <c r="E34" s="33" t="e">
        <f t="shared" si="2"/>
        <v>#DIV/0!</v>
      </c>
      <c r="F34" s="33" t="e">
        <f t="shared" si="3"/>
        <v>#DIV/0!</v>
      </c>
      <c r="G34" s="33" t="e">
        <f t="shared" si="4"/>
        <v>#DIV/0!</v>
      </c>
      <c r="H34" s="33" t="e">
        <f t="shared" si="5"/>
        <v>#DIV/0!</v>
      </c>
      <c r="I34" s="33" t="e">
        <f t="shared" si="6"/>
        <v>#DIV/0!</v>
      </c>
      <c r="J34" s="33" t="e">
        <f t="shared" si="7"/>
        <v>#DIV/0!</v>
      </c>
      <c r="K34" s="33" t="e">
        <f t="shared" si="14"/>
        <v>#DIV/0!</v>
      </c>
      <c r="L34" s="33" t="e">
        <f t="shared" si="8"/>
        <v>#DIV/0!</v>
      </c>
      <c r="M34" s="33" t="e">
        <f t="shared" si="9"/>
        <v>#DIV/0!</v>
      </c>
      <c r="N34" s="33" t="e">
        <f t="shared" si="10"/>
        <v>#DIV/0!</v>
      </c>
      <c r="O34" s="33" t="e">
        <f t="shared" si="11"/>
        <v>#DIV/0!</v>
      </c>
      <c r="P34" s="79">
        <v>23</v>
      </c>
    </row>
    <row r="35" spans="1:16" ht="13.5">
      <c r="A35" s="47">
        <f t="shared" si="12"/>
        <v>733</v>
      </c>
      <c r="B35" s="38" t="e">
        <f t="shared" si="1"/>
        <v>#DIV/0!</v>
      </c>
      <c r="C35" s="33" t="e">
        <f t="shared" si="0"/>
        <v>#DIV/0!</v>
      </c>
      <c r="D35" s="33" t="e">
        <f t="shared" si="13"/>
        <v>#DIV/0!</v>
      </c>
      <c r="E35" s="33" t="e">
        <f t="shared" si="2"/>
        <v>#DIV/0!</v>
      </c>
      <c r="F35" s="33" t="e">
        <f t="shared" si="3"/>
        <v>#DIV/0!</v>
      </c>
      <c r="G35" s="33" t="e">
        <f t="shared" si="4"/>
        <v>#DIV/0!</v>
      </c>
      <c r="H35" s="33" t="e">
        <f t="shared" si="5"/>
        <v>#DIV/0!</v>
      </c>
      <c r="I35" s="33" t="e">
        <f t="shared" si="6"/>
        <v>#DIV/0!</v>
      </c>
      <c r="J35" s="33" t="e">
        <f t="shared" si="7"/>
        <v>#DIV/0!</v>
      </c>
      <c r="K35" s="33" t="e">
        <f t="shared" si="14"/>
        <v>#DIV/0!</v>
      </c>
      <c r="L35" s="33" t="e">
        <f t="shared" si="8"/>
        <v>#DIV/0!</v>
      </c>
      <c r="M35" s="33" t="e">
        <f t="shared" si="9"/>
        <v>#DIV/0!</v>
      </c>
      <c r="N35" s="33" t="e">
        <f t="shared" si="10"/>
        <v>#DIV/0!</v>
      </c>
      <c r="O35" s="33" t="e">
        <f t="shared" si="11"/>
        <v>#DIV/0!</v>
      </c>
      <c r="P35" s="79">
        <v>24</v>
      </c>
    </row>
    <row r="36" spans="1:16" ht="13.5">
      <c r="A36" s="47">
        <f t="shared" si="12"/>
        <v>764</v>
      </c>
      <c r="B36" s="38" t="e">
        <f t="shared" si="1"/>
        <v>#DIV/0!</v>
      </c>
      <c r="C36" s="33" t="e">
        <f t="shared" si="0"/>
        <v>#DIV/0!</v>
      </c>
      <c r="D36" s="33" t="e">
        <f t="shared" si="13"/>
        <v>#DIV/0!</v>
      </c>
      <c r="E36" s="33" t="e">
        <f t="shared" si="2"/>
        <v>#DIV/0!</v>
      </c>
      <c r="F36" s="33" t="e">
        <f t="shared" si="3"/>
        <v>#DIV/0!</v>
      </c>
      <c r="G36" s="33" t="e">
        <f t="shared" si="4"/>
        <v>#DIV/0!</v>
      </c>
      <c r="H36" s="33" t="e">
        <f t="shared" si="5"/>
        <v>#DIV/0!</v>
      </c>
      <c r="I36" s="33" t="e">
        <f t="shared" si="6"/>
        <v>#DIV/0!</v>
      </c>
      <c r="J36" s="33" t="e">
        <f t="shared" si="7"/>
        <v>#DIV/0!</v>
      </c>
      <c r="K36" s="33" t="e">
        <f t="shared" si="14"/>
        <v>#DIV/0!</v>
      </c>
      <c r="L36" s="33" t="e">
        <f t="shared" si="8"/>
        <v>#DIV/0!</v>
      </c>
      <c r="M36" s="33" t="e">
        <f t="shared" si="9"/>
        <v>#DIV/0!</v>
      </c>
      <c r="N36" s="33" t="e">
        <f t="shared" si="10"/>
        <v>#DIV/0!</v>
      </c>
      <c r="O36" s="33" t="e">
        <f t="shared" si="11"/>
        <v>#DIV/0!</v>
      </c>
      <c r="P36" s="79">
        <v>25</v>
      </c>
    </row>
    <row r="37" spans="1:16" ht="13.5">
      <c r="A37" s="47">
        <f t="shared" si="12"/>
        <v>792</v>
      </c>
      <c r="B37" s="38" t="e">
        <f t="shared" si="1"/>
        <v>#DIV/0!</v>
      </c>
      <c r="C37" s="33" t="e">
        <f t="shared" si="0"/>
        <v>#DIV/0!</v>
      </c>
      <c r="D37" s="33" t="e">
        <f t="shared" si="13"/>
        <v>#DIV/0!</v>
      </c>
      <c r="E37" s="33" t="e">
        <f t="shared" si="2"/>
        <v>#DIV/0!</v>
      </c>
      <c r="F37" s="33" t="e">
        <f t="shared" si="3"/>
        <v>#DIV/0!</v>
      </c>
      <c r="G37" s="33" t="e">
        <f t="shared" si="4"/>
        <v>#DIV/0!</v>
      </c>
      <c r="H37" s="33" t="e">
        <f t="shared" si="5"/>
        <v>#DIV/0!</v>
      </c>
      <c r="I37" s="33" t="e">
        <f t="shared" si="6"/>
        <v>#DIV/0!</v>
      </c>
      <c r="J37" s="33" t="e">
        <f t="shared" si="7"/>
        <v>#DIV/0!</v>
      </c>
      <c r="K37" s="33" t="e">
        <f t="shared" si="14"/>
        <v>#DIV/0!</v>
      </c>
      <c r="L37" s="33" t="e">
        <f t="shared" si="8"/>
        <v>#DIV/0!</v>
      </c>
      <c r="M37" s="33" t="e">
        <f t="shared" si="9"/>
        <v>#DIV/0!</v>
      </c>
      <c r="N37" s="33" t="e">
        <f t="shared" si="10"/>
        <v>#DIV/0!</v>
      </c>
      <c r="O37" s="33" t="e">
        <f t="shared" si="11"/>
        <v>#DIV/0!</v>
      </c>
      <c r="P37" s="79">
        <v>26</v>
      </c>
    </row>
    <row r="38" spans="1:16" ht="13.5">
      <c r="A38" s="47">
        <f t="shared" si="12"/>
        <v>823</v>
      </c>
      <c r="B38" s="38" t="e">
        <f t="shared" si="1"/>
        <v>#DIV/0!</v>
      </c>
      <c r="C38" s="33" t="e">
        <f t="shared" si="0"/>
        <v>#DIV/0!</v>
      </c>
      <c r="D38" s="33" t="e">
        <f t="shared" si="13"/>
        <v>#DIV/0!</v>
      </c>
      <c r="E38" s="33" t="e">
        <f t="shared" si="2"/>
        <v>#DIV/0!</v>
      </c>
      <c r="F38" s="33" t="e">
        <f t="shared" si="3"/>
        <v>#DIV/0!</v>
      </c>
      <c r="G38" s="33" t="e">
        <f t="shared" si="4"/>
        <v>#DIV/0!</v>
      </c>
      <c r="H38" s="33" t="e">
        <f t="shared" si="5"/>
        <v>#DIV/0!</v>
      </c>
      <c r="I38" s="33" t="e">
        <f t="shared" si="6"/>
        <v>#DIV/0!</v>
      </c>
      <c r="J38" s="33" t="e">
        <f t="shared" si="7"/>
        <v>#DIV/0!</v>
      </c>
      <c r="K38" s="33" t="e">
        <f t="shared" si="14"/>
        <v>#DIV/0!</v>
      </c>
      <c r="L38" s="33" t="e">
        <f t="shared" si="8"/>
        <v>#DIV/0!</v>
      </c>
      <c r="M38" s="33" t="e">
        <f t="shared" si="9"/>
        <v>#DIV/0!</v>
      </c>
      <c r="N38" s="33" t="e">
        <f t="shared" si="10"/>
        <v>#DIV/0!</v>
      </c>
      <c r="O38" s="33" t="e">
        <f t="shared" si="11"/>
        <v>#DIV/0!</v>
      </c>
      <c r="P38" s="79">
        <v>27</v>
      </c>
    </row>
    <row r="39" spans="1:16" ht="13.5">
      <c r="A39" s="47">
        <f t="shared" si="12"/>
        <v>853</v>
      </c>
      <c r="B39" s="38" t="e">
        <f t="shared" si="1"/>
        <v>#DIV/0!</v>
      </c>
      <c r="C39" s="33" t="e">
        <f t="shared" si="0"/>
        <v>#DIV/0!</v>
      </c>
      <c r="D39" s="33" t="e">
        <f t="shared" si="13"/>
        <v>#DIV/0!</v>
      </c>
      <c r="E39" s="33" t="e">
        <f t="shared" si="2"/>
        <v>#DIV/0!</v>
      </c>
      <c r="F39" s="33" t="e">
        <f t="shared" si="3"/>
        <v>#DIV/0!</v>
      </c>
      <c r="G39" s="33" t="e">
        <f t="shared" si="4"/>
        <v>#DIV/0!</v>
      </c>
      <c r="H39" s="33" t="e">
        <f t="shared" si="5"/>
        <v>#DIV/0!</v>
      </c>
      <c r="I39" s="33" t="e">
        <f t="shared" si="6"/>
        <v>#DIV/0!</v>
      </c>
      <c r="J39" s="33" t="e">
        <f t="shared" si="7"/>
        <v>#DIV/0!</v>
      </c>
      <c r="K39" s="33" t="e">
        <f t="shared" si="14"/>
        <v>#DIV/0!</v>
      </c>
      <c r="L39" s="33" t="e">
        <f t="shared" si="8"/>
        <v>#DIV/0!</v>
      </c>
      <c r="M39" s="33" t="e">
        <f t="shared" si="9"/>
        <v>#DIV/0!</v>
      </c>
      <c r="N39" s="33" t="e">
        <f t="shared" si="10"/>
        <v>#DIV/0!</v>
      </c>
      <c r="O39" s="33" t="e">
        <f t="shared" si="11"/>
        <v>#DIV/0!</v>
      </c>
      <c r="P39" s="79">
        <v>28</v>
      </c>
    </row>
    <row r="40" spans="1:16" ht="13.5">
      <c r="A40" s="47">
        <f t="shared" si="12"/>
        <v>884</v>
      </c>
      <c r="B40" s="38" t="e">
        <f t="shared" si="1"/>
        <v>#DIV/0!</v>
      </c>
      <c r="C40" s="33" t="e">
        <f t="shared" si="0"/>
        <v>#DIV/0!</v>
      </c>
      <c r="D40" s="33" t="e">
        <f t="shared" si="13"/>
        <v>#DIV/0!</v>
      </c>
      <c r="E40" s="33" t="e">
        <f t="shared" si="2"/>
        <v>#DIV/0!</v>
      </c>
      <c r="F40" s="33" t="e">
        <f t="shared" si="3"/>
        <v>#DIV/0!</v>
      </c>
      <c r="G40" s="33" t="e">
        <f t="shared" si="4"/>
        <v>#DIV/0!</v>
      </c>
      <c r="H40" s="33" t="e">
        <f t="shared" si="5"/>
        <v>#DIV/0!</v>
      </c>
      <c r="I40" s="33" t="e">
        <f t="shared" si="6"/>
        <v>#DIV/0!</v>
      </c>
      <c r="J40" s="33" t="e">
        <f t="shared" si="7"/>
        <v>#DIV/0!</v>
      </c>
      <c r="K40" s="33" t="e">
        <f t="shared" si="14"/>
        <v>#DIV/0!</v>
      </c>
      <c r="L40" s="33" t="e">
        <f t="shared" si="8"/>
        <v>#DIV/0!</v>
      </c>
      <c r="M40" s="33" t="e">
        <f t="shared" si="9"/>
        <v>#DIV/0!</v>
      </c>
      <c r="N40" s="33" t="e">
        <f t="shared" si="10"/>
        <v>#DIV/0!</v>
      </c>
      <c r="O40" s="33" t="e">
        <f t="shared" si="11"/>
        <v>#DIV/0!</v>
      </c>
      <c r="P40" s="79">
        <v>29</v>
      </c>
    </row>
    <row r="41" spans="1:16" ht="13.5">
      <c r="A41" s="47">
        <f t="shared" si="12"/>
        <v>914</v>
      </c>
      <c r="B41" s="38" t="e">
        <f t="shared" si="1"/>
        <v>#DIV/0!</v>
      </c>
      <c r="C41" s="33" t="e">
        <f t="shared" si="0"/>
        <v>#DIV/0!</v>
      </c>
      <c r="D41" s="33" t="e">
        <f t="shared" si="13"/>
        <v>#DIV/0!</v>
      </c>
      <c r="E41" s="33" t="e">
        <f t="shared" si="2"/>
        <v>#DIV/0!</v>
      </c>
      <c r="F41" s="33" t="e">
        <f t="shared" si="3"/>
        <v>#DIV/0!</v>
      </c>
      <c r="G41" s="33" t="e">
        <f t="shared" si="4"/>
        <v>#DIV/0!</v>
      </c>
      <c r="H41" s="33" t="e">
        <f t="shared" si="5"/>
        <v>#DIV/0!</v>
      </c>
      <c r="I41" s="33" t="e">
        <f t="shared" si="6"/>
        <v>#DIV/0!</v>
      </c>
      <c r="J41" s="33" t="e">
        <f t="shared" si="7"/>
        <v>#DIV/0!</v>
      </c>
      <c r="K41" s="33" t="e">
        <f t="shared" si="14"/>
        <v>#DIV/0!</v>
      </c>
      <c r="L41" s="33" t="e">
        <f t="shared" si="8"/>
        <v>#DIV/0!</v>
      </c>
      <c r="M41" s="33" t="e">
        <f t="shared" si="9"/>
        <v>#DIV/0!</v>
      </c>
      <c r="N41" s="33" t="e">
        <f t="shared" si="10"/>
        <v>#DIV/0!</v>
      </c>
      <c r="O41" s="33" t="e">
        <f t="shared" si="11"/>
        <v>#DIV/0!</v>
      </c>
      <c r="P41" s="79">
        <v>30</v>
      </c>
    </row>
    <row r="42" spans="1:16" ht="13.5">
      <c r="A42" s="47">
        <f t="shared" si="12"/>
        <v>945</v>
      </c>
      <c r="B42" s="38" t="e">
        <f t="shared" si="1"/>
        <v>#DIV/0!</v>
      </c>
      <c r="C42" s="33" t="e">
        <f t="shared" si="0"/>
        <v>#DIV/0!</v>
      </c>
      <c r="D42" s="33" t="e">
        <f t="shared" si="13"/>
        <v>#DIV/0!</v>
      </c>
      <c r="E42" s="33" t="e">
        <f t="shared" si="2"/>
        <v>#DIV/0!</v>
      </c>
      <c r="F42" s="33" t="e">
        <f t="shared" si="3"/>
        <v>#DIV/0!</v>
      </c>
      <c r="G42" s="33" t="e">
        <f t="shared" si="4"/>
        <v>#DIV/0!</v>
      </c>
      <c r="H42" s="33" t="e">
        <f t="shared" si="5"/>
        <v>#DIV/0!</v>
      </c>
      <c r="I42" s="33" t="e">
        <f t="shared" si="6"/>
        <v>#DIV/0!</v>
      </c>
      <c r="J42" s="33" t="e">
        <f t="shared" si="7"/>
        <v>#DIV/0!</v>
      </c>
      <c r="K42" s="33" t="e">
        <f t="shared" si="14"/>
        <v>#DIV/0!</v>
      </c>
      <c r="L42" s="33" t="e">
        <f t="shared" si="8"/>
        <v>#DIV/0!</v>
      </c>
      <c r="M42" s="33" t="e">
        <f t="shared" si="9"/>
        <v>#DIV/0!</v>
      </c>
      <c r="N42" s="33" t="e">
        <f t="shared" si="10"/>
        <v>#DIV/0!</v>
      </c>
      <c r="O42" s="33" t="e">
        <f t="shared" si="11"/>
        <v>#DIV/0!</v>
      </c>
      <c r="P42" s="79">
        <v>31</v>
      </c>
    </row>
    <row r="43" spans="1:16" ht="13.5">
      <c r="A43" s="47">
        <f t="shared" si="12"/>
        <v>976</v>
      </c>
      <c r="B43" s="38" t="e">
        <f t="shared" si="1"/>
        <v>#DIV/0!</v>
      </c>
      <c r="C43" s="33" t="e">
        <f t="shared" si="0"/>
        <v>#DIV/0!</v>
      </c>
      <c r="D43" s="33" t="e">
        <f t="shared" si="13"/>
        <v>#DIV/0!</v>
      </c>
      <c r="E43" s="33" t="e">
        <f t="shared" si="2"/>
        <v>#DIV/0!</v>
      </c>
      <c r="F43" s="33" t="e">
        <f t="shared" si="3"/>
        <v>#DIV/0!</v>
      </c>
      <c r="G43" s="33" t="e">
        <f t="shared" si="4"/>
        <v>#DIV/0!</v>
      </c>
      <c r="H43" s="33" t="e">
        <f t="shared" si="5"/>
        <v>#DIV/0!</v>
      </c>
      <c r="I43" s="33" t="e">
        <f t="shared" si="6"/>
        <v>#DIV/0!</v>
      </c>
      <c r="J43" s="33" t="e">
        <f t="shared" si="7"/>
        <v>#DIV/0!</v>
      </c>
      <c r="K43" s="33" t="e">
        <f t="shared" si="14"/>
        <v>#DIV/0!</v>
      </c>
      <c r="L43" s="33" t="e">
        <f t="shared" si="8"/>
        <v>#DIV/0!</v>
      </c>
      <c r="M43" s="33" t="e">
        <f t="shared" si="9"/>
        <v>#DIV/0!</v>
      </c>
      <c r="N43" s="33" t="e">
        <f t="shared" si="10"/>
        <v>#DIV/0!</v>
      </c>
      <c r="O43" s="33" t="e">
        <f t="shared" si="11"/>
        <v>#DIV/0!</v>
      </c>
      <c r="P43" s="79">
        <v>32</v>
      </c>
    </row>
    <row r="44" spans="1:16" ht="13.5">
      <c r="A44" s="47">
        <f t="shared" si="12"/>
        <v>1006</v>
      </c>
      <c r="B44" s="38" t="e">
        <f t="shared" si="1"/>
        <v>#DIV/0!</v>
      </c>
      <c r="C44" s="33" t="e">
        <f t="shared" ref="C44:C71" si="15">$M$9/$M$8</f>
        <v>#DIV/0!</v>
      </c>
      <c r="D44" s="33" t="e">
        <f t="shared" si="13"/>
        <v>#DIV/0!</v>
      </c>
      <c r="E44" s="33" t="e">
        <f t="shared" si="2"/>
        <v>#DIV/0!</v>
      </c>
      <c r="F44" s="33" t="e">
        <f t="shared" si="3"/>
        <v>#DIV/0!</v>
      </c>
      <c r="G44" s="33" t="e">
        <f t="shared" ref="G44:G71" si="16">$D$9/$M$8</f>
        <v>#DIV/0!</v>
      </c>
      <c r="H44" s="33" t="e">
        <f t="shared" si="5"/>
        <v>#DIV/0!</v>
      </c>
      <c r="I44" s="33" t="e">
        <f t="shared" si="6"/>
        <v>#DIV/0!</v>
      </c>
      <c r="J44" s="33" t="e">
        <f t="shared" si="7"/>
        <v>#DIV/0!</v>
      </c>
      <c r="K44" s="33" t="e">
        <f t="shared" si="14"/>
        <v>#DIV/0!</v>
      </c>
      <c r="L44" s="33" t="e">
        <f t="shared" si="8"/>
        <v>#DIV/0!</v>
      </c>
      <c r="M44" s="33" t="e">
        <f t="shared" si="9"/>
        <v>#DIV/0!</v>
      </c>
      <c r="N44" s="33" t="e">
        <f t="shared" si="10"/>
        <v>#DIV/0!</v>
      </c>
      <c r="O44" s="33" t="e">
        <f t="shared" si="11"/>
        <v>#DIV/0!</v>
      </c>
      <c r="P44" s="79">
        <v>33</v>
      </c>
    </row>
    <row r="45" spans="1:16" ht="13.5">
      <c r="A45" s="47">
        <f t="shared" si="12"/>
        <v>1037</v>
      </c>
      <c r="B45" s="38" t="e">
        <f t="shared" si="1"/>
        <v>#DIV/0!</v>
      </c>
      <c r="C45" s="33" t="e">
        <f t="shared" si="15"/>
        <v>#DIV/0!</v>
      </c>
      <c r="D45" s="33" t="e">
        <f t="shared" si="13"/>
        <v>#DIV/0!</v>
      </c>
      <c r="E45" s="33" t="e">
        <f t="shared" si="2"/>
        <v>#DIV/0!</v>
      </c>
      <c r="F45" s="33" t="e">
        <f t="shared" si="3"/>
        <v>#DIV/0!</v>
      </c>
      <c r="G45" s="33" t="e">
        <f t="shared" si="16"/>
        <v>#DIV/0!</v>
      </c>
      <c r="H45" s="33" t="e">
        <f t="shared" ref="H45:H71" si="17">K45-C45-D45-G45</f>
        <v>#DIV/0!</v>
      </c>
      <c r="I45" s="33" t="e">
        <f t="shared" si="6"/>
        <v>#DIV/0!</v>
      </c>
      <c r="J45" s="33" t="e">
        <f t="shared" si="7"/>
        <v>#DIV/0!</v>
      </c>
      <c r="K45" s="33" t="e">
        <f t="shared" si="14"/>
        <v>#DIV/0!</v>
      </c>
      <c r="L45" s="33" t="e">
        <f t="shared" si="8"/>
        <v>#DIV/0!</v>
      </c>
      <c r="M45" s="33" t="e">
        <f t="shared" ref="M45:M71" si="18">M44-H45</f>
        <v>#DIV/0!</v>
      </c>
      <c r="N45" s="33" t="e">
        <f t="shared" si="10"/>
        <v>#DIV/0!</v>
      </c>
      <c r="O45" s="33" t="e">
        <f t="shared" ref="O45:O71" si="19">(O44+D45)-K45</f>
        <v>#DIV/0!</v>
      </c>
      <c r="P45" s="79">
        <v>34</v>
      </c>
    </row>
    <row r="46" spans="1:16" ht="13.5">
      <c r="A46" s="47">
        <f t="shared" si="12"/>
        <v>1067</v>
      </c>
      <c r="B46" s="38" t="e">
        <f t="shared" si="1"/>
        <v>#DIV/0!</v>
      </c>
      <c r="C46" s="33" t="e">
        <f t="shared" si="15"/>
        <v>#DIV/0!</v>
      </c>
      <c r="D46" s="33" t="e">
        <f t="shared" si="13"/>
        <v>#DIV/0!</v>
      </c>
      <c r="E46" s="33" t="e">
        <f t="shared" si="2"/>
        <v>#DIV/0!</v>
      </c>
      <c r="F46" s="33" t="e">
        <f t="shared" si="3"/>
        <v>#DIV/0!</v>
      </c>
      <c r="G46" s="33" t="e">
        <f t="shared" si="16"/>
        <v>#DIV/0!</v>
      </c>
      <c r="H46" s="33" t="e">
        <f t="shared" si="17"/>
        <v>#DIV/0!</v>
      </c>
      <c r="I46" s="33" t="e">
        <f t="shared" si="6"/>
        <v>#DIV/0!</v>
      </c>
      <c r="J46" s="33" t="e">
        <f t="shared" si="7"/>
        <v>#DIV/0!</v>
      </c>
      <c r="K46" s="33" t="e">
        <f t="shared" si="14"/>
        <v>#DIV/0!</v>
      </c>
      <c r="L46" s="33" t="e">
        <f t="shared" si="8"/>
        <v>#DIV/0!</v>
      </c>
      <c r="M46" s="33" t="e">
        <f t="shared" si="18"/>
        <v>#DIV/0!</v>
      </c>
      <c r="N46" s="33" t="e">
        <f t="shared" si="10"/>
        <v>#DIV/0!</v>
      </c>
      <c r="O46" s="33" t="e">
        <f t="shared" si="19"/>
        <v>#DIV/0!</v>
      </c>
      <c r="P46" s="79">
        <v>35</v>
      </c>
    </row>
    <row r="47" spans="1:16" ht="13.5">
      <c r="A47" s="47">
        <f t="shared" si="12"/>
        <v>1098</v>
      </c>
      <c r="B47" s="38" t="e">
        <f t="shared" si="1"/>
        <v>#DIV/0!</v>
      </c>
      <c r="C47" s="33" t="e">
        <f t="shared" si="15"/>
        <v>#DIV/0!</v>
      </c>
      <c r="D47" s="33" t="e">
        <f t="shared" si="13"/>
        <v>#DIV/0!</v>
      </c>
      <c r="E47" s="33" t="e">
        <f t="shared" si="2"/>
        <v>#DIV/0!</v>
      </c>
      <c r="F47" s="33" t="e">
        <f t="shared" si="3"/>
        <v>#DIV/0!</v>
      </c>
      <c r="G47" s="33" t="e">
        <f t="shared" si="16"/>
        <v>#DIV/0!</v>
      </c>
      <c r="H47" s="33" t="e">
        <f t="shared" si="17"/>
        <v>#DIV/0!</v>
      </c>
      <c r="I47" s="33" t="e">
        <f t="shared" si="6"/>
        <v>#DIV/0!</v>
      </c>
      <c r="J47" s="33" t="e">
        <f t="shared" si="7"/>
        <v>#DIV/0!</v>
      </c>
      <c r="K47" s="33" t="e">
        <f t="shared" si="14"/>
        <v>#DIV/0!</v>
      </c>
      <c r="L47" s="33" t="e">
        <f t="shared" si="8"/>
        <v>#DIV/0!</v>
      </c>
      <c r="M47" s="33" t="e">
        <f t="shared" si="18"/>
        <v>#DIV/0!</v>
      </c>
      <c r="N47" s="33" t="e">
        <f t="shared" si="10"/>
        <v>#DIV/0!</v>
      </c>
      <c r="O47" s="33" t="e">
        <f t="shared" si="19"/>
        <v>#DIV/0!</v>
      </c>
      <c r="P47" s="79">
        <v>36</v>
      </c>
    </row>
    <row r="48" spans="1:16" ht="13.5">
      <c r="A48" s="47">
        <f t="shared" si="12"/>
        <v>1129</v>
      </c>
      <c r="B48" s="38" t="e">
        <f t="shared" si="1"/>
        <v>#DIV/0!</v>
      </c>
      <c r="C48" s="33" t="e">
        <f t="shared" si="15"/>
        <v>#DIV/0!</v>
      </c>
      <c r="D48" s="33" t="e">
        <f t="shared" si="13"/>
        <v>#DIV/0!</v>
      </c>
      <c r="E48" s="33" t="e">
        <f t="shared" si="2"/>
        <v>#DIV/0!</v>
      </c>
      <c r="F48" s="33" t="e">
        <f t="shared" si="3"/>
        <v>#DIV/0!</v>
      </c>
      <c r="G48" s="33" t="e">
        <f t="shared" si="16"/>
        <v>#DIV/0!</v>
      </c>
      <c r="H48" s="33" t="e">
        <f t="shared" si="17"/>
        <v>#DIV/0!</v>
      </c>
      <c r="I48" s="33" t="e">
        <f t="shared" si="6"/>
        <v>#DIV/0!</v>
      </c>
      <c r="J48" s="33" t="e">
        <f t="shared" si="7"/>
        <v>#DIV/0!</v>
      </c>
      <c r="K48" s="33" t="e">
        <f t="shared" si="14"/>
        <v>#DIV/0!</v>
      </c>
      <c r="L48" s="33" t="e">
        <f t="shared" si="8"/>
        <v>#DIV/0!</v>
      </c>
      <c r="M48" s="33" t="e">
        <f t="shared" si="18"/>
        <v>#DIV/0!</v>
      </c>
      <c r="N48" s="33" t="e">
        <f t="shared" si="10"/>
        <v>#DIV/0!</v>
      </c>
      <c r="O48" s="33" t="e">
        <f t="shared" si="19"/>
        <v>#DIV/0!</v>
      </c>
      <c r="P48" s="79">
        <v>37</v>
      </c>
    </row>
    <row r="49" spans="1:16" ht="13.5">
      <c r="A49" s="47">
        <f t="shared" si="12"/>
        <v>1157</v>
      </c>
      <c r="B49" s="38" t="e">
        <f t="shared" si="1"/>
        <v>#DIV/0!</v>
      </c>
      <c r="C49" s="33" t="e">
        <f t="shared" si="15"/>
        <v>#DIV/0!</v>
      </c>
      <c r="D49" s="33" t="e">
        <f t="shared" si="13"/>
        <v>#DIV/0!</v>
      </c>
      <c r="E49" s="33" t="e">
        <f t="shared" si="2"/>
        <v>#DIV/0!</v>
      </c>
      <c r="F49" s="33" t="e">
        <f t="shared" si="3"/>
        <v>#DIV/0!</v>
      </c>
      <c r="G49" s="33" t="e">
        <f t="shared" si="16"/>
        <v>#DIV/0!</v>
      </c>
      <c r="H49" s="33" t="e">
        <f t="shared" si="17"/>
        <v>#DIV/0!</v>
      </c>
      <c r="I49" s="33" t="e">
        <f t="shared" si="6"/>
        <v>#DIV/0!</v>
      </c>
      <c r="J49" s="33" t="e">
        <f t="shared" si="7"/>
        <v>#DIV/0!</v>
      </c>
      <c r="K49" s="33" t="e">
        <f t="shared" si="14"/>
        <v>#DIV/0!</v>
      </c>
      <c r="L49" s="33" t="e">
        <f t="shared" si="8"/>
        <v>#DIV/0!</v>
      </c>
      <c r="M49" s="33" t="e">
        <f t="shared" si="18"/>
        <v>#DIV/0!</v>
      </c>
      <c r="N49" s="33" t="e">
        <f t="shared" si="10"/>
        <v>#DIV/0!</v>
      </c>
      <c r="O49" s="33" t="e">
        <f t="shared" si="19"/>
        <v>#DIV/0!</v>
      </c>
      <c r="P49" s="79">
        <v>38</v>
      </c>
    </row>
    <row r="50" spans="1:16" ht="13.5">
      <c r="A50" s="47">
        <f t="shared" si="12"/>
        <v>1188</v>
      </c>
      <c r="B50" s="38" t="e">
        <f t="shared" si="1"/>
        <v>#DIV/0!</v>
      </c>
      <c r="C50" s="33" t="e">
        <f t="shared" si="15"/>
        <v>#DIV/0!</v>
      </c>
      <c r="D50" s="33" t="e">
        <f t="shared" si="13"/>
        <v>#DIV/0!</v>
      </c>
      <c r="E50" s="33" t="e">
        <f t="shared" si="2"/>
        <v>#DIV/0!</v>
      </c>
      <c r="F50" s="33" t="e">
        <f t="shared" si="3"/>
        <v>#DIV/0!</v>
      </c>
      <c r="G50" s="33" t="e">
        <f t="shared" si="16"/>
        <v>#DIV/0!</v>
      </c>
      <c r="H50" s="33" t="e">
        <f t="shared" si="17"/>
        <v>#DIV/0!</v>
      </c>
      <c r="I50" s="33" t="e">
        <f t="shared" si="6"/>
        <v>#DIV/0!</v>
      </c>
      <c r="J50" s="33" t="e">
        <f t="shared" si="7"/>
        <v>#DIV/0!</v>
      </c>
      <c r="K50" s="33" t="e">
        <f t="shared" si="14"/>
        <v>#DIV/0!</v>
      </c>
      <c r="L50" s="33" t="e">
        <f t="shared" si="8"/>
        <v>#DIV/0!</v>
      </c>
      <c r="M50" s="33" t="e">
        <f t="shared" si="18"/>
        <v>#DIV/0!</v>
      </c>
      <c r="N50" s="33" t="e">
        <f t="shared" si="10"/>
        <v>#DIV/0!</v>
      </c>
      <c r="O50" s="33" t="e">
        <f t="shared" si="19"/>
        <v>#DIV/0!</v>
      </c>
      <c r="P50" s="79">
        <v>39</v>
      </c>
    </row>
    <row r="51" spans="1:16" ht="13.5">
      <c r="A51" s="47">
        <f t="shared" si="12"/>
        <v>1218</v>
      </c>
      <c r="B51" s="38" t="e">
        <f t="shared" si="1"/>
        <v>#DIV/0!</v>
      </c>
      <c r="C51" s="33" t="e">
        <f t="shared" si="15"/>
        <v>#DIV/0!</v>
      </c>
      <c r="D51" s="33" t="e">
        <f t="shared" si="13"/>
        <v>#DIV/0!</v>
      </c>
      <c r="E51" s="33" t="e">
        <f t="shared" si="2"/>
        <v>#DIV/0!</v>
      </c>
      <c r="F51" s="33" t="e">
        <f t="shared" si="3"/>
        <v>#DIV/0!</v>
      </c>
      <c r="G51" s="33" t="e">
        <f t="shared" si="16"/>
        <v>#DIV/0!</v>
      </c>
      <c r="H51" s="33" t="e">
        <f t="shared" si="17"/>
        <v>#DIV/0!</v>
      </c>
      <c r="I51" s="33" t="e">
        <f t="shared" si="6"/>
        <v>#DIV/0!</v>
      </c>
      <c r="J51" s="33" t="e">
        <f t="shared" si="7"/>
        <v>#DIV/0!</v>
      </c>
      <c r="K51" s="33" t="e">
        <f t="shared" si="14"/>
        <v>#DIV/0!</v>
      </c>
      <c r="L51" s="33" t="e">
        <f t="shared" si="8"/>
        <v>#DIV/0!</v>
      </c>
      <c r="M51" s="33" t="e">
        <f t="shared" si="18"/>
        <v>#DIV/0!</v>
      </c>
      <c r="N51" s="33" t="e">
        <f t="shared" si="10"/>
        <v>#DIV/0!</v>
      </c>
      <c r="O51" s="33" t="e">
        <f t="shared" si="19"/>
        <v>#DIV/0!</v>
      </c>
      <c r="P51" s="79">
        <v>40</v>
      </c>
    </row>
    <row r="52" spans="1:16" ht="13.5">
      <c r="A52" s="47">
        <f t="shared" si="12"/>
        <v>1249</v>
      </c>
      <c r="B52" s="38" t="e">
        <f t="shared" si="1"/>
        <v>#DIV/0!</v>
      </c>
      <c r="C52" s="33" t="e">
        <f t="shared" si="15"/>
        <v>#DIV/0!</v>
      </c>
      <c r="D52" s="33" t="e">
        <f t="shared" si="13"/>
        <v>#DIV/0!</v>
      </c>
      <c r="E52" s="33" t="e">
        <f t="shared" si="2"/>
        <v>#DIV/0!</v>
      </c>
      <c r="F52" s="33" t="e">
        <f t="shared" si="3"/>
        <v>#DIV/0!</v>
      </c>
      <c r="G52" s="33" t="e">
        <f t="shared" si="16"/>
        <v>#DIV/0!</v>
      </c>
      <c r="H52" s="33" t="e">
        <f t="shared" si="17"/>
        <v>#DIV/0!</v>
      </c>
      <c r="I52" s="33" t="e">
        <f t="shared" si="6"/>
        <v>#DIV/0!</v>
      </c>
      <c r="J52" s="33" t="e">
        <f t="shared" si="7"/>
        <v>#DIV/0!</v>
      </c>
      <c r="K52" s="33" t="e">
        <f t="shared" si="14"/>
        <v>#DIV/0!</v>
      </c>
      <c r="L52" s="33" t="e">
        <f t="shared" si="8"/>
        <v>#DIV/0!</v>
      </c>
      <c r="M52" s="33" t="e">
        <f t="shared" si="18"/>
        <v>#DIV/0!</v>
      </c>
      <c r="N52" s="33" t="e">
        <f t="shared" si="10"/>
        <v>#DIV/0!</v>
      </c>
      <c r="O52" s="33" t="e">
        <f t="shared" si="19"/>
        <v>#DIV/0!</v>
      </c>
      <c r="P52" s="79">
        <v>41</v>
      </c>
    </row>
    <row r="53" spans="1:16" ht="13.5">
      <c r="A53" s="47">
        <f t="shared" si="12"/>
        <v>1279</v>
      </c>
      <c r="B53" s="38" t="e">
        <f t="shared" si="1"/>
        <v>#DIV/0!</v>
      </c>
      <c r="C53" s="33" t="e">
        <f t="shared" si="15"/>
        <v>#DIV/0!</v>
      </c>
      <c r="D53" s="33" t="e">
        <f t="shared" si="13"/>
        <v>#DIV/0!</v>
      </c>
      <c r="E53" s="33" t="e">
        <f t="shared" si="2"/>
        <v>#DIV/0!</v>
      </c>
      <c r="F53" s="33" t="e">
        <f t="shared" si="3"/>
        <v>#DIV/0!</v>
      </c>
      <c r="G53" s="33" t="e">
        <f t="shared" si="16"/>
        <v>#DIV/0!</v>
      </c>
      <c r="H53" s="33" t="e">
        <f t="shared" si="17"/>
        <v>#DIV/0!</v>
      </c>
      <c r="I53" s="33" t="e">
        <f t="shared" si="6"/>
        <v>#DIV/0!</v>
      </c>
      <c r="J53" s="33" t="e">
        <f t="shared" si="7"/>
        <v>#DIV/0!</v>
      </c>
      <c r="K53" s="33" t="e">
        <f t="shared" si="14"/>
        <v>#DIV/0!</v>
      </c>
      <c r="L53" s="33" t="e">
        <f t="shared" si="8"/>
        <v>#DIV/0!</v>
      </c>
      <c r="M53" s="33" t="e">
        <f t="shared" si="18"/>
        <v>#DIV/0!</v>
      </c>
      <c r="N53" s="33" t="e">
        <f t="shared" si="10"/>
        <v>#DIV/0!</v>
      </c>
      <c r="O53" s="33" t="e">
        <f t="shared" si="19"/>
        <v>#DIV/0!</v>
      </c>
      <c r="P53" s="79">
        <v>42</v>
      </c>
    </row>
    <row r="54" spans="1:16" ht="13.5">
      <c r="A54" s="47">
        <f t="shared" si="12"/>
        <v>1310</v>
      </c>
      <c r="B54" s="38" t="e">
        <f t="shared" si="1"/>
        <v>#DIV/0!</v>
      </c>
      <c r="C54" s="33" t="e">
        <f t="shared" si="15"/>
        <v>#DIV/0!</v>
      </c>
      <c r="D54" s="33" t="e">
        <f t="shared" si="13"/>
        <v>#DIV/0!</v>
      </c>
      <c r="E54" s="33" t="e">
        <f t="shared" si="2"/>
        <v>#DIV/0!</v>
      </c>
      <c r="F54" s="33" t="e">
        <f t="shared" si="3"/>
        <v>#DIV/0!</v>
      </c>
      <c r="G54" s="33" t="e">
        <f t="shared" si="16"/>
        <v>#DIV/0!</v>
      </c>
      <c r="H54" s="33" t="e">
        <f t="shared" si="17"/>
        <v>#DIV/0!</v>
      </c>
      <c r="I54" s="33" t="e">
        <f t="shared" si="6"/>
        <v>#DIV/0!</v>
      </c>
      <c r="J54" s="33" t="e">
        <f t="shared" si="7"/>
        <v>#DIV/0!</v>
      </c>
      <c r="K54" s="33" t="e">
        <f t="shared" si="14"/>
        <v>#DIV/0!</v>
      </c>
      <c r="L54" s="33" t="e">
        <f t="shared" si="8"/>
        <v>#DIV/0!</v>
      </c>
      <c r="M54" s="33" t="e">
        <f t="shared" si="18"/>
        <v>#DIV/0!</v>
      </c>
      <c r="N54" s="33" t="e">
        <f t="shared" si="10"/>
        <v>#DIV/0!</v>
      </c>
      <c r="O54" s="33" t="e">
        <f t="shared" si="19"/>
        <v>#DIV/0!</v>
      </c>
      <c r="P54" s="79">
        <v>43</v>
      </c>
    </row>
    <row r="55" spans="1:16" ht="13.5">
      <c r="A55" s="47">
        <f t="shared" si="12"/>
        <v>1341</v>
      </c>
      <c r="B55" s="38" t="e">
        <f t="shared" si="1"/>
        <v>#DIV/0!</v>
      </c>
      <c r="C55" s="33" t="e">
        <f t="shared" si="15"/>
        <v>#DIV/0!</v>
      </c>
      <c r="D55" s="33" t="e">
        <f t="shared" si="13"/>
        <v>#DIV/0!</v>
      </c>
      <c r="E55" s="33" t="e">
        <f t="shared" si="2"/>
        <v>#DIV/0!</v>
      </c>
      <c r="F55" s="33" t="e">
        <f t="shared" si="3"/>
        <v>#DIV/0!</v>
      </c>
      <c r="G55" s="33" t="e">
        <f t="shared" si="16"/>
        <v>#DIV/0!</v>
      </c>
      <c r="H55" s="33" t="e">
        <f t="shared" si="17"/>
        <v>#DIV/0!</v>
      </c>
      <c r="I55" s="33" t="e">
        <f t="shared" si="6"/>
        <v>#DIV/0!</v>
      </c>
      <c r="J55" s="33" t="e">
        <f t="shared" si="7"/>
        <v>#DIV/0!</v>
      </c>
      <c r="K55" s="33" t="e">
        <f t="shared" si="14"/>
        <v>#DIV/0!</v>
      </c>
      <c r="L55" s="33" t="e">
        <f t="shared" si="8"/>
        <v>#DIV/0!</v>
      </c>
      <c r="M55" s="33" t="e">
        <f t="shared" si="18"/>
        <v>#DIV/0!</v>
      </c>
      <c r="N55" s="33" t="e">
        <f t="shared" si="10"/>
        <v>#DIV/0!</v>
      </c>
      <c r="O55" s="33" t="e">
        <f t="shared" si="19"/>
        <v>#DIV/0!</v>
      </c>
      <c r="P55" s="79">
        <v>44</v>
      </c>
    </row>
    <row r="56" spans="1:16" ht="13.5">
      <c r="A56" s="47">
        <f t="shared" si="12"/>
        <v>1371</v>
      </c>
      <c r="B56" s="38" t="e">
        <f t="shared" si="1"/>
        <v>#DIV/0!</v>
      </c>
      <c r="C56" s="33" t="e">
        <f t="shared" si="15"/>
        <v>#DIV/0!</v>
      </c>
      <c r="D56" s="33" t="e">
        <f t="shared" si="13"/>
        <v>#DIV/0!</v>
      </c>
      <c r="E56" s="33" t="e">
        <f t="shared" si="2"/>
        <v>#DIV/0!</v>
      </c>
      <c r="F56" s="33" t="e">
        <f t="shared" si="3"/>
        <v>#DIV/0!</v>
      </c>
      <c r="G56" s="33" t="e">
        <f t="shared" si="16"/>
        <v>#DIV/0!</v>
      </c>
      <c r="H56" s="33" t="e">
        <f t="shared" si="17"/>
        <v>#DIV/0!</v>
      </c>
      <c r="I56" s="33" t="e">
        <f t="shared" si="6"/>
        <v>#DIV/0!</v>
      </c>
      <c r="J56" s="33" t="e">
        <f t="shared" si="7"/>
        <v>#DIV/0!</v>
      </c>
      <c r="K56" s="33" t="e">
        <f t="shared" si="14"/>
        <v>#DIV/0!</v>
      </c>
      <c r="L56" s="33" t="e">
        <f t="shared" si="8"/>
        <v>#DIV/0!</v>
      </c>
      <c r="M56" s="33" t="e">
        <f t="shared" si="18"/>
        <v>#DIV/0!</v>
      </c>
      <c r="N56" s="33" t="e">
        <f t="shared" si="10"/>
        <v>#DIV/0!</v>
      </c>
      <c r="O56" s="33" t="e">
        <f t="shared" si="19"/>
        <v>#DIV/0!</v>
      </c>
      <c r="P56" s="79">
        <v>45</v>
      </c>
    </row>
    <row r="57" spans="1:16" ht="13.5">
      <c r="A57" s="47">
        <f t="shared" si="12"/>
        <v>1402</v>
      </c>
      <c r="B57" s="38" t="e">
        <f t="shared" si="1"/>
        <v>#DIV/0!</v>
      </c>
      <c r="C57" s="33" t="e">
        <f t="shared" si="15"/>
        <v>#DIV/0!</v>
      </c>
      <c r="D57" s="33" t="e">
        <f t="shared" si="13"/>
        <v>#DIV/0!</v>
      </c>
      <c r="E57" s="33" t="e">
        <f t="shared" si="2"/>
        <v>#DIV/0!</v>
      </c>
      <c r="F57" s="33" t="e">
        <f t="shared" si="3"/>
        <v>#DIV/0!</v>
      </c>
      <c r="G57" s="33" t="e">
        <f t="shared" si="16"/>
        <v>#DIV/0!</v>
      </c>
      <c r="H57" s="33" t="e">
        <f t="shared" si="17"/>
        <v>#DIV/0!</v>
      </c>
      <c r="I57" s="33" t="e">
        <f t="shared" si="6"/>
        <v>#DIV/0!</v>
      </c>
      <c r="J57" s="33" t="e">
        <f t="shared" si="7"/>
        <v>#DIV/0!</v>
      </c>
      <c r="K57" s="33" t="e">
        <f t="shared" si="14"/>
        <v>#DIV/0!</v>
      </c>
      <c r="L57" s="33" t="e">
        <f t="shared" si="8"/>
        <v>#DIV/0!</v>
      </c>
      <c r="M57" s="33" t="e">
        <f t="shared" si="18"/>
        <v>#DIV/0!</v>
      </c>
      <c r="N57" s="33" t="e">
        <f t="shared" si="10"/>
        <v>#DIV/0!</v>
      </c>
      <c r="O57" s="33" t="e">
        <f t="shared" si="19"/>
        <v>#DIV/0!</v>
      </c>
      <c r="P57" s="79">
        <v>46</v>
      </c>
    </row>
    <row r="58" spans="1:16" ht="13.5">
      <c r="A58" s="47">
        <f t="shared" si="12"/>
        <v>1432</v>
      </c>
      <c r="B58" s="38" t="e">
        <f t="shared" si="1"/>
        <v>#DIV/0!</v>
      </c>
      <c r="C58" s="33" t="e">
        <f t="shared" si="15"/>
        <v>#DIV/0!</v>
      </c>
      <c r="D58" s="33" t="e">
        <f t="shared" si="13"/>
        <v>#DIV/0!</v>
      </c>
      <c r="E58" s="33" t="e">
        <f t="shared" si="2"/>
        <v>#DIV/0!</v>
      </c>
      <c r="F58" s="33" t="e">
        <f t="shared" si="3"/>
        <v>#DIV/0!</v>
      </c>
      <c r="G58" s="33" t="e">
        <f t="shared" si="16"/>
        <v>#DIV/0!</v>
      </c>
      <c r="H58" s="33" t="e">
        <f t="shared" si="17"/>
        <v>#DIV/0!</v>
      </c>
      <c r="I58" s="33" t="e">
        <f t="shared" si="6"/>
        <v>#DIV/0!</v>
      </c>
      <c r="J58" s="33" t="e">
        <f t="shared" si="7"/>
        <v>#DIV/0!</v>
      </c>
      <c r="K58" s="33" t="e">
        <f t="shared" si="14"/>
        <v>#DIV/0!</v>
      </c>
      <c r="L58" s="33" t="e">
        <f t="shared" si="8"/>
        <v>#DIV/0!</v>
      </c>
      <c r="M58" s="33" t="e">
        <f t="shared" si="18"/>
        <v>#DIV/0!</v>
      </c>
      <c r="N58" s="33" t="e">
        <f t="shared" si="10"/>
        <v>#DIV/0!</v>
      </c>
      <c r="O58" s="33" t="e">
        <f t="shared" si="19"/>
        <v>#DIV/0!</v>
      </c>
      <c r="P58" s="79">
        <v>47</v>
      </c>
    </row>
    <row r="59" spans="1:16" ht="13.5">
      <c r="A59" s="47">
        <f t="shared" si="12"/>
        <v>1463</v>
      </c>
      <c r="B59" s="38" t="e">
        <f t="shared" si="1"/>
        <v>#DIV/0!</v>
      </c>
      <c r="C59" s="33" t="e">
        <f t="shared" si="15"/>
        <v>#DIV/0!</v>
      </c>
      <c r="D59" s="33" t="e">
        <f t="shared" si="13"/>
        <v>#DIV/0!</v>
      </c>
      <c r="E59" s="33" t="e">
        <f t="shared" si="2"/>
        <v>#DIV/0!</v>
      </c>
      <c r="F59" s="33" t="e">
        <f t="shared" si="3"/>
        <v>#DIV/0!</v>
      </c>
      <c r="G59" s="33" t="e">
        <f t="shared" si="16"/>
        <v>#DIV/0!</v>
      </c>
      <c r="H59" s="33" t="e">
        <f t="shared" si="17"/>
        <v>#DIV/0!</v>
      </c>
      <c r="I59" s="33" t="e">
        <f t="shared" si="6"/>
        <v>#DIV/0!</v>
      </c>
      <c r="J59" s="33" t="e">
        <f t="shared" si="7"/>
        <v>#DIV/0!</v>
      </c>
      <c r="K59" s="33" t="e">
        <f t="shared" si="14"/>
        <v>#DIV/0!</v>
      </c>
      <c r="L59" s="33" t="e">
        <f t="shared" si="8"/>
        <v>#DIV/0!</v>
      </c>
      <c r="M59" s="33" t="e">
        <f t="shared" si="18"/>
        <v>#DIV/0!</v>
      </c>
      <c r="N59" s="33" t="e">
        <f t="shared" si="10"/>
        <v>#DIV/0!</v>
      </c>
      <c r="O59" s="33" t="e">
        <f t="shared" si="19"/>
        <v>#DIV/0!</v>
      </c>
      <c r="P59" s="79">
        <v>48</v>
      </c>
    </row>
    <row r="60" spans="1:16" ht="13.5">
      <c r="A60" s="47">
        <f t="shared" si="12"/>
        <v>1494</v>
      </c>
      <c r="B60" s="38" t="e">
        <f t="shared" si="1"/>
        <v>#DIV/0!</v>
      </c>
      <c r="C60" s="33" t="e">
        <f t="shared" si="15"/>
        <v>#DIV/0!</v>
      </c>
      <c r="D60" s="33" t="e">
        <f t="shared" si="13"/>
        <v>#DIV/0!</v>
      </c>
      <c r="E60" s="33" t="e">
        <f t="shared" si="2"/>
        <v>#DIV/0!</v>
      </c>
      <c r="F60" s="33" t="e">
        <f t="shared" si="3"/>
        <v>#DIV/0!</v>
      </c>
      <c r="G60" s="33" t="e">
        <f t="shared" si="16"/>
        <v>#DIV/0!</v>
      </c>
      <c r="H60" s="33" t="e">
        <f t="shared" si="17"/>
        <v>#DIV/0!</v>
      </c>
      <c r="I60" s="33" t="e">
        <f t="shared" si="6"/>
        <v>#DIV/0!</v>
      </c>
      <c r="J60" s="33" t="e">
        <f t="shared" si="7"/>
        <v>#DIV/0!</v>
      </c>
      <c r="K60" s="33" t="e">
        <f t="shared" si="14"/>
        <v>#DIV/0!</v>
      </c>
      <c r="L60" s="33" t="e">
        <f t="shared" si="8"/>
        <v>#DIV/0!</v>
      </c>
      <c r="M60" s="33" t="e">
        <f t="shared" si="18"/>
        <v>#DIV/0!</v>
      </c>
      <c r="N60" s="33" t="e">
        <f t="shared" si="10"/>
        <v>#DIV/0!</v>
      </c>
      <c r="O60" s="33" t="e">
        <f t="shared" si="19"/>
        <v>#DIV/0!</v>
      </c>
      <c r="P60" s="79">
        <v>49</v>
      </c>
    </row>
    <row r="61" spans="1:16" ht="13.5">
      <c r="A61" s="47">
        <f t="shared" si="12"/>
        <v>1523</v>
      </c>
      <c r="B61" s="38" t="e">
        <f t="shared" si="1"/>
        <v>#DIV/0!</v>
      </c>
      <c r="C61" s="33" t="e">
        <f t="shared" si="15"/>
        <v>#DIV/0!</v>
      </c>
      <c r="D61" s="33" t="e">
        <f t="shared" si="13"/>
        <v>#DIV/0!</v>
      </c>
      <c r="E61" s="33" t="e">
        <f t="shared" si="2"/>
        <v>#DIV/0!</v>
      </c>
      <c r="F61" s="33" t="e">
        <f t="shared" si="3"/>
        <v>#DIV/0!</v>
      </c>
      <c r="G61" s="33" t="e">
        <f t="shared" si="16"/>
        <v>#DIV/0!</v>
      </c>
      <c r="H61" s="33" t="e">
        <f t="shared" si="17"/>
        <v>#DIV/0!</v>
      </c>
      <c r="I61" s="33" t="e">
        <f t="shared" si="6"/>
        <v>#DIV/0!</v>
      </c>
      <c r="J61" s="33" t="e">
        <f t="shared" si="7"/>
        <v>#DIV/0!</v>
      </c>
      <c r="K61" s="33" t="e">
        <f t="shared" si="14"/>
        <v>#DIV/0!</v>
      </c>
      <c r="L61" s="33" t="e">
        <f t="shared" si="8"/>
        <v>#DIV/0!</v>
      </c>
      <c r="M61" s="33" t="e">
        <f t="shared" si="18"/>
        <v>#DIV/0!</v>
      </c>
      <c r="N61" s="33" t="e">
        <f t="shared" si="10"/>
        <v>#DIV/0!</v>
      </c>
      <c r="O61" s="33" t="e">
        <f t="shared" si="19"/>
        <v>#DIV/0!</v>
      </c>
      <c r="P61" s="79">
        <v>50</v>
      </c>
    </row>
    <row r="62" spans="1:16" ht="13.5">
      <c r="A62" s="47">
        <f t="shared" si="12"/>
        <v>1554</v>
      </c>
      <c r="B62" s="38" t="e">
        <f t="shared" si="1"/>
        <v>#DIV/0!</v>
      </c>
      <c r="C62" s="33" t="e">
        <f t="shared" si="15"/>
        <v>#DIV/0!</v>
      </c>
      <c r="D62" s="33" t="e">
        <f t="shared" si="13"/>
        <v>#DIV/0!</v>
      </c>
      <c r="E62" s="33" t="e">
        <f t="shared" si="2"/>
        <v>#DIV/0!</v>
      </c>
      <c r="F62" s="33" t="e">
        <f t="shared" si="3"/>
        <v>#DIV/0!</v>
      </c>
      <c r="G62" s="33" t="e">
        <f t="shared" si="16"/>
        <v>#DIV/0!</v>
      </c>
      <c r="H62" s="33" t="e">
        <f t="shared" si="17"/>
        <v>#DIV/0!</v>
      </c>
      <c r="I62" s="33" t="e">
        <f t="shared" si="6"/>
        <v>#DIV/0!</v>
      </c>
      <c r="J62" s="33" t="e">
        <f t="shared" si="7"/>
        <v>#DIV/0!</v>
      </c>
      <c r="K62" s="33" t="e">
        <f t="shared" si="14"/>
        <v>#DIV/0!</v>
      </c>
      <c r="L62" s="33" t="e">
        <f t="shared" si="8"/>
        <v>#DIV/0!</v>
      </c>
      <c r="M62" s="33" t="e">
        <f t="shared" si="18"/>
        <v>#DIV/0!</v>
      </c>
      <c r="N62" s="33" t="e">
        <f t="shared" si="10"/>
        <v>#DIV/0!</v>
      </c>
      <c r="O62" s="33" t="e">
        <f t="shared" si="19"/>
        <v>#DIV/0!</v>
      </c>
      <c r="P62" s="79">
        <v>51</v>
      </c>
    </row>
    <row r="63" spans="1:16" ht="13.5">
      <c r="A63" s="47">
        <f t="shared" si="12"/>
        <v>1584</v>
      </c>
      <c r="B63" s="38" t="e">
        <f t="shared" si="1"/>
        <v>#DIV/0!</v>
      </c>
      <c r="C63" s="33" t="e">
        <f t="shared" si="15"/>
        <v>#DIV/0!</v>
      </c>
      <c r="D63" s="33" t="e">
        <f t="shared" si="13"/>
        <v>#DIV/0!</v>
      </c>
      <c r="E63" s="33" t="e">
        <f t="shared" si="2"/>
        <v>#DIV/0!</v>
      </c>
      <c r="F63" s="33" t="e">
        <f t="shared" si="3"/>
        <v>#DIV/0!</v>
      </c>
      <c r="G63" s="33" t="e">
        <f t="shared" si="16"/>
        <v>#DIV/0!</v>
      </c>
      <c r="H63" s="33" t="e">
        <f t="shared" si="17"/>
        <v>#DIV/0!</v>
      </c>
      <c r="I63" s="33" t="e">
        <f t="shared" si="6"/>
        <v>#DIV/0!</v>
      </c>
      <c r="J63" s="33" t="e">
        <f t="shared" si="7"/>
        <v>#DIV/0!</v>
      </c>
      <c r="K63" s="33" t="e">
        <f t="shared" si="14"/>
        <v>#DIV/0!</v>
      </c>
      <c r="L63" s="33" t="e">
        <f t="shared" si="8"/>
        <v>#DIV/0!</v>
      </c>
      <c r="M63" s="33" t="e">
        <f t="shared" si="18"/>
        <v>#DIV/0!</v>
      </c>
      <c r="N63" s="33" t="e">
        <f t="shared" si="10"/>
        <v>#DIV/0!</v>
      </c>
      <c r="O63" s="33" t="e">
        <f t="shared" si="19"/>
        <v>#DIV/0!</v>
      </c>
      <c r="P63" s="79">
        <v>52</v>
      </c>
    </row>
    <row r="64" spans="1:16" ht="13.5">
      <c r="A64" s="47">
        <f t="shared" si="12"/>
        <v>1615</v>
      </c>
      <c r="B64" s="38" t="e">
        <f t="shared" si="1"/>
        <v>#DIV/0!</v>
      </c>
      <c r="C64" s="33" t="e">
        <f t="shared" si="15"/>
        <v>#DIV/0!</v>
      </c>
      <c r="D64" s="33" t="e">
        <f t="shared" si="13"/>
        <v>#DIV/0!</v>
      </c>
      <c r="E64" s="33" t="e">
        <f t="shared" si="2"/>
        <v>#DIV/0!</v>
      </c>
      <c r="F64" s="33" t="e">
        <f t="shared" si="3"/>
        <v>#DIV/0!</v>
      </c>
      <c r="G64" s="33" t="e">
        <f t="shared" si="16"/>
        <v>#DIV/0!</v>
      </c>
      <c r="H64" s="33" t="e">
        <f t="shared" si="17"/>
        <v>#DIV/0!</v>
      </c>
      <c r="I64" s="33" t="e">
        <f t="shared" si="6"/>
        <v>#DIV/0!</v>
      </c>
      <c r="J64" s="33" t="e">
        <f t="shared" si="7"/>
        <v>#DIV/0!</v>
      </c>
      <c r="K64" s="33" t="e">
        <f t="shared" si="14"/>
        <v>#DIV/0!</v>
      </c>
      <c r="L64" s="33" t="e">
        <f t="shared" si="8"/>
        <v>#DIV/0!</v>
      </c>
      <c r="M64" s="33" t="e">
        <f t="shared" si="18"/>
        <v>#DIV/0!</v>
      </c>
      <c r="N64" s="33" t="e">
        <f t="shared" si="10"/>
        <v>#DIV/0!</v>
      </c>
      <c r="O64" s="33" t="e">
        <f t="shared" si="19"/>
        <v>#DIV/0!</v>
      </c>
      <c r="P64" s="79">
        <v>53</v>
      </c>
    </row>
    <row r="65" spans="1:16" ht="13.5">
      <c r="A65" s="47">
        <f t="shared" si="12"/>
        <v>1645</v>
      </c>
      <c r="B65" s="38" t="e">
        <f t="shared" si="1"/>
        <v>#DIV/0!</v>
      </c>
      <c r="C65" s="33" t="e">
        <f t="shared" si="15"/>
        <v>#DIV/0!</v>
      </c>
      <c r="D65" s="33" t="e">
        <f t="shared" si="13"/>
        <v>#DIV/0!</v>
      </c>
      <c r="E65" s="33" t="e">
        <f t="shared" si="2"/>
        <v>#DIV/0!</v>
      </c>
      <c r="F65" s="33" t="e">
        <f t="shared" si="3"/>
        <v>#DIV/0!</v>
      </c>
      <c r="G65" s="33" t="e">
        <f t="shared" si="16"/>
        <v>#DIV/0!</v>
      </c>
      <c r="H65" s="33" t="e">
        <f t="shared" si="17"/>
        <v>#DIV/0!</v>
      </c>
      <c r="I65" s="33" t="e">
        <f t="shared" si="6"/>
        <v>#DIV/0!</v>
      </c>
      <c r="J65" s="33" t="e">
        <f t="shared" si="7"/>
        <v>#DIV/0!</v>
      </c>
      <c r="K65" s="33" t="e">
        <f t="shared" si="14"/>
        <v>#DIV/0!</v>
      </c>
      <c r="L65" s="33" t="e">
        <f t="shared" si="8"/>
        <v>#DIV/0!</v>
      </c>
      <c r="M65" s="33" t="e">
        <f t="shared" si="18"/>
        <v>#DIV/0!</v>
      </c>
      <c r="N65" s="33" t="e">
        <f t="shared" si="10"/>
        <v>#DIV/0!</v>
      </c>
      <c r="O65" s="33" t="e">
        <f t="shared" si="19"/>
        <v>#DIV/0!</v>
      </c>
      <c r="P65" s="79">
        <v>54</v>
      </c>
    </row>
    <row r="66" spans="1:16" ht="13.5">
      <c r="A66" s="47">
        <f t="shared" si="12"/>
        <v>1676</v>
      </c>
      <c r="B66" s="38" t="e">
        <f t="shared" si="1"/>
        <v>#DIV/0!</v>
      </c>
      <c r="C66" s="33" t="e">
        <f t="shared" si="15"/>
        <v>#DIV/0!</v>
      </c>
      <c r="D66" s="33" t="e">
        <f t="shared" si="13"/>
        <v>#DIV/0!</v>
      </c>
      <c r="E66" s="33" t="e">
        <f t="shared" si="2"/>
        <v>#DIV/0!</v>
      </c>
      <c r="F66" s="33" t="e">
        <f t="shared" si="3"/>
        <v>#DIV/0!</v>
      </c>
      <c r="G66" s="33" t="e">
        <f t="shared" si="16"/>
        <v>#DIV/0!</v>
      </c>
      <c r="H66" s="33" t="e">
        <f t="shared" si="17"/>
        <v>#DIV/0!</v>
      </c>
      <c r="I66" s="33" t="e">
        <f t="shared" si="6"/>
        <v>#DIV/0!</v>
      </c>
      <c r="J66" s="33" t="e">
        <f t="shared" si="7"/>
        <v>#DIV/0!</v>
      </c>
      <c r="K66" s="33" t="e">
        <f t="shared" si="14"/>
        <v>#DIV/0!</v>
      </c>
      <c r="L66" s="33" t="e">
        <f t="shared" si="8"/>
        <v>#DIV/0!</v>
      </c>
      <c r="M66" s="33" t="e">
        <f t="shared" si="18"/>
        <v>#DIV/0!</v>
      </c>
      <c r="N66" s="33" t="e">
        <f t="shared" si="10"/>
        <v>#DIV/0!</v>
      </c>
      <c r="O66" s="33" t="e">
        <f t="shared" si="19"/>
        <v>#DIV/0!</v>
      </c>
      <c r="P66" s="79">
        <v>55</v>
      </c>
    </row>
    <row r="67" spans="1:16" ht="13.5">
      <c r="A67" s="47">
        <f t="shared" si="12"/>
        <v>1707</v>
      </c>
      <c r="B67" s="38" t="e">
        <f t="shared" si="1"/>
        <v>#DIV/0!</v>
      </c>
      <c r="C67" s="33" t="e">
        <f t="shared" si="15"/>
        <v>#DIV/0!</v>
      </c>
      <c r="D67" s="33" t="e">
        <f t="shared" si="13"/>
        <v>#DIV/0!</v>
      </c>
      <c r="E67" s="33" t="e">
        <f t="shared" si="2"/>
        <v>#DIV/0!</v>
      </c>
      <c r="F67" s="33" t="e">
        <f t="shared" si="3"/>
        <v>#DIV/0!</v>
      </c>
      <c r="G67" s="33" t="e">
        <f t="shared" si="16"/>
        <v>#DIV/0!</v>
      </c>
      <c r="H67" s="33" t="e">
        <f t="shared" si="17"/>
        <v>#DIV/0!</v>
      </c>
      <c r="I67" s="33" t="e">
        <f t="shared" si="6"/>
        <v>#DIV/0!</v>
      </c>
      <c r="J67" s="33" t="e">
        <f t="shared" si="7"/>
        <v>#DIV/0!</v>
      </c>
      <c r="K67" s="33" t="e">
        <f t="shared" si="14"/>
        <v>#DIV/0!</v>
      </c>
      <c r="L67" s="33" t="e">
        <f t="shared" si="8"/>
        <v>#DIV/0!</v>
      </c>
      <c r="M67" s="33" t="e">
        <f t="shared" si="18"/>
        <v>#DIV/0!</v>
      </c>
      <c r="N67" s="33" t="e">
        <f t="shared" si="10"/>
        <v>#DIV/0!</v>
      </c>
      <c r="O67" s="33" t="e">
        <f t="shared" si="19"/>
        <v>#DIV/0!</v>
      </c>
      <c r="P67" s="79">
        <v>56</v>
      </c>
    </row>
    <row r="68" spans="1:16" ht="13.5">
      <c r="A68" s="47">
        <f t="shared" si="12"/>
        <v>1737</v>
      </c>
      <c r="B68" s="38" t="e">
        <f t="shared" si="1"/>
        <v>#DIV/0!</v>
      </c>
      <c r="C68" s="33" t="e">
        <f t="shared" si="15"/>
        <v>#DIV/0!</v>
      </c>
      <c r="D68" s="33" t="e">
        <f t="shared" si="13"/>
        <v>#DIV/0!</v>
      </c>
      <c r="E68" s="33" t="e">
        <f t="shared" si="2"/>
        <v>#DIV/0!</v>
      </c>
      <c r="F68" s="33" t="e">
        <f t="shared" si="3"/>
        <v>#DIV/0!</v>
      </c>
      <c r="G68" s="33" t="e">
        <f t="shared" si="16"/>
        <v>#DIV/0!</v>
      </c>
      <c r="H68" s="33" t="e">
        <f t="shared" si="17"/>
        <v>#DIV/0!</v>
      </c>
      <c r="I68" s="33" t="e">
        <f t="shared" si="6"/>
        <v>#DIV/0!</v>
      </c>
      <c r="J68" s="33" t="e">
        <f t="shared" si="7"/>
        <v>#DIV/0!</v>
      </c>
      <c r="K68" s="33" t="e">
        <f t="shared" si="14"/>
        <v>#DIV/0!</v>
      </c>
      <c r="L68" s="33" t="e">
        <f t="shared" si="8"/>
        <v>#DIV/0!</v>
      </c>
      <c r="M68" s="33" t="e">
        <f t="shared" si="18"/>
        <v>#DIV/0!</v>
      </c>
      <c r="N68" s="33" t="e">
        <f t="shared" si="10"/>
        <v>#DIV/0!</v>
      </c>
      <c r="O68" s="33" t="e">
        <f t="shared" si="19"/>
        <v>#DIV/0!</v>
      </c>
      <c r="P68" s="79">
        <v>57</v>
      </c>
    </row>
    <row r="69" spans="1:16" ht="13.5">
      <c r="A69" s="47">
        <f t="shared" si="12"/>
        <v>1768</v>
      </c>
      <c r="B69" s="38" t="e">
        <f t="shared" si="1"/>
        <v>#DIV/0!</v>
      </c>
      <c r="C69" s="33" t="e">
        <f t="shared" si="15"/>
        <v>#DIV/0!</v>
      </c>
      <c r="D69" s="33" t="e">
        <f t="shared" si="13"/>
        <v>#DIV/0!</v>
      </c>
      <c r="E69" s="33" t="e">
        <f t="shared" si="2"/>
        <v>#DIV/0!</v>
      </c>
      <c r="F69" s="33" t="e">
        <f t="shared" si="3"/>
        <v>#DIV/0!</v>
      </c>
      <c r="G69" s="33" t="e">
        <f t="shared" si="16"/>
        <v>#DIV/0!</v>
      </c>
      <c r="H69" s="33" t="e">
        <f t="shared" si="17"/>
        <v>#DIV/0!</v>
      </c>
      <c r="I69" s="33" t="e">
        <f t="shared" si="6"/>
        <v>#DIV/0!</v>
      </c>
      <c r="J69" s="33" t="e">
        <f t="shared" si="7"/>
        <v>#DIV/0!</v>
      </c>
      <c r="K69" s="33" t="e">
        <f t="shared" si="14"/>
        <v>#DIV/0!</v>
      </c>
      <c r="L69" s="33" t="e">
        <f t="shared" si="8"/>
        <v>#DIV/0!</v>
      </c>
      <c r="M69" s="33" t="e">
        <f t="shared" si="18"/>
        <v>#DIV/0!</v>
      </c>
      <c r="N69" s="33" t="e">
        <f t="shared" si="10"/>
        <v>#DIV/0!</v>
      </c>
      <c r="O69" s="33" t="e">
        <f t="shared" si="19"/>
        <v>#DIV/0!</v>
      </c>
      <c r="P69" s="79">
        <v>58</v>
      </c>
    </row>
    <row r="70" spans="1:16" ht="13.5">
      <c r="A70" s="47">
        <f t="shared" si="12"/>
        <v>1798</v>
      </c>
      <c r="B70" s="38" t="e">
        <f t="shared" si="1"/>
        <v>#DIV/0!</v>
      </c>
      <c r="C70" s="33" t="e">
        <f t="shared" si="15"/>
        <v>#DIV/0!</v>
      </c>
      <c r="D70" s="33" t="e">
        <f t="shared" si="13"/>
        <v>#DIV/0!</v>
      </c>
      <c r="E70" s="33" t="e">
        <f t="shared" si="2"/>
        <v>#DIV/0!</v>
      </c>
      <c r="F70" s="33" t="e">
        <f t="shared" si="3"/>
        <v>#DIV/0!</v>
      </c>
      <c r="G70" s="33" t="e">
        <f t="shared" si="16"/>
        <v>#DIV/0!</v>
      </c>
      <c r="H70" s="33" t="e">
        <f t="shared" si="17"/>
        <v>#DIV/0!</v>
      </c>
      <c r="I70" s="33" t="e">
        <f t="shared" si="6"/>
        <v>#DIV/0!</v>
      </c>
      <c r="J70" s="33" t="e">
        <f t="shared" si="7"/>
        <v>#DIV/0!</v>
      </c>
      <c r="K70" s="33" t="e">
        <f t="shared" si="14"/>
        <v>#DIV/0!</v>
      </c>
      <c r="L70" s="33" t="e">
        <f t="shared" si="8"/>
        <v>#DIV/0!</v>
      </c>
      <c r="M70" s="33" t="e">
        <f t="shared" si="18"/>
        <v>#DIV/0!</v>
      </c>
      <c r="N70" s="33" t="e">
        <f t="shared" si="10"/>
        <v>#DIV/0!</v>
      </c>
      <c r="O70" s="33" t="e">
        <f t="shared" si="19"/>
        <v>#DIV/0!</v>
      </c>
      <c r="P70" s="79">
        <v>59</v>
      </c>
    </row>
    <row r="71" spans="1:16" ht="13.5">
      <c r="A71" s="47">
        <f t="shared" si="12"/>
        <v>1829</v>
      </c>
      <c r="B71" s="38" t="e">
        <f t="shared" si="1"/>
        <v>#DIV/0!</v>
      </c>
      <c r="C71" s="33" t="e">
        <f t="shared" si="15"/>
        <v>#DIV/0!</v>
      </c>
      <c r="D71" s="33" t="e">
        <f t="shared" si="13"/>
        <v>#DIV/0!</v>
      </c>
      <c r="E71" s="33" t="e">
        <f t="shared" si="2"/>
        <v>#DIV/0!</v>
      </c>
      <c r="F71" s="33" t="e">
        <f t="shared" si="3"/>
        <v>#DIV/0!</v>
      </c>
      <c r="G71" s="33" t="e">
        <f t="shared" si="16"/>
        <v>#DIV/0!</v>
      </c>
      <c r="H71" s="33" t="e">
        <f t="shared" si="17"/>
        <v>#DIV/0!</v>
      </c>
      <c r="I71" s="33" t="e">
        <f t="shared" si="6"/>
        <v>#DIV/0!</v>
      </c>
      <c r="J71" s="33" t="e">
        <f t="shared" si="7"/>
        <v>#DIV/0!</v>
      </c>
      <c r="K71" s="33" t="e">
        <f t="shared" si="14"/>
        <v>#DIV/0!</v>
      </c>
      <c r="L71" s="33" t="e">
        <f t="shared" si="8"/>
        <v>#DIV/0!</v>
      </c>
      <c r="M71" s="33" t="e">
        <f t="shared" si="18"/>
        <v>#DIV/0!</v>
      </c>
      <c r="N71" s="33" t="e">
        <f t="shared" si="10"/>
        <v>#DIV/0!</v>
      </c>
      <c r="O71" s="33" t="e">
        <f t="shared" si="19"/>
        <v>#DIV/0!</v>
      </c>
      <c r="P71" s="80">
        <v>60</v>
      </c>
    </row>
    <row r="72" spans="1:16" ht="14.25" thickBot="1">
      <c r="A72" s="34" t="s">
        <v>35</v>
      </c>
      <c r="B72" s="39" t="e">
        <f t="shared" ref="B72:K72" si="20">SUM(B12:B71)</f>
        <v>#DIV/0!</v>
      </c>
      <c r="C72" s="35" t="e">
        <f t="shared" si="20"/>
        <v>#DIV/0!</v>
      </c>
      <c r="D72" s="36" t="e">
        <f t="shared" si="20"/>
        <v>#DIV/0!</v>
      </c>
      <c r="E72" s="39" t="e">
        <f t="shared" si="20"/>
        <v>#DIV/0!</v>
      </c>
      <c r="F72" s="39" t="e">
        <f t="shared" si="20"/>
        <v>#DIV/0!</v>
      </c>
      <c r="G72" s="35" t="e">
        <f t="shared" si="20"/>
        <v>#DIV/0!</v>
      </c>
      <c r="H72" s="36" t="e">
        <f t="shared" si="20"/>
        <v>#DIV/0!</v>
      </c>
      <c r="I72" s="36" t="e">
        <f t="shared" si="20"/>
        <v>#DIV/0!</v>
      </c>
      <c r="J72" s="36" t="e">
        <f t="shared" si="20"/>
        <v>#DIV/0!</v>
      </c>
      <c r="K72" s="36" t="e">
        <f t="shared" si="20"/>
        <v>#DIV/0!</v>
      </c>
      <c r="L72" s="35"/>
      <c r="M72" s="305"/>
      <c r="N72" s="305"/>
      <c r="O72" s="306"/>
    </row>
    <row r="73" spans="1:16" ht="13.5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</row>
    <row r="74" spans="1:16" ht="13.5">
      <c r="A74" s="61" t="s">
        <v>17</v>
      </c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</row>
    <row r="75" spans="1:16" ht="13.5">
      <c r="A75" s="61" t="s">
        <v>66</v>
      </c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</row>
    <row r="76" spans="1:16" ht="13.5">
      <c r="A76" s="61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</row>
    <row r="77" spans="1:16" ht="13.5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</row>
    <row r="78" spans="1:16" s="61" customForma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</row>
    <row r="79" spans="1:16" ht="13.5">
      <c r="A79" s="71" t="s">
        <v>67</v>
      </c>
      <c r="B79" s="30"/>
      <c r="C79" s="30"/>
      <c r="D79" s="30"/>
      <c r="F79" s="71" t="s">
        <v>39</v>
      </c>
      <c r="G79" s="30"/>
      <c r="H79" s="30"/>
      <c r="J79" s="30"/>
      <c r="K79" s="30"/>
      <c r="L79" s="71" t="s">
        <v>68</v>
      </c>
      <c r="M79" s="30"/>
      <c r="N79" s="30"/>
      <c r="O79" s="30"/>
    </row>
    <row r="80" spans="1:16" ht="13.5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</row>
    <row r="81" spans="1:15" ht="13.5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</row>
    <row r="82" spans="1:15" ht="13.5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</row>
    <row r="83" spans="1:15" ht="13.5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</row>
    <row r="84" spans="1:15" ht="13.5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</row>
    <row r="85" spans="1:15" ht="13.5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</row>
    <row r="86" spans="1:15" ht="13.5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</row>
    <row r="87" spans="1:15" ht="13.5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</row>
    <row r="88" spans="1:15" ht="13.5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</row>
    <row r="89" spans="1:15" ht="13.5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</row>
    <row r="90" spans="1:15" ht="13.5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</row>
    <row r="91" spans="1:15" ht="13.5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</row>
  </sheetData>
  <protectedRanges>
    <protectedRange sqref="E6 H6 D8:D9 H8:H9 M8:M9" name="Rango1"/>
  </protectedRanges>
  <mergeCells count="18">
    <mergeCell ref="A7:B7"/>
    <mergeCell ref="F7:G7"/>
    <mergeCell ref="A3:O3"/>
    <mergeCell ref="M72:O72"/>
    <mergeCell ref="M9:O9"/>
    <mergeCell ref="M8:O8"/>
    <mergeCell ref="D9:E9"/>
    <mergeCell ref="A10:O10"/>
    <mergeCell ref="A8:B8"/>
    <mergeCell ref="A9:B9"/>
    <mergeCell ref="F9:G9"/>
    <mergeCell ref="D8:E8"/>
    <mergeCell ref="H8:I8"/>
    <mergeCell ref="A1:O1"/>
    <mergeCell ref="A2:O2"/>
    <mergeCell ref="A4:O4"/>
    <mergeCell ref="H6:O6"/>
    <mergeCell ref="A6:B6"/>
  </mergeCells>
  <phoneticPr fontId="6" type="noConversion"/>
  <pageMargins left="0.55118110236220474" right="0.55118110236220474" top="0.78740157480314965" bottom="0.78740157480314965" header="0" footer="0"/>
  <pageSetup scale="90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3073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4</xdr:col>
                <xdr:colOff>571500</xdr:colOff>
                <xdr:row>2</xdr:row>
                <xdr:rowOff>180975</xdr:rowOff>
              </to>
            </anchor>
          </objectPr>
        </oleObject>
      </mc:Choice>
      <mc:Fallback>
        <oleObject progId="Word.Picture.8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3BF3F-C41B-46A9-A16F-A20D3F0F7F02}">
  <dimension ref="A1:T122"/>
  <sheetViews>
    <sheetView topLeftCell="A7" workbookViewId="0">
      <selection activeCell="J24" sqref="J24"/>
    </sheetView>
  </sheetViews>
  <sheetFormatPr baseColWidth="10" defaultColWidth="11.42578125" defaultRowHeight="12.75"/>
  <cols>
    <col min="1" max="1" width="16.28515625" customWidth="1"/>
    <col min="2" max="2" width="26.140625" customWidth="1"/>
    <col min="3" max="3" width="26.7109375" customWidth="1"/>
    <col min="4" max="4" width="21.42578125" hidden="1" customWidth="1"/>
    <col min="5" max="5" width="21.140625" customWidth="1"/>
    <col min="6" max="6" width="0.140625" customWidth="1"/>
    <col min="7" max="7" width="25.42578125" customWidth="1"/>
    <col min="8" max="9" width="11.42578125" hidden="1" customWidth="1"/>
    <col min="10" max="10" width="28" customWidth="1"/>
    <col min="11" max="11" width="9.42578125" hidden="1" customWidth="1"/>
    <col min="12" max="12" width="15.42578125" customWidth="1"/>
    <col min="13" max="13" width="17" customWidth="1"/>
    <col min="14" max="14" width="0.140625" customWidth="1"/>
    <col min="15" max="15" width="23.7109375" customWidth="1"/>
    <col min="16" max="16" width="9.42578125" customWidth="1"/>
    <col min="18" max="18" width="12.85546875" bestFit="1" customWidth="1"/>
  </cols>
  <sheetData>
    <row r="1" spans="1:18" ht="15.95" customHeight="1">
      <c r="A1" s="325" t="s">
        <v>0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</row>
    <row r="2" spans="1:18" ht="15.95" customHeight="1">
      <c r="A2" s="325" t="s">
        <v>1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</row>
    <row r="3" spans="1:18" ht="15.95" customHeight="1">
      <c r="A3" s="325" t="s">
        <v>69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</row>
    <row r="4" spans="1:18" ht="15.95" customHeight="1">
      <c r="A4" s="325" t="s">
        <v>70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</row>
    <row r="5" spans="1:18" ht="15.75" thickBot="1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</row>
    <row r="6" spans="1:18" ht="15.75" thickBot="1">
      <c r="A6" s="55" t="s">
        <v>4</v>
      </c>
      <c r="B6" s="56"/>
      <c r="C6" s="56"/>
      <c r="D6" s="97"/>
      <c r="E6" s="297" t="s">
        <v>71</v>
      </c>
      <c r="F6" s="298"/>
      <c r="G6" s="298"/>
      <c r="H6" s="298"/>
      <c r="I6" s="298"/>
      <c r="J6" s="298"/>
      <c r="K6" s="57"/>
      <c r="L6" s="57"/>
      <c r="M6" s="57"/>
      <c r="N6" s="56"/>
    </row>
    <row r="7" spans="1:18" ht="16.5" thickBot="1">
      <c r="A7" s="1" t="s">
        <v>5</v>
      </c>
      <c r="B7" s="58"/>
      <c r="C7" s="58"/>
      <c r="D7" s="76"/>
      <c r="E7" s="322" t="s">
        <v>72</v>
      </c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4"/>
    </row>
    <row r="8" spans="1:18">
      <c r="A8" s="29" t="s">
        <v>10</v>
      </c>
      <c r="G8" s="69">
        <v>45530</v>
      </c>
      <c r="H8" s="14"/>
      <c r="I8" s="14"/>
    </row>
    <row r="9" spans="1:18" ht="15">
      <c r="A9" s="29"/>
      <c r="G9" s="12"/>
      <c r="H9" s="15"/>
      <c r="I9" s="15"/>
      <c r="J9" s="55" t="s">
        <v>73</v>
      </c>
      <c r="N9" s="4"/>
    </row>
    <row r="10" spans="1:18">
      <c r="A10" s="29" t="s">
        <v>8</v>
      </c>
      <c r="G10" s="72">
        <v>172000000</v>
      </c>
      <c r="H10" s="16"/>
      <c r="I10" s="16"/>
    </row>
    <row r="11" spans="1:18">
      <c r="A11" s="29" t="s">
        <v>13</v>
      </c>
      <c r="G11" s="72"/>
      <c r="H11" s="16"/>
      <c r="I11" s="16"/>
      <c r="N11" s="4"/>
    </row>
    <row r="12" spans="1:18" ht="13.5" thickBot="1">
      <c r="A12" s="29" t="s">
        <v>24</v>
      </c>
      <c r="G12" s="73">
        <v>45561</v>
      </c>
      <c r="H12" s="17"/>
      <c r="I12" s="17"/>
    </row>
    <row r="13" spans="1:18" ht="42.75" customHeight="1" thickBot="1">
      <c r="A13" s="28" t="s">
        <v>25</v>
      </c>
      <c r="B13" s="28" t="s">
        <v>26</v>
      </c>
      <c r="C13" s="28" t="s">
        <v>74</v>
      </c>
      <c r="D13" s="28" t="s">
        <v>27</v>
      </c>
      <c r="E13" s="28" t="s">
        <v>27</v>
      </c>
      <c r="F13" s="28"/>
      <c r="G13" s="28" t="s">
        <v>75</v>
      </c>
      <c r="H13" s="28" t="s">
        <v>76</v>
      </c>
      <c r="I13" s="28"/>
      <c r="J13" s="28" t="s">
        <v>29</v>
      </c>
      <c r="K13" s="28" t="s">
        <v>30</v>
      </c>
      <c r="L13" s="28" t="s">
        <v>77</v>
      </c>
      <c r="M13" s="28" t="s">
        <v>31</v>
      </c>
      <c r="N13" s="28" t="s">
        <v>32</v>
      </c>
      <c r="O13" s="137" t="s">
        <v>32</v>
      </c>
      <c r="P13" s="98" t="s">
        <v>64</v>
      </c>
    </row>
    <row r="14" spans="1:18">
      <c r="A14" s="134">
        <v>45565</v>
      </c>
      <c r="B14" s="106"/>
      <c r="C14" s="121">
        <v>0.28849999999999998</v>
      </c>
      <c r="D14" s="62">
        <f>(G10)</f>
        <v>172000000</v>
      </c>
      <c r="E14" s="62">
        <f t="shared" ref="E14:E19" si="0">IF(D14&gt;=0,D14,0)</f>
        <v>172000000</v>
      </c>
      <c r="F14" s="62">
        <f t="shared" ref="F14:F19" si="1">(B14-J14)</f>
        <v>0</v>
      </c>
      <c r="G14" s="62">
        <f t="shared" ref="G14:G19" si="2">IF(F14&gt;=E14,E14,F14)</f>
        <v>0</v>
      </c>
      <c r="H14" s="62">
        <f>IF(M14&gt;=B14,B14,M14)</f>
        <v>0</v>
      </c>
      <c r="I14" s="62">
        <f>(M14-H14)</f>
        <v>543802.73972602736</v>
      </c>
      <c r="J14" s="62">
        <f>(H14)</f>
        <v>0</v>
      </c>
      <c r="K14" s="63">
        <f>(A14-G12)</f>
        <v>4</v>
      </c>
      <c r="L14" s="63">
        <f t="shared" ref="L14:L19" si="3">IF(K14&gt;0,K14,0)</f>
        <v>4</v>
      </c>
      <c r="M14" s="62">
        <f>(E14*L14*C14)/365+$G$11</f>
        <v>543802.73972602736</v>
      </c>
      <c r="N14" s="62">
        <f>(D14+M14-B14)</f>
        <v>172543802.73972604</v>
      </c>
      <c r="O14" s="145">
        <f t="shared" ref="O14:O19" si="4">IF(A14&gt;0,N14,0)</f>
        <v>172543802.73972604</v>
      </c>
      <c r="P14" s="124">
        <v>1</v>
      </c>
      <c r="Q14" s="99"/>
    </row>
    <row r="15" spans="1:18" ht="13.5" thickBot="1">
      <c r="A15" s="134">
        <v>45595</v>
      </c>
      <c r="B15" s="106"/>
      <c r="C15" s="121">
        <v>0.28170000000000001</v>
      </c>
      <c r="D15" s="107">
        <f t="shared" ref="D15:D19" si="5">IF(O14&gt;=D14,D14,O14)</f>
        <v>172000000</v>
      </c>
      <c r="E15" s="111">
        <f t="shared" si="0"/>
        <v>172000000</v>
      </c>
      <c r="F15" s="108">
        <f t="shared" si="1"/>
        <v>0</v>
      </c>
      <c r="G15" s="108">
        <f t="shared" si="2"/>
        <v>0</v>
      </c>
      <c r="H15" s="108">
        <f>(I14+M15)</f>
        <v>4526191.7808219176</v>
      </c>
      <c r="I15" s="108">
        <f t="shared" ref="I15:I19" si="6">IF(H15&gt;=B15,B15,H15)</f>
        <v>0</v>
      </c>
      <c r="J15" s="108">
        <f t="shared" ref="J15:J19" si="7">(I15)</f>
        <v>0</v>
      </c>
      <c r="K15" s="109">
        <f t="shared" ref="K15:K19" si="8">(A15-A14)</f>
        <v>30</v>
      </c>
      <c r="L15" s="109">
        <f t="shared" si="3"/>
        <v>30</v>
      </c>
      <c r="M15" s="111">
        <f t="shared" ref="M15:M19" si="9">(E15*L15*C15)/365</f>
        <v>3982389.0410958906</v>
      </c>
      <c r="N15" s="108">
        <f t="shared" ref="N15:N19" si="10">(N14+M15-B15)</f>
        <v>176526191.78082192</v>
      </c>
      <c r="O15" s="123">
        <f t="shared" si="4"/>
        <v>176526191.78082192</v>
      </c>
      <c r="P15" s="125"/>
      <c r="Q15" s="130"/>
      <c r="R15" s="131"/>
    </row>
    <row r="16" spans="1:18">
      <c r="A16" s="134"/>
      <c r="B16" s="106"/>
      <c r="C16" s="121"/>
      <c r="D16" s="59">
        <f t="shared" si="5"/>
        <v>172000000</v>
      </c>
      <c r="E16" s="59">
        <f t="shared" si="0"/>
        <v>172000000</v>
      </c>
      <c r="F16" s="59">
        <f t="shared" si="1"/>
        <v>0</v>
      </c>
      <c r="G16" s="59">
        <f t="shared" si="2"/>
        <v>0</v>
      </c>
      <c r="H16" s="59">
        <f t="shared" ref="H16:H19" si="11">(H15+M16-I15)</f>
        <v>4526191.7808219176</v>
      </c>
      <c r="I16" s="59">
        <f t="shared" si="6"/>
        <v>0</v>
      </c>
      <c r="J16" s="59">
        <f t="shared" si="7"/>
        <v>0</v>
      </c>
      <c r="K16" s="60">
        <f t="shared" si="8"/>
        <v>-45595</v>
      </c>
      <c r="L16" s="60">
        <f t="shared" si="3"/>
        <v>0</v>
      </c>
      <c r="M16" s="111">
        <f t="shared" si="9"/>
        <v>0</v>
      </c>
      <c r="N16" s="59">
        <f t="shared" si="10"/>
        <v>176526191.78082192</v>
      </c>
      <c r="O16" s="123">
        <f t="shared" si="4"/>
        <v>0</v>
      </c>
      <c r="P16" s="124"/>
      <c r="Q16" s="99"/>
    </row>
    <row r="17" spans="1:20">
      <c r="A17" s="134"/>
      <c r="B17" s="106"/>
      <c r="C17" s="121"/>
      <c r="D17" s="59">
        <f t="shared" si="5"/>
        <v>0</v>
      </c>
      <c r="E17" s="59">
        <f t="shared" si="0"/>
        <v>0</v>
      </c>
      <c r="F17" s="59">
        <f t="shared" si="1"/>
        <v>0</v>
      </c>
      <c r="G17" s="59">
        <f t="shared" si="2"/>
        <v>0</v>
      </c>
      <c r="H17" s="59">
        <f t="shared" si="11"/>
        <v>4526191.7808219176</v>
      </c>
      <c r="I17" s="59">
        <f t="shared" si="6"/>
        <v>0</v>
      </c>
      <c r="J17" s="59">
        <f t="shared" si="7"/>
        <v>0</v>
      </c>
      <c r="K17" s="60">
        <f t="shared" si="8"/>
        <v>0</v>
      </c>
      <c r="L17" s="60">
        <f t="shared" si="3"/>
        <v>0</v>
      </c>
      <c r="M17" s="59">
        <f t="shared" si="9"/>
        <v>0</v>
      </c>
      <c r="N17" s="59">
        <f t="shared" si="10"/>
        <v>176526191.78082192</v>
      </c>
      <c r="O17" s="123">
        <f t="shared" si="4"/>
        <v>0</v>
      </c>
      <c r="P17" s="125"/>
      <c r="Q17" s="100"/>
    </row>
    <row r="18" spans="1:20" ht="13.5" thickBot="1">
      <c r="A18" s="134"/>
      <c r="B18" s="106"/>
      <c r="C18" s="121"/>
      <c r="D18" s="59">
        <f t="shared" si="5"/>
        <v>0</v>
      </c>
      <c r="E18" s="59">
        <f t="shared" si="0"/>
        <v>0</v>
      </c>
      <c r="F18" s="59">
        <f t="shared" si="1"/>
        <v>0</v>
      </c>
      <c r="G18" s="59">
        <f t="shared" si="2"/>
        <v>0</v>
      </c>
      <c r="H18" s="59">
        <f t="shared" si="11"/>
        <v>4526191.7808219176</v>
      </c>
      <c r="I18" s="59">
        <f t="shared" si="6"/>
        <v>0</v>
      </c>
      <c r="J18" s="59">
        <f t="shared" si="7"/>
        <v>0</v>
      </c>
      <c r="K18" s="60">
        <f t="shared" si="8"/>
        <v>0</v>
      </c>
      <c r="L18" s="60">
        <f t="shared" si="3"/>
        <v>0</v>
      </c>
      <c r="M18" s="59">
        <f t="shared" si="9"/>
        <v>0</v>
      </c>
      <c r="N18" s="59">
        <f t="shared" si="10"/>
        <v>176526191.78082192</v>
      </c>
      <c r="O18" s="123">
        <f t="shared" si="4"/>
        <v>0</v>
      </c>
      <c r="P18" s="125"/>
      <c r="Q18" s="100"/>
    </row>
    <row r="19" spans="1:20" ht="13.5" thickBot="1">
      <c r="A19" s="134"/>
      <c r="B19" s="106"/>
      <c r="C19" s="121"/>
      <c r="D19" s="59">
        <f t="shared" si="5"/>
        <v>0</v>
      </c>
      <c r="E19" s="59">
        <f t="shared" si="0"/>
        <v>0</v>
      </c>
      <c r="F19" s="59">
        <f t="shared" si="1"/>
        <v>0</v>
      </c>
      <c r="G19" s="59">
        <f t="shared" si="2"/>
        <v>0</v>
      </c>
      <c r="H19" s="59">
        <f t="shared" si="11"/>
        <v>4526191.7808219176</v>
      </c>
      <c r="I19" s="59">
        <f t="shared" si="6"/>
        <v>0</v>
      </c>
      <c r="J19" s="59">
        <f t="shared" si="7"/>
        <v>0</v>
      </c>
      <c r="K19" s="60">
        <f t="shared" si="8"/>
        <v>0</v>
      </c>
      <c r="L19" s="60">
        <f t="shared" si="3"/>
        <v>0</v>
      </c>
      <c r="M19" s="59">
        <f t="shared" si="9"/>
        <v>0</v>
      </c>
      <c r="N19" s="59">
        <f t="shared" si="10"/>
        <v>176526191.78082192</v>
      </c>
      <c r="O19" s="123">
        <f t="shared" si="4"/>
        <v>0</v>
      </c>
      <c r="P19" s="124"/>
      <c r="Q19" s="100"/>
    </row>
    <row r="20" spans="1:20" ht="13.5" thickBot="1">
      <c r="A20" s="81" t="s">
        <v>33</v>
      </c>
      <c r="B20" s="82">
        <f>SUM(B14:B17)</f>
        <v>0</v>
      </c>
      <c r="C20" s="82"/>
      <c r="D20" s="83"/>
      <c r="E20" s="82"/>
      <c r="F20" s="83"/>
      <c r="G20" s="82">
        <f>SUM(G14:G17)</f>
        <v>0</v>
      </c>
      <c r="H20" s="82"/>
      <c r="I20" s="82"/>
      <c r="J20" s="82">
        <f>SUM(J14:J17)</f>
        <v>0</v>
      </c>
      <c r="K20" s="82"/>
      <c r="L20" s="82"/>
      <c r="M20" s="82">
        <f>SUM(M14:M19)</f>
        <v>4526191.7808219176</v>
      </c>
      <c r="N20" s="83"/>
      <c r="O20" s="82"/>
      <c r="P20" s="64"/>
    </row>
    <row r="21" spans="1:20">
      <c r="A21" s="71"/>
      <c r="E21" s="66"/>
      <c r="M21" s="102"/>
    </row>
    <row r="22" spans="1:20">
      <c r="A22" s="61" t="s">
        <v>17</v>
      </c>
      <c r="M22" s="101"/>
    </row>
    <row r="23" spans="1:20">
      <c r="A23" s="61"/>
      <c r="C23" s="117"/>
      <c r="G23" s="117" t="s">
        <v>9</v>
      </c>
      <c r="H23" s="117"/>
      <c r="I23" s="117"/>
      <c r="J23" s="128"/>
      <c r="K23" s="117"/>
      <c r="L23" s="117"/>
      <c r="M23" s="101"/>
      <c r="T23" s="71"/>
    </row>
    <row r="24" spans="1:20" ht="15">
      <c r="A24" s="55" t="s">
        <v>73</v>
      </c>
      <c r="C24" s="66"/>
      <c r="E24" s="112"/>
      <c r="G24" s="66">
        <v>800000000</v>
      </c>
      <c r="M24" s="101"/>
      <c r="T24" s="71"/>
    </row>
    <row r="25" spans="1:20" ht="15">
      <c r="A25" s="71" t="s">
        <v>78</v>
      </c>
      <c r="B25" s="56"/>
      <c r="C25" s="122"/>
      <c r="D25" s="55"/>
      <c r="E25" s="113"/>
      <c r="G25" s="66">
        <v>0</v>
      </c>
      <c r="J25" s="101"/>
      <c r="M25" s="101"/>
      <c r="T25" s="71"/>
    </row>
    <row r="26" spans="1:20" ht="15">
      <c r="A26" s="71" t="s">
        <v>79</v>
      </c>
      <c r="B26" s="56"/>
      <c r="C26" s="122"/>
      <c r="D26" s="55"/>
      <c r="E26" s="113"/>
      <c r="G26" s="66">
        <f>G24*21.5/100</f>
        <v>172000000</v>
      </c>
      <c r="J26" s="101"/>
      <c r="T26" s="71"/>
    </row>
    <row r="27" spans="1:20" ht="15.75">
      <c r="A27" s="61" t="s">
        <v>80</v>
      </c>
      <c r="B27" s="55"/>
      <c r="C27" s="133"/>
      <c r="D27" s="1"/>
      <c r="E27" s="66"/>
      <c r="G27" s="148">
        <f>G26</f>
        <v>172000000</v>
      </c>
      <c r="J27" s="3"/>
      <c r="K27" s="102"/>
    </row>
    <row r="28" spans="1:20" ht="15.75">
      <c r="A28" s="71"/>
      <c r="B28" s="55"/>
      <c r="C28" s="133"/>
      <c r="D28" s="1"/>
      <c r="E28" s="66"/>
      <c r="G28" s="66"/>
      <c r="J28" s="3"/>
      <c r="K28" s="102"/>
    </row>
    <row r="29" spans="1:20" ht="15.75">
      <c r="A29" s="142" t="s">
        <v>81</v>
      </c>
      <c r="B29" s="142"/>
      <c r="C29" s="143"/>
      <c r="D29" s="142"/>
      <c r="E29" s="143"/>
      <c r="F29" s="142"/>
      <c r="G29" s="143">
        <f>+G27-G28</f>
        <v>172000000</v>
      </c>
      <c r="J29" s="3"/>
      <c r="K29" s="102"/>
    </row>
    <row r="30" spans="1:20" ht="15.75">
      <c r="A30" s="1" t="s">
        <v>237</v>
      </c>
      <c r="G30" s="1">
        <v>0</v>
      </c>
      <c r="I30" s="66"/>
      <c r="J30" s="66"/>
      <c r="K30" s="66"/>
      <c r="L30" s="66"/>
    </row>
    <row r="34" spans="1:17" ht="15">
      <c r="Q34" s="104"/>
    </row>
    <row r="35" spans="1:17" ht="15">
      <c r="J35" s="55"/>
    </row>
    <row r="36" spans="1:17" ht="15.75">
      <c r="A36" s="56"/>
      <c r="G36" s="1"/>
      <c r="J36" s="56"/>
    </row>
    <row r="37" spans="1:17" ht="15.75">
      <c r="A37" s="56"/>
      <c r="G37" s="56"/>
      <c r="J37" s="1" t="s">
        <v>37</v>
      </c>
    </row>
    <row r="38" spans="1:17" ht="15.75">
      <c r="A38" s="56" t="s">
        <v>38</v>
      </c>
      <c r="G38" s="1"/>
      <c r="J38" s="56" t="s">
        <v>39</v>
      </c>
    </row>
    <row r="39" spans="1:17" ht="15.75">
      <c r="A39" s="56"/>
      <c r="G39" s="1"/>
      <c r="J39" s="56"/>
    </row>
    <row r="40" spans="1:17" ht="18.75" customHeight="1">
      <c r="A40" s="56"/>
      <c r="G40" s="56"/>
      <c r="J40" s="56"/>
    </row>
    <row r="41" spans="1:17" ht="15">
      <c r="A41" s="325" t="s">
        <v>0</v>
      </c>
      <c r="B41" s="325"/>
      <c r="C41" s="325"/>
      <c r="D41" s="325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325"/>
    </row>
    <row r="42" spans="1:17" ht="15">
      <c r="A42" s="325" t="s">
        <v>1</v>
      </c>
      <c r="B42" s="325"/>
      <c r="C42" s="325"/>
      <c r="D42" s="325"/>
      <c r="E42" s="325"/>
      <c r="F42" s="325"/>
      <c r="G42" s="325"/>
      <c r="H42" s="325"/>
      <c r="I42" s="325"/>
      <c r="J42" s="325"/>
      <c r="K42" s="325"/>
      <c r="L42" s="325"/>
      <c r="M42" s="325"/>
      <c r="N42" s="325"/>
      <c r="O42" s="325"/>
      <c r="P42" s="325"/>
    </row>
    <row r="43" spans="1:17" ht="15">
      <c r="A43" s="325" t="s">
        <v>69</v>
      </c>
      <c r="B43" s="325"/>
      <c r="C43" s="325"/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</row>
    <row r="44" spans="1:17" ht="15">
      <c r="A44" s="325" t="s">
        <v>70</v>
      </c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</row>
    <row r="45" spans="1:17" ht="15.75" thickBot="1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</row>
    <row r="46" spans="1:17" ht="15.75" thickBot="1">
      <c r="A46" s="55" t="s">
        <v>4</v>
      </c>
      <c r="B46" s="56"/>
      <c r="C46" s="56"/>
      <c r="D46" s="97"/>
      <c r="E46" s="297" t="s">
        <v>40</v>
      </c>
      <c r="F46" s="298"/>
      <c r="G46" s="298"/>
      <c r="H46" s="298"/>
      <c r="I46" s="298"/>
      <c r="J46" s="298"/>
      <c r="K46" s="57"/>
      <c r="L46" s="57"/>
      <c r="M46" s="57"/>
      <c r="N46" s="56"/>
    </row>
    <row r="47" spans="1:17" ht="16.5" thickBot="1">
      <c r="A47" s="1" t="s">
        <v>5</v>
      </c>
      <c r="B47" s="58"/>
      <c r="C47" s="58"/>
      <c r="D47" s="76"/>
      <c r="E47" s="322" t="s">
        <v>72</v>
      </c>
      <c r="F47" s="323"/>
      <c r="G47" s="323"/>
      <c r="H47" s="323"/>
      <c r="I47" s="323"/>
      <c r="J47" s="323"/>
      <c r="K47" s="323"/>
      <c r="L47" s="323"/>
      <c r="M47" s="323"/>
      <c r="N47" s="323"/>
      <c r="O47" s="323"/>
      <c r="P47" s="324"/>
    </row>
    <row r="48" spans="1:17">
      <c r="A48" s="29" t="s">
        <v>10</v>
      </c>
      <c r="G48" s="69">
        <v>45530</v>
      </c>
      <c r="H48" s="14"/>
      <c r="I48" s="14"/>
    </row>
    <row r="49" spans="1:16" ht="15">
      <c r="A49" s="29"/>
      <c r="G49" s="12"/>
      <c r="H49" s="15"/>
      <c r="I49" s="15"/>
      <c r="J49" s="55" t="s">
        <v>82</v>
      </c>
      <c r="N49" s="4"/>
    </row>
    <row r="50" spans="1:16">
      <c r="A50" s="29" t="s">
        <v>8</v>
      </c>
      <c r="G50" s="72">
        <v>215000000</v>
      </c>
      <c r="H50" s="16"/>
      <c r="I50" s="16"/>
    </row>
    <row r="51" spans="1:16">
      <c r="A51" s="29" t="s">
        <v>13</v>
      </c>
      <c r="G51" s="72"/>
      <c r="H51" s="16"/>
      <c r="I51" s="16"/>
      <c r="N51" s="4"/>
    </row>
    <row r="52" spans="1:16" ht="13.5" thickBot="1">
      <c r="A52" s="29" t="s">
        <v>24</v>
      </c>
      <c r="G52" s="73">
        <v>45561</v>
      </c>
      <c r="H52" s="17"/>
      <c r="I52" s="17"/>
    </row>
    <row r="53" spans="1:16" ht="31.5" customHeight="1" thickBot="1">
      <c r="A53" s="28" t="s">
        <v>25</v>
      </c>
      <c r="B53" s="28" t="s">
        <v>26</v>
      </c>
      <c r="C53" s="28" t="s">
        <v>74</v>
      </c>
      <c r="D53" s="28" t="s">
        <v>27</v>
      </c>
      <c r="E53" s="28" t="s">
        <v>27</v>
      </c>
      <c r="F53" s="28"/>
      <c r="G53" s="28" t="s">
        <v>75</v>
      </c>
      <c r="H53" s="28" t="s">
        <v>76</v>
      </c>
      <c r="I53" s="28"/>
      <c r="J53" s="28" t="s">
        <v>29</v>
      </c>
      <c r="K53" s="28" t="s">
        <v>30</v>
      </c>
      <c r="L53" s="28" t="s">
        <v>77</v>
      </c>
      <c r="M53" s="28" t="s">
        <v>31</v>
      </c>
      <c r="N53" s="28" t="s">
        <v>32</v>
      </c>
      <c r="O53" s="137" t="s">
        <v>32</v>
      </c>
      <c r="P53" s="98" t="s">
        <v>64</v>
      </c>
    </row>
    <row r="54" spans="1:16" ht="18">
      <c r="A54" s="134">
        <v>45559</v>
      </c>
      <c r="B54" s="106">
        <v>215000000</v>
      </c>
      <c r="C54" s="121">
        <v>0.28849999999999998</v>
      </c>
      <c r="D54" s="62">
        <f>(G50)</f>
        <v>215000000</v>
      </c>
      <c r="E54" s="62">
        <f t="shared" ref="E54:E59" si="12">IF(D54&gt;=0,D54,0)</f>
        <v>215000000</v>
      </c>
      <c r="F54" s="62">
        <f t="shared" ref="F54:F59" si="13">(B54-J54)</f>
        <v>215000000</v>
      </c>
      <c r="G54" s="62">
        <f t="shared" ref="G54:G59" si="14">IF(F54&gt;=E54,E54,F54)</f>
        <v>215000000</v>
      </c>
      <c r="H54" s="62">
        <f>IF(M54&gt;=B54,B54,M54)</f>
        <v>0</v>
      </c>
      <c r="I54" s="62">
        <f>(M54-H54)</f>
        <v>0</v>
      </c>
      <c r="J54" s="62">
        <f>(H54)</f>
        <v>0</v>
      </c>
      <c r="K54" s="63">
        <f>(A54-G52)</f>
        <v>-2</v>
      </c>
      <c r="L54" s="63">
        <f t="shared" ref="L54:L59" si="15">IF(K54&gt;0,K54,0)</f>
        <v>0</v>
      </c>
      <c r="M54" s="62">
        <f>(E54*L54*C54)/365+$G$11</f>
        <v>0</v>
      </c>
      <c r="N54" s="62">
        <f>(D54+M54-B54)</f>
        <v>0</v>
      </c>
      <c r="O54" s="204">
        <f t="shared" ref="O54:O59" si="16">IF(A54&gt;0,N54,0)</f>
        <v>0</v>
      </c>
      <c r="P54" s="124">
        <v>1</v>
      </c>
    </row>
    <row r="55" spans="1:16" ht="13.5" thickBot="1">
      <c r="A55" s="134"/>
      <c r="B55" s="106"/>
      <c r="C55" s="121"/>
      <c r="D55" s="107">
        <f t="shared" ref="D55:D59" si="17">IF(O54&gt;=D54,D54,O54)</f>
        <v>0</v>
      </c>
      <c r="E55" s="111">
        <f t="shared" si="12"/>
        <v>0</v>
      </c>
      <c r="F55" s="108">
        <f t="shared" si="13"/>
        <v>0</v>
      </c>
      <c r="G55" s="108">
        <f t="shared" si="14"/>
        <v>0</v>
      </c>
      <c r="H55" s="108">
        <f>(I54+M55)</f>
        <v>0</v>
      </c>
      <c r="I55" s="108">
        <f t="shared" ref="I55:I59" si="18">IF(H55&gt;=B55,B55,H55)</f>
        <v>0</v>
      </c>
      <c r="J55" s="108">
        <f t="shared" ref="J55:J59" si="19">(I55)</f>
        <v>0</v>
      </c>
      <c r="K55" s="109">
        <f t="shared" ref="K55:K59" si="20">(A55-A54)</f>
        <v>-45559</v>
      </c>
      <c r="L55" s="109">
        <f t="shared" si="15"/>
        <v>0</v>
      </c>
      <c r="M55" s="111">
        <f t="shared" ref="M55:M59" si="21">(E55*L55*C55)/365</f>
        <v>0</v>
      </c>
      <c r="N55" s="108">
        <f t="shared" ref="N55:N59" si="22">(N54+M55-B55)</f>
        <v>0</v>
      </c>
      <c r="O55" s="123">
        <f t="shared" si="16"/>
        <v>0</v>
      </c>
      <c r="P55" s="125"/>
    </row>
    <row r="56" spans="1:16">
      <c r="A56" s="134"/>
      <c r="B56" s="106"/>
      <c r="C56" s="121"/>
      <c r="D56" s="59">
        <f t="shared" si="17"/>
        <v>0</v>
      </c>
      <c r="E56" s="59">
        <f t="shared" si="12"/>
        <v>0</v>
      </c>
      <c r="F56" s="59">
        <f t="shared" si="13"/>
        <v>0</v>
      </c>
      <c r="G56" s="59">
        <f t="shared" si="14"/>
        <v>0</v>
      </c>
      <c r="H56" s="59">
        <f t="shared" ref="H56:H59" si="23">(H55+M56-I55)</f>
        <v>0</v>
      </c>
      <c r="I56" s="59">
        <f t="shared" si="18"/>
        <v>0</v>
      </c>
      <c r="J56" s="59">
        <f t="shared" si="19"/>
        <v>0</v>
      </c>
      <c r="K56" s="60">
        <f t="shared" si="20"/>
        <v>0</v>
      </c>
      <c r="L56" s="60">
        <f t="shared" si="15"/>
        <v>0</v>
      </c>
      <c r="M56" s="111">
        <f t="shared" si="21"/>
        <v>0</v>
      </c>
      <c r="N56" s="59">
        <f t="shared" si="22"/>
        <v>0</v>
      </c>
      <c r="O56" s="123">
        <f t="shared" si="16"/>
        <v>0</v>
      </c>
      <c r="P56" s="124"/>
    </row>
    <row r="57" spans="1:16">
      <c r="A57" s="134"/>
      <c r="B57" s="106"/>
      <c r="C57" s="121"/>
      <c r="D57" s="59">
        <f t="shared" si="17"/>
        <v>0</v>
      </c>
      <c r="E57" s="59">
        <f t="shared" si="12"/>
        <v>0</v>
      </c>
      <c r="F57" s="59">
        <f t="shared" si="13"/>
        <v>0</v>
      </c>
      <c r="G57" s="59">
        <f t="shared" si="14"/>
        <v>0</v>
      </c>
      <c r="H57" s="59">
        <f t="shared" si="23"/>
        <v>0</v>
      </c>
      <c r="I57" s="59">
        <f t="shared" si="18"/>
        <v>0</v>
      </c>
      <c r="J57" s="59">
        <f t="shared" si="19"/>
        <v>0</v>
      </c>
      <c r="K57" s="60">
        <f t="shared" si="20"/>
        <v>0</v>
      </c>
      <c r="L57" s="60">
        <f t="shared" si="15"/>
        <v>0</v>
      </c>
      <c r="M57" s="59">
        <f t="shared" si="21"/>
        <v>0</v>
      </c>
      <c r="N57" s="59">
        <f t="shared" si="22"/>
        <v>0</v>
      </c>
      <c r="O57" s="123">
        <f t="shared" si="16"/>
        <v>0</v>
      </c>
      <c r="P57" s="125"/>
    </row>
    <row r="58" spans="1:16" ht="13.5" thickBot="1">
      <c r="A58" s="134"/>
      <c r="B58" s="106"/>
      <c r="C58" s="121"/>
      <c r="D58" s="59">
        <f t="shared" si="17"/>
        <v>0</v>
      </c>
      <c r="E58" s="59">
        <f t="shared" si="12"/>
        <v>0</v>
      </c>
      <c r="F58" s="59">
        <f t="shared" si="13"/>
        <v>0</v>
      </c>
      <c r="G58" s="59">
        <f t="shared" si="14"/>
        <v>0</v>
      </c>
      <c r="H58" s="59">
        <f t="shared" si="23"/>
        <v>0</v>
      </c>
      <c r="I58" s="59">
        <f t="shared" si="18"/>
        <v>0</v>
      </c>
      <c r="J58" s="59">
        <f t="shared" si="19"/>
        <v>0</v>
      </c>
      <c r="K58" s="60">
        <f t="shared" si="20"/>
        <v>0</v>
      </c>
      <c r="L58" s="60">
        <f t="shared" si="15"/>
        <v>0</v>
      </c>
      <c r="M58" s="59">
        <f t="shared" si="21"/>
        <v>0</v>
      </c>
      <c r="N58" s="59">
        <f t="shared" si="22"/>
        <v>0</v>
      </c>
      <c r="O58" s="123">
        <f t="shared" si="16"/>
        <v>0</v>
      </c>
      <c r="P58" s="125"/>
    </row>
    <row r="59" spans="1:16" ht="13.5" thickBot="1">
      <c r="A59" s="134"/>
      <c r="B59" s="106"/>
      <c r="C59" s="121"/>
      <c r="D59" s="59">
        <f t="shared" si="17"/>
        <v>0</v>
      </c>
      <c r="E59" s="59">
        <f t="shared" si="12"/>
        <v>0</v>
      </c>
      <c r="F59" s="59">
        <f t="shared" si="13"/>
        <v>0</v>
      </c>
      <c r="G59" s="59">
        <f t="shared" si="14"/>
        <v>0</v>
      </c>
      <c r="H59" s="59">
        <f t="shared" si="23"/>
        <v>0</v>
      </c>
      <c r="I59" s="59">
        <f t="shared" si="18"/>
        <v>0</v>
      </c>
      <c r="J59" s="59">
        <f t="shared" si="19"/>
        <v>0</v>
      </c>
      <c r="K59" s="60">
        <f t="shared" si="20"/>
        <v>0</v>
      </c>
      <c r="L59" s="60">
        <f t="shared" si="15"/>
        <v>0</v>
      </c>
      <c r="M59" s="59">
        <f t="shared" si="21"/>
        <v>0</v>
      </c>
      <c r="N59" s="59">
        <f t="shared" si="22"/>
        <v>0</v>
      </c>
      <c r="O59" s="123">
        <f t="shared" si="16"/>
        <v>0</v>
      </c>
      <c r="P59" s="124"/>
    </row>
    <row r="60" spans="1:16" ht="13.5" thickBot="1">
      <c r="A60" s="81" t="s">
        <v>33</v>
      </c>
      <c r="B60" s="82">
        <f>SUM(B54:B57)</f>
        <v>215000000</v>
      </c>
      <c r="C60" s="82"/>
      <c r="D60" s="83"/>
      <c r="E60" s="82"/>
      <c r="F60" s="83"/>
      <c r="G60" s="82">
        <f>SUM(G54:G57)</f>
        <v>215000000</v>
      </c>
      <c r="H60" s="82"/>
      <c r="I60" s="82"/>
      <c r="J60" s="82">
        <f>SUM(J54:J57)</f>
        <v>0</v>
      </c>
      <c r="K60" s="82"/>
      <c r="L60" s="82"/>
      <c r="M60" s="82">
        <f>SUM(M54:M59)</f>
        <v>0</v>
      </c>
      <c r="N60" s="83"/>
      <c r="O60" s="82"/>
      <c r="P60" s="64"/>
    </row>
    <row r="61" spans="1:16">
      <c r="A61" s="71"/>
      <c r="E61" s="66"/>
      <c r="M61" s="102"/>
    </row>
    <row r="62" spans="1:16">
      <c r="A62" s="61" t="s">
        <v>17</v>
      </c>
      <c r="M62" s="101"/>
    </row>
    <row r="63" spans="1:16">
      <c r="A63" s="61"/>
      <c r="C63" s="117"/>
      <c r="G63" s="117" t="s">
        <v>9</v>
      </c>
      <c r="H63" s="117"/>
      <c r="I63" s="117"/>
      <c r="J63" s="128"/>
      <c r="K63" s="117"/>
      <c r="L63" s="117"/>
      <c r="M63" s="101"/>
    </row>
    <row r="64" spans="1:16" ht="15">
      <c r="A64" s="55" t="s">
        <v>82</v>
      </c>
      <c r="C64" s="66"/>
      <c r="E64" s="112"/>
      <c r="G64" s="66">
        <v>1000000000</v>
      </c>
      <c r="M64" s="101"/>
    </row>
    <row r="65" spans="1:13" ht="15">
      <c r="A65" s="71" t="s">
        <v>78</v>
      </c>
      <c r="B65" s="56"/>
      <c r="C65" s="122"/>
      <c r="D65" s="55"/>
      <c r="E65" s="113"/>
      <c r="G65" s="66">
        <v>0</v>
      </c>
      <c r="J65" s="101">
        <f>G64-G65</f>
        <v>1000000000</v>
      </c>
      <c r="M65" s="101"/>
    </row>
    <row r="66" spans="1:13" ht="15">
      <c r="A66" s="71" t="s">
        <v>79</v>
      </c>
      <c r="B66" s="56"/>
      <c r="C66" s="122"/>
      <c r="D66" s="55"/>
      <c r="E66" s="113"/>
      <c r="G66" s="66">
        <f>J65*21.5/100</f>
        <v>215000000</v>
      </c>
      <c r="J66" s="101"/>
    </row>
    <row r="67" spans="1:13" ht="15.75">
      <c r="A67" s="61" t="s">
        <v>80</v>
      </c>
      <c r="B67" s="55"/>
      <c r="C67" s="133"/>
      <c r="D67" s="1"/>
      <c r="E67" s="66"/>
      <c r="G67" s="148">
        <f>G66</f>
        <v>215000000</v>
      </c>
      <c r="J67" s="3"/>
      <c r="K67" s="102"/>
    </row>
    <row r="68" spans="1:13" ht="15.75">
      <c r="A68" s="71" t="s">
        <v>153</v>
      </c>
      <c r="B68" s="55"/>
      <c r="C68" s="133"/>
      <c r="D68" s="1"/>
      <c r="E68" s="66"/>
      <c r="G68" s="66">
        <v>215000000</v>
      </c>
      <c r="J68" s="3"/>
      <c r="K68" s="102"/>
    </row>
    <row r="69" spans="1:13" ht="15.75">
      <c r="A69" s="142" t="s">
        <v>81</v>
      </c>
      <c r="B69" s="142"/>
      <c r="C69" s="143"/>
      <c r="D69" s="142"/>
      <c r="E69" s="143"/>
      <c r="F69" s="142"/>
      <c r="G69" s="143">
        <f>+G67-G68</f>
        <v>0</v>
      </c>
      <c r="J69" s="3"/>
      <c r="K69" s="102"/>
    </row>
    <row r="70" spans="1:13">
      <c r="I70" s="66"/>
      <c r="J70" s="66"/>
      <c r="K70" s="66"/>
      <c r="L70" s="66"/>
    </row>
    <row r="75" spans="1:13" ht="15">
      <c r="J75" s="55"/>
    </row>
    <row r="76" spans="1:13" ht="15.75">
      <c r="A76" s="56"/>
      <c r="G76" s="1"/>
      <c r="J76" s="56"/>
    </row>
    <row r="77" spans="1:13" ht="15.75">
      <c r="A77" s="56"/>
      <c r="G77" s="56"/>
      <c r="J77" s="1" t="s">
        <v>37</v>
      </c>
    </row>
    <row r="78" spans="1:13" ht="15.75">
      <c r="A78" s="56" t="s">
        <v>38</v>
      </c>
      <c r="G78" s="1"/>
      <c r="J78" s="56" t="s">
        <v>39</v>
      </c>
    </row>
    <row r="81" spans="1:16" ht="15">
      <c r="A81" s="325" t="s">
        <v>0</v>
      </c>
      <c r="B81" s="325"/>
      <c r="C81" s="325"/>
      <c r="D81" s="325"/>
      <c r="E81" s="325"/>
      <c r="F81" s="325"/>
      <c r="G81" s="325"/>
      <c r="H81" s="325"/>
      <c r="I81" s="325"/>
      <c r="J81" s="325"/>
      <c r="K81" s="325"/>
      <c r="L81" s="325"/>
      <c r="M81" s="325"/>
      <c r="N81" s="325"/>
      <c r="O81" s="325"/>
      <c r="P81" s="325"/>
    </row>
    <row r="82" spans="1:16" ht="15">
      <c r="A82" s="325" t="s">
        <v>1</v>
      </c>
      <c r="B82" s="325"/>
      <c r="C82" s="325"/>
      <c r="D82" s="325"/>
      <c r="E82" s="325"/>
      <c r="F82" s="325"/>
      <c r="G82" s="325"/>
      <c r="H82" s="325"/>
      <c r="I82" s="325"/>
      <c r="J82" s="325"/>
      <c r="K82" s="325"/>
      <c r="L82" s="325"/>
      <c r="M82" s="325"/>
      <c r="N82" s="325"/>
      <c r="O82" s="325"/>
      <c r="P82" s="325"/>
    </row>
    <row r="83" spans="1:16" ht="15">
      <c r="A83" s="325" t="s">
        <v>69</v>
      </c>
      <c r="B83" s="325"/>
      <c r="C83" s="325"/>
      <c r="D83" s="325"/>
      <c r="E83" s="325"/>
      <c r="F83" s="325"/>
      <c r="G83" s="325"/>
      <c r="H83" s="325"/>
      <c r="I83" s="325"/>
      <c r="J83" s="325"/>
      <c r="K83" s="325"/>
      <c r="L83" s="325"/>
      <c r="M83" s="325"/>
      <c r="N83" s="325"/>
      <c r="O83" s="325"/>
      <c r="P83" s="325"/>
    </row>
    <row r="84" spans="1:16" ht="15">
      <c r="A84" s="325" t="s">
        <v>70</v>
      </c>
      <c r="B84" s="325"/>
      <c r="C84" s="325"/>
      <c r="D84" s="325"/>
      <c r="E84" s="325"/>
      <c r="F84" s="325"/>
      <c r="G84" s="325"/>
      <c r="H84" s="325"/>
      <c r="I84" s="325"/>
      <c r="J84" s="325"/>
      <c r="K84" s="325"/>
      <c r="L84" s="325"/>
      <c r="M84" s="325"/>
      <c r="N84" s="325"/>
      <c r="O84" s="325"/>
      <c r="P84" s="325"/>
    </row>
    <row r="85" spans="1:16" ht="15.75" thickBot="1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</row>
    <row r="86" spans="1:16" ht="15.75" thickBot="1">
      <c r="A86" s="55" t="s">
        <v>4</v>
      </c>
      <c r="B86" s="56"/>
      <c r="C86" s="56"/>
      <c r="D86" s="97"/>
      <c r="E86" s="297" t="s">
        <v>40</v>
      </c>
      <c r="F86" s="298"/>
      <c r="G86" s="298"/>
      <c r="H86" s="298"/>
      <c r="I86" s="298"/>
      <c r="J86" s="298"/>
      <c r="K86" s="57"/>
      <c r="L86" s="57"/>
      <c r="M86" s="57"/>
      <c r="N86" s="56"/>
    </row>
    <row r="87" spans="1:16" ht="16.5" thickBot="1">
      <c r="A87" s="1" t="s">
        <v>5</v>
      </c>
      <c r="B87" s="58"/>
      <c r="C87" s="58"/>
      <c r="D87" s="76"/>
      <c r="E87" s="322" t="s">
        <v>72</v>
      </c>
      <c r="F87" s="323"/>
      <c r="G87" s="323"/>
      <c r="H87" s="323"/>
      <c r="I87" s="323"/>
      <c r="J87" s="323"/>
      <c r="K87" s="323"/>
      <c r="L87" s="323"/>
      <c r="M87" s="323"/>
      <c r="N87" s="323"/>
      <c r="O87" s="323"/>
      <c r="P87" s="324"/>
    </row>
    <row r="88" spans="1:16">
      <c r="A88" s="29" t="s">
        <v>10</v>
      </c>
      <c r="G88" s="69">
        <v>45530</v>
      </c>
      <c r="H88" s="14"/>
      <c r="I88" s="14"/>
    </row>
    <row r="89" spans="1:16" ht="15">
      <c r="A89" s="29"/>
      <c r="G89" s="12"/>
      <c r="H89" s="15"/>
      <c r="I89" s="15"/>
      <c r="J89" s="55" t="s">
        <v>83</v>
      </c>
      <c r="N89" s="4"/>
    </row>
    <row r="90" spans="1:16">
      <c r="A90" s="29" t="s">
        <v>8</v>
      </c>
      <c r="G90" s="72">
        <v>215000000</v>
      </c>
      <c r="H90" s="16"/>
      <c r="I90" s="16"/>
    </row>
    <row r="91" spans="1:16">
      <c r="A91" s="29" t="s">
        <v>13</v>
      </c>
      <c r="G91" s="72"/>
      <c r="H91" s="16"/>
      <c r="I91" s="16"/>
      <c r="N91" s="4"/>
    </row>
    <row r="92" spans="1:16" ht="13.5" thickBot="1">
      <c r="A92" s="29" t="s">
        <v>24</v>
      </c>
      <c r="G92" s="73">
        <v>45561</v>
      </c>
      <c r="H92" s="17"/>
      <c r="I92" s="17"/>
    </row>
    <row r="93" spans="1:16" ht="41.25" customHeight="1" thickBot="1">
      <c r="A93" s="28" t="s">
        <v>25</v>
      </c>
      <c r="B93" s="28" t="s">
        <v>26</v>
      </c>
      <c r="C93" s="28" t="s">
        <v>74</v>
      </c>
      <c r="D93" s="28" t="s">
        <v>27</v>
      </c>
      <c r="E93" s="28" t="s">
        <v>27</v>
      </c>
      <c r="F93" s="28"/>
      <c r="G93" s="28" t="s">
        <v>75</v>
      </c>
      <c r="H93" s="28" t="s">
        <v>76</v>
      </c>
      <c r="I93" s="28"/>
      <c r="J93" s="28" t="s">
        <v>29</v>
      </c>
      <c r="K93" s="28" t="s">
        <v>30</v>
      </c>
      <c r="L93" s="28" t="s">
        <v>77</v>
      </c>
      <c r="M93" s="28" t="s">
        <v>31</v>
      </c>
      <c r="N93" s="28" t="s">
        <v>32</v>
      </c>
      <c r="O93" s="137" t="s">
        <v>32</v>
      </c>
      <c r="P93" s="98" t="s">
        <v>64</v>
      </c>
    </row>
    <row r="94" spans="1:16">
      <c r="A94" s="134">
        <v>45559</v>
      </c>
      <c r="B94" s="106">
        <v>215000000</v>
      </c>
      <c r="C94" s="121">
        <v>0.28849999999999998</v>
      </c>
      <c r="D94" s="62">
        <f>(G90)</f>
        <v>215000000</v>
      </c>
      <c r="E94" s="62">
        <f t="shared" ref="E94:E99" si="24">IF(D94&gt;=0,D94,0)</f>
        <v>215000000</v>
      </c>
      <c r="F94" s="62">
        <f t="shared" ref="F94:F99" si="25">(B94-J94)</f>
        <v>215000000</v>
      </c>
      <c r="G94" s="62">
        <f t="shared" ref="G94:G99" si="26">IF(F94&gt;=E94,E94,F94)</f>
        <v>215000000</v>
      </c>
      <c r="H94" s="62">
        <f>IF(M94&gt;=B94,B94,M94)</f>
        <v>0</v>
      </c>
      <c r="I94" s="62">
        <f>(M94-H94)</f>
        <v>0</v>
      </c>
      <c r="J94" s="62">
        <f>(H94)</f>
        <v>0</v>
      </c>
      <c r="K94" s="63">
        <f>(A94-G92)</f>
        <v>-2</v>
      </c>
      <c r="L94" s="63">
        <f t="shared" ref="L94:L99" si="27">IF(K94&gt;0,K94,0)</f>
        <v>0</v>
      </c>
      <c r="M94" s="62">
        <f>(E94*L94*C94)/365+$G$11</f>
        <v>0</v>
      </c>
      <c r="N94" s="62">
        <f>(D94+M94-B94)</f>
        <v>0</v>
      </c>
      <c r="O94" s="145">
        <f t="shared" ref="O94:O99" si="28">IF(A94&gt;0,N94,0)</f>
        <v>0</v>
      </c>
      <c r="P94" s="124">
        <v>1</v>
      </c>
    </row>
    <row r="95" spans="1:16" ht="13.5" thickBot="1">
      <c r="A95" s="134"/>
      <c r="B95" s="106"/>
      <c r="C95" s="121"/>
      <c r="D95" s="107">
        <f t="shared" ref="D95:D99" si="29">IF(O94&gt;=D94,D94,O94)</f>
        <v>0</v>
      </c>
      <c r="E95" s="111">
        <f t="shared" si="24"/>
        <v>0</v>
      </c>
      <c r="F95" s="108">
        <f t="shared" si="25"/>
        <v>0</v>
      </c>
      <c r="G95" s="108">
        <f t="shared" si="26"/>
        <v>0</v>
      </c>
      <c r="H95" s="108">
        <f>(I94+M95)</f>
        <v>0</v>
      </c>
      <c r="I95" s="108">
        <f t="shared" ref="I95:I99" si="30">IF(H95&gt;=B95,B95,H95)</f>
        <v>0</v>
      </c>
      <c r="J95" s="108">
        <f t="shared" ref="J95:J99" si="31">(I95)</f>
        <v>0</v>
      </c>
      <c r="K95" s="109">
        <f t="shared" ref="K95:K99" si="32">(A95-A94)</f>
        <v>-45559</v>
      </c>
      <c r="L95" s="109">
        <f t="shared" si="27"/>
        <v>0</v>
      </c>
      <c r="M95" s="111">
        <f t="shared" ref="M95:M99" si="33">(E95*L95*C95)/365</f>
        <v>0</v>
      </c>
      <c r="N95" s="108">
        <f t="shared" ref="N95:N99" si="34">(N94+M95-B95)</f>
        <v>0</v>
      </c>
      <c r="O95" s="123">
        <f t="shared" si="28"/>
        <v>0</v>
      </c>
      <c r="P95" s="125"/>
    </row>
    <row r="96" spans="1:16">
      <c r="A96" s="134"/>
      <c r="B96" s="106"/>
      <c r="C96" s="121"/>
      <c r="D96" s="59">
        <f t="shared" si="29"/>
        <v>0</v>
      </c>
      <c r="E96" s="59">
        <f t="shared" si="24"/>
        <v>0</v>
      </c>
      <c r="F96" s="59">
        <f t="shared" si="25"/>
        <v>0</v>
      </c>
      <c r="G96" s="59">
        <f t="shared" si="26"/>
        <v>0</v>
      </c>
      <c r="H96" s="59">
        <f t="shared" ref="H96:H99" si="35">(H95+M96-I95)</f>
        <v>0</v>
      </c>
      <c r="I96" s="59">
        <f t="shared" si="30"/>
        <v>0</v>
      </c>
      <c r="J96" s="59">
        <f t="shared" si="31"/>
        <v>0</v>
      </c>
      <c r="K96" s="60">
        <f t="shared" si="32"/>
        <v>0</v>
      </c>
      <c r="L96" s="60">
        <f t="shared" si="27"/>
        <v>0</v>
      </c>
      <c r="M96" s="111">
        <f t="shared" si="33"/>
        <v>0</v>
      </c>
      <c r="N96" s="59">
        <f t="shared" si="34"/>
        <v>0</v>
      </c>
      <c r="O96" s="123">
        <f t="shared" si="28"/>
        <v>0</v>
      </c>
      <c r="P96" s="124"/>
    </row>
    <row r="97" spans="1:16">
      <c r="A97" s="134"/>
      <c r="B97" s="106"/>
      <c r="C97" s="121"/>
      <c r="D97" s="59">
        <f t="shared" si="29"/>
        <v>0</v>
      </c>
      <c r="E97" s="59">
        <f t="shared" si="24"/>
        <v>0</v>
      </c>
      <c r="F97" s="59">
        <f t="shared" si="25"/>
        <v>0</v>
      </c>
      <c r="G97" s="59">
        <f t="shared" si="26"/>
        <v>0</v>
      </c>
      <c r="H97" s="59">
        <f t="shared" si="35"/>
        <v>0</v>
      </c>
      <c r="I97" s="59">
        <f t="shared" si="30"/>
        <v>0</v>
      </c>
      <c r="J97" s="59">
        <f t="shared" si="31"/>
        <v>0</v>
      </c>
      <c r="K97" s="60">
        <f t="shared" si="32"/>
        <v>0</v>
      </c>
      <c r="L97" s="60">
        <f t="shared" si="27"/>
        <v>0</v>
      </c>
      <c r="M97" s="59">
        <f t="shared" si="33"/>
        <v>0</v>
      </c>
      <c r="N97" s="59">
        <f t="shared" si="34"/>
        <v>0</v>
      </c>
      <c r="O97" s="123">
        <f t="shared" si="28"/>
        <v>0</v>
      </c>
      <c r="P97" s="125"/>
    </row>
    <row r="98" spans="1:16" ht="13.5" thickBot="1">
      <c r="A98" s="134"/>
      <c r="B98" s="106"/>
      <c r="C98" s="121"/>
      <c r="D98" s="59">
        <f t="shared" si="29"/>
        <v>0</v>
      </c>
      <c r="E98" s="59">
        <f t="shared" si="24"/>
        <v>0</v>
      </c>
      <c r="F98" s="59">
        <f t="shared" si="25"/>
        <v>0</v>
      </c>
      <c r="G98" s="59">
        <f t="shared" si="26"/>
        <v>0</v>
      </c>
      <c r="H98" s="59">
        <f t="shared" si="35"/>
        <v>0</v>
      </c>
      <c r="I98" s="59">
        <f t="shared" si="30"/>
        <v>0</v>
      </c>
      <c r="J98" s="59">
        <f t="shared" si="31"/>
        <v>0</v>
      </c>
      <c r="K98" s="60">
        <f t="shared" si="32"/>
        <v>0</v>
      </c>
      <c r="L98" s="60">
        <f t="shared" si="27"/>
        <v>0</v>
      </c>
      <c r="M98" s="59">
        <f t="shared" si="33"/>
        <v>0</v>
      </c>
      <c r="N98" s="59">
        <f t="shared" si="34"/>
        <v>0</v>
      </c>
      <c r="O98" s="123">
        <f t="shared" si="28"/>
        <v>0</v>
      </c>
      <c r="P98" s="125"/>
    </row>
    <row r="99" spans="1:16" ht="13.5" thickBot="1">
      <c r="A99" s="134"/>
      <c r="B99" s="106"/>
      <c r="C99" s="121"/>
      <c r="D99" s="59">
        <f t="shared" si="29"/>
        <v>0</v>
      </c>
      <c r="E99" s="59">
        <f t="shared" si="24"/>
        <v>0</v>
      </c>
      <c r="F99" s="59">
        <f t="shared" si="25"/>
        <v>0</v>
      </c>
      <c r="G99" s="59">
        <f t="shared" si="26"/>
        <v>0</v>
      </c>
      <c r="H99" s="59">
        <f t="shared" si="35"/>
        <v>0</v>
      </c>
      <c r="I99" s="59">
        <f t="shared" si="30"/>
        <v>0</v>
      </c>
      <c r="J99" s="59">
        <f t="shared" si="31"/>
        <v>0</v>
      </c>
      <c r="K99" s="60">
        <f t="shared" si="32"/>
        <v>0</v>
      </c>
      <c r="L99" s="60">
        <f t="shared" si="27"/>
        <v>0</v>
      </c>
      <c r="M99" s="59">
        <f t="shared" si="33"/>
        <v>0</v>
      </c>
      <c r="N99" s="59">
        <f t="shared" si="34"/>
        <v>0</v>
      </c>
      <c r="O99" s="123">
        <f t="shared" si="28"/>
        <v>0</v>
      </c>
      <c r="P99" s="124"/>
    </row>
    <row r="100" spans="1:16" ht="13.5" thickBot="1">
      <c r="A100" s="81" t="s">
        <v>33</v>
      </c>
      <c r="B100" s="82">
        <f>SUM(B94:B97)</f>
        <v>215000000</v>
      </c>
      <c r="C100" s="82"/>
      <c r="D100" s="83"/>
      <c r="E100" s="82"/>
      <c r="F100" s="83"/>
      <c r="G100" s="82">
        <f>SUM(G94:G97)</f>
        <v>215000000</v>
      </c>
      <c r="H100" s="82"/>
      <c r="I100" s="82"/>
      <c r="J100" s="82">
        <f>SUM(J94:J97)</f>
        <v>0</v>
      </c>
      <c r="K100" s="82"/>
      <c r="L100" s="82"/>
      <c r="M100" s="82">
        <f>SUM(M94:M99)</f>
        <v>0</v>
      </c>
      <c r="N100" s="83"/>
      <c r="O100" s="82"/>
      <c r="P100" s="64"/>
    </row>
    <row r="101" spans="1:16">
      <c r="A101" s="71"/>
      <c r="E101" s="66"/>
      <c r="M101" s="102"/>
    </row>
    <row r="102" spans="1:16">
      <c r="A102" s="61" t="s">
        <v>17</v>
      </c>
      <c r="M102" s="101"/>
    </row>
    <row r="103" spans="1:16">
      <c r="A103" s="61"/>
      <c r="C103" s="117"/>
      <c r="G103" s="117" t="s">
        <v>9</v>
      </c>
      <c r="H103" s="117"/>
      <c r="I103" s="117"/>
      <c r="J103" s="128"/>
      <c r="K103" s="117"/>
      <c r="L103" s="117"/>
      <c r="M103" s="101"/>
    </row>
    <row r="104" spans="1:16" ht="15">
      <c r="A104" s="55" t="s">
        <v>83</v>
      </c>
      <c r="C104" s="66"/>
      <c r="E104" s="112"/>
      <c r="G104" s="66">
        <v>1000000000</v>
      </c>
      <c r="M104" s="101"/>
    </row>
    <row r="105" spans="1:16" ht="15">
      <c r="A105" s="71" t="s">
        <v>78</v>
      </c>
      <c r="B105" s="56"/>
      <c r="C105" s="122"/>
      <c r="D105" s="55"/>
      <c r="E105" s="113"/>
      <c r="G105" s="66">
        <v>0</v>
      </c>
      <c r="J105" s="101">
        <f>G104-G105</f>
        <v>1000000000</v>
      </c>
      <c r="M105" s="101"/>
    </row>
    <row r="106" spans="1:16" ht="15">
      <c r="A106" s="71" t="s">
        <v>79</v>
      </c>
      <c r="B106" s="56"/>
      <c r="C106" s="122"/>
      <c r="D106" s="55"/>
      <c r="E106" s="113"/>
      <c r="G106" s="66">
        <f>J105*21.5/100</f>
        <v>215000000</v>
      </c>
      <c r="J106" s="101"/>
    </row>
    <row r="107" spans="1:16" ht="15.75">
      <c r="A107" s="61" t="s">
        <v>80</v>
      </c>
      <c r="B107" s="55"/>
      <c r="C107" s="133"/>
      <c r="D107" s="1"/>
      <c r="E107" s="66"/>
      <c r="G107" s="148">
        <f>G106</f>
        <v>215000000</v>
      </c>
      <c r="J107" s="3"/>
      <c r="K107" s="102"/>
    </row>
    <row r="108" spans="1:16" ht="15.75">
      <c r="A108" s="71" t="s">
        <v>161</v>
      </c>
      <c r="B108" s="55"/>
      <c r="C108" s="133"/>
      <c r="D108" s="1"/>
      <c r="E108" s="66"/>
      <c r="G108" s="66">
        <v>215000000</v>
      </c>
      <c r="J108" s="3"/>
      <c r="K108" s="102"/>
    </row>
    <row r="109" spans="1:16" ht="15.75">
      <c r="A109" s="142" t="s">
        <v>81</v>
      </c>
      <c r="B109" s="142"/>
      <c r="C109" s="143"/>
      <c r="D109" s="142"/>
      <c r="E109" s="143"/>
      <c r="F109" s="142"/>
      <c r="G109" s="143">
        <f>+G107-G108</f>
        <v>0</v>
      </c>
      <c r="J109" s="3"/>
      <c r="K109" s="102"/>
    </row>
    <row r="110" spans="1:16">
      <c r="I110" s="66"/>
      <c r="J110" s="66"/>
      <c r="K110" s="66"/>
      <c r="L110" s="66"/>
    </row>
    <row r="111" spans="1:16">
      <c r="E111" s="66"/>
    </row>
    <row r="112" spans="1:16">
      <c r="E112" s="66"/>
    </row>
    <row r="114" spans="1:10" ht="15">
      <c r="J114" s="55"/>
    </row>
    <row r="115" spans="1:10" ht="15.75">
      <c r="A115" s="56"/>
      <c r="G115" s="1"/>
      <c r="J115" s="56"/>
    </row>
    <row r="116" spans="1:10" ht="15.75">
      <c r="A116" s="56"/>
      <c r="G116" s="56"/>
      <c r="J116" s="1" t="s">
        <v>37</v>
      </c>
    </row>
    <row r="117" spans="1:10" ht="15.75">
      <c r="A117" s="56" t="s">
        <v>38</v>
      </c>
      <c r="G117" s="1"/>
      <c r="J117" s="56" t="s">
        <v>39</v>
      </c>
    </row>
    <row r="122" spans="1:10">
      <c r="G122" s="101">
        <f>+G54+G94</f>
        <v>430000000</v>
      </c>
    </row>
  </sheetData>
  <protectedRanges>
    <protectedRange password="CC03" sqref="D6:D7 D46:D47 D86:D87" name="Rango1_2" securityDescriptor="O:WDG:WDD:(A;;CC;;;WD)"/>
    <protectedRange password="CC03" sqref="B14:B19 B54:B59 B94:B99" name="Rango1_5_1_1_1" securityDescriptor="O:WDG:WDD:(A;;CC;;;WD)"/>
    <protectedRange password="CC03" sqref="C17 C57 C97" name="Rango1_1_1_1_1" securityDescriptor="O:WDG:WDD:(A;;CC;;;WD)"/>
    <protectedRange password="CC03" sqref="A14:A19 A54:A59 A94:A99" name="Rango1_4_1_1_1" securityDescriptor="O:WDG:WDD:(A;;CC;;;WD)"/>
    <protectedRange password="CC03" sqref="C14:C16 C18:C19 C54:C56 C58:C59 C94:C96 C98:C99" name="Rango1_1_1_1_1_1" securityDescriptor="O:WDG:WDD:(A;;CC;;;WD)"/>
    <protectedRange password="CC03" sqref="G9:G12 G49:G52 G89:G92" name="Rango1_3_1_1" securityDescriptor="O:WDG:WDD:(A;;CC;;;WD)"/>
    <protectedRange password="CC03" sqref="G8 G48 G88" name="Rango1_1_1_2_1" securityDescriptor="O:WDG:WDD:(A;;CC;;;WD)"/>
  </protectedRanges>
  <mergeCells count="18">
    <mergeCell ref="E87:P87"/>
    <mergeCell ref="A81:P81"/>
    <mergeCell ref="A82:P82"/>
    <mergeCell ref="A83:P83"/>
    <mergeCell ref="A84:P84"/>
    <mergeCell ref="E86:J86"/>
    <mergeCell ref="E47:P47"/>
    <mergeCell ref="A41:P41"/>
    <mergeCell ref="A42:P42"/>
    <mergeCell ref="A43:P43"/>
    <mergeCell ref="A44:P44"/>
    <mergeCell ref="E46:J46"/>
    <mergeCell ref="E7:P7"/>
    <mergeCell ref="A1:P1"/>
    <mergeCell ref="A2:P2"/>
    <mergeCell ref="A3:P3"/>
    <mergeCell ref="A4:P4"/>
    <mergeCell ref="E6:J6"/>
  </mergeCells>
  <pageMargins left="0.70866141732283472" right="0.70866141732283472" top="0.74803149606299213" bottom="0.74803149606299213" header="0.31496062992125984" footer="0.31496062992125984"/>
  <pageSetup paperSize="14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30721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2</xdr:col>
                <xdr:colOff>390525</xdr:colOff>
                <xdr:row>3</xdr:row>
                <xdr:rowOff>9525</xdr:rowOff>
              </to>
            </anchor>
          </objectPr>
        </oleObject>
      </mc:Choice>
      <mc:Fallback>
        <oleObject progId="Word.Picture.8" shapeId="30721" r:id="rId4"/>
      </mc:Fallback>
    </mc:AlternateContent>
    <mc:AlternateContent xmlns:mc="http://schemas.openxmlformats.org/markup-compatibility/2006">
      <mc:Choice Requires="x14">
        <oleObject progId="Word.Picture.8" shapeId="30722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123825</xdr:rowOff>
              </from>
              <to>
                <xdr:col>2</xdr:col>
                <xdr:colOff>361950</xdr:colOff>
                <xdr:row>2</xdr:row>
                <xdr:rowOff>152400</xdr:rowOff>
              </to>
            </anchor>
          </objectPr>
        </oleObject>
      </mc:Choice>
      <mc:Fallback>
        <oleObject progId="Word.Picture.8" shapeId="30722" r:id="rId6"/>
      </mc:Fallback>
    </mc:AlternateContent>
    <mc:AlternateContent xmlns:mc="http://schemas.openxmlformats.org/markup-compatibility/2006">
      <mc:Choice Requires="x14">
        <oleObject progId="Word.Picture.8" shapeId="30725" r:id="rId7">
          <objectPr defaultSize="0" autoPict="0" r:id="rId5">
            <anchor moveWithCells="1" sizeWithCells="1">
              <from>
                <xdr:col>0</xdr:col>
                <xdr:colOff>28575</xdr:colOff>
                <xdr:row>40</xdr:row>
                <xdr:rowOff>9525</xdr:rowOff>
              </from>
              <to>
                <xdr:col>2</xdr:col>
                <xdr:colOff>390525</xdr:colOff>
                <xdr:row>43</xdr:row>
                <xdr:rowOff>9525</xdr:rowOff>
              </to>
            </anchor>
          </objectPr>
        </oleObject>
      </mc:Choice>
      <mc:Fallback>
        <oleObject progId="Word.Picture.8" shapeId="30725" r:id="rId7"/>
      </mc:Fallback>
    </mc:AlternateContent>
    <mc:AlternateContent xmlns:mc="http://schemas.openxmlformats.org/markup-compatibility/2006">
      <mc:Choice Requires="x14">
        <oleObject progId="Word.Picture.8" shapeId="30726" r:id="rId8">
          <objectPr defaultSize="0" autoPict="0" r:id="rId5">
            <anchor moveWithCells="1" sizeWithCells="1">
              <from>
                <xdr:col>0</xdr:col>
                <xdr:colOff>0</xdr:colOff>
                <xdr:row>40</xdr:row>
                <xdr:rowOff>123825</xdr:rowOff>
              </from>
              <to>
                <xdr:col>2</xdr:col>
                <xdr:colOff>361950</xdr:colOff>
                <xdr:row>42</xdr:row>
                <xdr:rowOff>152400</xdr:rowOff>
              </to>
            </anchor>
          </objectPr>
        </oleObject>
      </mc:Choice>
      <mc:Fallback>
        <oleObject progId="Word.Picture.8" shapeId="30726" r:id="rId8"/>
      </mc:Fallback>
    </mc:AlternateContent>
    <mc:AlternateContent xmlns:mc="http://schemas.openxmlformats.org/markup-compatibility/2006">
      <mc:Choice Requires="x14">
        <oleObject progId="Word.Picture.8" shapeId="30727" r:id="rId9">
          <objectPr defaultSize="0" autoPict="0" r:id="rId5">
            <anchor moveWithCells="1" sizeWithCells="1">
              <from>
                <xdr:col>0</xdr:col>
                <xdr:colOff>28575</xdr:colOff>
                <xdr:row>80</xdr:row>
                <xdr:rowOff>9525</xdr:rowOff>
              </from>
              <to>
                <xdr:col>2</xdr:col>
                <xdr:colOff>390525</xdr:colOff>
                <xdr:row>83</xdr:row>
                <xdr:rowOff>9525</xdr:rowOff>
              </to>
            </anchor>
          </objectPr>
        </oleObject>
      </mc:Choice>
      <mc:Fallback>
        <oleObject progId="Word.Picture.8" shapeId="30727" r:id="rId9"/>
      </mc:Fallback>
    </mc:AlternateContent>
    <mc:AlternateContent xmlns:mc="http://schemas.openxmlformats.org/markup-compatibility/2006">
      <mc:Choice Requires="x14">
        <oleObject progId="Word.Picture.8" shapeId="30728" r:id="rId10">
          <objectPr defaultSize="0" autoPict="0" r:id="rId5">
            <anchor moveWithCells="1" sizeWithCells="1">
              <from>
                <xdr:col>0</xdr:col>
                <xdr:colOff>0</xdr:colOff>
                <xdr:row>80</xdr:row>
                <xdr:rowOff>123825</xdr:rowOff>
              </from>
              <to>
                <xdr:col>2</xdr:col>
                <xdr:colOff>361950</xdr:colOff>
                <xdr:row>82</xdr:row>
                <xdr:rowOff>152400</xdr:rowOff>
              </to>
            </anchor>
          </objectPr>
        </oleObject>
      </mc:Choice>
      <mc:Fallback>
        <oleObject progId="Word.Picture.8" shapeId="30728" r:id="rId10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020D4-7926-4C66-84F9-C3757FA54538}">
  <dimension ref="A1:T113"/>
  <sheetViews>
    <sheetView topLeftCell="A76" workbookViewId="0">
      <selection activeCell="O105" sqref="O105"/>
    </sheetView>
  </sheetViews>
  <sheetFormatPr baseColWidth="10" defaultColWidth="11.42578125" defaultRowHeight="12.75"/>
  <cols>
    <col min="1" max="1" width="16.28515625" customWidth="1"/>
    <col min="2" max="2" width="24.42578125" customWidth="1"/>
    <col min="3" max="3" width="23.85546875" customWidth="1"/>
    <col min="4" max="4" width="21.42578125" hidden="1" customWidth="1"/>
    <col min="5" max="5" width="29" customWidth="1"/>
    <col min="6" max="6" width="0.140625" hidden="1" customWidth="1"/>
    <col min="7" max="7" width="20.7109375" customWidth="1"/>
    <col min="8" max="8" width="0.140625" customWidth="1"/>
    <col min="9" max="9" width="19.85546875" hidden="1" customWidth="1"/>
    <col min="10" max="10" width="28" customWidth="1"/>
    <col min="11" max="11" width="9.42578125" hidden="1" customWidth="1"/>
    <col min="12" max="12" width="23.5703125" customWidth="1"/>
    <col min="13" max="13" width="17" customWidth="1"/>
    <col min="14" max="14" width="0.140625" customWidth="1"/>
    <col min="15" max="15" width="20.5703125" customWidth="1"/>
    <col min="16" max="16" width="12.140625" customWidth="1"/>
    <col min="18" max="18" width="12.85546875" bestFit="1" customWidth="1"/>
  </cols>
  <sheetData>
    <row r="1" spans="1:18" ht="15.95" customHeight="1">
      <c r="A1" s="325" t="s">
        <v>0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</row>
    <row r="2" spans="1:18" ht="15.95" customHeight="1">
      <c r="A2" s="325" t="s">
        <v>1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</row>
    <row r="3" spans="1:18" ht="15.95" customHeight="1">
      <c r="A3" s="325" t="s">
        <v>69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</row>
    <row r="4" spans="1:18" ht="15.95" customHeight="1">
      <c r="A4" s="325" t="s">
        <v>70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</row>
    <row r="5" spans="1:18" ht="15.75" thickBot="1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</row>
    <row r="6" spans="1:18" ht="15.75" thickBot="1">
      <c r="A6" s="55" t="s">
        <v>4</v>
      </c>
      <c r="B6" s="56"/>
      <c r="C6" s="56"/>
      <c r="D6" s="97"/>
      <c r="E6" s="297" t="s">
        <v>40</v>
      </c>
      <c r="F6" s="298"/>
      <c r="G6" s="298"/>
      <c r="H6" s="298"/>
      <c r="I6" s="298"/>
      <c r="J6" s="298"/>
      <c r="K6" s="57"/>
      <c r="L6" s="57"/>
      <c r="M6" s="57"/>
      <c r="N6" s="56"/>
    </row>
    <row r="7" spans="1:18" ht="16.5" thickBot="1">
      <c r="A7" s="1" t="s">
        <v>5</v>
      </c>
      <c r="B7" s="58"/>
      <c r="C7" s="58"/>
      <c r="D7" s="76"/>
      <c r="E7" s="322" t="s">
        <v>84</v>
      </c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4"/>
    </row>
    <row r="8" spans="1:18">
      <c r="A8" s="29" t="s">
        <v>10</v>
      </c>
      <c r="G8" s="69">
        <v>45530</v>
      </c>
      <c r="H8" s="14"/>
      <c r="I8" s="14"/>
    </row>
    <row r="9" spans="1:18" ht="15">
      <c r="A9" s="29"/>
      <c r="G9" s="12"/>
      <c r="H9" s="15"/>
      <c r="I9" s="15"/>
      <c r="J9" s="55" t="s">
        <v>73</v>
      </c>
      <c r="N9" s="4"/>
    </row>
    <row r="10" spans="1:18">
      <c r="A10" s="29" t="s">
        <v>8</v>
      </c>
      <c r="G10" s="72">
        <v>96000000</v>
      </c>
      <c r="H10" s="16"/>
      <c r="I10" s="16"/>
    </row>
    <row r="11" spans="1:18">
      <c r="A11" s="29" t="s">
        <v>13</v>
      </c>
      <c r="G11" s="72"/>
      <c r="H11" s="16"/>
      <c r="I11" s="16"/>
      <c r="N11" s="4"/>
    </row>
    <row r="12" spans="1:18" ht="13.5" thickBot="1">
      <c r="A12" s="29" t="s">
        <v>24</v>
      </c>
      <c r="G12" s="73">
        <v>45561</v>
      </c>
      <c r="H12" s="17"/>
      <c r="I12" s="17"/>
    </row>
    <row r="13" spans="1:18" ht="42.75" customHeight="1" thickBot="1">
      <c r="A13" s="28" t="s">
        <v>25</v>
      </c>
      <c r="B13" s="28" t="s">
        <v>26</v>
      </c>
      <c r="C13" s="28" t="s">
        <v>74</v>
      </c>
      <c r="D13" s="28" t="s">
        <v>27</v>
      </c>
      <c r="E13" s="28" t="s">
        <v>27</v>
      </c>
      <c r="F13" s="28"/>
      <c r="G13" s="28" t="s">
        <v>75</v>
      </c>
      <c r="H13" s="28" t="s">
        <v>76</v>
      </c>
      <c r="I13" s="28"/>
      <c r="J13" s="28" t="s">
        <v>29</v>
      </c>
      <c r="K13" s="28" t="s">
        <v>30</v>
      </c>
      <c r="L13" s="28" t="s">
        <v>77</v>
      </c>
      <c r="M13" s="28" t="s">
        <v>31</v>
      </c>
      <c r="N13" s="28" t="s">
        <v>32</v>
      </c>
      <c r="O13" s="137" t="s">
        <v>32</v>
      </c>
      <c r="P13" s="98" t="s">
        <v>64</v>
      </c>
    </row>
    <row r="14" spans="1:18">
      <c r="A14" s="134">
        <v>45565</v>
      </c>
      <c r="B14" s="106"/>
      <c r="C14" s="121">
        <v>0.28849999999999998</v>
      </c>
      <c r="D14" s="62">
        <f>(G10)</f>
        <v>96000000</v>
      </c>
      <c r="E14" s="62">
        <f t="shared" ref="E14:E20" si="0">IF(D14&gt;=0,D14,0)</f>
        <v>96000000</v>
      </c>
      <c r="F14" s="62">
        <f t="shared" ref="F14:F20" si="1">(B14-J14)</f>
        <v>0</v>
      </c>
      <c r="G14" s="62">
        <f t="shared" ref="G14:G20" si="2">IF(F14&gt;=E14,E14,F14)</f>
        <v>0</v>
      </c>
      <c r="H14" s="62">
        <f>IF(M14&gt;=B14,B14,M14)</f>
        <v>0</v>
      </c>
      <c r="I14" s="62">
        <f>(M14-H14)</f>
        <v>303517.80821917806</v>
      </c>
      <c r="J14" s="62">
        <f>(H14)</f>
        <v>0</v>
      </c>
      <c r="K14" s="63">
        <f>(A14-G12)</f>
        <v>4</v>
      </c>
      <c r="L14" s="63">
        <f t="shared" ref="L14:L20" si="3">IF(K14&gt;0,K14,0)</f>
        <v>4</v>
      </c>
      <c r="M14" s="62">
        <f>(E14*L14*C14)/365+$G$11</f>
        <v>303517.80821917806</v>
      </c>
      <c r="N14" s="62">
        <f>(D14+M14-B14)</f>
        <v>96303517.80821918</v>
      </c>
      <c r="O14" s="145">
        <f t="shared" ref="O14:O20" si="4">IF(A14&gt;0,N14,0)</f>
        <v>96303517.80821918</v>
      </c>
      <c r="P14" s="124">
        <v>1</v>
      </c>
      <c r="Q14" s="99"/>
    </row>
    <row r="15" spans="1:18" ht="13.5" thickBot="1">
      <c r="A15" s="140">
        <v>45594</v>
      </c>
      <c r="B15" s="106">
        <v>98452155.620000005</v>
      </c>
      <c r="C15" s="121">
        <v>0.28170000000000001</v>
      </c>
      <c r="D15" s="107">
        <f t="shared" ref="D15:D20" si="5">IF(O14&gt;=D14,D14,O14)</f>
        <v>96000000</v>
      </c>
      <c r="E15" s="111">
        <f t="shared" si="0"/>
        <v>96000000</v>
      </c>
      <c r="F15" s="108">
        <f t="shared" si="1"/>
        <v>96000000.003561646</v>
      </c>
      <c r="G15" s="108">
        <f t="shared" si="2"/>
        <v>96000000</v>
      </c>
      <c r="H15" s="108">
        <f>(I14+M15)</f>
        <v>2452155.6164383562</v>
      </c>
      <c r="I15" s="108">
        <f t="shared" ref="I15:I20" si="6">IF(H15&gt;=B15,B15,H15)</f>
        <v>2452155.6164383562</v>
      </c>
      <c r="J15" s="108">
        <f t="shared" ref="J15:J20" si="7">(I15)</f>
        <v>2452155.6164383562</v>
      </c>
      <c r="K15" s="109">
        <f t="shared" ref="K15:K20" si="8">(A15-A14)</f>
        <v>29</v>
      </c>
      <c r="L15" s="109">
        <f t="shared" si="3"/>
        <v>29</v>
      </c>
      <c r="M15" s="111">
        <f t="shared" ref="M15:M20" si="9">(E15*L15*C15)/365</f>
        <v>2148637.8082191781</v>
      </c>
      <c r="N15" s="108">
        <f t="shared" ref="N15:N20" si="10">(N14+M15-B15)</f>
        <v>-3.5616457462310791E-3</v>
      </c>
      <c r="O15" s="146">
        <f t="shared" si="4"/>
        <v>-3.5616457462310791E-3</v>
      </c>
      <c r="P15" s="147">
        <v>2</v>
      </c>
      <c r="Q15" s="130"/>
      <c r="R15" s="131"/>
    </row>
    <row r="16" spans="1:18">
      <c r="A16" s="134"/>
      <c r="B16" s="106"/>
      <c r="C16" s="121"/>
      <c r="D16" s="59">
        <f t="shared" si="5"/>
        <v>-3.5616457462310791E-3</v>
      </c>
      <c r="E16" s="59">
        <f t="shared" si="0"/>
        <v>0</v>
      </c>
      <c r="F16" s="59">
        <f t="shared" si="1"/>
        <v>0</v>
      </c>
      <c r="G16" s="59">
        <f t="shared" si="2"/>
        <v>0</v>
      </c>
      <c r="H16" s="59">
        <f t="shared" ref="H16:H20" si="11">(H15+M16-I15)</f>
        <v>0</v>
      </c>
      <c r="I16" s="59">
        <f t="shared" si="6"/>
        <v>0</v>
      </c>
      <c r="J16" s="59">
        <f t="shared" si="7"/>
        <v>0</v>
      </c>
      <c r="K16" s="60">
        <f t="shared" si="8"/>
        <v>-45594</v>
      </c>
      <c r="L16" s="60">
        <f t="shared" si="3"/>
        <v>0</v>
      </c>
      <c r="M16" s="111">
        <f t="shared" si="9"/>
        <v>0</v>
      </c>
      <c r="N16" s="59">
        <f t="shared" si="10"/>
        <v>-3.5616457462310791E-3</v>
      </c>
      <c r="O16" s="123">
        <f t="shared" si="4"/>
        <v>0</v>
      </c>
      <c r="P16" s="124"/>
      <c r="Q16" s="99"/>
    </row>
    <row r="17" spans="1:20">
      <c r="A17" s="134"/>
      <c r="B17" s="106"/>
      <c r="C17" s="121"/>
      <c r="D17" s="59">
        <f t="shared" si="5"/>
        <v>-3.5616457462310791E-3</v>
      </c>
      <c r="E17" s="59">
        <f t="shared" si="0"/>
        <v>0</v>
      </c>
      <c r="F17" s="59">
        <f t="shared" si="1"/>
        <v>0</v>
      </c>
      <c r="G17" s="59">
        <f t="shared" si="2"/>
        <v>0</v>
      </c>
      <c r="H17" s="59">
        <f t="shared" si="11"/>
        <v>0</v>
      </c>
      <c r="I17" s="59">
        <f t="shared" si="6"/>
        <v>0</v>
      </c>
      <c r="J17" s="59">
        <f t="shared" si="7"/>
        <v>0</v>
      </c>
      <c r="K17" s="60">
        <f t="shared" si="8"/>
        <v>0</v>
      </c>
      <c r="L17" s="60">
        <f t="shared" si="3"/>
        <v>0</v>
      </c>
      <c r="M17" s="59">
        <f t="shared" si="9"/>
        <v>0</v>
      </c>
      <c r="N17" s="59">
        <f t="shared" si="10"/>
        <v>-3.5616457462310791E-3</v>
      </c>
      <c r="O17" s="123">
        <f t="shared" si="4"/>
        <v>0</v>
      </c>
      <c r="P17" s="125"/>
      <c r="Q17" s="100"/>
    </row>
    <row r="18" spans="1:20" ht="13.5" thickBot="1">
      <c r="A18" s="134"/>
      <c r="B18" s="106"/>
      <c r="C18" s="121"/>
      <c r="D18" s="59">
        <f t="shared" si="5"/>
        <v>-3.5616457462310791E-3</v>
      </c>
      <c r="E18" s="59">
        <f t="shared" si="0"/>
        <v>0</v>
      </c>
      <c r="F18" s="59">
        <f t="shared" si="1"/>
        <v>0</v>
      </c>
      <c r="G18" s="59">
        <f t="shared" si="2"/>
        <v>0</v>
      </c>
      <c r="H18" s="59">
        <f t="shared" si="11"/>
        <v>0</v>
      </c>
      <c r="I18" s="59">
        <f t="shared" si="6"/>
        <v>0</v>
      </c>
      <c r="J18" s="59">
        <f t="shared" si="7"/>
        <v>0</v>
      </c>
      <c r="K18" s="60">
        <f t="shared" si="8"/>
        <v>0</v>
      </c>
      <c r="L18" s="60">
        <f t="shared" si="3"/>
        <v>0</v>
      </c>
      <c r="M18" s="59">
        <f t="shared" si="9"/>
        <v>0</v>
      </c>
      <c r="N18" s="59">
        <f t="shared" si="10"/>
        <v>-3.5616457462310791E-3</v>
      </c>
      <c r="O18" s="123">
        <f t="shared" si="4"/>
        <v>0</v>
      </c>
      <c r="P18" s="125"/>
      <c r="Q18" s="100"/>
    </row>
    <row r="19" spans="1:20">
      <c r="A19" s="134"/>
      <c r="B19" s="106"/>
      <c r="C19" s="121"/>
      <c r="D19" s="59">
        <f t="shared" si="5"/>
        <v>-3.5616457462310791E-3</v>
      </c>
      <c r="E19" s="59">
        <f t="shared" si="0"/>
        <v>0</v>
      </c>
      <c r="F19" s="59">
        <f t="shared" si="1"/>
        <v>0</v>
      </c>
      <c r="G19" s="59">
        <f t="shared" si="2"/>
        <v>0</v>
      </c>
      <c r="H19" s="59">
        <f t="shared" si="11"/>
        <v>0</v>
      </c>
      <c r="I19" s="59">
        <f t="shared" si="6"/>
        <v>0</v>
      </c>
      <c r="J19" s="59">
        <f t="shared" si="7"/>
        <v>0</v>
      </c>
      <c r="K19" s="60">
        <f t="shared" si="8"/>
        <v>0</v>
      </c>
      <c r="L19" s="60">
        <f t="shared" si="3"/>
        <v>0</v>
      </c>
      <c r="M19" s="59">
        <f t="shared" si="9"/>
        <v>0</v>
      </c>
      <c r="N19" s="59">
        <f t="shared" si="10"/>
        <v>-3.5616457462310791E-3</v>
      </c>
      <c r="O19" s="123">
        <f t="shared" si="4"/>
        <v>0</v>
      </c>
      <c r="P19" s="124"/>
      <c r="Q19" s="100"/>
    </row>
    <row r="20" spans="1:20" ht="13.5" thickBot="1">
      <c r="A20" s="134"/>
      <c r="B20" s="106"/>
      <c r="C20" s="121"/>
      <c r="D20" s="59">
        <f t="shared" si="5"/>
        <v>-3.5616457462310791E-3</v>
      </c>
      <c r="E20" s="59">
        <f t="shared" si="0"/>
        <v>0</v>
      </c>
      <c r="F20" s="59">
        <f t="shared" si="1"/>
        <v>0</v>
      </c>
      <c r="G20" s="59">
        <f t="shared" si="2"/>
        <v>0</v>
      </c>
      <c r="H20" s="59">
        <f t="shared" si="11"/>
        <v>0</v>
      </c>
      <c r="I20" s="59">
        <f t="shared" si="6"/>
        <v>0</v>
      </c>
      <c r="J20" s="59">
        <f t="shared" si="7"/>
        <v>0</v>
      </c>
      <c r="K20" s="60">
        <f t="shared" si="8"/>
        <v>0</v>
      </c>
      <c r="L20" s="60">
        <f t="shared" si="3"/>
        <v>0</v>
      </c>
      <c r="M20" s="59">
        <f t="shared" si="9"/>
        <v>0</v>
      </c>
      <c r="N20" s="59">
        <f t="shared" si="10"/>
        <v>-3.5616457462310791E-3</v>
      </c>
      <c r="O20" s="123">
        <f t="shared" si="4"/>
        <v>0</v>
      </c>
      <c r="P20" s="129"/>
      <c r="Q20" s="100"/>
    </row>
    <row r="21" spans="1:20" ht="13.5" thickBot="1">
      <c r="A21" s="81" t="s">
        <v>33</v>
      </c>
      <c r="B21" s="82">
        <f>SUM(B14:B17)</f>
        <v>98452155.620000005</v>
      </c>
      <c r="C21" s="82"/>
      <c r="D21" s="83"/>
      <c r="E21" s="82"/>
      <c r="F21" s="83"/>
      <c r="G21" s="82">
        <f>SUM(G14:G17)</f>
        <v>96000000</v>
      </c>
      <c r="H21" s="82"/>
      <c r="I21" s="82"/>
      <c r="J21" s="82">
        <f>SUM(J14:J17)</f>
        <v>2452155.6164383562</v>
      </c>
      <c r="K21" s="82"/>
      <c r="L21" s="82"/>
      <c r="M21" s="82">
        <f>SUM(M14:M20)</f>
        <v>2452155.6164383562</v>
      </c>
      <c r="N21" s="83"/>
      <c r="O21" s="82"/>
      <c r="P21" s="64"/>
    </row>
    <row r="22" spans="1:20">
      <c r="A22" s="71"/>
      <c r="E22" s="66"/>
      <c r="M22" s="102"/>
    </row>
    <row r="23" spans="1:20">
      <c r="A23" s="61" t="s">
        <v>17</v>
      </c>
      <c r="M23" s="101">
        <f>+M21+G15</f>
        <v>98452155.616438359</v>
      </c>
      <c r="O23" s="101"/>
    </row>
    <row r="24" spans="1:20">
      <c r="A24" s="61"/>
      <c r="C24" s="117"/>
      <c r="G24" s="117" t="s">
        <v>9</v>
      </c>
      <c r="H24" s="117"/>
      <c r="I24" s="117"/>
      <c r="J24" s="128" t="s">
        <v>34</v>
      </c>
      <c r="K24" s="117"/>
      <c r="L24" s="128" t="s">
        <v>35</v>
      </c>
      <c r="M24" s="128"/>
      <c r="T24" s="71"/>
    </row>
    <row r="25" spans="1:20" ht="15">
      <c r="A25" s="55" t="s">
        <v>73</v>
      </c>
      <c r="C25" s="66"/>
      <c r="E25" s="112"/>
      <c r="G25" s="66">
        <v>800000000</v>
      </c>
      <c r="M25" s="101"/>
      <c r="T25" s="71"/>
    </row>
    <row r="26" spans="1:20" ht="15">
      <c r="A26" s="56" t="s">
        <v>85</v>
      </c>
      <c r="B26" s="56"/>
      <c r="C26" s="122"/>
      <c r="D26" s="55"/>
      <c r="E26" s="113"/>
      <c r="G26" s="66"/>
      <c r="J26" s="112"/>
      <c r="M26" s="101"/>
      <c r="T26" s="71"/>
    </row>
    <row r="27" spans="1:20" ht="15">
      <c r="A27" s="56" t="s">
        <v>86</v>
      </c>
      <c r="B27" s="56"/>
      <c r="C27" s="122"/>
      <c r="D27" s="55"/>
      <c r="E27" s="113"/>
      <c r="G27" s="66">
        <f>G25*12/100</f>
        <v>96000000</v>
      </c>
      <c r="J27" s="101"/>
      <c r="T27" s="71"/>
    </row>
    <row r="28" spans="1:20" ht="15">
      <c r="A28" s="139" t="s">
        <v>159</v>
      </c>
      <c r="B28" s="56"/>
      <c r="C28" s="122"/>
      <c r="D28" s="55"/>
      <c r="E28" s="113"/>
      <c r="G28" s="66">
        <v>96000000</v>
      </c>
      <c r="J28" s="101">
        <v>2452155.6164383562</v>
      </c>
      <c r="L28" s="217">
        <f>SUM(G28:K28)</f>
        <v>98452155.616438359</v>
      </c>
      <c r="T28" s="71"/>
    </row>
    <row r="29" spans="1:20" ht="18">
      <c r="A29" s="211" t="s">
        <v>80</v>
      </c>
      <c r="B29" s="212"/>
      <c r="C29" s="212"/>
      <c r="D29" s="212"/>
      <c r="E29" s="132"/>
      <c r="F29" s="212"/>
      <c r="G29" s="230">
        <f>G27-G28</f>
        <v>0</v>
      </c>
    </row>
    <row r="33" spans="1:17" ht="15">
      <c r="Q33" s="104"/>
    </row>
    <row r="34" spans="1:17" ht="15">
      <c r="J34" s="55"/>
    </row>
    <row r="35" spans="1:17" ht="15.75">
      <c r="A35" s="56"/>
      <c r="G35" s="1"/>
      <c r="J35" s="56"/>
    </row>
    <row r="36" spans="1:17" ht="15.75">
      <c r="A36" s="56"/>
      <c r="G36" s="56"/>
      <c r="J36" s="1" t="s">
        <v>37</v>
      </c>
    </row>
    <row r="37" spans="1:17" ht="15.75">
      <c r="A37" s="56" t="s">
        <v>38</v>
      </c>
      <c r="G37" s="1"/>
      <c r="J37" s="56" t="s">
        <v>39</v>
      </c>
    </row>
    <row r="38" spans="1:17" ht="15.75">
      <c r="A38" s="56"/>
      <c r="G38" s="1"/>
      <c r="J38" s="56"/>
    </row>
    <row r="39" spans="1:17" ht="18.75" customHeight="1">
      <c r="A39" s="56"/>
      <c r="G39" s="56"/>
      <c r="J39" s="56"/>
    </row>
    <row r="40" spans="1:17" ht="15">
      <c r="A40" s="325" t="s">
        <v>0</v>
      </c>
      <c r="B40" s="325"/>
      <c r="C40" s="325"/>
      <c r="D40" s="325"/>
      <c r="E40" s="325"/>
      <c r="F40" s="325"/>
      <c r="G40" s="325"/>
      <c r="H40" s="325"/>
      <c r="I40" s="325"/>
      <c r="J40" s="325"/>
      <c r="K40" s="325"/>
      <c r="L40" s="325"/>
      <c r="M40" s="325"/>
      <c r="N40" s="325"/>
      <c r="O40" s="325"/>
      <c r="P40" s="325"/>
    </row>
    <row r="41" spans="1:17" ht="15">
      <c r="A41" s="325" t="s">
        <v>1</v>
      </c>
      <c r="B41" s="325"/>
      <c r="C41" s="325"/>
      <c r="D41" s="325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325"/>
    </row>
    <row r="42" spans="1:17" ht="15">
      <c r="A42" s="325" t="s">
        <v>69</v>
      </c>
      <c r="B42" s="325"/>
      <c r="C42" s="325"/>
      <c r="D42" s="325"/>
      <c r="E42" s="325"/>
      <c r="F42" s="325"/>
      <c r="G42" s="325"/>
      <c r="H42" s="325"/>
      <c r="I42" s="325"/>
      <c r="J42" s="325"/>
      <c r="K42" s="325"/>
      <c r="L42" s="325"/>
      <c r="M42" s="325"/>
      <c r="N42" s="325"/>
      <c r="O42" s="325"/>
      <c r="P42" s="325"/>
    </row>
    <row r="43" spans="1:17" ht="15">
      <c r="A43" s="325" t="s">
        <v>70</v>
      </c>
      <c r="B43" s="325"/>
      <c r="C43" s="325"/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</row>
    <row r="44" spans="1:17" ht="15.75" thickBot="1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</row>
    <row r="45" spans="1:17" ht="15.75" thickBot="1">
      <c r="A45" s="55" t="s">
        <v>4</v>
      </c>
      <c r="B45" s="56"/>
      <c r="C45" s="56"/>
      <c r="D45" s="97"/>
      <c r="E45" s="297" t="s">
        <v>40</v>
      </c>
      <c r="F45" s="298"/>
      <c r="G45" s="298"/>
      <c r="H45" s="298"/>
      <c r="I45" s="298"/>
      <c r="J45" s="298"/>
      <c r="K45" s="57"/>
      <c r="L45" s="57"/>
      <c r="M45" s="57"/>
      <c r="N45" s="56"/>
    </row>
    <row r="46" spans="1:17" ht="16.5" thickBot="1">
      <c r="A46" s="1" t="s">
        <v>5</v>
      </c>
      <c r="B46" s="58"/>
      <c r="C46" s="58"/>
      <c r="D46" s="76"/>
      <c r="E46" s="322" t="s">
        <v>84</v>
      </c>
      <c r="F46" s="323"/>
      <c r="G46" s="323"/>
      <c r="H46" s="323"/>
      <c r="I46" s="323"/>
      <c r="J46" s="323"/>
      <c r="K46" s="323"/>
      <c r="L46" s="323"/>
      <c r="M46" s="323"/>
      <c r="N46" s="323"/>
      <c r="O46" s="323"/>
      <c r="P46" s="324"/>
    </row>
    <row r="47" spans="1:17">
      <c r="A47" s="29" t="s">
        <v>10</v>
      </c>
      <c r="G47" s="69">
        <v>45530</v>
      </c>
      <c r="H47" s="14"/>
      <c r="I47" s="14"/>
    </row>
    <row r="48" spans="1:17" ht="15">
      <c r="A48" s="29"/>
      <c r="G48" s="12"/>
      <c r="H48" s="15"/>
      <c r="I48" s="15"/>
      <c r="J48" s="55" t="s">
        <v>82</v>
      </c>
      <c r="N48" s="4"/>
    </row>
    <row r="49" spans="1:16">
      <c r="A49" s="29" t="s">
        <v>8</v>
      </c>
      <c r="G49" s="72">
        <v>119999967</v>
      </c>
      <c r="H49" s="16"/>
      <c r="I49" s="16"/>
    </row>
    <row r="50" spans="1:16">
      <c r="A50" s="29" t="s">
        <v>13</v>
      </c>
      <c r="G50" s="72"/>
      <c r="H50" s="16"/>
      <c r="I50" s="16"/>
      <c r="N50" s="4"/>
    </row>
    <row r="51" spans="1:16" ht="13.5" thickBot="1">
      <c r="A51" s="29" t="s">
        <v>24</v>
      </c>
      <c r="G51" s="73">
        <v>45561</v>
      </c>
      <c r="H51" s="17"/>
      <c r="I51" s="17"/>
    </row>
    <row r="52" spans="1:16" ht="28.5" customHeight="1" thickBot="1">
      <c r="A52" s="28" t="s">
        <v>25</v>
      </c>
      <c r="B52" s="28" t="s">
        <v>26</v>
      </c>
      <c r="C52" s="28" t="s">
        <v>74</v>
      </c>
      <c r="D52" s="28" t="s">
        <v>27</v>
      </c>
      <c r="E52" s="28" t="s">
        <v>27</v>
      </c>
      <c r="F52" s="28"/>
      <c r="G52" s="28" t="s">
        <v>75</v>
      </c>
      <c r="H52" s="28" t="s">
        <v>76</v>
      </c>
      <c r="I52" s="28"/>
      <c r="J52" s="28" t="s">
        <v>29</v>
      </c>
      <c r="K52" s="28" t="s">
        <v>30</v>
      </c>
      <c r="L52" s="28" t="s">
        <v>77</v>
      </c>
      <c r="M52" s="28" t="s">
        <v>31</v>
      </c>
      <c r="N52" s="28" t="s">
        <v>32</v>
      </c>
      <c r="O52" s="137" t="s">
        <v>32</v>
      </c>
      <c r="P52" s="98" t="s">
        <v>64</v>
      </c>
    </row>
    <row r="53" spans="1:16">
      <c r="A53" s="134">
        <v>45565</v>
      </c>
      <c r="B53" s="106"/>
      <c r="C53" s="121">
        <v>0.28849999999999998</v>
      </c>
      <c r="D53" s="62">
        <f>(G49)</f>
        <v>119999967</v>
      </c>
      <c r="E53" s="62">
        <f t="shared" ref="E53:E58" si="12">IF(D53&gt;=0,D53,0)</f>
        <v>119999967</v>
      </c>
      <c r="F53" s="62">
        <f t="shared" ref="F53:F58" si="13">(B53-J53)</f>
        <v>0</v>
      </c>
      <c r="G53" s="62">
        <f t="shared" ref="G53:G58" si="14">IF(F53&gt;=E53,E53,F53)</f>
        <v>0</v>
      </c>
      <c r="H53" s="62">
        <f>IF(M53&gt;=B53,B53,M53)</f>
        <v>0</v>
      </c>
      <c r="I53" s="62">
        <f>(M53-H53)</f>
        <v>379397.15593972598</v>
      </c>
      <c r="J53" s="62">
        <f>(H53)</f>
        <v>0</v>
      </c>
      <c r="K53" s="63">
        <f>(A53-G51)</f>
        <v>4</v>
      </c>
      <c r="L53" s="63">
        <f t="shared" ref="L53:L58" si="15">IF(K53&gt;0,K53,0)</f>
        <v>4</v>
      </c>
      <c r="M53" s="62">
        <f>(E53*L53*C53)/365+$G$11</f>
        <v>379397.15593972598</v>
      </c>
      <c r="N53" s="62">
        <f>(D53+M53-B53)</f>
        <v>120379364.15593973</v>
      </c>
      <c r="O53" s="145">
        <f t="shared" ref="O53:O58" si="16">IF(A53&gt;0,N53,0)</f>
        <v>120379364.15593973</v>
      </c>
      <c r="P53" s="124">
        <v>1</v>
      </c>
    </row>
    <row r="54" spans="1:16" ht="13.5" thickBot="1">
      <c r="A54" s="140">
        <v>45594</v>
      </c>
      <c r="B54" s="106">
        <v>123065160.68000001</v>
      </c>
      <c r="C54" s="121">
        <v>0.28170000000000001</v>
      </c>
      <c r="D54" s="107">
        <f t="shared" ref="D54:D58" si="17">IF(O53&gt;=D53,D53,O53)</f>
        <v>119999967</v>
      </c>
      <c r="E54" s="111">
        <f t="shared" si="12"/>
        <v>119999967</v>
      </c>
      <c r="F54" s="108">
        <f t="shared" si="13"/>
        <v>119999967.00238055</v>
      </c>
      <c r="G54" s="108">
        <f t="shared" si="14"/>
        <v>119999967</v>
      </c>
      <c r="H54" s="108">
        <f>(I53+M54)</f>
        <v>3065193.6776194521</v>
      </c>
      <c r="I54" s="108">
        <f t="shared" ref="I54:I58" si="18">IF(H54&gt;=B54,B54,H54)</f>
        <v>3065193.6776194521</v>
      </c>
      <c r="J54" s="108">
        <f t="shared" ref="J54:J58" si="19">(I54)</f>
        <v>3065193.6776194521</v>
      </c>
      <c r="K54" s="109">
        <f t="shared" ref="K54:K58" si="20">(A54-A53)</f>
        <v>29</v>
      </c>
      <c r="L54" s="109">
        <f t="shared" si="15"/>
        <v>29</v>
      </c>
      <c r="M54" s="111">
        <f t="shared" ref="M54:M58" si="21">(E54*L54*C54)/365</f>
        <v>2685796.521679726</v>
      </c>
      <c r="N54" s="108">
        <f t="shared" ref="N54:N58" si="22">(N53+M54-B54)</f>
        <v>-2.3805499076843262E-3</v>
      </c>
      <c r="O54" s="146">
        <f t="shared" si="16"/>
        <v>-2.3805499076843262E-3</v>
      </c>
      <c r="P54" s="147">
        <v>2</v>
      </c>
    </row>
    <row r="55" spans="1:16">
      <c r="A55" s="134"/>
      <c r="B55" s="106"/>
      <c r="C55" s="121"/>
      <c r="D55" s="59">
        <f t="shared" si="17"/>
        <v>-2.3805499076843262E-3</v>
      </c>
      <c r="E55" s="59">
        <f t="shared" si="12"/>
        <v>0</v>
      </c>
      <c r="F55" s="59">
        <f t="shared" si="13"/>
        <v>0</v>
      </c>
      <c r="G55" s="59">
        <f t="shared" si="14"/>
        <v>0</v>
      </c>
      <c r="H55" s="59">
        <f t="shared" ref="H55:H58" si="23">(H54+M55-I54)</f>
        <v>0</v>
      </c>
      <c r="I55" s="59">
        <f t="shared" si="18"/>
        <v>0</v>
      </c>
      <c r="J55" s="59">
        <f t="shared" si="19"/>
        <v>0</v>
      </c>
      <c r="K55" s="60">
        <f t="shared" si="20"/>
        <v>-45594</v>
      </c>
      <c r="L55" s="60">
        <f t="shared" si="15"/>
        <v>0</v>
      </c>
      <c r="M55" s="111">
        <f t="shared" si="21"/>
        <v>0</v>
      </c>
      <c r="N55" s="59">
        <f t="shared" si="22"/>
        <v>-2.3805499076843262E-3</v>
      </c>
      <c r="O55" s="123">
        <f t="shared" si="16"/>
        <v>0</v>
      </c>
      <c r="P55" s="124"/>
    </row>
    <row r="56" spans="1:16">
      <c r="A56" s="134"/>
      <c r="B56" s="106"/>
      <c r="C56" s="121"/>
      <c r="D56" s="59">
        <f t="shared" si="17"/>
        <v>-2.3805499076843262E-3</v>
      </c>
      <c r="E56" s="59">
        <f t="shared" si="12"/>
        <v>0</v>
      </c>
      <c r="F56" s="59">
        <f t="shared" si="13"/>
        <v>0</v>
      </c>
      <c r="G56" s="59">
        <f t="shared" si="14"/>
        <v>0</v>
      </c>
      <c r="H56" s="59">
        <f t="shared" si="23"/>
        <v>0</v>
      </c>
      <c r="I56" s="59">
        <f t="shared" si="18"/>
        <v>0</v>
      </c>
      <c r="J56" s="59">
        <f t="shared" si="19"/>
        <v>0</v>
      </c>
      <c r="K56" s="60">
        <f t="shared" si="20"/>
        <v>0</v>
      </c>
      <c r="L56" s="60">
        <f t="shared" si="15"/>
        <v>0</v>
      </c>
      <c r="M56" s="59">
        <f t="shared" si="21"/>
        <v>0</v>
      </c>
      <c r="N56" s="59">
        <f t="shared" si="22"/>
        <v>-2.3805499076843262E-3</v>
      </c>
      <c r="O56" s="123">
        <f t="shared" si="16"/>
        <v>0</v>
      </c>
      <c r="P56" s="125"/>
    </row>
    <row r="57" spans="1:16" ht="13.5" thickBot="1">
      <c r="A57" s="134"/>
      <c r="B57" s="106"/>
      <c r="C57" s="121"/>
      <c r="D57" s="59">
        <f t="shared" si="17"/>
        <v>-2.3805499076843262E-3</v>
      </c>
      <c r="E57" s="59">
        <f t="shared" si="12"/>
        <v>0</v>
      </c>
      <c r="F57" s="59">
        <f t="shared" si="13"/>
        <v>0</v>
      </c>
      <c r="G57" s="59">
        <f t="shared" si="14"/>
        <v>0</v>
      </c>
      <c r="H57" s="59">
        <f t="shared" si="23"/>
        <v>0</v>
      </c>
      <c r="I57" s="59">
        <f t="shared" si="18"/>
        <v>0</v>
      </c>
      <c r="J57" s="59">
        <f t="shared" si="19"/>
        <v>0</v>
      </c>
      <c r="K57" s="60">
        <f t="shared" si="20"/>
        <v>0</v>
      </c>
      <c r="L57" s="60">
        <f t="shared" si="15"/>
        <v>0</v>
      </c>
      <c r="M57" s="59">
        <f t="shared" si="21"/>
        <v>0</v>
      </c>
      <c r="N57" s="59">
        <f t="shared" si="22"/>
        <v>-2.3805499076843262E-3</v>
      </c>
      <c r="O57" s="123">
        <f t="shared" si="16"/>
        <v>0</v>
      </c>
      <c r="P57" s="125"/>
    </row>
    <row r="58" spans="1:16" ht="13.5" thickBot="1">
      <c r="A58" s="134"/>
      <c r="B58" s="106"/>
      <c r="C58" s="121"/>
      <c r="D58" s="59">
        <f t="shared" si="17"/>
        <v>-2.3805499076843262E-3</v>
      </c>
      <c r="E58" s="59">
        <f t="shared" si="12"/>
        <v>0</v>
      </c>
      <c r="F58" s="59">
        <f t="shared" si="13"/>
        <v>0</v>
      </c>
      <c r="G58" s="59">
        <f t="shared" si="14"/>
        <v>0</v>
      </c>
      <c r="H58" s="59">
        <f t="shared" si="23"/>
        <v>0</v>
      </c>
      <c r="I58" s="59">
        <f t="shared" si="18"/>
        <v>0</v>
      </c>
      <c r="J58" s="59">
        <f t="shared" si="19"/>
        <v>0</v>
      </c>
      <c r="K58" s="60">
        <f t="shared" si="20"/>
        <v>0</v>
      </c>
      <c r="L58" s="60">
        <f t="shared" si="15"/>
        <v>0</v>
      </c>
      <c r="M58" s="59">
        <f t="shared" si="21"/>
        <v>0</v>
      </c>
      <c r="N58" s="59">
        <f t="shared" si="22"/>
        <v>-2.3805499076843262E-3</v>
      </c>
      <c r="O58" s="123">
        <f t="shared" si="16"/>
        <v>0</v>
      </c>
      <c r="P58" s="124"/>
    </row>
    <row r="59" spans="1:16" ht="13.5" thickBot="1">
      <c r="A59" s="81" t="s">
        <v>33</v>
      </c>
      <c r="B59" s="82">
        <f>SUM(B53:B56)</f>
        <v>123065160.68000001</v>
      </c>
      <c r="C59" s="82"/>
      <c r="D59" s="83"/>
      <c r="E59" s="82"/>
      <c r="F59" s="83"/>
      <c r="G59" s="82">
        <f>SUM(G53:G56)</f>
        <v>119999967</v>
      </c>
      <c r="H59" s="82"/>
      <c r="I59" s="82"/>
      <c r="J59" s="82">
        <f>SUM(J53:J56)</f>
        <v>3065193.6776194521</v>
      </c>
      <c r="K59" s="82"/>
      <c r="L59" s="82"/>
      <c r="M59" s="82">
        <f>SUM(M53:M58)</f>
        <v>3065193.6776194521</v>
      </c>
      <c r="N59" s="83"/>
      <c r="O59" s="82"/>
      <c r="P59" s="64"/>
    </row>
    <row r="60" spans="1:16">
      <c r="A60" s="71"/>
      <c r="E60" s="66"/>
      <c r="M60" s="102"/>
    </row>
    <row r="61" spans="1:16">
      <c r="A61" s="61" t="s">
        <v>17</v>
      </c>
      <c r="M61" s="101">
        <f>+M59+E53</f>
        <v>123065160.67761946</v>
      </c>
    </row>
    <row r="62" spans="1:16">
      <c r="A62" s="61"/>
      <c r="C62" s="117"/>
      <c r="G62" s="117" t="s">
        <v>9</v>
      </c>
      <c r="H62" s="117"/>
      <c r="I62" s="117"/>
      <c r="J62" s="128" t="s">
        <v>34</v>
      </c>
      <c r="K62" s="117"/>
      <c r="L62" s="117" t="s">
        <v>160</v>
      </c>
      <c r="M62" s="101"/>
    </row>
    <row r="63" spans="1:16" ht="15">
      <c r="A63" s="55" t="s">
        <v>82</v>
      </c>
      <c r="C63" s="66"/>
      <c r="E63" s="112"/>
      <c r="G63" s="66">
        <v>1000000000</v>
      </c>
      <c r="M63" s="101"/>
    </row>
    <row r="64" spans="1:16" ht="15">
      <c r="A64" s="71" t="s">
        <v>78</v>
      </c>
      <c r="B64" s="56"/>
      <c r="C64" s="122"/>
      <c r="D64" s="55"/>
      <c r="E64" s="113"/>
      <c r="G64" s="66"/>
      <c r="J64" s="101"/>
      <c r="M64" s="101"/>
    </row>
    <row r="65" spans="1:16" ht="15">
      <c r="A65" s="71" t="s">
        <v>147</v>
      </c>
      <c r="B65" s="56"/>
      <c r="C65" s="122"/>
      <c r="D65" s="55"/>
      <c r="E65" s="113"/>
      <c r="G65" s="66">
        <f>G63*11.9999967/100</f>
        <v>119999967</v>
      </c>
      <c r="J65" s="101"/>
    </row>
    <row r="66" spans="1:16" ht="15.75">
      <c r="A66" s="139" t="s">
        <v>159</v>
      </c>
      <c r="B66" s="55"/>
      <c r="C66" s="133"/>
      <c r="D66" s="1"/>
      <c r="E66" s="66"/>
      <c r="G66" s="233">
        <v>119999967</v>
      </c>
      <c r="H66" s="71"/>
      <c r="I66" s="71"/>
      <c r="J66" s="231">
        <v>3065193.68</v>
      </c>
      <c r="K66" s="232"/>
      <c r="L66" s="159">
        <f>SUM(G66:K66)</f>
        <v>123065160.68000001</v>
      </c>
    </row>
    <row r="67" spans="1:16" ht="18">
      <c r="A67" s="205" t="s">
        <v>80</v>
      </c>
      <c r="B67" s="211"/>
      <c r="C67" s="133"/>
      <c r="D67" s="1"/>
      <c r="E67" s="66"/>
      <c r="G67" s="234">
        <f>G65-G66</f>
        <v>0</v>
      </c>
      <c r="J67" s="3"/>
      <c r="K67" s="102"/>
    </row>
    <row r="72" spans="1:16" ht="15">
      <c r="J72" s="55"/>
    </row>
    <row r="73" spans="1:16" ht="15.75">
      <c r="A73" s="56"/>
      <c r="G73" s="1"/>
      <c r="J73" s="56"/>
    </row>
    <row r="74" spans="1:16" ht="15.75">
      <c r="A74" s="56"/>
      <c r="G74" s="56"/>
      <c r="J74" s="1" t="s">
        <v>37</v>
      </c>
    </row>
    <row r="75" spans="1:16" ht="15.75">
      <c r="A75" s="56" t="s">
        <v>38</v>
      </c>
      <c r="G75" s="1"/>
      <c r="J75" s="56" t="s">
        <v>39</v>
      </c>
    </row>
    <row r="78" spans="1:16" ht="15">
      <c r="A78" s="325" t="s">
        <v>0</v>
      </c>
      <c r="B78" s="325"/>
      <c r="C78" s="325"/>
      <c r="D78" s="325"/>
      <c r="E78" s="325"/>
      <c r="F78" s="325"/>
      <c r="G78" s="325"/>
      <c r="H78" s="325"/>
      <c r="I78" s="325"/>
      <c r="J78" s="325"/>
      <c r="K78" s="325"/>
      <c r="L78" s="325"/>
      <c r="M78" s="325"/>
      <c r="N78" s="325"/>
      <c r="O78" s="325"/>
      <c r="P78" s="325"/>
    </row>
    <row r="79" spans="1:16" ht="15">
      <c r="A79" s="325" t="s">
        <v>1</v>
      </c>
      <c r="B79" s="325"/>
      <c r="C79" s="325"/>
      <c r="D79" s="325"/>
      <c r="E79" s="325"/>
      <c r="F79" s="325"/>
      <c r="G79" s="325"/>
      <c r="H79" s="325"/>
      <c r="I79" s="325"/>
      <c r="J79" s="325"/>
      <c r="K79" s="325"/>
      <c r="L79" s="325"/>
      <c r="M79" s="325"/>
      <c r="N79" s="325"/>
      <c r="O79" s="325"/>
      <c r="P79" s="325"/>
    </row>
    <row r="80" spans="1:16" ht="15">
      <c r="A80" s="325" t="s">
        <v>69</v>
      </c>
      <c r="B80" s="325"/>
      <c r="C80" s="325"/>
      <c r="D80" s="325"/>
      <c r="E80" s="325"/>
      <c r="F80" s="325"/>
      <c r="G80" s="325"/>
      <c r="H80" s="325"/>
      <c r="I80" s="325"/>
      <c r="J80" s="325"/>
      <c r="K80" s="325"/>
      <c r="L80" s="325"/>
      <c r="M80" s="325"/>
      <c r="N80" s="325"/>
      <c r="O80" s="325"/>
      <c r="P80" s="325"/>
    </row>
    <row r="81" spans="1:16" ht="15">
      <c r="A81" s="325" t="s">
        <v>70</v>
      </c>
      <c r="B81" s="325"/>
      <c r="C81" s="325"/>
      <c r="D81" s="325"/>
      <c r="E81" s="325"/>
      <c r="F81" s="325"/>
      <c r="G81" s="325"/>
      <c r="H81" s="325"/>
      <c r="I81" s="325"/>
      <c r="J81" s="325"/>
      <c r="K81" s="325"/>
      <c r="L81" s="325"/>
      <c r="M81" s="325"/>
      <c r="N81" s="325"/>
      <c r="O81" s="325"/>
      <c r="P81" s="325"/>
    </row>
    <row r="82" spans="1:16" ht="15.75" thickBot="1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</row>
    <row r="83" spans="1:16" ht="15.75" thickBot="1">
      <c r="A83" s="55" t="s">
        <v>4</v>
      </c>
      <c r="B83" s="56"/>
      <c r="C83" s="56"/>
      <c r="D83" s="97"/>
      <c r="E83" s="297" t="s">
        <v>40</v>
      </c>
      <c r="F83" s="298"/>
      <c r="G83" s="298"/>
      <c r="H83" s="298"/>
      <c r="I83" s="298"/>
      <c r="J83" s="298"/>
      <c r="K83" s="57"/>
      <c r="L83" s="57"/>
      <c r="M83" s="57"/>
      <c r="N83" s="56"/>
    </row>
    <row r="84" spans="1:16" ht="16.5" thickBot="1">
      <c r="A84" s="1" t="s">
        <v>5</v>
      </c>
      <c r="B84" s="58"/>
      <c r="C84" s="58"/>
      <c r="D84" s="76"/>
      <c r="E84" s="322" t="s">
        <v>84</v>
      </c>
      <c r="F84" s="323"/>
      <c r="G84" s="323"/>
      <c r="H84" s="323"/>
      <c r="I84" s="323"/>
      <c r="J84" s="323"/>
      <c r="K84" s="323"/>
      <c r="L84" s="323"/>
      <c r="M84" s="323"/>
      <c r="N84" s="323"/>
      <c r="O84" s="323"/>
      <c r="P84" s="324"/>
    </row>
    <row r="85" spans="1:16">
      <c r="A85" s="29" t="s">
        <v>10</v>
      </c>
      <c r="G85" s="69">
        <v>45530</v>
      </c>
      <c r="H85" s="14"/>
      <c r="I85" s="14"/>
    </row>
    <row r="86" spans="1:16" ht="15">
      <c r="A86" s="29"/>
      <c r="G86" s="12"/>
      <c r="H86" s="15"/>
      <c r="I86" s="15"/>
      <c r="J86" s="55" t="s">
        <v>83</v>
      </c>
      <c r="N86" s="4"/>
    </row>
    <row r="87" spans="1:16">
      <c r="A87" s="29" t="s">
        <v>8</v>
      </c>
      <c r="G87" s="72">
        <v>119999967</v>
      </c>
      <c r="H87" s="16"/>
      <c r="I87" s="16"/>
    </row>
    <row r="88" spans="1:16">
      <c r="A88" s="29" t="s">
        <v>13</v>
      </c>
      <c r="G88" s="72"/>
      <c r="H88" s="16"/>
      <c r="I88" s="16"/>
      <c r="N88" s="4"/>
    </row>
    <row r="89" spans="1:16" ht="13.5" thickBot="1">
      <c r="A89" s="29" t="s">
        <v>24</v>
      </c>
      <c r="G89" s="73">
        <v>45561</v>
      </c>
      <c r="H89" s="17"/>
      <c r="I89" s="17"/>
    </row>
    <row r="90" spans="1:16" ht="30" customHeight="1" thickBot="1">
      <c r="A90" s="28" t="s">
        <v>25</v>
      </c>
      <c r="B90" s="28" t="s">
        <v>26</v>
      </c>
      <c r="C90" s="28" t="s">
        <v>74</v>
      </c>
      <c r="D90" s="28" t="s">
        <v>27</v>
      </c>
      <c r="E90" s="28" t="s">
        <v>27</v>
      </c>
      <c r="F90" s="28"/>
      <c r="G90" s="28" t="s">
        <v>75</v>
      </c>
      <c r="H90" s="28" t="s">
        <v>76</v>
      </c>
      <c r="I90" s="28"/>
      <c r="J90" s="28" t="s">
        <v>29</v>
      </c>
      <c r="K90" s="28" t="s">
        <v>30</v>
      </c>
      <c r="L90" s="28" t="s">
        <v>77</v>
      </c>
      <c r="M90" s="28" t="s">
        <v>31</v>
      </c>
      <c r="N90" s="28" t="s">
        <v>32</v>
      </c>
      <c r="O90" s="137" t="s">
        <v>32</v>
      </c>
      <c r="P90" s="98" t="s">
        <v>64</v>
      </c>
    </row>
    <row r="91" spans="1:16">
      <c r="A91" s="134">
        <v>45565</v>
      </c>
      <c r="B91" s="106"/>
      <c r="C91" s="121">
        <v>0.28849999999999998</v>
      </c>
      <c r="D91" s="62">
        <f>(G87)</f>
        <v>119999967</v>
      </c>
      <c r="E91" s="62">
        <f t="shared" ref="E91:E96" si="24">IF(D91&gt;=0,D91,0)</f>
        <v>119999967</v>
      </c>
      <c r="F91" s="62">
        <f t="shared" ref="F91:F96" si="25">(B91-J91)</f>
        <v>0</v>
      </c>
      <c r="G91" s="62">
        <f t="shared" ref="G91:G96" si="26">IF(F91&gt;=E91,E91,F91)</f>
        <v>0</v>
      </c>
      <c r="H91" s="62">
        <f>IF(M91&gt;=B91,B91,M91)</f>
        <v>0</v>
      </c>
      <c r="I91" s="62">
        <f>(M91-H91)</f>
        <v>379397.15593972598</v>
      </c>
      <c r="J91" s="62">
        <f>(H91)</f>
        <v>0</v>
      </c>
      <c r="K91" s="63">
        <f>(A91-G89)</f>
        <v>4</v>
      </c>
      <c r="L91" s="63">
        <f t="shared" ref="L91:L96" si="27">IF(K91&gt;0,K91,0)</f>
        <v>4</v>
      </c>
      <c r="M91" s="62">
        <f>(E91*L91*C91)/365+$G$11</f>
        <v>379397.15593972598</v>
      </c>
      <c r="N91" s="62">
        <f>(D91+M91-B91)</f>
        <v>120379364.15593973</v>
      </c>
      <c r="O91" s="145">
        <f t="shared" ref="O91:O96" si="28">IF(A91&gt;0,N91,0)</f>
        <v>120379364.15593973</v>
      </c>
      <c r="P91" s="124">
        <v>1</v>
      </c>
    </row>
    <row r="92" spans="1:16" ht="13.5" thickBot="1">
      <c r="A92" s="134">
        <v>45594</v>
      </c>
      <c r="B92" s="106">
        <v>26041303.699999999</v>
      </c>
      <c r="C92" s="121">
        <v>0.28170000000000001</v>
      </c>
      <c r="D92" s="107">
        <f t="shared" ref="D92:D96" si="29">IF(O91&gt;=D91,D91,O91)</f>
        <v>119999967</v>
      </c>
      <c r="E92" s="111">
        <f t="shared" si="24"/>
        <v>119999967</v>
      </c>
      <c r="F92" s="108">
        <f t="shared" si="25"/>
        <v>22976110.022380546</v>
      </c>
      <c r="G92" s="108">
        <f t="shared" si="26"/>
        <v>22976110.022380546</v>
      </c>
      <c r="H92" s="108">
        <f>(I91+M92)</f>
        <v>3065193.6776194521</v>
      </c>
      <c r="I92" s="108">
        <f t="shared" ref="I92:I96" si="30">IF(H92&gt;=B92,B92,H92)</f>
        <v>3065193.6776194521</v>
      </c>
      <c r="J92" s="108">
        <f t="shared" ref="J92:J96" si="31">(I92)</f>
        <v>3065193.6776194521</v>
      </c>
      <c r="K92" s="109">
        <f t="shared" ref="K92:K96" si="32">(A92-A91)</f>
        <v>29</v>
      </c>
      <c r="L92" s="109">
        <f t="shared" si="27"/>
        <v>29</v>
      </c>
      <c r="M92" s="111">
        <f t="shared" ref="M92:M96" si="33">(E92*L92*C92)/365</f>
        <v>2685796.521679726</v>
      </c>
      <c r="N92" s="108">
        <f t="shared" ref="N92:N96" si="34">(N91+M92-B92)</f>
        <v>97023856.977619454</v>
      </c>
      <c r="O92" s="123">
        <f t="shared" si="28"/>
        <v>97023856.977619454</v>
      </c>
      <c r="P92" s="125">
        <v>2</v>
      </c>
    </row>
    <row r="93" spans="1:16">
      <c r="A93" s="134">
        <v>45596</v>
      </c>
      <c r="B93" s="106"/>
      <c r="C93" s="121">
        <v>0.28170000000000001</v>
      </c>
      <c r="D93" s="59">
        <f t="shared" si="29"/>
        <v>97023856.977619454</v>
      </c>
      <c r="E93" s="59">
        <f t="shared" si="24"/>
        <v>97023856.977619454</v>
      </c>
      <c r="F93" s="59">
        <f t="shared" si="25"/>
        <v>0</v>
      </c>
      <c r="G93" s="59">
        <f t="shared" si="26"/>
        <v>0</v>
      </c>
      <c r="H93" s="59">
        <f t="shared" ref="H93:H96" si="35">(H92+M93-I92)</f>
        <v>149762.30416764598</v>
      </c>
      <c r="I93" s="59">
        <f t="shared" si="30"/>
        <v>0</v>
      </c>
      <c r="J93" s="59">
        <f t="shared" si="31"/>
        <v>0</v>
      </c>
      <c r="K93" s="60">
        <f t="shared" si="32"/>
        <v>2</v>
      </c>
      <c r="L93" s="60">
        <f t="shared" si="27"/>
        <v>2</v>
      </c>
      <c r="M93" s="111">
        <f t="shared" si="33"/>
        <v>149762.30416764601</v>
      </c>
      <c r="N93" s="59">
        <f t="shared" si="34"/>
        <v>97173619.281787097</v>
      </c>
      <c r="O93" s="123">
        <f t="shared" si="28"/>
        <v>97173619.281787097</v>
      </c>
      <c r="P93" s="124">
        <v>3</v>
      </c>
    </row>
    <row r="94" spans="1:16">
      <c r="A94" s="134">
        <v>45618</v>
      </c>
      <c r="B94" s="106"/>
      <c r="C94" s="121">
        <v>0.27900000000000003</v>
      </c>
      <c r="D94" s="59">
        <f t="shared" si="29"/>
        <v>97023856.977619454</v>
      </c>
      <c r="E94" s="59">
        <f t="shared" si="24"/>
        <v>97023856.977619454</v>
      </c>
      <c r="F94" s="59">
        <f t="shared" si="25"/>
        <v>0</v>
      </c>
      <c r="G94" s="59">
        <f t="shared" si="26"/>
        <v>0</v>
      </c>
      <c r="H94" s="59">
        <f t="shared" si="35"/>
        <v>1781358.0141090932</v>
      </c>
      <c r="I94" s="59">
        <f t="shared" si="30"/>
        <v>0</v>
      </c>
      <c r="J94" s="59">
        <f t="shared" si="31"/>
        <v>0</v>
      </c>
      <c r="K94" s="60">
        <f t="shared" si="32"/>
        <v>22</v>
      </c>
      <c r="L94" s="60">
        <f t="shared" si="27"/>
        <v>22</v>
      </c>
      <c r="M94" s="59">
        <f t="shared" si="33"/>
        <v>1631595.7099414472</v>
      </c>
      <c r="N94" s="59">
        <f t="shared" si="34"/>
        <v>98805214.991728544</v>
      </c>
      <c r="O94" s="123">
        <f t="shared" si="28"/>
        <v>98805214.991728544</v>
      </c>
      <c r="P94" s="125">
        <v>4</v>
      </c>
    </row>
    <row r="95" spans="1:16" ht="13.5" thickBot="1">
      <c r="A95" s="134"/>
      <c r="B95" s="106"/>
      <c r="C95" s="121"/>
      <c r="D95" s="59">
        <f t="shared" si="29"/>
        <v>97023856.977619454</v>
      </c>
      <c r="E95" s="59">
        <f t="shared" si="24"/>
        <v>97023856.977619454</v>
      </c>
      <c r="F95" s="59">
        <f t="shared" si="25"/>
        <v>0</v>
      </c>
      <c r="G95" s="59">
        <f t="shared" si="26"/>
        <v>0</v>
      </c>
      <c r="H95" s="59">
        <f t="shared" si="35"/>
        <v>1781358.0141090932</v>
      </c>
      <c r="I95" s="59">
        <f t="shared" si="30"/>
        <v>0</v>
      </c>
      <c r="J95" s="59">
        <f t="shared" si="31"/>
        <v>0</v>
      </c>
      <c r="K95" s="60">
        <f t="shared" si="32"/>
        <v>-45618</v>
      </c>
      <c r="L95" s="60">
        <f t="shared" si="27"/>
        <v>0</v>
      </c>
      <c r="M95" s="59">
        <f t="shared" si="33"/>
        <v>0</v>
      </c>
      <c r="N95" s="59">
        <f t="shared" si="34"/>
        <v>98805214.991728544</v>
      </c>
      <c r="O95" s="123">
        <f t="shared" si="28"/>
        <v>0</v>
      </c>
      <c r="P95" s="125"/>
    </row>
    <row r="96" spans="1:16" ht="13.5" thickBot="1">
      <c r="A96" s="134"/>
      <c r="B96" s="106"/>
      <c r="C96" s="121"/>
      <c r="D96" s="59">
        <f t="shared" si="29"/>
        <v>0</v>
      </c>
      <c r="E96" s="59">
        <f t="shared" si="24"/>
        <v>0</v>
      </c>
      <c r="F96" s="59">
        <f t="shared" si="25"/>
        <v>0</v>
      </c>
      <c r="G96" s="59">
        <f t="shared" si="26"/>
        <v>0</v>
      </c>
      <c r="H96" s="59">
        <f t="shared" si="35"/>
        <v>1781358.0141090932</v>
      </c>
      <c r="I96" s="59">
        <f t="shared" si="30"/>
        <v>0</v>
      </c>
      <c r="J96" s="59">
        <f t="shared" si="31"/>
        <v>0</v>
      </c>
      <c r="K96" s="60">
        <f t="shared" si="32"/>
        <v>0</v>
      </c>
      <c r="L96" s="60">
        <f t="shared" si="27"/>
        <v>0</v>
      </c>
      <c r="M96" s="59">
        <f t="shared" si="33"/>
        <v>0</v>
      </c>
      <c r="N96" s="59">
        <f t="shared" si="34"/>
        <v>98805214.991728544</v>
      </c>
      <c r="O96" s="123">
        <f t="shared" si="28"/>
        <v>0</v>
      </c>
      <c r="P96" s="124"/>
    </row>
    <row r="97" spans="1:16" ht="13.5" thickBot="1">
      <c r="A97" s="81" t="s">
        <v>33</v>
      </c>
      <c r="B97" s="82">
        <f>SUM(B91:B94)</f>
        <v>26041303.699999999</v>
      </c>
      <c r="C97" s="82"/>
      <c r="D97" s="83"/>
      <c r="E97" s="82"/>
      <c r="F97" s="83"/>
      <c r="G97" s="82">
        <f>SUM(G91:G94)</f>
        <v>22976110.022380546</v>
      </c>
      <c r="H97" s="82"/>
      <c r="I97" s="82"/>
      <c r="J97" s="82">
        <f>SUM(J91:J94)</f>
        <v>3065193.6776194521</v>
      </c>
      <c r="K97" s="82"/>
      <c r="L97" s="82"/>
      <c r="M97" s="82">
        <f>SUM(M91:M96)</f>
        <v>4846551.6917285454</v>
      </c>
      <c r="N97" s="83"/>
      <c r="O97" s="82"/>
      <c r="P97" s="64"/>
    </row>
    <row r="98" spans="1:16">
      <c r="A98" s="71"/>
      <c r="E98" s="66"/>
      <c r="M98" s="102"/>
    </row>
    <row r="99" spans="1:16">
      <c r="A99" s="61" t="s">
        <v>17</v>
      </c>
      <c r="M99" s="101"/>
    </row>
    <row r="100" spans="1:16">
      <c r="A100" s="61"/>
      <c r="C100" s="117"/>
      <c r="G100" s="117" t="s">
        <v>9</v>
      </c>
      <c r="H100" s="117"/>
      <c r="I100" s="117"/>
      <c r="J100" s="128" t="s">
        <v>34</v>
      </c>
      <c r="K100" s="117"/>
      <c r="L100" s="117" t="s">
        <v>160</v>
      </c>
      <c r="M100" s="101"/>
    </row>
    <row r="101" spans="1:16" ht="15">
      <c r="A101" s="55" t="s">
        <v>83</v>
      </c>
      <c r="C101" s="66"/>
      <c r="E101" s="112"/>
      <c r="G101" s="66">
        <v>1000000000</v>
      </c>
      <c r="M101" s="101"/>
    </row>
    <row r="102" spans="1:16" ht="15">
      <c r="A102" s="71" t="s">
        <v>78</v>
      </c>
      <c r="B102" s="56"/>
      <c r="C102" s="122"/>
      <c r="D102" s="55"/>
      <c r="E102" s="113"/>
      <c r="G102" s="66"/>
      <c r="J102" s="101"/>
      <c r="M102" s="101"/>
    </row>
    <row r="103" spans="1:16" ht="15">
      <c r="A103" s="71" t="s">
        <v>147</v>
      </c>
      <c r="B103" s="56"/>
      <c r="C103" s="122"/>
      <c r="D103" s="55"/>
      <c r="E103" s="113"/>
      <c r="G103" s="66">
        <f>G101*11.9999967/100</f>
        <v>119999967</v>
      </c>
      <c r="J103" s="101"/>
      <c r="M103" s="66"/>
    </row>
    <row r="104" spans="1:16" ht="15.75">
      <c r="A104" s="139" t="s">
        <v>159</v>
      </c>
      <c r="B104" s="55"/>
      <c r="C104" s="133"/>
      <c r="D104" s="1"/>
      <c r="E104" s="66"/>
      <c r="G104" s="233">
        <v>22976110.02</v>
      </c>
      <c r="H104" s="71"/>
      <c r="I104" s="71"/>
      <c r="J104" s="231">
        <v>3065193.68</v>
      </c>
      <c r="K104" s="232"/>
      <c r="L104" s="217">
        <f>SUM(G104:K104)</f>
        <v>26041303.699999999</v>
      </c>
      <c r="M104" s="66"/>
      <c r="P104" s="101"/>
    </row>
    <row r="105" spans="1:16" ht="15.75">
      <c r="A105" s="61" t="s">
        <v>238</v>
      </c>
      <c r="B105" s="55"/>
      <c r="C105" s="133"/>
      <c r="D105" s="1"/>
      <c r="E105" s="66"/>
      <c r="G105" s="273">
        <f>+G103-G104</f>
        <v>97023856.980000004</v>
      </c>
      <c r="J105" s="3"/>
      <c r="K105" s="102"/>
      <c r="M105" s="66"/>
      <c r="O105" s="66"/>
      <c r="P105" s="101"/>
    </row>
    <row r="106" spans="1:16" ht="15.75">
      <c r="A106" s="1" t="s">
        <v>239</v>
      </c>
      <c r="G106" s="274">
        <v>98805214.989999995</v>
      </c>
      <c r="M106" s="66"/>
      <c r="O106" s="66">
        <v>98452155.620000005</v>
      </c>
      <c r="P106" s="141" t="s">
        <v>240</v>
      </c>
    </row>
    <row r="107" spans="1:16">
      <c r="M107" s="235"/>
      <c r="O107" s="66">
        <v>123065160.68000001</v>
      </c>
      <c r="P107" s="141" t="s">
        <v>241</v>
      </c>
    </row>
    <row r="108" spans="1:16">
      <c r="J108" s="101">
        <f>+G15+G54+G92</f>
        <v>238976077.02238053</v>
      </c>
      <c r="L108" s="101">
        <f>+J21+J59+J97</f>
        <v>8582542.9716772605</v>
      </c>
      <c r="O108" s="66">
        <v>26041303.699999988</v>
      </c>
      <c r="P108" s="71" t="s">
        <v>242</v>
      </c>
    </row>
    <row r="109" spans="1:16">
      <c r="J109" s="101"/>
      <c r="L109" s="101"/>
      <c r="O109" s="275">
        <v>247558620</v>
      </c>
      <c r="P109" s="141" t="s">
        <v>243</v>
      </c>
    </row>
    <row r="110" spans="1:16" ht="15">
      <c r="J110" s="55"/>
    </row>
    <row r="111" spans="1:16" ht="15.75">
      <c r="A111" s="56"/>
      <c r="G111" s="1"/>
      <c r="J111" s="56"/>
    </row>
    <row r="112" spans="1:16" ht="15.75">
      <c r="A112" s="56"/>
      <c r="G112" s="56"/>
      <c r="J112" s="1" t="s">
        <v>37</v>
      </c>
    </row>
    <row r="113" spans="1:10" ht="15.75">
      <c r="A113" s="56" t="s">
        <v>38</v>
      </c>
      <c r="G113" s="1"/>
      <c r="J113" s="56" t="s">
        <v>39</v>
      </c>
    </row>
  </sheetData>
  <protectedRanges>
    <protectedRange password="CC03" sqref="D6:D7" name="Rango1_2" securityDescriptor="O:WDG:WDD:(A;;CC;;;WD)"/>
    <protectedRange password="CC03" sqref="B14:B20 B53:B54 B91:B92" name="Rango1_5_1_1_1" securityDescriptor="O:WDG:WDD:(A;;CC;;;WD)"/>
    <protectedRange password="CC03" sqref="C17" name="Rango1_1_1_1_1" securityDescriptor="O:WDG:WDD:(A;;CC;;;WD)"/>
    <protectedRange password="CC03" sqref="A14:A20 A53:A54 A91:A92" name="Rango1_4_1_1_1" securityDescriptor="O:WDG:WDD:(A;;CC;;;WD)"/>
    <protectedRange password="CC03" sqref="C18:C20 C14:C16 C53:C54 C91:C92" name="Rango1_1_1_1_1_1" securityDescriptor="O:WDG:WDD:(A;;CC;;;WD)"/>
    <protectedRange password="CC03" sqref="G9:G11" name="Rango1_3_1_1" securityDescriptor="O:WDG:WDD:(A;;CC;;;WD)"/>
    <protectedRange password="CC03" sqref="G8" name="Rango1_1_1_2_1" securityDescriptor="O:WDG:WDD:(A;;CC;;;WD)"/>
    <protectedRange password="CC03" sqref="G12" name="Rango1_3_1_1_1" securityDescriptor="O:WDG:WDD:(A;;CC;;;WD)"/>
    <protectedRange password="CC03" sqref="D45:D46 D83:D84" name="Rango1_2_1" securityDescriptor="O:WDG:WDD:(A;;CC;;;WD)"/>
    <protectedRange password="CC03" sqref="B55:B58 B93:B96" name="Rango1_5_1_1_1_1" securityDescriptor="O:WDG:WDD:(A;;CC;;;WD)"/>
    <protectedRange password="CC03" sqref="C56 C94" name="Rango1_1_1_1_1_2" securityDescriptor="O:WDG:WDD:(A;;CC;;;WD)"/>
    <protectedRange password="CC03" sqref="A55:A58 A93:A96" name="Rango1_4_1_1_1_1" securityDescriptor="O:WDG:WDD:(A;;CC;;;WD)"/>
    <protectedRange password="CC03" sqref="C55 C57:C58 C93 C95:C96" name="Rango1_1_1_1_1_1_1" securityDescriptor="O:WDG:WDD:(A;;CC;;;WD)"/>
    <protectedRange password="CC03" sqref="G48:G51 G86:G89" name="Rango1_3_1_1_2" securityDescriptor="O:WDG:WDD:(A;;CC;;;WD)"/>
    <protectedRange password="CC03" sqref="G47 G85" name="Rango1_1_1_2_1_1" securityDescriptor="O:WDG:WDD:(A;;CC;;;WD)"/>
  </protectedRanges>
  <mergeCells count="18">
    <mergeCell ref="E7:P7"/>
    <mergeCell ref="A1:P1"/>
    <mergeCell ref="A2:P2"/>
    <mergeCell ref="A3:P3"/>
    <mergeCell ref="A4:P4"/>
    <mergeCell ref="E6:J6"/>
    <mergeCell ref="E84:P84"/>
    <mergeCell ref="A40:P40"/>
    <mergeCell ref="A41:P41"/>
    <mergeCell ref="A42:P42"/>
    <mergeCell ref="A43:P43"/>
    <mergeCell ref="E45:J45"/>
    <mergeCell ref="E46:P46"/>
    <mergeCell ref="A78:P78"/>
    <mergeCell ref="A79:P79"/>
    <mergeCell ref="A80:P80"/>
    <mergeCell ref="A81:P81"/>
    <mergeCell ref="E83:J83"/>
  </mergeCells>
  <pageMargins left="0.70866141732283472" right="0.70866141732283472" top="0.74803149606299213" bottom="0.74803149606299213" header="0.31496062992125984" footer="0.31496062992125984"/>
  <pageSetup paperSize="14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33793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2</xdr:col>
                <xdr:colOff>390525</xdr:colOff>
                <xdr:row>3</xdr:row>
                <xdr:rowOff>9525</xdr:rowOff>
              </to>
            </anchor>
          </objectPr>
        </oleObject>
      </mc:Choice>
      <mc:Fallback>
        <oleObject progId="Word.Picture.8" shapeId="33793" r:id="rId4"/>
      </mc:Fallback>
    </mc:AlternateContent>
    <mc:AlternateContent xmlns:mc="http://schemas.openxmlformats.org/markup-compatibility/2006">
      <mc:Choice Requires="x14">
        <oleObject progId="Word.Picture.8" shapeId="33794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123825</xdr:rowOff>
              </from>
              <to>
                <xdr:col>2</xdr:col>
                <xdr:colOff>361950</xdr:colOff>
                <xdr:row>2</xdr:row>
                <xdr:rowOff>152400</xdr:rowOff>
              </to>
            </anchor>
          </objectPr>
        </oleObject>
      </mc:Choice>
      <mc:Fallback>
        <oleObject progId="Word.Picture.8" shapeId="33794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BA5B7-2245-48B1-8F68-87566D144F8C}">
  <dimension ref="A1:T148"/>
  <sheetViews>
    <sheetView topLeftCell="A46" workbookViewId="0">
      <selection activeCell="A73" sqref="A73"/>
    </sheetView>
  </sheetViews>
  <sheetFormatPr baseColWidth="10" defaultColWidth="11.42578125" defaultRowHeight="12.75"/>
  <cols>
    <col min="1" max="1" width="16.28515625" customWidth="1"/>
    <col min="2" max="2" width="24.42578125" customWidth="1"/>
    <col min="3" max="3" width="23.85546875" customWidth="1"/>
    <col min="4" max="4" width="21.42578125" hidden="1" customWidth="1"/>
    <col min="5" max="5" width="29" customWidth="1"/>
    <col min="6" max="6" width="0.140625" hidden="1" customWidth="1"/>
    <col min="7" max="7" width="20.42578125" customWidth="1"/>
    <col min="8" max="8" width="0.140625" customWidth="1"/>
    <col min="9" max="9" width="21.140625" hidden="1" customWidth="1"/>
    <col min="10" max="10" width="28" customWidth="1"/>
    <col min="11" max="11" width="9.42578125" hidden="1" customWidth="1"/>
    <col min="12" max="12" width="23.140625" customWidth="1"/>
    <col min="13" max="13" width="17" customWidth="1"/>
    <col min="14" max="14" width="0.140625" customWidth="1"/>
    <col min="15" max="15" width="20.5703125" customWidth="1"/>
    <col min="16" max="16" width="9.42578125" customWidth="1"/>
    <col min="18" max="18" width="12.85546875" bestFit="1" customWidth="1"/>
  </cols>
  <sheetData>
    <row r="1" spans="1:19" ht="15.95" customHeight="1">
      <c r="A1" s="325" t="s">
        <v>0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</row>
    <row r="2" spans="1:19" ht="15.95" customHeight="1">
      <c r="A2" s="325" t="s">
        <v>1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</row>
    <row r="3" spans="1:19" ht="15.95" customHeight="1">
      <c r="A3" s="325" t="s">
        <v>69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</row>
    <row r="4" spans="1:19" ht="15.95" customHeight="1">
      <c r="A4" s="325" t="s">
        <v>70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</row>
    <row r="5" spans="1:19" ht="15.75" thickBot="1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</row>
    <row r="6" spans="1:19" ht="15.75" thickBot="1">
      <c r="A6" s="55" t="s">
        <v>4</v>
      </c>
      <c r="B6" s="56"/>
      <c r="C6" s="56"/>
      <c r="D6" s="97"/>
      <c r="E6" s="297" t="s">
        <v>40</v>
      </c>
      <c r="F6" s="298"/>
      <c r="G6" s="298"/>
      <c r="H6" s="298"/>
      <c r="I6" s="298"/>
      <c r="J6" s="298"/>
      <c r="K6" s="57"/>
      <c r="L6" s="57"/>
      <c r="M6" s="57"/>
      <c r="N6" s="56"/>
    </row>
    <row r="7" spans="1:19" ht="16.5" thickBot="1">
      <c r="A7" s="1" t="s">
        <v>5</v>
      </c>
      <c r="B7" s="58"/>
      <c r="C7" s="58"/>
      <c r="D7" s="76"/>
      <c r="E7" s="322" t="s">
        <v>87</v>
      </c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4"/>
    </row>
    <row r="8" spans="1:19">
      <c r="A8" s="29" t="s">
        <v>10</v>
      </c>
      <c r="G8" s="69">
        <v>45530</v>
      </c>
      <c r="H8" s="14"/>
      <c r="I8" s="14"/>
    </row>
    <row r="9" spans="1:19" ht="15">
      <c r="A9" s="29"/>
      <c r="G9" s="12"/>
      <c r="H9" s="15"/>
      <c r="I9" s="15"/>
      <c r="J9" s="55" t="s">
        <v>73</v>
      </c>
      <c r="N9" s="4"/>
    </row>
    <row r="10" spans="1:19">
      <c r="A10" s="29" t="s">
        <v>8</v>
      </c>
      <c r="G10" s="72">
        <v>179999997.59999999</v>
      </c>
      <c r="H10" s="16"/>
      <c r="I10" s="16"/>
    </row>
    <row r="11" spans="1:19">
      <c r="A11" s="29" t="s">
        <v>13</v>
      </c>
      <c r="G11" s="72"/>
      <c r="H11" s="16"/>
      <c r="I11" s="16"/>
      <c r="N11" s="4"/>
    </row>
    <row r="12" spans="1:19" ht="13.5" thickBot="1">
      <c r="A12" s="29" t="s">
        <v>24</v>
      </c>
      <c r="G12" s="73">
        <v>45561</v>
      </c>
      <c r="H12" s="17"/>
      <c r="I12" s="17"/>
    </row>
    <row r="13" spans="1:19" ht="42.75" customHeight="1" thickBot="1">
      <c r="A13" s="28" t="s">
        <v>25</v>
      </c>
      <c r="B13" s="28" t="s">
        <v>26</v>
      </c>
      <c r="C13" s="28" t="s">
        <v>74</v>
      </c>
      <c r="D13" s="28" t="s">
        <v>27</v>
      </c>
      <c r="E13" s="28" t="s">
        <v>27</v>
      </c>
      <c r="F13" s="28"/>
      <c r="G13" s="28" t="s">
        <v>75</v>
      </c>
      <c r="H13" s="28" t="s">
        <v>76</v>
      </c>
      <c r="I13" s="28"/>
      <c r="J13" s="28" t="s">
        <v>29</v>
      </c>
      <c r="K13" s="28" t="s">
        <v>30</v>
      </c>
      <c r="L13" s="28" t="s">
        <v>77</v>
      </c>
      <c r="M13" s="28" t="s">
        <v>31</v>
      </c>
      <c r="N13" s="28" t="s">
        <v>32</v>
      </c>
      <c r="O13" s="137" t="s">
        <v>32</v>
      </c>
      <c r="P13" s="98" t="s">
        <v>64</v>
      </c>
    </row>
    <row r="14" spans="1:19">
      <c r="A14" s="134">
        <v>45555</v>
      </c>
      <c r="B14" s="106">
        <v>241514951</v>
      </c>
      <c r="C14" s="121">
        <v>0.28849999999999998</v>
      </c>
      <c r="D14" s="62">
        <f>(G10)</f>
        <v>179999997.59999999</v>
      </c>
      <c r="E14" s="62">
        <f t="shared" ref="E14:E20" si="0">IF(D14&gt;=0,D14,0)</f>
        <v>179999997.59999999</v>
      </c>
      <c r="F14" s="62">
        <f t="shared" ref="F14:F20" si="1">(B14-J14)</f>
        <v>241514951</v>
      </c>
      <c r="G14" s="62">
        <f t="shared" ref="G14:G20" si="2">IF(F14&gt;=E14,E14,F14)</f>
        <v>179999997.59999999</v>
      </c>
      <c r="H14" s="62">
        <f>IF(M14&gt;=B14,B14,M14)</f>
        <v>0</v>
      </c>
      <c r="I14" s="62">
        <f>(M14-H14)</f>
        <v>0</v>
      </c>
      <c r="J14" s="62">
        <f>(H14)</f>
        <v>0</v>
      </c>
      <c r="K14" s="63">
        <f>(A14-G12)</f>
        <v>-6</v>
      </c>
      <c r="L14" s="63">
        <f t="shared" ref="L14:L20" si="3">IF(K14&gt;0,K14,0)</f>
        <v>0</v>
      </c>
      <c r="M14" s="62">
        <f>(E14*L14*C14)/365+$G$11</f>
        <v>0</v>
      </c>
      <c r="N14" s="62">
        <f>(D14+M14-B14)</f>
        <v>-61514953.400000006</v>
      </c>
      <c r="O14" s="145">
        <f t="shared" ref="O14:O20" si="4">IF(A14&gt;0,N14,0)</f>
        <v>-61514953.400000006</v>
      </c>
      <c r="P14" s="124">
        <v>1</v>
      </c>
      <c r="Q14" s="99"/>
    </row>
    <row r="15" spans="1:19" ht="13.5" thickBot="1">
      <c r="A15" s="140">
        <v>45555</v>
      </c>
      <c r="B15" s="106">
        <v>23991228</v>
      </c>
      <c r="C15" s="121">
        <v>0.28849999999999998</v>
      </c>
      <c r="D15" s="107">
        <f t="shared" ref="D15:D20" si="5">IF(O14&gt;=D14,D14,O14)</f>
        <v>-61514953.400000006</v>
      </c>
      <c r="E15" s="111">
        <f t="shared" si="0"/>
        <v>0</v>
      </c>
      <c r="F15" s="108">
        <f t="shared" si="1"/>
        <v>23991228</v>
      </c>
      <c r="G15" s="108">
        <f t="shared" si="2"/>
        <v>0</v>
      </c>
      <c r="H15" s="108">
        <f>(I14+M15)</f>
        <v>0</v>
      </c>
      <c r="I15" s="108">
        <f t="shared" ref="I15:I20" si="6">IF(H15&gt;=B15,B15,H15)</f>
        <v>0</v>
      </c>
      <c r="J15" s="108">
        <f t="shared" ref="J15:J20" si="7">(I15)</f>
        <v>0</v>
      </c>
      <c r="K15" s="109">
        <f t="shared" ref="K15:K20" si="8">(A15-A14)</f>
        <v>0</v>
      </c>
      <c r="L15" s="109">
        <f t="shared" si="3"/>
        <v>0</v>
      </c>
      <c r="M15" s="111">
        <f t="shared" ref="M15:M20" si="9">(E15*L15*C15)/365</f>
        <v>0</v>
      </c>
      <c r="N15" s="108">
        <f t="shared" ref="N15:N20" si="10">(N14+M15-B15)</f>
        <v>-85506181.400000006</v>
      </c>
      <c r="O15" s="146">
        <f t="shared" si="4"/>
        <v>-85506181.400000006</v>
      </c>
      <c r="P15" s="147">
        <v>2</v>
      </c>
      <c r="Q15" s="223" t="s">
        <v>154</v>
      </c>
      <c r="R15" s="205"/>
      <c r="S15" s="212"/>
    </row>
    <row r="16" spans="1:19">
      <c r="A16" s="134"/>
      <c r="B16" s="106"/>
      <c r="C16" s="121"/>
      <c r="D16" s="59">
        <f t="shared" si="5"/>
        <v>-85506181.400000006</v>
      </c>
      <c r="E16" s="59">
        <f t="shared" si="0"/>
        <v>0</v>
      </c>
      <c r="F16" s="59">
        <f t="shared" si="1"/>
        <v>0</v>
      </c>
      <c r="G16" s="59">
        <f t="shared" si="2"/>
        <v>0</v>
      </c>
      <c r="H16" s="59">
        <f t="shared" ref="H16:H20" si="11">(H15+M16-I15)</f>
        <v>0</v>
      </c>
      <c r="I16" s="59">
        <f t="shared" si="6"/>
        <v>0</v>
      </c>
      <c r="J16" s="59">
        <f t="shared" si="7"/>
        <v>0</v>
      </c>
      <c r="K16" s="60">
        <f t="shared" si="8"/>
        <v>-45555</v>
      </c>
      <c r="L16" s="60">
        <f t="shared" si="3"/>
        <v>0</v>
      </c>
      <c r="M16" s="111">
        <f t="shared" si="9"/>
        <v>0</v>
      </c>
      <c r="N16" s="59">
        <f t="shared" si="10"/>
        <v>-85506181.400000006</v>
      </c>
      <c r="O16" s="123">
        <f t="shared" si="4"/>
        <v>0</v>
      </c>
      <c r="P16" s="124"/>
      <c r="Q16" s="99"/>
    </row>
    <row r="17" spans="1:20">
      <c r="A17" s="134"/>
      <c r="B17" s="106"/>
      <c r="C17" s="121"/>
      <c r="D17" s="59">
        <f t="shared" si="5"/>
        <v>-85506181.400000006</v>
      </c>
      <c r="E17" s="59">
        <f t="shared" si="0"/>
        <v>0</v>
      </c>
      <c r="F17" s="59">
        <f t="shared" si="1"/>
        <v>0</v>
      </c>
      <c r="G17" s="59">
        <f t="shared" si="2"/>
        <v>0</v>
      </c>
      <c r="H17" s="59">
        <f t="shared" si="11"/>
        <v>0</v>
      </c>
      <c r="I17" s="59">
        <f t="shared" si="6"/>
        <v>0</v>
      </c>
      <c r="J17" s="59">
        <f t="shared" si="7"/>
        <v>0</v>
      </c>
      <c r="K17" s="60">
        <f t="shared" si="8"/>
        <v>0</v>
      </c>
      <c r="L17" s="60">
        <f t="shared" si="3"/>
        <v>0</v>
      </c>
      <c r="M17" s="59">
        <f t="shared" si="9"/>
        <v>0</v>
      </c>
      <c r="N17" s="59">
        <f t="shared" si="10"/>
        <v>-85506181.400000006</v>
      </c>
      <c r="O17" s="123">
        <f t="shared" si="4"/>
        <v>0</v>
      </c>
      <c r="P17" s="125"/>
      <c r="Q17" s="100"/>
    </row>
    <row r="18" spans="1:20" ht="13.5" thickBot="1">
      <c r="A18" s="134"/>
      <c r="B18" s="106"/>
      <c r="C18" s="121"/>
      <c r="D18" s="59">
        <f t="shared" si="5"/>
        <v>-85506181.400000006</v>
      </c>
      <c r="E18" s="59">
        <f t="shared" si="0"/>
        <v>0</v>
      </c>
      <c r="F18" s="59">
        <f t="shared" si="1"/>
        <v>0</v>
      </c>
      <c r="G18" s="59">
        <f t="shared" si="2"/>
        <v>0</v>
      </c>
      <c r="H18" s="59">
        <f t="shared" si="11"/>
        <v>0</v>
      </c>
      <c r="I18" s="59">
        <f t="shared" si="6"/>
        <v>0</v>
      </c>
      <c r="J18" s="59">
        <f t="shared" si="7"/>
        <v>0</v>
      </c>
      <c r="K18" s="60">
        <f t="shared" si="8"/>
        <v>0</v>
      </c>
      <c r="L18" s="60">
        <f t="shared" si="3"/>
        <v>0</v>
      </c>
      <c r="M18" s="59">
        <f t="shared" si="9"/>
        <v>0</v>
      </c>
      <c r="N18" s="59">
        <f t="shared" si="10"/>
        <v>-85506181.400000006</v>
      </c>
      <c r="O18" s="123">
        <f t="shared" si="4"/>
        <v>0</v>
      </c>
      <c r="P18" s="125"/>
      <c r="Q18" s="100"/>
    </row>
    <row r="19" spans="1:20">
      <c r="A19" s="134"/>
      <c r="B19" s="106"/>
      <c r="C19" s="121"/>
      <c r="D19" s="59">
        <f t="shared" si="5"/>
        <v>-85506181.400000006</v>
      </c>
      <c r="E19" s="59">
        <f t="shared" si="0"/>
        <v>0</v>
      </c>
      <c r="F19" s="59">
        <f t="shared" si="1"/>
        <v>0</v>
      </c>
      <c r="G19" s="59">
        <f t="shared" si="2"/>
        <v>0</v>
      </c>
      <c r="H19" s="59">
        <f t="shared" si="11"/>
        <v>0</v>
      </c>
      <c r="I19" s="59">
        <f t="shared" si="6"/>
        <v>0</v>
      </c>
      <c r="J19" s="59">
        <f t="shared" si="7"/>
        <v>0</v>
      </c>
      <c r="K19" s="60">
        <f t="shared" si="8"/>
        <v>0</v>
      </c>
      <c r="L19" s="60">
        <f t="shared" si="3"/>
        <v>0</v>
      </c>
      <c r="M19" s="59">
        <f t="shared" si="9"/>
        <v>0</v>
      </c>
      <c r="N19" s="59">
        <f t="shared" si="10"/>
        <v>-85506181.400000006</v>
      </c>
      <c r="O19" s="123">
        <f t="shared" si="4"/>
        <v>0</v>
      </c>
      <c r="P19" s="124"/>
      <c r="Q19" s="100"/>
    </row>
    <row r="20" spans="1:20" ht="13.5" thickBot="1">
      <c r="A20" s="134"/>
      <c r="B20" s="106"/>
      <c r="C20" s="121"/>
      <c r="D20" s="59">
        <f t="shared" si="5"/>
        <v>-85506181.400000006</v>
      </c>
      <c r="E20" s="59">
        <f t="shared" si="0"/>
        <v>0</v>
      </c>
      <c r="F20" s="59">
        <f t="shared" si="1"/>
        <v>0</v>
      </c>
      <c r="G20" s="59">
        <f t="shared" si="2"/>
        <v>0</v>
      </c>
      <c r="H20" s="59">
        <f t="shared" si="11"/>
        <v>0</v>
      </c>
      <c r="I20" s="59">
        <f t="shared" si="6"/>
        <v>0</v>
      </c>
      <c r="J20" s="59">
        <f t="shared" si="7"/>
        <v>0</v>
      </c>
      <c r="K20" s="60">
        <f t="shared" si="8"/>
        <v>0</v>
      </c>
      <c r="L20" s="60">
        <f t="shared" si="3"/>
        <v>0</v>
      </c>
      <c r="M20" s="59">
        <f t="shared" si="9"/>
        <v>0</v>
      </c>
      <c r="N20" s="59">
        <f t="shared" si="10"/>
        <v>-85506181.400000006</v>
      </c>
      <c r="O20" s="123">
        <f t="shared" si="4"/>
        <v>0</v>
      </c>
      <c r="P20" s="129"/>
      <c r="Q20" s="100"/>
    </row>
    <row r="21" spans="1:20" ht="13.5" thickBot="1">
      <c r="A21" s="81" t="s">
        <v>33</v>
      </c>
      <c r="B21" s="82">
        <f>SUM(B14:B17)</f>
        <v>265506179</v>
      </c>
      <c r="C21" s="82"/>
      <c r="D21" s="83"/>
      <c r="E21" s="82"/>
      <c r="F21" s="83"/>
      <c r="G21" s="82">
        <f>SUM(G14:G17)</f>
        <v>179999997.59999999</v>
      </c>
      <c r="H21" s="82"/>
      <c r="I21" s="82"/>
      <c r="J21" s="82">
        <f>SUM(J14:J17)</f>
        <v>0</v>
      </c>
      <c r="K21" s="82"/>
      <c r="L21" s="82"/>
      <c r="M21" s="82">
        <f>SUM(M14:M20)</f>
        <v>0</v>
      </c>
      <c r="N21" s="83"/>
      <c r="O21" s="82"/>
      <c r="P21" s="64"/>
    </row>
    <row r="22" spans="1:20">
      <c r="A22" s="71"/>
      <c r="E22" s="66"/>
      <c r="M22" s="102"/>
    </row>
    <row r="23" spans="1:20">
      <c r="A23" s="61" t="s">
        <v>17</v>
      </c>
      <c r="M23" s="101"/>
      <c r="O23" s="101"/>
    </row>
    <row r="24" spans="1:20">
      <c r="A24" s="61"/>
      <c r="C24" s="117"/>
      <c r="G24" s="117" t="s">
        <v>9</v>
      </c>
      <c r="H24" s="117"/>
      <c r="I24" s="117"/>
      <c r="J24" s="128" t="s">
        <v>34</v>
      </c>
      <c r="K24" s="117"/>
      <c r="L24" s="117" t="s">
        <v>163</v>
      </c>
      <c r="M24" s="128" t="s">
        <v>35</v>
      </c>
      <c r="T24" s="71"/>
    </row>
    <row r="25" spans="1:20" ht="15">
      <c r="A25" s="55" t="s">
        <v>73</v>
      </c>
      <c r="C25" s="66"/>
      <c r="E25" s="112"/>
      <c r="G25" s="66">
        <v>800000000</v>
      </c>
      <c r="M25" s="101"/>
      <c r="T25" s="71"/>
    </row>
    <row r="26" spans="1:20" ht="15">
      <c r="A26" s="56" t="s">
        <v>78</v>
      </c>
      <c r="B26" s="56"/>
      <c r="C26" s="122"/>
      <c r="D26" s="55"/>
      <c r="E26" s="113"/>
      <c r="G26" s="66"/>
      <c r="J26" s="112"/>
      <c r="M26" s="101"/>
      <c r="T26" s="71"/>
    </row>
    <row r="27" spans="1:20" ht="15">
      <c r="A27" s="56" t="s">
        <v>146</v>
      </c>
      <c r="B27" s="56"/>
      <c r="C27" s="122"/>
      <c r="D27" s="55"/>
      <c r="E27" s="113"/>
      <c r="G27" s="66">
        <f>G25*22.4999997/100</f>
        <v>179999997.59999999</v>
      </c>
      <c r="J27" s="101"/>
      <c r="T27" s="71"/>
    </row>
    <row r="28" spans="1:20" ht="15.75">
      <c r="A28" s="55" t="s">
        <v>80</v>
      </c>
      <c r="B28" s="55"/>
      <c r="C28" s="133"/>
      <c r="D28" s="1"/>
      <c r="E28" s="66"/>
      <c r="G28" s="215">
        <f>G27</f>
        <v>179999997.59999999</v>
      </c>
      <c r="J28" s="3"/>
      <c r="K28" s="102"/>
    </row>
    <row r="29" spans="1:20" ht="14.25">
      <c r="A29" s="71" t="s">
        <v>162</v>
      </c>
      <c r="G29" s="154">
        <v>241514951</v>
      </c>
      <c r="I29" s="66"/>
      <c r="J29" s="66">
        <v>0</v>
      </c>
      <c r="K29" s="66"/>
      <c r="L29" s="66">
        <f>G29-G28</f>
        <v>61514953.400000006</v>
      </c>
      <c r="M29" s="217">
        <f>G29-L29</f>
        <v>179999997.59999999</v>
      </c>
    </row>
    <row r="30" spans="1:20">
      <c r="A30" s="71" t="s">
        <v>164</v>
      </c>
      <c r="G30" s="66">
        <v>23991228</v>
      </c>
      <c r="J30">
        <v>0</v>
      </c>
      <c r="L30" s="229">
        <f>G30</f>
        <v>23991228</v>
      </c>
      <c r="M30" s="101">
        <f>G30-L30</f>
        <v>0</v>
      </c>
    </row>
    <row r="31" spans="1:20" ht="15">
      <c r="A31" s="237" t="s">
        <v>165</v>
      </c>
      <c r="B31" s="238"/>
      <c r="C31" s="211"/>
      <c r="D31" s="211"/>
      <c r="E31" s="211"/>
      <c r="F31" s="211"/>
      <c r="G31" s="236">
        <f>G29+G30-G28</f>
        <v>85506181.400000006</v>
      </c>
      <c r="L31" s="229">
        <f>SUM(L29:L30)</f>
        <v>85506181.400000006</v>
      </c>
    </row>
    <row r="32" spans="1:20">
      <c r="A32" s="66"/>
      <c r="B32" s="66"/>
      <c r="C32" s="66"/>
    </row>
    <row r="34" spans="1:17" ht="31.5" customHeight="1">
      <c r="A34" s="326" t="s">
        <v>158</v>
      </c>
      <c r="B34" s="327"/>
      <c r="C34" s="327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224"/>
    </row>
    <row r="38" spans="1:17" ht="15">
      <c r="Q38" s="104"/>
    </row>
    <row r="39" spans="1:17" ht="15">
      <c r="J39" s="55"/>
    </row>
    <row r="40" spans="1:17" ht="15.75">
      <c r="A40" s="56"/>
      <c r="G40" s="1"/>
      <c r="J40" s="56"/>
    </row>
    <row r="41" spans="1:17" ht="15.75">
      <c r="A41" s="56"/>
      <c r="G41" s="56"/>
      <c r="J41" s="1" t="s">
        <v>37</v>
      </c>
    </row>
    <row r="42" spans="1:17" ht="15.75">
      <c r="A42" s="56" t="s">
        <v>38</v>
      </c>
      <c r="G42" s="1"/>
      <c r="J42" s="56" t="s">
        <v>39</v>
      </c>
    </row>
    <row r="43" spans="1:17" ht="15.75">
      <c r="A43" s="56"/>
      <c r="G43" s="1"/>
      <c r="J43" s="56"/>
    </row>
    <row r="44" spans="1:17" ht="18.75" customHeight="1">
      <c r="A44" s="56"/>
      <c r="G44" s="56"/>
      <c r="J44" s="56"/>
    </row>
    <row r="45" spans="1:17" ht="15">
      <c r="A45" s="325" t="s">
        <v>0</v>
      </c>
      <c r="B45" s="325"/>
      <c r="C45" s="325"/>
      <c r="D45" s="325"/>
      <c r="E45" s="325"/>
      <c r="F45" s="325"/>
      <c r="G45" s="325"/>
      <c r="H45" s="325"/>
      <c r="I45" s="325"/>
      <c r="J45" s="325"/>
      <c r="K45" s="325"/>
      <c r="L45" s="325"/>
      <c r="M45" s="325"/>
      <c r="N45" s="325"/>
      <c r="O45" s="325"/>
      <c r="P45" s="325"/>
    </row>
    <row r="46" spans="1:17" ht="15">
      <c r="A46" s="325" t="s">
        <v>1</v>
      </c>
      <c r="B46" s="325"/>
      <c r="C46" s="325"/>
      <c r="D46" s="325"/>
      <c r="E46" s="325"/>
      <c r="F46" s="325"/>
      <c r="G46" s="325"/>
      <c r="H46" s="325"/>
      <c r="I46" s="325"/>
      <c r="J46" s="325"/>
      <c r="K46" s="325"/>
      <c r="L46" s="325"/>
      <c r="M46" s="325"/>
      <c r="N46" s="325"/>
      <c r="O46" s="325"/>
      <c r="P46" s="325"/>
    </row>
    <row r="47" spans="1:17" ht="15">
      <c r="A47" s="325" t="s">
        <v>69</v>
      </c>
      <c r="B47" s="325"/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325"/>
      <c r="O47" s="325"/>
      <c r="P47" s="325"/>
    </row>
    <row r="48" spans="1:17" ht="15">
      <c r="A48" s="325" t="s">
        <v>70</v>
      </c>
      <c r="B48" s="325"/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325"/>
      <c r="O48" s="325"/>
      <c r="P48" s="325"/>
    </row>
    <row r="49" spans="1:16" ht="15.75" thickBot="1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</row>
    <row r="50" spans="1:16" ht="15.75" thickBot="1">
      <c r="A50" s="55" t="s">
        <v>4</v>
      </c>
      <c r="B50" s="56"/>
      <c r="C50" s="56"/>
      <c r="D50" s="97"/>
      <c r="E50" s="297" t="s">
        <v>40</v>
      </c>
      <c r="F50" s="298"/>
      <c r="G50" s="298"/>
      <c r="H50" s="298"/>
      <c r="I50" s="298"/>
      <c r="J50" s="298"/>
      <c r="K50" s="57"/>
      <c r="L50" s="57"/>
      <c r="M50" s="57"/>
      <c r="N50" s="56"/>
    </row>
    <row r="51" spans="1:16" ht="16.5" thickBot="1">
      <c r="A51" s="1" t="s">
        <v>5</v>
      </c>
      <c r="B51" s="58"/>
      <c r="C51" s="58"/>
      <c r="D51" s="76"/>
      <c r="E51" s="322" t="s">
        <v>87</v>
      </c>
      <c r="F51" s="323"/>
      <c r="G51" s="323"/>
      <c r="H51" s="323"/>
      <c r="I51" s="323"/>
      <c r="J51" s="323"/>
      <c r="K51" s="323"/>
      <c r="L51" s="323"/>
      <c r="M51" s="323"/>
      <c r="N51" s="323"/>
      <c r="O51" s="323"/>
      <c r="P51" s="324"/>
    </row>
    <row r="52" spans="1:16">
      <c r="A52" s="29" t="s">
        <v>10</v>
      </c>
      <c r="G52" s="69">
        <v>45530</v>
      </c>
      <c r="H52" s="14"/>
      <c r="I52" s="14"/>
    </row>
    <row r="53" spans="1:16" ht="15">
      <c r="A53" s="29"/>
      <c r="G53" s="12"/>
      <c r="H53" s="15"/>
      <c r="I53" s="15"/>
      <c r="J53" s="55" t="s">
        <v>82</v>
      </c>
      <c r="N53" s="4"/>
    </row>
    <row r="54" spans="1:16">
      <c r="A54" s="29" t="s">
        <v>8</v>
      </c>
      <c r="G54" s="72">
        <v>224999997</v>
      </c>
      <c r="H54" s="16"/>
      <c r="I54" s="16"/>
    </row>
    <row r="55" spans="1:16">
      <c r="A55" s="29" t="s">
        <v>13</v>
      </c>
      <c r="G55" s="72"/>
      <c r="H55" s="16"/>
      <c r="I55" s="16"/>
      <c r="N55" s="4"/>
    </row>
    <row r="56" spans="1:16" ht="13.5" thickBot="1">
      <c r="A56" s="29" t="s">
        <v>24</v>
      </c>
      <c r="G56" s="73">
        <v>45561</v>
      </c>
      <c r="H56" s="17"/>
      <c r="I56" s="17"/>
    </row>
    <row r="57" spans="1:16" ht="28.5" customHeight="1" thickBot="1">
      <c r="A57" s="28" t="s">
        <v>25</v>
      </c>
      <c r="B57" s="28" t="s">
        <v>26</v>
      </c>
      <c r="C57" s="28" t="s">
        <v>74</v>
      </c>
      <c r="D57" s="28" t="s">
        <v>27</v>
      </c>
      <c r="E57" s="28" t="s">
        <v>27</v>
      </c>
      <c r="F57" s="28"/>
      <c r="G57" s="28" t="s">
        <v>75</v>
      </c>
      <c r="H57" s="28" t="s">
        <v>76</v>
      </c>
      <c r="I57" s="28"/>
      <c r="J57" s="28" t="s">
        <v>29</v>
      </c>
      <c r="K57" s="28" t="s">
        <v>30</v>
      </c>
      <c r="L57" s="28" t="s">
        <v>77</v>
      </c>
      <c r="M57" s="28" t="s">
        <v>31</v>
      </c>
      <c r="N57" s="28" t="s">
        <v>32</v>
      </c>
      <c r="O57" s="137" t="s">
        <v>32</v>
      </c>
      <c r="P57" s="98" t="s">
        <v>64</v>
      </c>
    </row>
    <row r="58" spans="1:16">
      <c r="A58" s="134">
        <v>45555</v>
      </c>
      <c r="B58" s="106">
        <v>205746765</v>
      </c>
      <c r="C58" s="121">
        <v>0.28849999999999998</v>
      </c>
      <c r="D58" s="62">
        <f>(G54)</f>
        <v>224999997</v>
      </c>
      <c r="E58" s="62">
        <f t="shared" ref="E58:E63" si="12">IF(D58&gt;=0,D58,0)</f>
        <v>224999997</v>
      </c>
      <c r="F58" s="62">
        <f t="shared" ref="F58:F63" si="13">(B58-J58)</f>
        <v>205746765</v>
      </c>
      <c r="G58" s="62">
        <f t="shared" ref="G58:G63" si="14">IF(F58&gt;=E58,E58,F58)</f>
        <v>205746765</v>
      </c>
      <c r="H58" s="62">
        <f>IF(M58&gt;=B58,B58,M58)</f>
        <v>0</v>
      </c>
      <c r="I58" s="62">
        <f>(M58-H58)</f>
        <v>0</v>
      </c>
      <c r="J58" s="62">
        <f>(H58)</f>
        <v>0</v>
      </c>
      <c r="K58" s="63">
        <f>(A58-G56)</f>
        <v>-6</v>
      </c>
      <c r="L58" s="63">
        <f t="shared" ref="L58:L63" si="15">IF(K58&gt;0,K58,0)</f>
        <v>0</v>
      </c>
      <c r="M58" s="62">
        <f>(E58*L58*C58)/365+$G$11</f>
        <v>0</v>
      </c>
      <c r="N58" s="62">
        <f>(D58+M58-B58)</f>
        <v>19253232</v>
      </c>
      <c r="O58" s="145">
        <f t="shared" ref="O58:O63" si="16">IF(A58&gt;0,N58,0)</f>
        <v>19253232</v>
      </c>
      <c r="P58" s="124">
        <v>1</v>
      </c>
    </row>
    <row r="59" spans="1:16" ht="13.5" thickBot="1">
      <c r="A59" s="140">
        <v>45555</v>
      </c>
      <c r="B59" s="106">
        <v>19253232</v>
      </c>
      <c r="C59" s="121">
        <v>0.28849999999999998</v>
      </c>
      <c r="D59" s="107">
        <f t="shared" ref="D59:D63" si="17">IF(O58&gt;=D58,D58,O58)</f>
        <v>19253232</v>
      </c>
      <c r="E59" s="111">
        <f t="shared" si="12"/>
        <v>19253232</v>
      </c>
      <c r="F59" s="108">
        <f t="shared" si="13"/>
        <v>19253232</v>
      </c>
      <c r="G59" s="108">
        <f t="shared" si="14"/>
        <v>19253232</v>
      </c>
      <c r="H59" s="108">
        <f>(I58+M59)</f>
        <v>0</v>
      </c>
      <c r="I59" s="108">
        <f t="shared" ref="I59:I63" si="18">IF(H59&gt;=B59,B59,H59)</f>
        <v>0</v>
      </c>
      <c r="J59" s="108">
        <f t="shared" ref="J59:J63" si="19">(I59)</f>
        <v>0</v>
      </c>
      <c r="K59" s="109">
        <f t="shared" ref="K59:K63" si="20">(A59-A58)</f>
        <v>0</v>
      </c>
      <c r="L59" s="109">
        <f t="shared" si="15"/>
        <v>0</v>
      </c>
      <c r="M59" s="111">
        <f t="shared" ref="M59:M63" si="21">(E59*L59*C59)/365</f>
        <v>0</v>
      </c>
      <c r="N59" s="108">
        <f t="shared" ref="N59:N63" si="22">(N58+M59-B59)</f>
        <v>0</v>
      </c>
      <c r="O59" s="146">
        <f t="shared" si="16"/>
        <v>0</v>
      </c>
      <c r="P59" s="147">
        <v>2</v>
      </c>
    </row>
    <row r="60" spans="1:16">
      <c r="A60" s="134"/>
      <c r="B60" s="106"/>
      <c r="C60" s="121"/>
      <c r="D60" s="59">
        <f t="shared" si="17"/>
        <v>0</v>
      </c>
      <c r="E60" s="59">
        <f t="shared" si="12"/>
        <v>0</v>
      </c>
      <c r="F60" s="59">
        <f t="shared" si="13"/>
        <v>0</v>
      </c>
      <c r="G60" s="59">
        <f t="shared" si="14"/>
        <v>0</v>
      </c>
      <c r="H60" s="59">
        <f t="shared" ref="H60:H63" si="23">(H59+M60-I59)</f>
        <v>0</v>
      </c>
      <c r="I60" s="59">
        <f t="shared" si="18"/>
        <v>0</v>
      </c>
      <c r="J60" s="59">
        <f t="shared" si="19"/>
        <v>0</v>
      </c>
      <c r="K60" s="60">
        <f t="shared" si="20"/>
        <v>-45555</v>
      </c>
      <c r="L60" s="60">
        <f t="shared" si="15"/>
        <v>0</v>
      </c>
      <c r="M60" s="111">
        <f t="shared" si="21"/>
        <v>0</v>
      </c>
      <c r="N60" s="59">
        <f t="shared" si="22"/>
        <v>0</v>
      </c>
      <c r="O60" s="123">
        <f t="shared" si="16"/>
        <v>0</v>
      </c>
      <c r="P60" s="124"/>
    </row>
    <row r="61" spans="1:16">
      <c r="A61" s="134"/>
      <c r="B61" s="106"/>
      <c r="C61" s="121"/>
      <c r="D61" s="59">
        <f t="shared" si="17"/>
        <v>0</v>
      </c>
      <c r="E61" s="59">
        <f t="shared" si="12"/>
        <v>0</v>
      </c>
      <c r="F61" s="59">
        <f t="shared" si="13"/>
        <v>0</v>
      </c>
      <c r="G61" s="59">
        <f t="shared" si="14"/>
        <v>0</v>
      </c>
      <c r="H61" s="59">
        <f t="shared" si="23"/>
        <v>0</v>
      </c>
      <c r="I61" s="59">
        <f t="shared" si="18"/>
        <v>0</v>
      </c>
      <c r="J61" s="59">
        <f t="shared" si="19"/>
        <v>0</v>
      </c>
      <c r="K61" s="60">
        <f t="shared" si="20"/>
        <v>0</v>
      </c>
      <c r="L61" s="60">
        <f t="shared" si="15"/>
        <v>0</v>
      </c>
      <c r="M61" s="59">
        <f t="shared" si="21"/>
        <v>0</v>
      </c>
      <c r="N61" s="59">
        <f t="shared" si="22"/>
        <v>0</v>
      </c>
      <c r="O61" s="123">
        <f t="shared" si="16"/>
        <v>0</v>
      </c>
      <c r="P61" s="125"/>
    </row>
    <row r="62" spans="1:16" ht="13.5" thickBot="1">
      <c r="A62" s="134"/>
      <c r="B62" s="106"/>
      <c r="C62" s="121"/>
      <c r="D62" s="59">
        <f t="shared" si="17"/>
        <v>0</v>
      </c>
      <c r="E62" s="59">
        <f t="shared" si="12"/>
        <v>0</v>
      </c>
      <c r="F62" s="59">
        <f t="shared" si="13"/>
        <v>0</v>
      </c>
      <c r="G62" s="59">
        <f t="shared" si="14"/>
        <v>0</v>
      </c>
      <c r="H62" s="59">
        <f t="shared" si="23"/>
        <v>0</v>
      </c>
      <c r="I62" s="59">
        <f t="shared" si="18"/>
        <v>0</v>
      </c>
      <c r="J62" s="59">
        <f t="shared" si="19"/>
        <v>0</v>
      </c>
      <c r="K62" s="60">
        <f t="shared" si="20"/>
        <v>0</v>
      </c>
      <c r="L62" s="60">
        <f t="shared" si="15"/>
        <v>0</v>
      </c>
      <c r="M62" s="59">
        <f t="shared" si="21"/>
        <v>0</v>
      </c>
      <c r="N62" s="59">
        <f t="shared" si="22"/>
        <v>0</v>
      </c>
      <c r="O62" s="123">
        <f t="shared" si="16"/>
        <v>0</v>
      </c>
      <c r="P62" s="125"/>
    </row>
    <row r="63" spans="1:16" ht="13.5" thickBot="1">
      <c r="A63" s="134"/>
      <c r="B63" s="106"/>
      <c r="C63" s="121"/>
      <c r="D63" s="59">
        <f t="shared" si="17"/>
        <v>0</v>
      </c>
      <c r="E63" s="59">
        <f t="shared" si="12"/>
        <v>0</v>
      </c>
      <c r="F63" s="59">
        <f t="shared" si="13"/>
        <v>0</v>
      </c>
      <c r="G63" s="59">
        <f t="shared" si="14"/>
        <v>0</v>
      </c>
      <c r="H63" s="59">
        <f t="shared" si="23"/>
        <v>0</v>
      </c>
      <c r="I63" s="59">
        <f t="shared" si="18"/>
        <v>0</v>
      </c>
      <c r="J63" s="59">
        <f t="shared" si="19"/>
        <v>0</v>
      </c>
      <c r="K63" s="60">
        <f t="shared" si="20"/>
        <v>0</v>
      </c>
      <c r="L63" s="60">
        <f t="shared" si="15"/>
        <v>0</v>
      </c>
      <c r="M63" s="59">
        <f t="shared" si="21"/>
        <v>0</v>
      </c>
      <c r="N63" s="59">
        <f t="shared" si="22"/>
        <v>0</v>
      </c>
      <c r="O63" s="123">
        <f t="shared" si="16"/>
        <v>0</v>
      </c>
      <c r="P63" s="124"/>
    </row>
    <row r="64" spans="1:16" ht="13.5" thickBot="1">
      <c r="A64" s="81" t="s">
        <v>33</v>
      </c>
      <c r="B64" s="82">
        <f>SUM(B58:B61)</f>
        <v>224999997</v>
      </c>
      <c r="C64" s="82"/>
      <c r="D64" s="83"/>
      <c r="E64" s="82"/>
      <c r="F64" s="83"/>
      <c r="G64" s="82">
        <f>SUM(G58:G61)</f>
        <v>224999997</v>
      </c>
      <c r="H64" s="82"/>
      <c r="I64" s="82"/>
      <c r="J64" s="82">
        <f>SUM(J58:J61)</f>
        <v>0</v>
      </c>
      <c r="K64" s="82"/>
      <c r="L64" s="82"/>
      <c r="M64" s="82">
        <f>SUM(M58:M63)</f>
        <v>0</v>
      </c>
      <c r="N64" s="83"/>
      <c r="O64" s="82"/>
      <c r="P64" s="64"/>
    </row>
    <row r="65" spans="1:13">
      <c r="A65" s="71"/>
      <c r="E65" s="66"/>
      <c r="M65" s="102"/>
    </row>
    <row r="66" spans="1:13">
      <c r="A66" s="61" t="s">
        <v>17</v>
      </c>
      <c r="M66" s="101"/>
    </row>
    <row r="67" spans="1:13">
      <c r="A67" s="61"/>
      <c r="C67" s="117"/>
      <c r="G67" s="117" t="s">
        <v>9</v>
      </c>
      <c r="H67" s="117"/>
      <c r="I67" s="117"/>
      <c r="J67" s="128"/>
      <c r="K67" s="117"/>
      <c r="L67" s="117"/>
      <c r="M67" s="101"/>
    </row>
    <row r="68" spans="1:13" ht="15">
      <c r="A68" s="55" t="s">
        <v>82</v>
      </c>
      <c r="C68" s="66"/>
      <c r="E68" s="112"/>
      <c r="G68" s="66">
        <v>1000000000</v>
      </c>
      <c r="M68" s="101"/>
    </row>
    <row r="69" spans="1:13" ht="15">
      <c r="A69" s="71" t="s">
        <v>78</v>
      </c>
      <c r="B69" s="56"/>
      <c r="C69" s="122"/>
      <c r="D69" s="55"/>
      <c r="E69" s="113"/>
      <c r="G69" s="66"/>
      <c r="J69" s="101"/>
      <c r="M69" s="101"/>
    </row>
    <row r="70" spans="1:13" ht="15">
      <c r="A70" s="71" t="s">
        <v>146</v>
      </c>
      <c r="B70" s="56"/>
      <c r="C70" s="122"/>
      <c r="D70" s="55"/>
      <c r="E70" s="113"/>
      <c r="G70" s="66">
        <f>G68*22.4999997/100</f>
        <v>224999997</v>
      </c>
      <c r="J70" s="101"/>
    </row>
    <row r="71" spans="1:13" ht="15">
      <c r="A71" s="71" t="s">
        <v>166</v>
      </c>
      <c r="B71" s="56"/>
      <c r="C71" s="122"/>
      <c r="D71" s="55"/>
      <c r="E71" s="113"/>
      <c r="G71" s="66">
        <v>205746765</v>
      </c>
      <c r="J71" s="101"/>
    </row>
    <row r="72" spans="1:13" ht="15">
      <c r="A72" s="71" t="s">
        <v>162</v>
      </c>
      <c r="B72" s="56"/>
      <c r="C72" s="122"/>
      <c r="D72" s="55"/>
      <c r="E72" s="113"/>
      <c r="G72" s="66">
        <v>19253232</v>
      </c>
      <c r="J72" s="101"/>
    </row>
    <row r="73" spans="1:13" ht="15.75">
      <c r="A73" s="205" t="s">
        <v>80</v>
      </c>
      <c r="B73" s="211"/>
      <c r="C73" s="148"/>
      <c r="D73" s="142"/>
      <c r="E73" s="239"/>
      <c r="F73" s="205"/>
      <c r="G73" s="148">
        <f>+G70-G71-G72</f>
        <v>0</v>
      </c>
      <c r="J73" s="3"/>
      <c r="K73" s="102"/>
    </row>
    <row r="74" spans="1:13" ht="15.75">
      <c r="A74" s="61"/>
      <c r="B74" s="55"/>
      <c r="C74" s="133"/>
      <c r="D74" s="1"/>
      <c r="E74" s="66"/>
      <c r="J74" s="3"/>
      <c r="K74" s="102"/>
    </row>
    <row r="75" spans="1:13" ht="15.75">
      <c r="A75" s="61"/>
      <c r="B75" s="55"/>
      <c r="C75" s="133"/>
      <c r="D75" s="1"/>
      <c r="E75" s="66"/>
      <c r="J75" s="3"/>
      <c r="K75" s="102"/>
    </row>
    <row r="76" spans="1:13" ht="15.75">
      <c r="A76" s="61"/>
      <c r="B76" s="55"/>
      <c r="C76" s="133"/>
      <c r="D76" s="1"/>
      <c r="E76" s="66"/>
      <c r="J76" s="3"/>
      <c r="K76" s="102"/>
    </row>
    <row r="77" spans="1:13" ht="15.75">
      <c r="A77" s="71"/>
      <c r="B77" s="55"/>
      <c r="C77" s="133"/>
      <c r="D77" s="1"/>
      <c r="E77" s="66"/>
      <c r="J77" s="3"/>
      <c r="K77" s="102"/>
    </row>
    <row r="78" spans="1:13">
      <c r="A78" s="71" t="s">
        <v>155</v>
      </c>
      <c r="G78" s="66">
        <v>85506181.400000006</v>
      </c>
    </row>
    <row r="79" spans="1:13">
      <c r="A79" s="71" t="s">
        <v>156</v>
      </c>
      <c r="G79" s="66">
        <v>19253232</v>
      </c>
    </row>
    <row r="80" spans="1:13" ht="15">
      <c r="A80" s="211" t="s">
        <v>157</v>
      </c>
      <c r="B80" s="211"/>
      <c r="C80" s="211"/>
      <c r="D80" s="211"/>
      <c r="E80" s="211"/>
      <c r="F80" s="211"/>
      <c r="G80" s="225">
        <f>+G78-G79</f>
        <v>66252949.400000006</v>
      </c>
    </row>
    <row r="81" spans="1:16">
      <c r="G81" s="66"/>
    </row>
    <row r="82" spans="1:16">
      <c r="G82" s="101"/>
    </row>
    <row r="83" spans="1:16">
      <c r="G83" s="229"/>
    </row>
    <row r="84" spans="1:16" ht="15">
      <c r="J84" s="55"/>
    </row>
    <row r="85" spans="1:16" ht="15.75">
      <c r="A85" s="56"/>
      <c r="G85" s="1"/>
      <c r="J85" s="56"/>
    </row>
    <row r="86" spans="1:16" ht="15.75">
      <c r="A86" s="56"/>
      <c r="G86" s="56"/>
      <c r="J86" s="1" t="s">
        <v>37</v>
      </c>
    </row>
    <row r="87" spans="1:16" ht="15.75">
      <c r="A87" s="56" t="s">
        <v>38</v>
      </c>
      <c r="G87" s="1"/>
      <c r="J87" s="56" t="s">
        <v>39</v>
      </c>
    </row>
    <row r="90" spans="1:16" ht="15">
      <c r="A90" s="325" t="s">
        <v>0</v>
      </c>
      <c r="B90" s="325"/>
      <c r="C90" s="325"/>
      <c r="D90" s="325"/>
      <c r="E90" s="325"/>
      <c r="F90" s="325"/>
      <c r="G90" s="325"/>
      <c r="H90" s="325"/>
      <c r="I90" s="325"/>
      <c r="J90" s="325"/>
      <c r="K90" s="325"/>
      <c r="L90" s="325"/>
      <c r="M90" s="325"/>
      <c r="N90" s="325"/>
      <c r="O90" s="325"/>
      <c r="P90" s="325"/>
    </row>
    <row r="91" spans="1:16" ht="15">
      <c r="A91" s="325" t="s">
        <v>1</v>
      </c>
      <c r="B91" s="325"/>
      <c r="C91" s="325"/>
      <c r="D91" s="325"/>
      <c r="E91" s="325"/>
      <c r="F91" s="325"/>
      <c r="G91" s="325"/>
      <c r="H91" s="325"/>
      <c r="I91" s="325"/>
      <c r="J91" s="325"/>
      <c r="K91" s="325"/>
      <c r="L91" s="325"/>
      <c r="M91" s="325"/>
      <c r="N91" s="325"/>
      <c r="O91" s="325"/>
      <c r="P91" s="325"/>
    </row>
    <row r="92" spans="1:16" ht="15">
      <c r="A92" s="325" t="s">
        <v>69</v>
      </c>
      <c r="B92" s="325"/>
      <c r="C92" s="325"/>
      <c r="D92" s="325"/>
      <c r="E92" s="325"/>
      <c r="F92" s="325"/>
      <c r="G92" s="325"/>
      <c r="H92" s="325"/>
      <c r="I92" s="325"/>
      <c r="J92" s="325"/>
      <c r="K92" s="325"/>
      <c r="L92" s="325"/>
      <c r="M92" s="325"/>
      <c r="N92" s="325"/>
      <c r="O92" s="325"/>
      <c r="P92" s="325"/>
    </row>
    <row r="93" spans="1:16" ht="15">
      <c r="A93" s="325" t="s">
        <v>70</v>
      </c>
      <c r="B93" s="325"/>
      <c r="C93" s="325"/>
      <c r="D93" s="325"/>
      <c r="E93" s="325"/>
      <c r="F93" s="325"/>
      <c r="G93" s="325"/>
      <c r="H93" s="325"/>
      <c r="I93" s="325"/>
      <c r="J93" s="325"/>
      <c r="K93" s="325"/>
      <c r="L93" s="325"/>
      <c r="M93" s="325"/>
      <c r="N93" s="325"/>
      <c r="O93" s="325"/>
      <c r="P93" s="325"/>
    </row>
    <row r="94" spans="1:16" ht="15.75" thickBot="1">
      <c r="A94" s="110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</row>
    <row r="95" spans="1:16" ht="15.75" thickBot="1">
      <c r="A95" s="55" t="s">
        <v>4</v>
      </c>
      <c r="B95" s="56"/>
      <c r="C95" s="56"/>
      <c r="D95" s="97"/>
      <c r="E95" s="297" t="s">
        <v>40</v>
      </c>
      <c r="F95" s="298"/>
      <c r="G95" s="298"/>
      <c r="H95" s="298"/>
      <c r="I95" s="298"/>
      <c r="J95" s="298"/>
      <c r="K95" s="57"/>
      <c r="L95" s="57"/>
      <c r="M95" s="57"/>
      <c r="N95" s="56"/>
    </row>
    <row r="96" spans="1:16" ht="16.5" thickBot="1">
      <c r="A96" s="1" t="s">
        <v>5</v>
      </c>
      <c r="B96" s="58"/>
      <c r="C96" s="58"/>
      <c r="D96" s="76"/>
      <c r="E96" s="322" t="s">
        <v>87</v>
      </c>
      <c r="F96" s="323"/>
      <c r="G96" s="323"/>
      <c r="H96" s="323"/>
      <c r="I96" s="323"/>
      <c r="J96" s="323"/>
      <c r="K96" s="323"/>
      <c r="L96" s="323"/>
      <c r="M96" s="323"/>
      <c r="N96" s="323"/>
      <c r="O96" s="323"/>
      <c r="P96" s="324"/>
    </row>
    <row r="97" spans="1:16">
      <c r="A97" s="29" t="s">
        <v>10</v>
      </c>
      <c r="G97" s="69">
        <v>45530</v>
      </c>
      <c r="H97" s="14"/>
      <c r="I97" s="14"/>
    </row>
    <row r="98" spans="1:16" ht="15">
      <c r="A98" s="29"/>
      <c r="G98" s="12"/>
      <c r="H98" s="15"/>
      <c r="I98" s="15"/>
      <c r="J98" s="55" t="s">
        <v>83</v>
      </c>
      <c r="N98" s="4"/>
    </row>
    <row r="99" spans="1:16">
      <c r="A99" s="29" t="s">
        <v>8</v>
      </c>
      <c r="G99" s="226">
        <v>224999997</v>
      </c>
      <c r="H99" s="16"/>
      <c r="I99" s="16"/>
    </row>
    <row r="100" spans="1:16">
      <c r="A100" s="29" t="s">
        <v>13</v>
      </c>
      <c r="G100" s="72"/>
      <c r="H100" s="16"/>
      <c r="I100" s="16"/>
      <c r="N100" s="4"/>
    </row>
    <row r="101" spans="1:16" ht="13.5" thickBot="1">
      <c r="A101" s="29" t="s">
        <v>24</v>
      </c>
      <c r="G101" s="73">
        <v>45561</v>
      </c>
      <c r="H101" s="17"/>
      <c r="I101" s="17"/>
    </row>
    <row r="102" spans="1:16" ht="30" customHeight="1" thickBot="1">
      <c r="A102" s="28" t="s">
        <v>25</v>
      </c>
      <c r="B102" s="28" t="s">
        <v>26</v>
      </c>
      <c r="C102" s="28" t="s">
        <v>74</v>
      </c>
      <c r="D102" s="28" t="s">
        <v>27</v>
      </c>
      <c r="E102" s="28" t="s">
        <v>27</v>
      </c>
      <c r="F102" s="28"/>
      <c r="G102" s="28" t="s">
        <v>75</v>
      </c>
      <c r="H102" s="28" t="s">
        <v>76</v>
      </c>
      <c r="I102" s="28"/>
      <c r="J102" s="28" t="s">
        <v>29</v>
      </c>
      <c r="K102" s="28" t="s">
        <v>30</v>
      </c>
      <c r="L102" s="28" t="s">
        <v>77</v>
      </c>
      <c r="M102" s="28" t="s">
        <v>31</v>
      </c>
      <c r="N102" s="28" t="s">
        <v>32</v>
      </c>
      <c r="O102" s="137" t="s">
        <v>32</v>
      </c>
      <c r="P102" s="98" t="s">
        <v>64</v>
      </c>
    </row>
    <row r="103" spans="1:16">
      <c r="A103" s="134">
        <v>45555</v>
      </c>
      <c r="B103" s="106">
        <v>95349674</v>
      </c>
      <c r="C103" s="121">
        <v>0.28849999999999998</v>
      </c>
      <c r="D103" s="62">
        <f>(G99)</f>
        <v>224999997</v>
      </c>
      <c r="E103" s="62">
        <f t="shared" ref="E103:E108" si="24">IF(D103&gt;=0,D103,0)</f>
        <v>224999997</v>
      </c>
      <c r="F103" s="62">
        <f t="shared" ref="F103:F108" si="25">(B103-J103)</f>
        <v>95349674</v>
      </c>
      <c r="G103" s="62">
        <f t="shared" ref="G103:G108" si="26">IF(F103&gt;=E103,E103,F103)</f>
        <v>95349674</v>
      </c>
      <c r="H103" s="62">
        <f>IF(M103&gt;=B103,B103,M103)</f>
        <v>0</v>
      </c>
      <c r="I103" s="62">
        <f>(M103-H103)</f>
        <v>0</v>
      </c>
      <c r="J103" s="62">
        <f>(H103)</f>
        <v>0</v>
      </c>
      <c r="K103" s="63">
        <f>(A103-G101)</f>
        <v>-6</v>
      </c>
      <c r="L103" s="63">
        <f t="shared" ref="L103:L108" si="27">IF(K103&gt;0,K103,0)</f>
        <v>0</v>
      </c>
      <c r="M103" s="62">
        <f>(E103*L103*C103)/365+$G$11</f>
        <v>0</v>
      </c>
      <c r="N103" s="62">
        <f>(D103+M103-B103)</f>
        <v>129650323</v>
      </c>
      <c r="O103" s="145">
        <f t="shared" ref="O103:O108" si="28">IF(A103&gt;0,N103,0)</f>
        <v>129650323</v>
      </c>
      <c r="P103" s="124">
        <v>1</v>
      </c>
    </row>
    <row r="104" spans="1:16" ht="13.5" thickBot="1">
      <c r="A104" s="134">
        <v>45555</v>
      </c>
      <c r="B104" s="106">
        <v>66252949.399999999</v>
      </c>
      <c r="C104" s="121">
        <v>0.28849999999999998</v>
      </c>
      <c r="D104" s="107">
        <f t="shared" ref="D104:D108" si="29">IF(O103&gt;=D103,D103,O103)</f>
        <v>129650323</v>
      </c>
      <c r="E104" s="111">
        <f t="shared" si="24"/>
        <v>129650323</v>
      </c>
      <c r="F104" s="108">
        <f t="shared" si="25"/>
        <v>66252949.399999999</v>
      </c>
      <c r="G104" s="108">
        <f t="shared" si="26"/>
        <v>66252949.399999999</v>
      </c>
      <c r="H104" s="108">
        <f>(I103+M104)</f>
        <v>0</v>
      </c>
      <c r="I104" s="108">
        <f t="shared" ref="I104:I108" si="30">IF(H104&gt;=B104,B104,H104)</f>
        <v>0</v>
      </c>
      <c r="J104" s="108">
        <f t="shared" ref="J104:J108" si="31">(I104)</f>
        <v>0</v>
      </c>
      <c r="K104" s="109">
        <f t="shared" ref="K104:K108" si="32">(A104-A103)</f>
        <v>0</v>
      </c>
      <c r="L104" s="109">
        <f t="shared" si="27"/>
        <v>0</v>
      </c>
      <c r="M104" s="111">
        <f t="shared" ref="M104:M108" si="33">(E104*L104*C104)/365</f>
        <v>0</v>
      </c>
      <c r="N104" s="108">
        <f t="shared" ref="N104:N108" si="34">(N103+M104-B104)</f>
        <v>63397373.600000001</v>
      </c>
      <c r="O104" s="146">
        <f t="shared" si="28"/>
        <v>63397373.600000001</v>
      </c>
      <c r="P104" s="147">
        <v>2</v>
      </c>
    </row>
    <row r="105" spans="1:16">
      <c r="A105" s="134"/>
      <c r="B105" s="106"/>
      <c r="C105" s="121"/>
      <c r="D105" s="59">
        <f t="shared" si="29"/>
        <v>63397373.600000001</v>
      </c>
      <c r="E105" s="59">
        <f t="shared" si="24"/>
        <v>63397373.600000001</v>
      </c>
      <c r="F105" s="59">
        <f t="shared" si="25"/>
        <v>0</v>
      </c>
      <c r="G105" s="59">
        <f t="shared" si="26"/>
        <v>0</v>
      </c>
      <c r="H105" s="59">
        <f t="shared" ref="H105:H108" si="35">(H104+M105-I104)</f>
        <v>0</v>
      </c>
      <c r="I105" s="59">
        <f t="shared" si="30"/>
        <v>0</v>
      </c>
      <c r="J105" s="59">
        <f t="shared" si="31"/>
        <v>0</v>
      </c>
      <c r="K105" s="60">
        <f t="shared" si="32"/>
        <v>-45555</v>
      </c>
      <c r="L105" s="60">
        <f t="shared" si="27"/>
        <v>0</v>
      </c>
      <c r="M105" s="111">
        <f t="shared" si="33"/>
        <v>0</v>
      </c>
      <c r="N105" s="59">
        <f t="shared" si="34"/>
        <v>63397373.600000001</v>
      </c>
      <c r="O105" s="123">
        <f t="shared" si="28"/>
        <v>0</v>
      </c>
      <c r="P105" s="124"/>
    </row>
    <row r="106" spans="1:16">
      <c r="A106" s="134"/>
      <c r="B106" s="106"/>
      <c r="C106" s="121"/>
      <c r="D106" s="59">
        <f t="shared" si="29"/>
        <v>0</v>
      </c>
      <c r="E106" s="59">
        <f t="shared" si="24"/>
        <v>0</v>
      </c>
      <c r="F106" s="59">
        <f t="shared" si="25"/>
        <v>0</v>
      </c>
      <c r="G106" s="59">
        <f t="shared" si="26"/>
        <v>0</v>
      </c>
      <c r="H106" s="59">
        <f t="shared" si="35"/>
        <v>0</v>
      </c>
      <c r="I106" s="59">
        <f t="shared" si="30"/>
        <v>0</v>
      </c>
      <c r="J106" s="59">
        <f t="shared" si="31"/>
        <v>0</v>
      </c>
      <c r="K106" s="60">
        <f t="shared" si="32"/>
        <v>0</v>
      </c>
      <c r="L106" s="60">
        <f t="shared" si="27"/>
        <v>0</v>
      </c>
      <c r="M106" s="59">
        <f t="shared" si="33"/>
        <v>0</v>
      </c>
      <c r="N106" s="59">
        <f t="shared" si="34"/>
        <v>63397373.600000001</v>
      </c>
      <c r="O106" s="123">
        <f t="shared" si="28"/>
        <v>0</v>
      </c>
      <c r="P106" s="125"/>
    </row>
    <row r="107" spans="1:16" ht="13.5" thickBot="1">
      <c r="A107" s="134"/>
      <c r="B107" s="106"/>
      <c r="C107" s="121"/>
      <c r="D107" s="59">
        <f t="shared" si="29"/>
        <v>0</v>
      </c>
      <c r="E107" s="59">
        <f t="shared" si="24"/>
        <v>0</v>
      </c>
      <c r="F107" s="59">
        <f t="shared" si="25"/>
        <v>0</v>
      </c>
      <c r="G107" s="59">
        <f t="shared" si="26"/>
        <v>0</v>
      </c>
      <c r="H107" s="59">
        <f t="shared" si="35"/>
        <v>0</v>
      </c>
      <c r="I107" s="59">
        <f t="shared" si="30"/>
        <v>0</v>
      </c>
      <c r="J107" s="59">
        <f t="shared" si="31"/>
        <v>0</v>
      </c>
      <c r="K107" s="60">
        <f t="shared" si="32"/>
        <v>0</v>
      </c>
      <c r="L107" s="60">
        <f t="shared" si="27"/>
        <v>0</v>
      </c>
      <c r="M107" s="59">
        <f t="shared" si="33"/>
        <v>0</v>
      </c>
      <c r="N107" s="59">
        <f t="shared" si="34"/>
        <v>63397373.600000001</v>
      </c>
      <c r="O107" s="123">
        <f t="shared" si="28"/>
        <v>0</v>
      </c>
      <c r="P107" s="125"/>
    </row>
    <row r="108" spans="1:16" ht="13.5" thickBot="1">
      <c r="A108" s="134"/>
      <c r="B108" s="106"/>
      <c r="C108" s="121"/>
      <c r="D108" s="59">
        <f t="shared" si="29"/>
        <v>0</v>
      </c>
      <c r="E108" s="59">
        <f t="shared" si="24"/>
        <v>0</v>
      </c>
      <c r="F108" s="59">
        <f t="shared" si="25"/>
        <v>0</v>
      </c>
      <c r="G108" s="59">
        <f t="shared" si="26"/>
        <v>0</v>
      </c>
      <c r="H108" s="59">
        <f t="shared" si="35"/>
        <v>0</v>
      </c>
      <c r="I108" s="59">
        <f t="shared" si="30"/>
        <v>0</v>
      </c>
      <c r="J108" s="59">
        <f t="shared" si="31"/>
        <v>0</v>
      </c>
      <c r="K108" s="60">
        <f t="shared" si="32"/>
        <v>0</v>
      </c>
      <c r="L108" s="60">
        <f t="shared" si="27"/>
        <v>0</v>
      </c>
      <c r="M108" s="59">
        <f t="shared" si="33"/>
        <v>0</v>
      </c>
      <c r="N108" s="59">
        <f t="shared" si="34"/>
        <v>63397373.600000001</v>
      </c>
      <c r="O108" s="123">
        <f t="shared" si="28"/>
        <v>0</v>
      </c>
      <c r="P108" s="124"/>
    </row>
    <row r="109" spans="1:16" ht="13.5" thickBot="1">
      <c r="A109" s="81" t="s">
        <v>33</v>
      </c>
      <c r="B109" s="82">
        <f>SUM(B103:B106)</f>
        <v>161602623.40000001</v>
      </c>
      <c r="C109" s="82"/>
      <c r="D109" s="83"/>
      <c r="E109" s="82"/>
      <c r="F109" s="83"/>
      <c r="G109" s="82">
        <f>SUM(G103:G106)</f>
        <v>161602623.40000001</v>
      </c>
      <c r="H109" s="82"/>
      <c r="I109" s="82"/>
      <c r="J109" s="82">
        <f>SUM(J103:J106)</f>
        <v>0</v>
      </c>
      <c r="K109" s="82"/>
      <c r="L109" s="82"/>
      <c r="M109" s="82">
        <f>SUM(M103:M108)</f>
        <v>0</v>
      </c>
      <c r="N109" s="83"/>
      <c r="O109" s="82"/>
      <c r="P109" s="64"/>
    </row>
    <row r="110" spans="1:16">
      <c r="A110" s="71"/>
      <c r="E110" s="66"/>
      <c r="M110" s="102"/>
    </row>
    <row r="111" spans="1:16">
      <c r="A111" s="61" t="s">
        <v>17</v>
      </c>
      <c r="L111" s="66"/>
      <c r="M111" s="101">
        <v>179999997.59999999</v>
      </c>
    </row>
    <row r="112" spans="1:16">
      <c r="A112" s="61"/>
      <c r="C112" s="117"/>
      <c r="G112" s="117" t="s">
        <v>9</v>
      </c>
      <c r="H112" s="117"/>
      <c r="I112" s="117"/>
      <c r="J112" s="128"/>
      <c r="K112" s="117"/>
      <c r="L112" s="244">
        <f>+G58</f>
        <v>205746765</v>
      </c>
      <c r="M112" s="101">
        <f>G59</f>
        <v>19253232</v>
      </c>
      <c r="O112" s="102">
        <f>SUM(L112:N112)</f>
        <v>224999997</v>
      </c>
    </row>
    <row r="113" spans="1:16" ht="15">
      <c r="A113" s="55" t="s">
        <v>83</v>
      </c>
      <c r="C113" s="66"/>
      <c r="E113" s="112"/>
      <c r="G113" s="66">
        <v>1000000000</v>
      </c>
      <c r="L113" s="229">
        <v>95349674</v>
      </c>
      <c r="M113" s="101"/>
      <c r="O113" s="229"/>
    </row>
    <row r="114" spans="1:16" ht="15">
      <c r="A114" s="71" t="s">
        <v>78</v>
      </c>
      <c r="B114" s="56"/>
      <c r="C114" s="122"/>
      <c r="D114" s="55"/>
      <c r="E114" s="113"/>
      <c r="G114" s="66"/>
      <c r="J114" s="101"/>
      <c r="L114" s="229">
        <f>SUM(L111:L113)</f>
        <v>301096439</v>
      </c>
      <c r="M114" s="101">
        <f>SUM(M111:M113)</f>
        <v>199253229.59999999</v>
      </c>
      <c r="O114" s="229">
        <f>SUM(L114:N114)</f>
        <v>500349668.60000002</v>
      </c>
    </row>
    <row r="115" spans="1:16" ht="15">
      <c r="A115" s="71" t="s">
        <v>146</v>
      </c>
      <c r="B115" s="56"/>
      <c r="C115" s="122"/>
      <c r="D115" s="55"/>
      <c r="E115" s="113"/>
      <c r="G115" s="66">
        <f>G113*22.4999997/100</f>
        <v>224999997</v>
      </c>
      <c r="J115" s="101"/>
      <c r="M115" s="101">
        <f>B14-G14</f>
        <v>61514953.400000006</v>
      </c>
    </row>
    <row r="116" spans="1:16" ht="15">
      <c r="A116" s="71" t="s">
        <v>167</v>
      </c>
      <c r="B116" s="56"/>
      <c r="C116" s="122"/>
      <c r="D116" s="55"/>
      <c r="E116" s="113"/>
      <c r="G116" s="66">
        <v>95349674</v>
      </c>
      <c r="J116" s="101"/>
      <c r="L116" s="71"/>
      <c r="M116" s="101">
        <f>+G117-M115</f>
        <v>4737995.9999999925</v>
      </c>
    </row>
    <row r="117" spans="1:16" ht="15">
      <c r="A117" s="71" t="s">
        <v>168</v>
      </c>
      <c r="B117" s="56"/>
      <c r="C117" s="122"/>
      <c r="D117" s="55"/>
      <c r="E117" s="113"/>
      <c r="G117" s="66">
        <v>66252949.399999999</v>
      </c>
      <c r="J117" s="101"/>
      <c r="L117" s="71"/>
      <c r="M117" s="101">
        <f>SUM(M114:M116)</f>
        <v>265506179</v>
      </c>
      <c r="O117" s="101">
        <f>+L114+M117</f>
        <v>566602618</v>
      </c>
    </row>
    <row r="118" spans="1:16" ht="15.75">
      <c r="A118" s="205" t="s">
        <v>80</v>
      </c>
      <c r="B118" s="211"/>
      <c r="C118" s="133"/>
      <c r="D118" s="1"/>
      <c r="E118" s="66"/>
      <c r="G118" s="148">
        <f>+G115-G116-G117</f>
        <v>63397373.600000001</v>
      </c>
      <c r="J118" s="3"/>
      <c r="K118" s="102"/>
      <c r="L118" s="210"/>
    </row>
    <row r="119" spans="1:16" ht="15.75">
      <c r="A119" s="61"/>
      <c r="B119" s="55"/>
      <c r="C119" s="133"/>
      <c r="D119" s="1"/>
      <c r="E119" s="66"/>
      <c r="G119" s="3"/>
      <c r="J119" s="3"/>
      <c r="K119" s="102"/>
      <c r="L119" s="210"/>
    </row>
    <row r="120" spans="1:16" ht="15.75">
      <c r="A120" s="61"/>
      <c r="B120" s="55"/>
      <c r="C120" s="133"/>
      <c r="D120" s="1"/>
      <c r="E120" s="66"/>
      <c r="G120" s="3"/>
      <c r="J120" s="3"/>
      <c r="K120" s="102"/>
      <c r="L120" s="210">
        <f>+G14+G58+G59+G103+G104</f>
        <v>566602618</v>
      </c>
    </row>
    <row r="121" spans="1:16" ht="15.75">
      <c r="A121" s="71"/>
      <c r="B121" s="55"/>
      <c r="C121" s="133"/>
      <c r="D121" s="1"/>
      <c r="E121" s="66"/>
      <c r="G121" s="3"/>
      <c r="J121" s="3"/>
      <c r="K121" s="102"/>
      <c r="L121" s="210"/>
    </row>
    <row r="122" spans="1:16" ht="16.5" thickBot="1">
      <c r="A122" s="71"/>
      <c r="B122" s="55"/>
      <c r="C122" s="133"/>
      <c r="D122" s="1"/>
      <c r="E122" s="66"/>
      <c r="J122" s="3"/>
      <c r="K122" s="102"/>
      <c r="L122" s="210"/>
    </row>
    <row r="123" spans="1:16" ht="15.75" thickBot="1">
      <c r="A123" s="55" t="s">
        <v>4</v>
      </c>
      <c r="B123" s="56"/>
      <c r="C123" s="56"/>
      <c r="D123" s="97"/>
      <c r="E123" s="297" t="s">
        <v>40</v>
      </c>
      <c r="F123" s="298"/>
      <c r="G123" s="298"/>
      <c r="H123" s="298"/>
      <c r="I123" s="298"/>
      <c r="J123" s="298"/>
      <c r="K123" s="57"/>
      <c r="L123" s="57"/>
      <c r="M123" s="57"/>
      <c r="N123" s="56"/>
    </row>
    <row r="124" spans="1:16" ht="16.5" thickBot="1">
      <c r="A124" s="1" t="s">
        <v>5</v>
      </c>
      <c r="B124" s="58"/>
      <c r="C124" s="58"/>
      <c r="D124" s="76"/>
      <c r="E124" s="322" t="s">
        <v>87</v>
      </c>
      <c r="F124" s="323"/>
      <c r="G124" s="323"/>
      <c r="H124" s="323"/>
      <c r="I124" s="323"/>
      <c r="J124" s="323"/>
      <c r="K124" s="323"/>
      <c r="L124" s="323"/>
      <c r="M124" s="323"/>
      <c r="N124" s="323"/>
      <c r="O124" s="323"/>
      <c r="P124" s="324"/>
    </row>
    <row r="125" spans="1:16">
      <c r="A125" s="29" t="s">
        <v>10</v>
      </c>
      <c r="G125" s="69">
        <v>45530</v>
      </c>
      <c r="H125" s="14"/>
      <c r="I125" s="14"/>
    </row>
    <row r="126" spans="1:16" ht="15">
      <c r="A126" s="29"/>
      <c r="G126" s="12"/>
      <c r="H126" s="15"/>
      <c r="I126" s="15"/>
      <c r="J126" s="55" t="s">
        <v>83</v>
      </c>
      <c r="N126" s="4"/>
    </row>
    <row r="127" spans="1:16">
      <c r="A127" s="29" t="s">
        <v>8</v>
      </c>
      <c r="G127" s="226">
        <v>63397373.600000001</v>
      </c>
      <c r="H127" s="16"/>
      <c r="I127" s="16"/>
    </row>
    <row r="128" spans="1:16">
      <c r="A128" s="29" t="s">
        <v>13</v>
      </c>
      <c r="G128" s="72"/>
      <c r="H128" s="16"/>
      <c r="I128" s="16"/>
      <c r="N128" s="4"/>
    </row>
    <row r="129" spans="1:16" ht="13.5" thickBot="1">
      <c r="A129" s="29" t="s">
        <v>24</v>
      </c>
      <c r="G129" s="73">
        <v>45561</v>
      </c>
      <c r="H129" s="17"/>
      <c r="I129" s="17"/>
    </row>
    <row r="130" spans="1:16" ht="31.5" customHeight="1" thickBot="1">
      <c r="A130" s="28" t="s">
        <v>25</v>
      </c>
      <c r="B130" s="28" t="s">
        <v>26</v>
      </c>
      <c r="C130" s="28" t="s">
        <v>74</v>
      </c>
      <c r="D130" s="28" t="s">
        <v>27</v>
      </c>
      <c r="E130" s="28" t="s">
        <v>27</v>
      </c>
      <c r="F130" s="28"/>
      <c r="G130" s="28" t="s">
        <v>75</v>
      </c>
      <c r="H130" s="28" t="s">
        <v>76</v>
      </c>
      <c r="I130" s="28"/>
      <c r="J130" s="28" t="s">
        <v>29</v>
      </c>
      <c r="K130" s="28" t="s">
        <v>30</v>
      </c>
      <c r="L130" s="28" t="s">
        <v>77</v>
      </c>
      <c r="M130" s="28" t="s">
        <v>31</v>
      </c>
      <c r="N130" s="28" t="s">
        <v>32</v>
      </c>
      <c r="O130" s="137" t="s">
        <v>32</v>
      </c>
      <c r="P130" s="98" t="s">
        <v>64</v>
      </c>
    </row>
    <row r="131" spans="1:16">
      <c r="A131" s="134">
        <v>45565</v>
      </c>
      <c r="B131" s="106"/>
      <c r="C131" s="121">
        <v>0.28849999999999998</v>
      </c>
      <c r="D131" s="62">
        <f>(G127)</f>
        <v>63397373.600000001</v>
      </c>
      <c r="E131" s="62">
        <f t="shared" ref="E131:E136" si="36">IF(D131&gt;=0,D131,0)</f>
        <v>63397373.600000001</v>
      </c>
      <c r="F131" s="62">
        <f t="shared" ref="F131:F136" si="37">(B131-J131)</f>
        <v>0</v>
      </c>
      <c r="G131" s="62">
        <f t="shared" ref="G131:G136" si="38">IF(F131&gt;=E131,E131,F131)</f>
        <v>0</v>
      </c>
      <c r="H131" s="62">
        <f>IF(M131&gt;=B131,B131,M131)</f>
        <v>0</v>
      </c>
      <c r="I131" s="62">
        <f>(M131-H131)</f>
        <v>200439.91543671233</v>
      </c>
      <c r="J131" s="62">
        <f>(H131)</f>
        <v>0</v>
      </c>
      <c r="K131" s="63">
        <f>(A131-G129)</f>
        <v>4</v>
      </c>
      <c r="L131" s="63">
        <f t="shared" ref="L131:L136" si="39">IF(K131&gt;0,K131,0)</f>
        <v>4</v>
      </c>
      <c r="M131" s="62">
        <f>(E131*L131*C131)/365+$G$11</f>
        <v>200439.91543671233</v>
      </c>
      <c r="N131" s="62">
        <f>(D131+M131-B131)</f>
        <v>63597813.515436716</v>
      </c>
      <c r="O131" s="145">
        <f t="shared" ref="O131:O136" si="40">IF(A131&gt;0,N131,0)</f>
        <v>63597813.515436716</v>
      </c>
      <c r="P131" s="124">
        <v>1</v>
      </c>
    </row>
    <row r="132" spans="1:16" ht="13.5" thickBot="1">
      <c r="A132" s="227">
        <v>45596</v>
      </c>
      <c r="B132" s="106"/>
      <c r="C132" s="228">
        <v>0.28170000000000001</v>
      </c>
      <c r="D132" s="107">
        <f t="shared" ref="D132:D136" si="41">IF(O131&gt;=D131,D131,O131)</f>
        <v>63397373.600000001</v>
      </c>
      <c r="E132" s="111">
        <f t="shared" si="36"/>
        <v>63397373.600000001</v>
      </c>
      <c r="F132" s="108">
        <f t="shared" si="37"/>
        <v>0</v>
      </c>
      <c r="G132" s="108">
        <f t="shared" si="38"/>
        <v>0</v>
      </c>
      <c r="H132" s="108">
        <f>(I131+M132)</f>
        <v>1717235.1056743015</v>
      </c>
      <c r="I132" s="108">
        <f t="shared" ref="I132:I136" si="42">IF(H132&gt;=B132,B132,H132)</f>
        <v>0</v>
      </c>
      <c r="J132" s="108">
        <f t="shared" ref="J132:J136" si="43">(I132)</f>
        <v>0</v>
      </c>
      <c r="K132" s="109">
        <f t="shared" ref="K132:K136" si="44">(A132-A131)</f>
        <v>31</v>
      </c>
      <c r="L132" s="109">
        <f t="shared" si="39"/>
        <v>31</v>
      </c>
      <c r="M132" s="111">
        <f t="shared" ref="M132:M136" si="45">(E132*L132*C132)/365</f>
        <v>1516795.1902375892</v>
      </c>
      <c r="N132" s="108">
        <f t="shared" ref="N132:N136" si="46">(N131+M132-B132)</f>
        <v>65114608.705674306</v>
      </c>
      <c r="O132" s="208">
        <f t="shared" si="40"/>
        <v>65114608.705674306</v>
      </c>
      <c r="P132" s="209">
        <v>2</v>
      </c>
    </row>
    <row r="133" spans="1:16" ht="15">
      <c r="A133" s="227">
        <v>45618</v>
      </c>
      <c r="B133" s="106"/>
      <c r="C133" s="228">
        <v>0.27900000000000003</v>
      </c>
      <c r="D133" s="59">
        <f t="shared" si="41"/>
        <v>63397373.600000001</v>
      </c>
      <c r="E133" s="59">
        <f t="shared" si="36"/>
        <v>63397373.600000001</v>
      </c>
      <c r="F133" s="59">
        <f t="shared" si="37"/>
        <v>0</v>
      </c>
      <c r="G133" s="59">
        <f t="shared" si="38"/>
        <v>0</v>
      </c>
      <c r="H133" s="59">
        <f t="shared" ref="H133:H136" si="47">(H132+M133-I132)</f>
        <v>2783353.130761425</v>
      </c>
      <c r="I133" s="59">
        <f t="shared" si="42"/>
        <v>0</v>
      </c>
      <c r="J133" s="59">
        <f t="shared" si="43"/>
        <v>0</v>
      </c>
      <c r="K133" s="60">
        <f t="shared" si="44"/>
        <v>22</v>
      </c>
      <c r="L133" s="60">
        <f t="shared" si="39"/>
        <v>22</v>
      </c>
      <c r="M133" s="111">
        <f t="shared" si="45"/>
        <v>1066118.0250871233</v>
      </c>
      <c r="N133" s="59">
        <f t="shared" si="46"/>
        <v>66180726.730761431</v>
      </c>
      <c r="O133" s="219">
        <f t="shared" si="40"/>
        <v>66180726.730761431</v>
      </c>
      <c r="P133" s="124">
        <v>3</v>
      </c>
    </row>
    <row r="134" spans="1:16">
      <c r="A134" s="134"/>
      <c r="B134" s="106"/>
      <c r="C134" s="121"/>
      <c r="D134" s="59">
        <f t="shared" si="41"/>
        <v>63397373.600000001</v>
      </c>
      <c r="E134" s="59">
        <f t="shared" si="36"/>
        <v>63397373.600000001</v>
      </c>
      <c r="F134" s="59">
        <f t="shared" si="37"/>
        <v>0</v>
      </c>
      <c r="G134" s="59">
        <f t="shared" si="38"/>
        <v>0</v>
      </c>
      <c r="H134" s="59">
        <f t="shared" si="47"/>
        <v>2783353.130761425</v>
      </c>
      <c r="I134" s="59">
        <f t="shared" si="42"/>
        <v>0</v>
      </c>
      <c r="J134" s="59">
        <f t="shared" si="43"/>
        <v>0</v>
      </c>
      <c r="K134" s="60">
        <f t="shared" si="44"/>
        <v>-45618</v>
      </c>
      <c r="L134" s="60">
        <f t="shared" si="39"/>
        <v>0</v>
      </c>
      <c r="M134" s="59">
        <f t="shared" si="45"/>
        <v>0</v>
      </c>
      <c r="N134" s="59">
        <f t="shared" si="46"/>
        <v>66180726.730761431</v>
      </c>
      <c r="O134" s="123">
        <f t="shared" si="40"/>
        <v>0</v>
      </c>
      <c r="P134" s="125"/>
    </row>
    <row r="135" spans="1:16" ht="13.5" thickBot="1">
      <c r="A135" s="134"/>
      <c r="B135" s="106"/>
      <c r="C135" s="121"/>
      <c r="D135" s="59">
        <f t="shared" si="41"/>
        <v>0</v>
      </c>
      <c r="E135" s="59">
        <f t="shared" si="36"/>
        <v>0</v>
      </c>
      <c r="F135" s="59">
        <f t="shared" si="37"/>
        <v>0</v>
      </c>
      <c r="G135" s="59">
        <f t="shared" si="38"/>
        <v>0</v>
      </c>
      <c r="H135" s="59">
        <f t="shared" si="47"/>
        <v>2783353.130761425</v>
      </c>
      <c r="I135" s="59">
        <f t="shared" si="42"/>
        <v>0</v>
      </c>
      <c r="J135" s="59">
        <f t="shared" si="43"/>
        <v>0</v>
      </c>
      <c r="K135" s="60">
        <f t="shared" si="44"/>
        <v>0</v>
      </c>
      <c r="L135" s="60">
        <f t="shared" si="39"/>
        <v>0</v>
      </c>
      <c r="M135" s="59">
        <f t="shared" si="45"/>
        <v>0</v>
      </c>
      <c r="N135" s="59">
        <f t="shared" si="46"/>
        <v>66180726.730761431</v>
      </c>
      <c r="O135" s="123">
        <f t="shared" si="40"/>
        <v>0</v>
      </c>
      <c r="P135" s="125"/>
    </row>
    <row r="136" spans="1:16" ht="13.5" thickBot="1">
      <c r="A136" s="134"/>
      <c r="B136" s="106"/>
      <c r="C136" s="121"/>
      <c r="D136" s="59">
        <f t="shared" si="41"/>
        <v>0</v>
      </c>
      <c r="E136" s="59">
        <f t="shared" si="36"/>
        <v>0</v>
      </c>
      <c r="F136" s="59">
        <f t="shared" si="37"/>
        <v>0</v>
      </c>
      <c r="G136" s="59">
        <f t="shared" si="38"/>
        <v>0</v>
      </c>
      <c r="H136" s="59">
        <f t="shared" si="47"/>
        <v>2783353.130761425</v>
      </c>
      <c r="I136" s="59">
        <f t="shared" si="42"/>
        <v>0</v>
      </c>
      <c r="J136" s="59">
        <f t="shared" si="43"/>
        <v>0</v>
      </c>
      <c r="K136" s="60">
        <f t="shared" si="44"/>
        <v>0</v>
      </c>
      <c r="L136" s="60">
        <f t="shared" si="39"/>
        <v>0</v>
      </c>
      <c r="M136" s="59">
        <f t="shared" si="45"/>
        <v>0</v>
      </c>
      <c r="N136" s="59">
        <f t="shared" si="46"/>
        <v>66180726.730761431</v>
      </c>
      <c r="O136" s="123">
        <f t="shared" si="40"/>
        <v>0</v>
      </c>
      <c r="P136" s="124"/>
    </row>
    <row r="137" spans="1:16" ht="13.5" thickBot="1">
      <c r="A137" s="81" t="s">
        <v>33</v>
      </c>
      <c r="B137" s="82">
        <f>SUM(B131:B134)</f>
        <v>0</v>
      </c>
      <c r="C137" s="82"/>
      <c r="D137" s="83"/>
      <c r="E137" s="82"/>
      <c r="F137" s="83"/>
      <c r="G137" s="82">
        <f>SUM(G131:G134)</f>
        <v>0</v>
      </c>
      <c r="H137" s="82"/>
      <c r="I137" s="82"/>
      <c r="J137" s="82">
        <f>SUM(J131:J134)</f>
        <v>0</v>
      </c>
      <c r="K137" s="82"/>
      <c r="L137" s="82"/>
      <c r="M137" s="82">
        <f>SUM(M131:M136)</f>
        <v>2783353.130761425</v>
      </c>
      <c r="N137" s="83"/>
      <c r="O137" s="82"/>
      <c r="P137" s="64"/>
    </row>
    <row r="138" spans="1:16">
      <c r="L138" s="210"/>
    </row>
    <row r="139" spans="1:16">
      <c r="L139" s="210"/>
    </row>
    <row r="140" spans="1:16" ht="15">
      <c r="A140" s="205" t="s">
        <v>169</v>
      </c>
      <c r="B140" s="205"/>
      <c r="C140" s="205"/>
      <c r="D140" s="205"/>
      <c r="E140" s="239">
        <v>66180726.730761431</v>
      </c>
      <c r="I140" s="240">
        <v>66180726.730761431</v>
      </c>
      <c r="L140" s="210"/>
    </row>
    <row r="141" spans="1:16">
      <c r="J141" s="101"/>
      <c r="L141" s="210"/>
    </row>
    <row r="142" spans="1:16">
      <c r="J142" s="101"/>
      <c r="L142" s="210"/>
      <c r="M142" s="101"/>
    </row>
    <row r="143" spans="1:16">
      <c r="L143" s="210"/>
      <c r="M143" s="101"/>
    </row>
    <row r="145" spans="1:10" ht="15">
      <c r="J145" s="55"/>
    </row>
    <row r="146" spans="1:10" ht="15.75">
      <c r="A146" s="56"/>
      <c r="G146" s="1"/>
      <c r="J146" s="56"/>
    </row>
    <row r="147" spans="1:10" ht="15.75">
      <c r="A147" s="56"/>
      <c r="G147" s="56"/>
      <c r="J147" s="1" t="s">
        <v>37</v>
      </c>
    </row>
    <row r="148" spans="1:10" ht="15.75">
      <c r="A148" s="56" t="s">
        <v>38</v>
      </c>
      <c r="G148" s="1"/>
      <c r="J148" s="56" t="s">
        <v>39</v>
      </c>
    </row>
  </sheetData>
  <protectedRanges>
    <protectedRange password="CC03" sqref="D6:D7" name="Rango1_2" securityDescriptor="O:WDG:WDD:(A;;CC;;;WD)"/>
    <protectedRange password="CC03" sqref="B14:B20 B58:B59 B103:B104 B131:B132" name="Rango1_5_1_1_1" securityDescriptor="O:WDG:WDD:(A;;CC;;;WD)"/>
    <protectedRange password="CC03" sqref="C17" name="Rango1_1_1_1_1" securityDescriptor="O:WDG:WDD:(A;;CC;;;WD)"/>
    <protectedRange password="CC03" sqref="A14:A20 A58:A59 A103:A104 A131:A132" name="Rango1_4_1_1_1" securityDescriptor="O:WDG:WDD:(A;;CC;;;WD)"/>
    <protectedRange password="CC03" sqref="G9:G11" name="Rango1_3_1_1" securityDescriptor="O:WDG:WDD:(A;;CC;;;WD)"/>
    <protectedRange password="CC03" sqref="G8" name="Rango1_1_1_2_1" securityDescriptor="O:WDG:WDD:(A;;CC;;;WD)"/>
    <protectedRange password="CC03" sqref="G12" name="Rango1_3_1_1_1" securityDescriptor="O:WDG:WDD:(A;;CC;;;WD)"/>
    <protectedRange password="CC03" sqref="D50:D51 D95:D96 D123:D124" name="Rango1_2_1" securityDescriptor="O:WDG:WDD:(A;;CC;;;WD)"/>
    <protectedRange password="CC03" sqref="B60:B63 B105:B108 B133:B136" name="Rango1_5_1_1_1_1" securityDescriptor="O:WDG:WDD:(A;;CC;;;WD)"/>
    <protectedRange password="CC03" sqref="C61" name="Rango1_1_1_1_1_2" securityDescriptor="O:WDG:WDD:(A;;CC;;;WD)"/>
    <protectedRange password="CC03" sqref="A60:A63 A105:A108 A133:A136" name="Rango1_4_1_1_1_1" securityDescriptor="O:WDG:WDD:(A;;CC;;;WD)"/>
    <protectedRange password="CC03" sqref="C60 C62:C63 C107:C108 C135:C136" name="Rango1_1_1_1_1_1_1" securityDescriptor="O:WDG:WDD:(A;;CC;;;WD)"/>
    <protectedRange password="CC03" sqref="G53:G56 G98 G100:G101 G126 G128:G129" name="Rango1_3_1_1_2" securityDescriptor="O:WDG:WDD:(A;;CC;;;WD)"/>
    <protectedRange password="CC03" sqref="G52 G97 G125" name="Rango1_1_1_2_1_1" securityDescriptor="O:WDG:WDD:(A;;CC;;;WD)"/>
    <protectedRange password="CC03" sqref="C106 C134" name="Rango1_1_1_1_1_1_3" securityDescriptor="O:WDG:WDD:(A;;CC;;;WD)"/>
  </protectedRanges>
  <mergeCells count="21">
    <mergeCell ref="A34:P34"/>
    <mergeCell ref="E123:J123"/>
    <mergeCell ref="E124:P124"/>
    <mergeCell ref="E96:P96"/>
    <mergeCell ref="A45:P45"/>
    <mergeCell ref="A46:P46"/>
    <mergeCell ref="A47:P47"/>
    <mergeCell ref="A48:P48"/>
    <mergeCell ref="E50:J50"/>
    <mergeCell ref="E51:P51"/>
    <mergeCell ref="A90:P90"/>
    <mergeCell ref="A91:P91"/>
    <mergeCell ref="A92:P92"/>
    <mergeCell ref="A93:P93"/>
    <mergeCell ref="E95:J95"/>
    <mergeCell ref="E7:P7"/>
    <mergeCell ref="A1:P1"/>
    <mergeCell ref="A2:P2"/>
    <mergeCell ref="A3:P3"/>
    <mergeCell ref="A4:P4"/>
    <mergeCell ref="E6:J6"/>
  </mergeCells>
  <pageMargins left="0.70866141732283472" right="0.70866141732283472" top="0.74803149606299213" bottom="0.74803149606299213" header="0.31496062992125984" footer="0.31496062992125984"/>
  <pageSetup paperSize="14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37889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2</xdr:col>
                <xdr:colOff>390525</xdr:colOff>
                <xdr:row>3</xdr:row>
                <xdr:rowOff>9525</xdr:rowOff>
              </to>
            </anchor>
          </objectPr>
        </oleObject>
      </mc:Choice>
      <mc:Fallback>
        <oleObject progId="Word.Picture.8" shapeId="37889" r:id="rId4"/>
      </mc:Fallback>
    </mc:AlternateContent>
    <mc:AlternateContent xmlns:mc="http://schemas.openxmlformats.org/markup-compatibility/2006">
      <mc:Choice Requires="x14">
        <oleObject progId="Word.Picture.8" shapeId="37890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123825</xdr:rowOff>
              </from>
              <to>
                <xdr:col>2</xdr:col>
                <xdr:colOff>361950</xdr:colOff>
                <xdr:row>2</xdr:row>
                <xdr:rowOff>152400</xdr:rowOff>
              </to>
            </anchor>
          </objectPr>
        </oleObject>
      </mc:Choice>
      <mc:Fallback>
        <oleObject progId="Word.Picture.8" shapeId="37890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B11B0-CB9C-46BC-9CDB-F959D5D4100C}">
  <dimension ref="A1:T210"/>
  <sheetViews>
    <sheetView topLeftCell="A187" workbookViewId="0">
      <selection activeCell="A173" sqref="A173:P203"/>
    </sheetView>
  </sheetViews>
  <sheetFormatPr baseColWidth="10" defaultColWidth="11.42578125" defaultRowHeight="12.75"/>
  <cols>
    <col min="1" max="1" width="16.28515625" customWidth="1"/>
    <col min="2" max="2" width="24.42578125" customWidth="1"/>
    <col min="3" max="3" width="26.5703125" customWidth="1"/>
    <col min="4" max="4" width="21.42578125" hidden="1" customWidth="1"/>
    <col min="5" max="5" width="29" customWidth="1"/>
    <col min="6" max="6" width="0.140625" hidden="1" customWidth="1"/>
    <col min="7" max="7" width="26.42578125" customWidth="1"/>
    <col min="8" max="8" width="22.85546875" hidden="1" customWidth="1"/>
    <col min="9" max="9" width="25.42578125" hidden="1" customWidth="1"/>
    <col min="10" max="10" width="28" customWidth="1"/>
    <col min="11" max="11" width="9.42578125" hidden="1" customWidth="1"/>
    <col min="12" max="12" width="15.42578125" customWidth="1"/>
    <col min="13" max="13" width="17" customWidth="1"/>
    <col min="14" max="14" width="0.140625" customWidth="1"/>
    <col min="15" max="15" width="20.5703125" customWidth="1"/>
    <col min="16" max="16" width="9.42578125" customWidth="1"/>
    <col min="18" max="18" width="12.85546875" bestFit="1" customWidth="1"/>
  </cols>
  <sheetData>
    <row r="1" spans="1:18" ht="15.95" customHeight="1">
      <c r="A1" s="325" t="s">
        <v>0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</row>
    <row r="2" spans="1:18" ht="15.95" customHeight="1">
      <c r="A2" s="325" t="s">
        <v>1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</row>
    <row r="3" spans="1:18" ht="15.95" customHeight="1">
      <c r="A3" s="325" t="s">
        <v>69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</row>
    <row r="4" spans="1:18" ht="15.95" customHeight="1">
      <c r="A4" s="325" t="s">
        <v>70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</row>
    <row r="5" spans="1:18" ht="15.75" thickBot="1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</row>
    <row r="6" spans="1:18" ht="15.75" thickBot="1">
      <c r="A6" s="55" t="s">
        <v>4</v>
      </c>
      <c r="B6" s="56"/>
      <c r="C6" s="56"/>
      <c r="D6" s="97"/>
      <c r="E6" s="297" t="s">
        <v>40</v>
      </c>
      <c r="F6" s="298"/>
      <c r="G6" s="298"/>
      <c r="H6" s="298"/>
      <c r="I6" s="298"/>
      <c r="J6" s="298"/>
      <c r="K6" s="57"/>
      <c r="L6" s="57"/>
      <c r="M6" s="57"/>
      <c r="N6" s="56"/>
    </row>
    <row r="7" spans="1:18" ht="16.5" thickBot="1">
      <c r="A7" s="1" t="s">
        <v>5</v>
      </c>
      <c r="B7" s="58"/>
      <c r="C7" s="58"/>
      <c r="D7" s="76"/>
      <c r="E7" s="322" t="s">
        <v>88</v>
      </c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4"/>
    </row>
    <row r="8" spans="1:18">
      <c r="A8" s="29" t="s">
        <v>10</v>
      </c>
      <c r="G8" s="69">
        <v>45530</v>
      </c>
      <c r="H8" s="14"/>
      <c r="I8" s="14"/>
    </row>
    <row r="9" spans="1:18" ht="15">
      <c r="A9" s="29"/>
      <c r="G9" s="12"/>
      <c r="H9" s="15"/>
      <c r="I9" s="15"/>
      <c r="J9" s="55" t="s">
        <v>73</v>
      </c>
      <c r="N9" s="4"/>
    </row>
    <row r="10" spans="1:18">
      <c r="A10" s="29" t="s">
        <v>8</v>
      </c>
      <c r="G10" s="72">
        <v>172799997.69999999</v>
      </c>
      <c r="H10" s="16"/>
      <c r="I10" s="16"/>
    </row>
    <row r="11" spans="1:18">
      <c r="A11" s="29" t="s">
        <v>13</v>
      </c>
      <c r="G11" s="72"/>
      <c r="H11" s="16"/>
      <c r="I11" s="16"/>
      <c r="N11" s="4"/>
    </row>
    <row r="12" spans="1:18" ht="13.5" thickBot="1">
      <c r="A12" s="29" t="s">
        <v>24</v>
      </c>
      <c r="G12" s="73">
        <v>45561</v>
      </c>
      <c r="H12" s="17"/>
      <c r="I12" s="17"/>
    </row>
    <row r="13" spans="1:18" ht="42.75" customHeight="1" thickBot="1">
      <c r="A13" s="28" t="s">
        <v>25</v>
      </c>
      <c r="B13" s="28" t="s">
        <v>26</v>
      </c>
      <c r="C13" s="28" t="s">
        <v>74</v>
      </c>
      <c r="D13" s="28" t="s">
        <v>27</v>
      </c>
      <c r="E13" s="28" t="s">
        <v>27</v>
      </c>
      <c r="F13" s="28"/>
      <c r="G13" s="28" t="s">
        <v>75</v>
      </c>
      <c r="H13" s="28" t="s">
        <v>76</v>
      </c>
      <c r="I13" s="28"/>
      <c r="J13" s="28" t="s">
        <v>29</v>
      </c>
      <c r="K13" s="28" t="s">
        <v>30</v>
      </c>
      <c r="L13" s="28" t="s">
        <v>77</v>
      </c>
      <c r="M13" s="28" t="s">
        <v>31</v>
      </c>
      <c r="N13" s="28" t="s">
        <v>32</v>
      </c>
      <c r="O13" s="137" t="s">
        <v>32</v>
      </c>
      <c r="P13" s="98" t="s">
        <v>64</v>
      </c>
    </row>
    <row r="14" spans="1:18" ht="15">
      <c r="A14" s="134">
        <v>45555</v>
      </c>
      <c r="B14" s="106">
        <v>152469158</v>
      </c>
      <c r="C14" s="121">
        <v>0.28849999999999998</v>
      </c>
      <c r="D14" s="62">
        <f>(G10)</f>
        <v>172799997.69999999</v>
      </c>
      <c r="E14" s="62">
        <f t="shared" ref="E14:E20" si="0">IF(D14&gt;=0,D14,0)</f>
        <v>172799997.69999999</v>
      </c>
      <c r="F14" s="62">
        <f t="shared" ref="F14:F20" si="1">(B14-J14)</f>
        <v>152469158</v>
      </c>
      <c r="G14" s="62">
        <f t="shared" ref="G14:G20" si="2">IF(F14&gt;=E14,E14,F14)</f>
        <v>152469158</v>
      </c>
      <c r="H14" s="62">
        <f>IF(M14&gt;=B14,B14,M14)</f>
        <v>0</v>
      </c>
      <c r="I14" s="62">
        <f>(M14-H14)</f>
        <v>0</v>
      </c>
      <c r="J14" s="62">
        <f>(H14)</f>
        <v>0</v>
      </c>
      <c r="K14" s="63">
        <f>(A14-G12)</f>
        <v>-6</v>
      </c>
      <c r="L14" s="63">
        <f t="shared" ref="L14:L20" si="3">IF(K14&gt;0,K14,0)</f>
        <v>0</v>
      </c>
      <c r="M14" s="62">
        <f>(E14*L14*C14)/365+$G$11</f>
        <v>0</v>
      </c>
      <c r="N14" s="62">
        <f>(D14+M14-B14)</f>
        <v>20330839.699999988</v>
      </c>
      <c r="O14" s="245">
        <f t="shared" ref="O14:O20" si="4">IF(A14&gt;0,N14,0)</f>
        <v>20330839.699999988</v>
      </c>
      <c r="P14" s="124">
        <v>1</v>
      </c>
      <c r="Q14" s="99"/>
    </row>
    <row r="15" spans="1:18" ht="13.5" thickBot="1">
      <c r="A15" s="134"/>
      <c r="B15" s="106"/>
      <c r="C15" s="121"/>
      <c r="D15" s="107">
        <f t="shared" ref="D15:D20" si="5">IF(O14&gt;=D14,D14,O14)</f>
        <v>20330839.699999988</v>
      </c>
      <c r="E15" s="111">
        <f t="shared" si="0"/>
        <v>20330839.699999988</v>
      </c>
      <c r="F15" s="108">
        <f t="shared" si="1"/>
        <v>0</v>
      </c>
      <c r="G15" s="108">
        <f t="shared" si="2"/>
        <v>0</v>
      </c>
      <c r="H15" s="108">
        <f>(I14+M15)</f>
        <v>0</v>
      </c>
      <c r="I15" s="108">
        <f t="shared" ref="I15:I20" si="6">IF(H15&gt;=B15,B15,H15)</f>
        <v>0</v>
      </c>
      <c r="J15" s="108">
        <f t="shared" ref="J15:J20" si="7">(I15)</f>
        <v>0</v>
      </c>
      <c r="K15" s="109">
        <f t="shared" ref="K15:K20" si="8">(A15-A14)</f>
        <v>-45555</v>
      </c>
      <c r="L15" s="109">
        <f t="shared" si="3"/>
        <v>0</v>
      </c>
      <c r="M15" s="111">
        <f t="shared" ref="M15:M20" si="9">(E15*L15*C15)/365</f>
        <v>0</v>
      </c>
      <c r="N15" s="108">
        <f t="shared" ref="N15:N20" si="10">(N14+M15-B15)</f>
        <v>20330839.699999988</v>
      </c>
      <c r="O15" s="123">
        <f t="shared" si="4"/>
        <v>0</v>
      </c>
      <c r="P15" s="129"/>
      <c r="Q15" s="130"/>
      <c r="R15" s="131"/>
    </row>
    <row r="16" spans="1:18">
      <c r="A16" s="134"/>
      <c r="B16" s="106"/>
      <c r="C16" s="121"/>
      <c r="D16" s="59">
        <f t="shared" si="5"/>
        <v>0</v>
      </c>
      <c r="E16" s="59">
        <f t="shared" si="0"/>
        <v>0</v>
      </c>
      <c r="F16" s="59">
        <f t="shared" si="1"/>
        <v>0</v>
      </c>
      <c r="G16" s="59">
        <f t="shared" si="2"/>
        <v>0</v>
      </c>
      <c r="H16" s="59">
        <f t="shared" ref="H16:H20" si="11">(H15+M16-I15)</f>
        <v>0</v>
      </c>
      <c r="I16" s="59">
        <f t="shared" si="6"/>
        <v>0</v>
      </c>
      <c r="J16" s="59">
        <f t="shared" si="7"/>
        <v>0</v>
      </c>
      <c r="K16" s="60">
        <f t="shared" si="8"/>
        <v>0</v>
      </c>
      <c r="L16" s="60">
        <f t="shared" si="3"/>
        <v>0</v>
      </c>
      <c r="M16" s="111">
        <f t="shared" si="9"/>
        <v>0</v>
      </c>
      <c r="N16" s="59">
        <f t="shared" si="10"/>
        <v>20330839.699999988</v>
      </c>
      <c r="O16" s="123">
        <f t="shared" si="4"/>
        <v>0</v>
      </c>
      <c r="P16" s="124"/>
      <c r="Q16" s="99"/>
    </row>
    <row r="17" spans="1:20">
      <c r="A17" s="134"/>
      <c r="B17" s="106"/>
      <c r="C17" s="121"/>
      <c r="D17" s="59">
        <f t="shared" si="5"/>
        <v>0</v>
      </c>
      <c r="E17" s="59">
        <f t="shared" si="0"/>
        <v>0</v>
      </c>
      <c r="F17" s="59">
        <f t="shared" si="1"/>
        <v>0</v>
      </c>
      <c r="G17" s="59">
        <f t="shared" si="2"/>
        <v>0</v>
      </c>
      <c r="H17" s="59">
        <f t="shared" si="11"/>
        <v>0</v>
      </c>
      <c r="I17" s="59">
        <f t="shared" si="6"/>
        <v>0</v>
      </c>
      <c r="J17" s="59">
        <f t="shared" si="7"/>
        <v>0</v>
      </c>
      <c r="K17" s="60">
        <f t="shared" si="8"/>
        <v>0</v>
      </c>
      <c r="L17" s="60">
        <f t="shared" si="3"/>
        <v>0</v>
      </c>
      <c r="M17" s="59">
        <f t="shared" si="9"/>
        <v>0</v>
      </c>
      <c r="N17" s="59">
        <f t="shared" si="10"/>
        <v>20330839.699999988</v>
      </c>
      <c r="O17" s="123">
        <f t="shared" si="4"/>
        <v>0</v>
      </c>
      <c r="P17" s="125"/>
      <c r="Q17" s="100"/>
    </row>
    <row r="18" spans="1:20" ht="13.5" thickBot="1">
      <c r="A18" s="134"/>
      <c r="B18" s="106"/>
      <c r="C18" s="121"/>
      <c r="D18" s="59">
        <f t="shared" si="5"/>
        <v>0</v>
      </c>
      <c r="E18" s="59">
        <f t="shared" si="0"/>
        <v>0</v>
      </c>
      <c r="F18" s="59">
        <f t="shared" si="1"/>
        <v>0</v>
      </c>
      <c r="G18" s="59">
        <f t="shared" si="2"/>
        <v>0</v>
      </c>
      <c r="H18" s="59">
        <f t="shared" si="11"/>
        <v>0</v>
      </c>
      <c r="I18" s="59">
        <f t="shared" si="6"/>
        <v>0</v>
      </c>
      <c r="J18" s="59">
        <f t="shared" si="7"/>
        <v>0</v>
      </c>
      <c r="K18" s="60">
        <f t="shared" si="8"/>
        <v>0</v>
      </c>
      <c r="L18" s="60">
        <f t="shared" si="3"/>
        <v>0</v>
      </c>
      <c r="M18" s="59">
        <f t="shared" si="9"/>
        <v>0</v>
      </c>
      <c r="N18" s="59">
        <f t="shared" si="10"/>
        <v>20330839.699999988</v>
      </c>
      <c r="O18" s="123">
        <f t="shared" si="4"/>
        <v>0</v>
      </c>
      <c r="P18" s="125"/>
      <c r="Q18" s="100"/>
    </row>
    <row r="19" spans="1:20">
      <c r="A19" s="134"/>
      <c r="B19" s="106"/>
      <c r="C19" s="121"/>
      <c r="D19" s="59">
        <f t="shared" si="5"/>
        <v>0</v>
      </c>
      <c r="E19" s="59">
        <f t="shared" si="0"/>
        <v>0</v>
      </c>
      <c r="F19" s="59">
        <f t="shared" si="1"/>
        <v>0</v>
      </c>
      <c r="G19" s="59">
        <f t="shared" si="2"/>
        <v>0</v>
      </c>
      <c r="H19" s="59">
        <f t="shared" si="11"/>
        <v>0</v>
      </c>
      <c r="I19" s="59">
        <f t="shared" si="6"/>
        <v>0</v>
      </c>
      <c r="J19" s="59">
        <f t="shared" si="7"/>
        <v>0</v>
      </c>
      <c r="K19" s="60">
        <f t="shared" si="8"/>
        <v>0</v>
      </c>
      <c r="L19" s="60">
        <f t="shared" si="3"/>
        <v>0</v>
      </c>
      <c r="M19" s="59">
        <f t="shared" si="9"/>
        <v>0</v>
      </c>
      <c r="N19" s="59">
        <f t="shared" si="10"/>
        <v>20330839.699999988</v>
      </c>
      <c r="O19" s="123">
        <f t="shared" si="4"/>
        <v>0</v>
      </c>
      <c r="P19" s="124"/>
      <c r="Q19" s="100"/>
    </row>
    <row r="20" spans="1:20" ht="13.5" thickBot="1">
      <c r="A20" s="134"/>
      <c r="B20" s="106"/>
      <c r="C20" s="121"/>
      <c r="D20" s="59">
        <f t="shared" si="5"/>
        <v>0</v>
      </c>
      <c r="E20" s="59">
        <f t="shared" si="0"/>
        <v>0</v>
      </c>
      <c r="F20" s="59">
        <f t="shared" si="1"/>
        <v>0</v>
      </c>
      <c r="G20" s="59">
        <f t="shared" si="2"/>
        <v>0</v>
      </c>
      <c r="H20" s="59">
        <f t="shared" si="11"/>
        <v>0</v>
      </c>
      <c r="I20" s="59">
        <f t="shared" si="6"/>
        <v>0</v>
      </c>
      <c r="J20" s="59">
        <f t="shared" si="7"/>
        <v>0</v>
      </c>
      <c r="K20" s="60">
        <f t="shared" si="8"/>
        <v>0</v>
      </c>
      <c r="L20" s="60">
        <f t="shared" si="3"/>
        <v>0</v>
      </c>
      <c r="M20" s="59">
        <f t="shared" si="9"/>
        <v>0</v>
      </c>
      <c r="N20" s="59">
        <f t="shared" si="10"/>
        <v>20330839.699999988</v>
      </c>
      <c r="O20" s="123">
        <f t="shared" si="4"/>
        <v>0</v>
      </c>
      <c r="P20" s="129"/>
      <c r="Q20" s="100"/>
    </row>
    <row r="21" spans="1:20" ht="13.5" thickBot="1">
      <c r="A21" s="81" t="s">
        <v>33</v>
      </c>
      <c r="B21" s="82">
        <f>SUM(B14:B17)</f>
        <v>152469158</v>
      </c>
      <c r="C21" s="82"/>
      <c r="D21" s="83"/>
      <c r="E21" s="82"/>
      <c r="F21" s="83"/>
      <c r="G21" s="82">
        <f>SUM(G14:G17)</f>
        <v>152469158</v>
      </c>
      <c r="H21" s="82"/>
      <c r="I21" s="82"/>
      <c r="J21" s="82">
        <f>SUM(J14:J17)</f>
        <v>0</v>
      </c>
      <c r="K21" s="82"/>
      <c r="L21" s="82"/>
      <c r="M21" s="82">
        <f>SUM(M14:M20)</f>
        <v>0</v>
      </c>
      <c r="N21" s="83"/>
      <c r="O21" s="82"/>
      <c r="P21" s="64"/>
    </row>
    <row r="22" spans="1:20">
      <c r="A22" s="71"/>
      <c r="E22" s="66"/>
      <c r="M22" s="102"/>
    </row>
    <row r="23" spans="1:20">
      <c r="A23" s="61" t="s">
        <v>17</v>
      </c>
      <c r="M23" s="101"/>
      <c r="O23" s="101"/>
    </row>
    <row r="24" spans="1:20">
      <c r="A24" s="61"/>
      <c r="C24" s="117"/>
      <c r="G24" s="117" t="s">
        <v>9</v>
      </c>
      <c r="H24" s="117"/>
      <c r="I24" s="117"/>
      <c r="J24" s="128"/>
      <c r="K24" s="117"/>
      <c r="L24" s="117"/>
      <c r="M24" s="101"/>
      <c r="T24" s="71"/>
    </row>
    <row r="25" spans="1:20" ht="15">
      <c r="A25" s="55" t="s">
        <v>73</v>
      </c>
      <c r="C25" s="66"/>
      <c r="E25" s="112"/>
      <c r="G25" s="66">
        <v>800000000</v>
      </c>
      <c r="J25" s="66">
        <v>705875731</v>
      </c>
      <c r="M25" s="101"/>
      <c r="T25" s="71"/>
    </row>
    <row r="26" spans="1:20" ht="15">
      <c r="A26" s="56" t="s">
        <v>146</v>
      </c>
      <c r="B26" s="56"/>
      <c r="C26" s="122"/>
      <c r="D26" s="55"/>
      <c r="E26" s="113"/>
      <c r="G26" s="66">
        <f>G25*22.4999997/100</f>
        <v>179999997.59999999</v>
      </c>
      <c r="J26" s="101">
        <f>J25*22.5/100</f>
        <v>158822039.47499999</v>
      </c>
      <c r="T26" s="71"/>
    </row>
    <row r="27" spans="1:20" ht="15">
      <c r="A27" s="56" t="s">
        <v>170</v>
      </c>
      <c r="B27" s="56"/>
      <c r="C27" s="122"/>
      <c r="D27" s="55"/>
      <c r="E27" s="113"/>
      <c r="G27" s="66">
        <f>G26*4/100</f>
        <v>7199999.9040000001</v>
      </c>
      <c r="J27" s="101"/>
      <c r="T27" s="71"/>
    </row>
    <row r="28" spans="1:20" ht="15.75">
      <c r="A28" s="55" t="s">
        <v>80</v>
      </c>
      <c r="B28" s="55"/>
      <c r="C28" s="133"/>
      <c r="D28" s="1"/>
      <c r="E28" s="66"/>
      <c r="G28" s="148">
        <f>+G26-G27</f>
        <v>172799997.69599998</v>
      </c>
      <c r="J28" s="3"/>
      <c r="K28" s="102"/>
    </row>
    <row r="29" spans="1:20" ht="14.25">
      <c r="A29" s="71" t="s">
        <v>148</v>
      </c>
      <c r="G29" s="154">
        <v>152469158</v>
      </c>
      <c r="I29" s="66"/>
      <c r="J29" s="66"/>
      <c r="K29" s="66"/>
      <c r="L29" s="66"/>
    </row>
    <row r="30" spans="1:20" ht="18">
      <c r="A30" s="212" t="s">
        <v>149</v>
      </c>
      <c r="B30" s="212"/>
      <c r="C30" s="212"/>
      <c r="D30" s="212"/>
      <c r="E30" s="212"/>
      <c r="F30" s="212"/>
      <c r="G30" s="230">
        <f>+G28-G29</f>
        <v>20330839.69599998</v>
      </c>
    </row>
    <row r="32" spans="1:20" ht="15">
      <c r="A32" s="325" t="s">
        <v>0</v>
      </c>
      <c r="B32" s="325"/>
      <c r="C32" s="325"/>
      <c r="D32" s="325"/>
      <c r="E32" s="325"/>
      <c r="F32" s="325"/>
      <c r="G32" s="325"/>
      <c r="H32" s="325"/>
      <c r="I32" s="325"/>
      <c r="J32" s="325"/>
      <c r="K32" s="325"/>
      <c r="L32" s="325"/>
      <c r="M32" s="325"/>
      <c r="N32" s="325"/>
      <c r="O32" s="325"/>
      <c r="P32" s="325"/>
    </row>
    <row r="33" spans="1:16" ht="15">
      <c r="A33" s="325" t="s">
        <v>1</v>
      </c>
      <c r="B33" s="325"/>
      <c r="C33" s="325"/>
      <c r="D33" s="325"/>
      <c r="E33" s="325"/>
      <c r="F33" s="325"/>
      <c r="G33" s="325"/>
      <c r="H33" s="325"/>
      <c r="I33" s="325"/>
      <c r="J33" s="325"/>
      <c r="K33" s="325"/>
      <c r="L33" s="325"/>
      <c r="M33" s="325"/>
      <c r="N33" s="325"/>
      <c r="O33" s="325"/>
      <c r="P33" s="325"/>
    </row>
    <row r="34" spans="1:16" ht="15">
      <c r="A34" s="325" t="s">
        <v>69</v>
      </c>
      <c r="B34" s="325"/>
      <c r="C34" s="325"/>
      <c r="D34" s="325"/>
      <c r="E34" s="325"/>
      <c r="F34" s="325"/>
      <c r="G34" s="325"/>
      <c r="H34" s="325"/>
      <c r="I34" s="325"/>
      <c r="J34" s="325"/>
      <c r="K34" s="325"/>
      <c r="L34" s="325"/>
      <c r="M34" s="325"/>
      <c r="N34" s="325"/>
      <c r="O34" s="325"/>
      <c r="P34" s="325"/>
    </row>
    <row r="35" spans="1:16" ht="15">
      <c r="A35" s="325" t="s">
        <v>70</v>
      </c>
      <c r="B35" s="325"/>
      <c r="C35" s="325"/>
      <c r="D35" s="325"/>
      <c r="E35" s="325"/>
      <c r="F35" s="325"/>
      <c r="G35" s="325"/>
      <c r="H35" s="325"/>
      <c r="I35" s="325"/>
      <c r="J35" s="325"/>
      <c r="K35" s="325"/>
      <c r="L35" s="325"/>
      <c r="M35" s="325"/>
      <c r="N35" s="325"/>
      <c r="O35" s="325"/>
      <c r="P35" s="325"/>
    </row>
    <row r="36" spans="1:16" ht="15.75" thickBot="1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</row>
    <row r="37" spans="1:16" ht="15.75" thickBot="1">
      <c r="A37" s="55" t="s">
        <v>4</v>
      </c>
      <c r="B37" s="56"/>
      <c r="C37" s="56"/>
      <c r="D37" s="97"/>
      <c r="E37" s="297" t="s">
        <v>40</v>
      </c>
      <c r="F37" s="298"/>
      <c r="G37" s="298"/>
      <c r="H37" s="298"/>
      <c r="I37" s="298"/>
      <c r="J37" s="298"/>
      <c r="K37" s="57"/>
      <c r="L37" s="57"/>
      <c r="M37" s="57"/>
      <c r="N37" s="56"/>
    </row>
    <row r="38" spans="1:16" ht="16.5" thickBot="1">
      <c r="A38" s="1" t="s">
        <v>5</v>
      </c>
      <c r="B38" s="58"/>
      <c r="C38" s="58"/>
      <c r="D38" s="76"/>
      <c r="E38" s="322" t="s">
        <v>88</v>
      </c>
      <c r="F38" s="323"/>
      <c r="G38" s="323"/>
      <c r="H38" s="323"/>
      <c r="I38" s="323"/>
      <c r="J38" s="323"/>
      <c r="K38" s="323"/>
      <c r="L38" s="323"/>
      <c r="M38" s="323"/>
      <c r="N38" s="323"/>
      <c r="O38" s="323"/>
      <c r="P38" s="324"/>
    </row>
    <row r="39" spans="1:16">
      <c r="A39" s="29" t="s">
        <v>10</v>
      </c>
      <c r="G39" s="69">
        <v>45530</v>
      </c>
      <c r="H39" s="14"/>
      <c r="I39" s="14"/>
    </row>
    <row r="40" spans="1:16" ht="15">
      <c r="A40" s="29"/>
      <c r="G40" s="12"/>
      <c r="H40" s="15"/>
      <c r="I40" s="15"/>
      <c r="J40" s="55" t="s">
        <v>73</v>
      </c>
      <c r="N40" s="4"/>
    </row>
    <row r="41" spans="1:16">
      <c r="A41" s="29" t="s">
        <v>8</v>
      </c>
      <c r="G41" s="72">
        <v>20330839.699999999</v>
      </c>
      <c r="H41" s="16"/>
      <c r="I41" s="16"/>
    </row>
    <row r="42" spans="1:16">
      <c r="A42" s="29" t="s">
        <v>13</v>
      </c>
      <c r="G42" s="72"/>
      <c r="H42" s="16"/>
      <c r="I42" s="16"/>
      <c r="N42" s="4"/>
    </row>
    <row r="43" spans="1:16" ht="13.5" thickBot="1">
      <c r="A43" s="29" t="s">
        <v>24</v>
      </c>
      <c r="G43" s="73">
        <v>45561</v>
      </c>
      <c r="H43" s="17"/>
      <c r="I43" s="17"/>
    </row>
    <row r="44" spans="1:16" ht="33" customHeight="1" thickBot="1">
      <c r="A44" s="28" t="s">
        <v>25</v>
      </c>
      <c r="B44" s="28" t="s">
        <v>26</v>
      </c>
      <c r="C44" s="28" t="s">
        <v>74</v>
      </c>
      <c r="D44" s="28" t="s">
        <v>27</v>
      </c>
      <c r="E44" s="28" t="s">
        <v>27</v>
      </c>
      <c r="F44" s="28"/>
      <c r="G44" s="28" t="s">
        <v>75</v>
      </c>
      <c r="H44" s="28" t="s">
        <v>76</v>
      </c>
      <c r="I44" s="28"/>
      <c r="J44" s="28" t="s">
        <v>29</v>
      </c>
      <c r="K44" s="28" t="s">
        <v>30</v>
      </c>
      <c r="L44" s="28" t="s">
        <v>77</v>
      </c>
      <c r="M44" s="28" t="s">
        <v>31</v>
      </c>
      <c r="N44" s="28" t="s">
        <v>32</v>
      </c>
      <c r="O44" s="137" t="s">
        <v>32</v>
      </c>
      <c r="P44" s="98" t="s">
        <v>64</v>
      </c>
    </row>
    <row r="45" spans="1:16">
      <c r="A45" s="134">
        <v>45565</v>
      </c>
      <c r="B45" s="106"/>
      <c r="C45" s="121">
        <v>0.28849999999999998</v>
      </c>
      <c r="D45" s="62">
        <f>(G41)</f>
        <v>20330839.699999999</v>
      </c>
      <c r="E45" s="62">
        <f t="shared" ref="E45:E51" si="12">IF(D45&gt;=0,D45,0)</f>
        <v>20330839.699999999</v>
      </c>
      <c r="F45" s="62">
        <f t="shared" ref="F45:F51" si="13">(B45-J45)</f>
        <v>0</v>
      </c>
      <c r="G45" s="62">
        <f t="shared" ref="G45:G51" si="14">IF(F45&gt;=E45,E45,F45)</f>
        <v>0</v>
      </c>
      <c r="H45" s="62">
        <f>IF(M45&gt;=B45,B45,M45)</f>
        <v>0</v>
      </c>
      <c r="I45" s="62">
        <f>(M45-H45)</f>
        <v>64278.874010410953</v>
      </c>
      <c r="J45" s="62">
        <f>(H45)</f>
        <v>0</v>
      </c>
      <c r="K45" s="63">
        <f>(A45-G43)</f>
        <v>4</v>
      </c>
      <c r="L45" s="63">
        <f t="shared" ref="L45:L51" si="15">IF(K45&gt;0,K45,0)</f>
        <v>4</v>
      </c>
      <c r="M45" s="62">
        <f>(E45*L45*C45)/365+$G$11</f>
        <v>64278.874010410953</v>
      </c>
      <c r="N45" s="62">
        <f>(D45+M45-B45)</f>
        <v>20395118.574010409</v>
      </c>
      <c r="O45" s="145">
        <f t="shared" ref="O45:O51" si="16">IF(A45&gt;0,N45,0)</f>
        <v>20395118.574010409</v>
      </c>
      <c r="P45" s="124">
        <v>1</v>
      </c>
    </row>
    <row r="46" spans="1:16" ht="13.5" thickBot="1">
      <c r="A46" s="134">
        <v>45596</v>
      </c>
      <c r="B46" s="106"/>
      <c r="C46" s="121">
        <v>0.28170000000000001</v>
      </c>
      <c r="D46" s="107">
        <f t="shared" ref="D46:D51" si="17">IF(O45&gt;=D45,D45,O45)</f>
        <v>20330839.699999999</v>
      </c>
      <c r="E46" s="111">
        <f t="shared" si="12"/>
        <v>20330839.699999999</v>
      </c>
      <c r="F46" s="108">
        <f t="shared" si="13"/>
        <v>0</v>
      </c>
      <c r="G46" s="108">
        <f t="shared" si="14"/>
        <v>0</v>
      </c>
      <c r="H46" s="108">
        <f>(I45+M46)</f>
        <v>550698.39140271221</v>
      </c>
      <c r="I46" s="108">
        <f t="shared" ref="I46:I51" si="18">IF(H46&gt;=B46,B46,H46)</f>
        <v>0</v>
      </c>
      <c r="J46" s="108">
        <f t="shared" ref="J46:J51" si="19">(I46)</f>
        <v>0</v>
      </c>
      <c r="K46" s="109">
        <f t="shared" ref="K46:K51" si="20">(A46-A45)</f>
        <v>31</v>
      </c>
      <c r="L46" s="109">
        <f t="shared" si="15"/>
        <v>31</v>
      </c>
      <c r="M46" s="111">
        <f t="shared" ref="M46:M51" si="21">(E46*L46*C46)/365</f>
        <v>486419.51739230129</v>
      </c>
      <c r="N46" s="108">
        <f t="shared" ref="N46:N51" si="22">(N45+M46-B46)</f>
        <v>20881538.091402709</v>
      </c>
      <c r="O46" s="123">
        <f t="shared" si="16"/>
        <v>20881538.091402709</v>
      </c>
      <c r="P46" s="125">
        <v>2</v>
      </c>
    </row>
    <row r="47" spans="1:16">
      <c r="A47" s="134">
        <v>45626</v>
      </c>
      <c r="B47" s="106"/>
      <c r="C47" s="121">
        <v>0.27900000000000003</v>
      </c>
      <c r="D47" s="59">
        <f t="shared" si="17"/>
        <v>20330839.699999999</v>
      </c>
      <c r="E47" s="59">
        <f t="shared" si="12"/>
        <v>20330839.699999999</v>
      </c>
      <c r="F47" s="59">
        <f t="shared" si="13"/>
        <v>0</v>
      </c>
      <c r="G47" s="59">
        <f t="shared" si="14"/>
        <v>0</v>
      </c>
      <c r="H47" s="59">
        <f t="shared" ref="H47:H51" si="23">(H46+M47-I46)</f>
        <v>1016915.1812355889</v>
      </c>
      <c r="I47" s="59">
        <f t="shared" si="18"/>
        <v>0</v>
      </c>
      <c r="J47" s="59">
        <f t="shared" si="19"/>
        <v>0</v>
      </c>
      <c r="K47" s="60">
        <f t="shared" si="20"/>
        <v>30</v>
      </c>
      <c r="L47" s="60">
        <f t="shared" si="15"/>
        <v>30</v>
      </c>
      <c r="M47" s="111">
        <f t="shared" si="21"/>
        <v>466216.7898328767</v>
      </c>
      <c r="N47" s="59">
        <f t="shared" si="22"/>
        <v>21347754.881235585</v>
      </c>
      <c r="O47" s="146">
        <f t="shared" si="16"/>
        <v>21347754.881235585</v>
      </c>
      <c r="P47" s="246">
        <v>3</v>
      </c>
    </row>
    <row r="48" spans="1:16">
      <c r="A48" s="134"/>
      <c r="B48" s="106"/>
      <c r="C48" s="121"/>
      <c r="D48" s="59">
        <f t="shared" si="17"/>
        <v>20330839.699999999</v>
      </c>
      <c r="E48" s="59">
        <f t="shared" si="12"/>
        <v>20330839.699999999</v>
      </c>
      <c r="F48" s="59">
        <f t="shared" si="13"/>
        <v>0</v>
      </c>
      <c r="G48" s="59">
        <f t="shared" si="14"/>
        <v>0</v>
      </c>
      <c r="H48" s="59">
        <f t="shared" si="23"/>
        <v>1016915.1812355889</v>
      </c>
      <c r="I48" s="59">
        <f t="shared" si="18"/>
        <v>0</v>
      </c>
      <c r="J48" s="59">
        <f t="shared" si="19"/>
        <v>0</v>
      </c>
      <c r="K48" s="60">
        <f t="shared" si="20"/>
        <v>-45626</v>
      </c>
      <c r="L48" s="60">
        <f t="shared" si="15"/>
        <v>0</v>
      </c>
      <c r="M48" s="59">
        <f t="shared" si="21"/>
        <v>0</v>
      </c>
      <c r="N48" s="59">
        <f t="shared" si="22"/>
        <v>21347754.881235585</v>
      </c>
      <c r="O48" s="123">
        <f t="shared" si="16"/>
        <v>0</v>
      </c>
      <c r="P48" s="125"/>
    </row>
    <row r="49" spans="1:16" ht="13.5" thickBot="1">
      <c r="A49" s="134"/>
      <c r="B49" s="106"/>
      <c r="C49" s="121"/>
      <c r="D49" s="59">
        <f t="shared" si="17"/>
        <v>0</v>
      </c>
      <c r="E49" s="59">
        <f t="shared" si="12"/>
        <v>0</v>
      </c>
      <c r="F49" s="59">
        <f t="shared" si="13"/>
        <v>0</v>
      </c>
      <c r="G49" s="59">
        <f t="shared" si="14"/>
        <v>0</v>
      </c>
      <c r="H49" s="59">
        <f t="shared" si="23"/>
        <v>1016915.1812355889</v>
      </c>
      <c r="I49" s="59">
        <f t="shared" si="18"/>
        <v>0</v>
      </c>
      <c r="J49" s="59">
        <f t="shared" si="19"/>
        <v>0</v>
      </c>
      <c r="K49" s="60">
        <f t="shared" si="20"/>
        <v>0</v>
      </c>
      <c r="L49" s="60">
        <f t="shared" si="15"/>
        <v>0</v>
      </c>
      <c r="M49" s="59">
        <f t="shared" si="21"/>
        <v>0</v>
      </c>
      <c r="N49" s="59">
        <f t="shared" si="22"/>
        <v>21347754.881235585</v>
      </c>
      <c r="O49" s="123">
        <f t="shared" si="16"/>
        <v>0</v>
      </c>
      <c r="P49" s="125"/>
    </row>
    <row r="50" spans="1:16">
      <c r="A50" s="134"/>
      <c r="B50" s="106"/>
      <c r="C50" s="121"/>
      <c r="D50" s="59">
        <f t="shared" si="17"/>
        <v>0</v>
      </c>
      <c r="E50" s="59">
        <f t="shared" si="12"/>
        <v>0</v>
      </c>
      <c r="F50" s="59">
        <f t="shared" si="13"/>
        <v>0</v>
      </c>
      <c r="G50" s="59">
        <f t="shared" si="14"/>
        <v>0</v>
      </c>
      <c r="H50" s="59">
        <f t="shared" si="23"/>
        <v>1016915.1812355889</v>
      </c>
      <c r="I50" s="59">
        <f t="shared" si="18"/>
        <v>0</v>
      </c>
      <c r="J50" s="59">
        <f t="shared" si="19"/>
        <v>0</v>
      </c>
      <c r="K50" s="60">
        <f t="shared" si="20"/>
        <v>0</v>
      </c>
      <c r="L50" s="60">
        <f t="shared" si="15"/>
        <v>0</v>
      </c>
      <c r="M50" s="59">
        <f t="shared" si="21"/>
        <v>0</v>
      </c>
      <c r="N50" s="59">
        <f t="shared" si="22"/>
        <v>21347754.881235585</v>
      </c>
      <c r="O50" s="123">
        <f t="shared" si="16"/>
        <v>0</v>
      </c>
      <c r="P50" s="124"/>
    </row>
    <row r="51" spans="1:16" ht="13.5" thickBot="1">
      <c r="A51" s="134"/>
      <c r="B51" s="106"/>
      <c r="C51" s="121"/>
      <c r="D51" s="59">
        <f t="shared" si="17"/>
        <v>0</v>
      </c>
      <c r="E51" s="59">
        <f t="shared" si="12"/>
        <v>0</v>
      </c>
      <c r="F51" s="59">
        <f t="shared" si="13"/>
        <v>0</v>
      </c>
      <c r="G51" s="59">
        <f t="shared" si="14"/>
        <v>0</v>
      </c>
      <c r="H51" s="59">
        <f t="shared" si="23"/>
        <v>1016915.1812355889</v>
      </c>
      <c r="I51" s="59">
        <f t="shared" si="18"/>
        <v>0</v>
      </c>
      <c r="J51" s="59">
        <f t="shared" si="19"/>
        <v>0</v>
      </c>
      <c r="K51" s="60">
        <f t="shared" si="20"/>
        <v>0</v>
      </c>
      <c r="L51" s="60">
        <f t="shared" si="15"/>
        <v>0</v>
      </c>
      <c r="M51" s="59">
        <f t="shared" si="21"/>
        <v>0</v>
      </c>
      <c r="N51" s="59">
        <f t="shared" si="22"/>
        <v>21347754.881235585</v>
      </c>
      <c r="O51" s="123">
        <f t="shared" si="16"/>
        <v>0</v>
      </c>
      <c r="P51" s="129"/>
    </row>
    <row r="52" spans="1:16" ht="13.5" thickBot="1">
      <c r="A52" s="81" t="s">
        <v>33</v>
      </c>
      <c r="B52" s="82">
        <f>SUM(B45:B48)</f>
        <v>0</v>
      </c>
      <c r="C52" s="82"/>
      <c r="D52" s="83"/>
      <c r="E52" s="82"/>
      <c r="F52" s="83"/>
      <c r="G52" s="82">
        <f>SUM(G45:G48)</f>
        <v>0</v>
      </c>
      <c r="H52" s="82"/>
      <c r="I52" s="82"/>
      <c r="J52" s="82">
        <f>SUM(J45:J48)</f>
        <v>0</v>
      </c>
      <c r="K52" s="82"/>
      <c r="L52" s="82"/>
      <c r="M52" s="82">
        <f>SUM(M45:M51)</f>
        <v>1016915.1812355889</v>
      </c>
      <c r="N52" s="83"/>
      <c r="O52" s="82"/>
      <c r="P52" s="64"/>
    </row>
    <row r="54" spans="1:16">
      <c r="A54" s="61"/>
      <c r="C54" s="117"/>
      <c r="G54" s="117" t="s">
        <v>9</v>
      </c>
      <c r="H54" s="117"/>
      <c r="I54" s="117"/>
      <c r="J54" s="128" t="s">
        <v>34</v>
      </c>
      <c r="L54" s="117" t="s">
        <v>35</v>
      </c>
    </row>
    <row r="55" spans="1:16">
      <c r="A55" s="61" t="s">
        <v>171</v>
      </c>
      <c r="C55" s="66"/>
      <c r="E55" s="112"/>
      <c r="G55" s="66">
        <v>20330839.699999999</v>
      </c>
      <c r="J55" s="66"/>
    </row>
    <row r="56" spans="1:16" ht="15.75">
      <c r="A56" s="55" t="s">
        <v>80</v>
      </c>
      <c r="B56" s="55"/>
      <c r="C56" s="133"/>
      <c r="D56" s="1"/>
      <c r="E56" s="66"/>
      <c r="G56" s="215">
        <f>SUM(G55)</f>
        <v>20330839.699999999</v>
      </c>
      <c r="J56" s="3"/>
    </row>
    <row r="57" spans="1:16" ht="14.25">
      <c r="A57" s="71" t="s">
        <v>172</v>
      </c>
      <c r="G57" s="154"/>
      <c r="I57" s="66"/>
      <c r="J57" s="66"/>
    </row>
    <row r="58" spans="1:16" ht="15.75">
      <c r="A58" s="132" t="s">
        <v>149</v>
      </c>
      <c r="B58" s="132"/>
      <c r="C58" s="132"/>
      <c r="D58" s="132"/>
      <c r="E58" s="132"/>
      <c r="F58" s="132"/>
      <c r="G58" s="247">
        <f>+G56-G57</f>
        <v>20330839.699999999</v>
      </c>
    </row>
    <row r="61" spans="1:16" ht="15">
      <c r="A61" s="211" t="s">
        <v>173</v>
      </c>
      <c r="B61" s="211"/>
      <c r="C61" s="211"/>
      <c r="D61" s="212"/>
      <c r="E61" s="240">
        <v>21347754.881235585</v>
      </c>
    </row>
    <row r="65" spans="1:17" ht="15">
      <c r="Q65" s="104"/>
    </row>
    <row r="66" spans="1:17" ht="15">
      <c r="J66" s="55"/>
    </row>
    <row r="67" spans="1:17" ht="15.75">
      <c r="A67" s="56"/>
      <c r="G67" s="1"/>
      <c r="J67" s="56"/>
    </row>
    <row r="68" spans="1:17" ht="15.75">
      <c r="A68" s="56"/>
      <c r="G68" s="56"/>
      <c r="J68" s="1" t="s">
        <v>37</v>
      </c>
    </row>
    <row r="69" spans="1:17" ht="15.75">
      <c r="A69" s="56" t="s">
        <v>38</v>
      </c>
      <c r="G69" s="1"/>
      <c r="J69" s="56" t="s">
        <v>39</v>
      </c>
    </row>
    <row r="70" spans="1:17" ht="15.75">
      <c r="A70" s="56"/>
      <c r="G70" s="1"/>
      <c r="J70" s="56"/>
    </row>
    <row r="71" spans="1:17" ht="18.75" customHeight="1">
      <c r="A71" s="56"/>
      <c r="G71" s="56"/>
      <c r="J71" s="56"/>
    </row>
    <row r="72" spans="1:17" ht="15">
      <c r="A72" s="325" t="s">
        <v>0</v>
      </c>
      <c r="B72" s="325"/>
      <c r="C72" s="325"/>
      <c r="D72" s="325"/>
      <c r="E72" s="325"/>
      <c r="F72" s="325"/>
      <c r="G72" s="325"/>
      <c r="H72" s="325"/>
      <c r="I72" s="325"/>
      <c r="J72" s="325"/>
      <c r="K72" s="325"/>
      <c r="L72" s="325"/>
      <c r="M72" s="325"/>
      <c r="N72" s="325"/>
      <c r="O72" s="325"/>
      <c r="P72" s="325"/>
    </row>
    <row r="73" spans="1:17" ht="15">
      <c r="A73" s="325" t="s">
        <v>1</v>
      </c>
      <c r="B73" s="325"/>
      <c r="C73" s="325"/>
      <c r="D73" s="325"/>
      <c r="E73" s="325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</row>
    <row r="74" spans="1:17" ht="15">
      <c r="A74" s="325" t="s">
        <v>69</v>
      </c>
      <c r="B74" s="325"/>
      <c r="C74" s="325"/>
      <c r="D74" s="325"/>
      <c r="E74" s="325"/>
      <c r="F74" s="325"/>
      <c r="G74" s="325"/>
      <c r="H74" s="325"/>
      <c r="I74" s="325"/>
      <c r="J74" s="325"/>
      <c r="K74" s="325"/>
      <c r="L74" s="325"/>
      <c r="M74" s="325"/>
      <c r="N74" s="325"/>
      <c r="O74" s="325"/>
      <c r="P74" s="325"/>
    </row>
    <row r="75" spans="1:17" ht="15">
      <c r="A75" s="325" t="s">
        <v>70</v>
      </c>
      <c r="B75" s="325"/>
      <c r="C75" s="325"/>
      <c r="D75" s="325"/>
      <c r="E75" s="325"/>
      <c r="F75" s="325"/>
      <c r="G75" s="325"/>
      <c r="H75" s="325"/>
      <c r="I75" s="325"/>
      <c r="J75" s="325"/>
      <c r="K75" s="325"/>
      <c r="L75" s="325"/>
      <c r="M75" s="325"/>
      <c r="N75" s="325"/>
      <c r="O75" s="325"/>
      <c r="P75" s="325"/>
    </row>
    <row r="76" spans="1:17" ht="15.75" thickBot="1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</row>
    <row r="77" spans="1:17" ht="15.75" thickBot="1">
      <c r="A77" s="55" t="s">
        <v>4</v>
      </c>
      <c r="B77" s="56"/>
      <c r="C77" s="56"/>
      <c r="D77" s="97"/>
      <c r="E77" s="297" t="s">
        <v>40</v>
      </c>
      <c r="F77" s="298"/>
      <c r="G77" s="298"/>
      <c r="H77" s="298"/>
      <c r="I77" s="298"/>
      <c r="J77" s="298"/>
      <c r="K77" s="57"/>
      <c r="L77" s="57"/>
      <c r="M77" s="57"/>
      <c r="N77" s="56"/>
    </row>
    <row r="78" spans="1:17" ht="16.5" thickBot="1">
      <c r="A78" s="1" t="s">
        <v>5</v>
      </c>
      <c r="B78" s="58"/>
      <c r="C78" s="58"/>
      <c r="D78" s="76"/>
      <c r="E78" s="322" t="s">
        <v>88</v>
      </c>
      <c r="F78" s="323"/>
      <c r="G78" s="323"/>
      <c r="H78" s="323"/>
      <c r="I78" s="323"/>
      <c r="J78" s="323"/>
      <c r="K78" s="323"/>
      <c r="L78" s="323"/>
      <c r="M78" s="323"/>
      <c r="N78" s="323"/>
      <c r="O78" s="323"/>
      <c r="P78" s="324"/>
    </row>
    <row r="79" spans="1:17">
      <c r="A79" s="29" t="s">
        <v>10</v>
      </c>
      <c r="G79" s="69">
        <v>45530</v>
      </c>
      <c r="H79" s="14"/>
      <c r="I79" s="14"/>
    </row>
    <row r="80" spans="1:17" ht="15">
      <c r="A80" s="29"/>
      <c r="G80" s="12"/>
      <c r="H80" s="15"/>
      <c r="I80" s="15"/>
      <c r="J80" s="55" t="s">
        <v>82</v>
      </c>
      <c r="N80" s="4"/>
    </row>
    <row r="81" spans="1:16">
      <c r="A81" s="29" t="s">
        <v>8</v>
      </c>
      <c r="G81" s="72">
        <v>224999997</v>
      </c>
      <c r="H81" s="16"/>
      <c r="I81" s="16"/>
    </row>
    <row r="82" spans="1:16">
      <c r="A82" s="29" t="s">
        <v>13</v>
      </c>
      <c r="G82" s="72"/>
      <c r="H82" s="16"/>
      <c r="I82" s="16"/>
      <c r="N82" s="4"/>
    </row>
    <row r="83" spans="1:16" ht="13.5" thickBot="1">
      <c r="A83" s="29" t="s">
        <v>24</v>
      </c>
      <c r="G83" s="73">
        <v>45561</v>
      </c>
      <c r="H83" s="17"/>
      <c r="I83" s="17"/>
    </row>
    <row r="84" spans="1:16" ht="28.5" customHeight="1" thickBot="1">
      <c r="A84" s="28" t="s">
        <v>25</v>
      </c>
      <c r="B84" s="28" t="s">
        <v>26</v>
      </c>
      <c r="C84" s="28" t="s">
        <v>74</v>
      </c>
      <c r="D84" s="28" t="s">
        <v>27</v>
      </c>
      <c r="E84" s="28" t="s">
        <v>27</v>
      </c>
      <c r="F84" s="28"/>
      <c r="G84" s="28" t="s">
        <v>75</v>
      </c>
      <c r="H84" s="28" t="s">
        <v>76</v>
      </c>
      <c r="I84" s="28"/>
      <c r="J84" s="28" t="s">
        <v>29</v>
      </c>
      <c r="K84" s="28" t="s">
        <v>30</v>
      </c>
      <c r="L84" s="28" t="s">
        <v>77</v>
      </c>
      <c r="M84" s="28" t="s">
        <v>31</v>
      </c>
      <c r="N84" s="28" t="s">
        <v>32</v>
      </c>
      <c r="O84" s="137" t="s">
        <v>32</v>
      </c>
      <c r="P84" s="98" t="s">
        <v>64</v>
      </c>
    </row>
    <row r="85" spans="1:16" ht="15">
      <c r="A85" s="134">
        <v>45555</v>
      </c>
      <c r="B85" s="106">
        <v>219634286</v>
      </c>
      <c r="C85" s="121">
        <v>0.28849999999999998</v>
      </c>
      <c r="D85" s="62">
        <f>(G81)</f>
        <v>224999997</v>
      </c>
      <c r="E85" s="62">
        <f t="shared" ref="E85:E90" si="24">IF(D85&gt;=0,D85,0)</f>
        <v>224999997</v>
      </c>
      <c r="F85" s="62">
        <f t="shared" ref="F85:F90" si="25">(B85-J85)</f>
        <v>219634286</v>
      </c>
      <c r="G85" s="62">
        <f t="shared" ref="G85:G90" si="26">IF(F85&gt;=E85,E85,F85)</f>
        <v>219634286</v>
      </c>
      <c r="H85" s="62">
        <f>IF(M85&gt;=B85,B85,M85)</f>
        <v>0</v>
      </c>
      <c r="I85" s="62">
        <f>(M85-H85)</f>
        <v>0</v>
      </c>
      <c r="J85" s="62">
        <f>(H85)</f>
        <v>0</v>
      </c>
      <c r="K85" s="63">
        <f>(A85-G83)</f>
        <v>-6</v>
      </c>
      <c r="L85" s="63">
        <f t="shared" ref="L85:L90" si="27">IF(K85&gt;0,K85,0)</f>
        <v>0</v>
      </c>
      <c r="M85" s="62">
        <f>(E85*L85*C85)/365+$G$11</f>
        <v>0</v>
      </c>
      <c r="N85" s="62">
        <f>(D85+M85-B85)</f>
        <v>5365711</v>
      </c>
      <c r="O85" s="245">
        <f t="shared" ref="O85:O90" si="28">IF(A85&gt;0,N85,0)</f>
        <v>5365711</v>
      </c>
      <c r="P85" s="213">
        <v>1</v>
      </c>
    </row>
    <row r="86" spans="1:16" ht="13.5" thickBot="1">
      <c r="A86" s="140"/>
      <c r="B86" s="106"/>
      <c r="C86" s="121"/>
      <c r="D86" s="107">
        <f t="shared" ref="D86:D90" si="29">IF(O85&gt;=D85,D85,O85)</f>
        <v>5365711</v>
      </c>
      <c r="E86" s="111">
        <f t="shared" si="24"/>
        <v>5365711</v>
      </c>
      <c r="F86" s="108">
        <f t="shared" si="25"/>
        <v>0</v>
      </c>
      <c r="G86" s="108">
        <f t="shared" si="26"/>
        <v>0</v>
      </c>
      <c r="H86" s="108">
        <f>(I85+M86)</f>
        <v>0</v>
      </c>
      <c r="I86" s="108">
        <f t="shared" ref="I86:I90" si="30">IF(H86&gt;=B86,B86,H86)</f>
        <v>0</v>
      </c>
      <c r="J86" s="108">
        <f t="shared" ref="J86:J90" si="31">(I86)</f>
        <v>0</v>
      </c>
      <c r="K86" s="109">
        <f t="shared" ref="K86:K90" si="32">(A86-A85)</f>
        <v>-45555</v>
      </c>
      <c r="L86" s="109">
        <f t="shared" si="27"/>
        <v>0</v>
      </c>
      <c r="M86" s="111">
        <f t="shared" ref="M86:M90" si="33">(E86*L86*C86)/365</f>
        <v>0</v>
      </c>
      <c r="N86" s="108">
        <f t="shared" ref="N86:N90" si="34">(N85+M86-B86)</f>
        <v>5365711</v>
      </c>
      <c r="O86" s="207">
        <f t="shared" si="28"/>
        <v>0</v>
      </c>
      <c r="P86" s="129"/>
    </row>
    <row r="87" spans="1:16">
      <c r="A87" s="134"/>
      <c r="B87" s="106"/>
      <c r="C87" s="121"/>
      <c r="D87" s="59">
        <f t="shared" si="29"/>
        <v>0</v>
      </c>
      <c r="E87" s="59">
        <f t="shared" si="24"/>
        <v>0</v>
      </c>
      <c r="F87" s="59">
        <f t="shared" si="25"/>
        <v>0</v>
      </c>
      <c r="G87" s="59">
        <f t="shared" si="26"/>
        <v>0</v>
      </c>
      <c r="H87" s="59">
        <f t="shared" ref="H87:H90" si="35">(H86+M87-I86)</f>
        <v>0</v>
      </c>
      <c r="I87" s="59">
        <f t="shared" si="30"/>
        <v>0</v>
      </c>
      <c r="J87" s="59">
        <f t="shared" si="31"/>
        <v>0</v>
      </c>
      <c r="K87" s="60">
        <f t="shared" si="32"/>
        <v>0</v>
      </c>
      <c r="L87" s="60">
        <f t="shared" si="27"/>
        <v>0</v>
      </c>
      <c r="M87" s="111">
        <f t="shared" si="33"/>
        <v>0</v>
      </c>
      <c r="N87" s="59">
        <f t="shared" si="34"/>
        <v>5365711</v>
      </c>
      <c r="O87" s="123">
        <f t="shared" si="28"/>
        <v>0</v>
      </c>
      <c r="P87" s="124"/>
    </row>
    <row r="88" spans="1:16">
      <c r="A88" s="134"/>
      <c r="B88" s="106"/>
      <c r="C88" s="121"/>
      <c r="D88" s="59">
        <f t="shared" si="29"/>
        <v>0</v>
      </c>
      <c r="E88" s="59">
        <f t="shared" si="24"/>
        <v>0</v>
      </c>
      <c r="F88" s="59">
        <f t="shared" si="25"/>
        <v>0</v>
      </c>
      <c r="G88" s="59">
        <f t="shared" si="26"/>
        <v>0</v>
      </c>
      <c r="H88" s="59">
        <f t="shared" si="35"/>
        <v>0</v>
      </c>
      <c r="I88" s="59">
        <f t="shared" si="30"/>
        <v>0</v>
      </c>
      <c r="J88" s="59">
        <f t="shared" si="31"/>
        <v>0</v>
      </c>
      <c r="K88" s="60">
        <f t="shared" si="32"/>
        <v>0</v>
      </c>
      <c r="L88" s="60">
        <f t="shared" si="27"/>
        <v>0</v>
      </c>
      <c r="M88" s="59">
        <f t="shared" si="33"/>
        <v>0</v>
      </c>
      <c r="N88" s="59">
        <f t="shared" si="34"/>
        <v>5365711</v>
      </c>
      <c r="O88" s="123">
        <f t="shared" si="28"/>
        <v>0</v>
      </c>
      <c r="P88" s="125"/>
    </row>
    <row r="89" spans="1:16" ht="13.5" thickBot="1">
      <c r="A89" s="134"/>
      <c r="B89" s="106"/>
      <c r="C89" s="121"/>
      <c r="D89" s="59">
        <f t="shared" si="29"/>
        <v>0</v>
      </c>
      <c r="E89" s="59">
        <f t="shared" si="24"/>
        <v>0</v>
      </c>
      <c r="F89" s="59">
        <f t="shared" si="25"/>
        <v>0</v>
      </c>
      <c r="G89" s="59">
        <f t="shared" si="26"/>
        <v>0</v>
      </c>
      <c r="H89" s="59">
        <f t="shared" si="35"/>
        <v>0</v>
      </c>
      <c r="I89" s="59">
        <f t="shared" si="30"/>
        <v>0</v>
      </c>
      <c r="J89" s="59">
        <f t="shared" si="31"/>
        <v>0</v>
      </c>
      <c r="K89" s="60">
        <f t="shared" si="32"/>
        <v>0</v>
      </c>
      <c r="L89" s="60">
        <f t="shared" si="27"/>
        <v>0</v>
      </c>
      <c r="M89" s="59">
        <f t="shared" si="33"/>
        <v>0</v>
      </c>
      <c r="N89" s="59">
        <f t="shared" si="34"/>
        <v>5365711</v>
      </c>
      <c r="O89" s="123">
        <f t="shared" si="28"/>
        <v>0</v>
      </c>
      <c r="P89" s="125"/>
    </row>
    <row r="90" spans="1:16" ht="13.5" thickBot="1">
      <c r="A90" s="134"/>
      <c r="B90" s="106"/>
      <c r="C90" s="121"/>
      <c r="D90" s="59">
        <f t="shared" si="29"/>
        <v>0</v>
      </c>
      <c r="E90" s="59">
        <f t="shared" si="24"/>
        <v>0</v>
      </c>
      <c r="F90" s="59">
        <f t="shared" si="25"/>
        <v>0</v>
      </c>
      <c r="G90" s="59">
        <f t="shared" si="26"/>
        <v>0</v>
      </c>
      <c r="H90" s="59">
        <f t="shared" si="35"/>
        <v>0</v>
      </c>
      <c r="I90" s="59">
        <f t="shared" si="30"/>
        <v>0</v>
      </c>
      <c r="J90" s="59">
        <f t="shared" si="31"/>
        <v>0</v>
      </c>
      <c r="K90" s="60">
        <f t="shared" si="32"/>
        <v>0</v>
      </c>
      <c r="L90" s="60">
        <f t="shared" si="27"/>
        <v>0</v>
      </c>
      <c r="M90" s="59">
        <f t="shared" si="33"/>
        <v>0</v>
      </c>
      <c r="N90" s="59">
        <f t="shared" si="34"/>
        <v>5365711</v>
      </c>
      <c r="O90" s="123">
        <f t="shared" si="28"/>
        <v>0</v>
      </c>
      <c r="P90" s="124"/>
    </row>
    <row r="91" spans="1:16" ht="13.5" thickBot="1">
      <c r="A91" s="81" t="s">
        <v>33</v>
      </c>
      <c r="B91" s="82">
        <f>SUM(B85:B88)</f>
        <v>219634286</v>
      </c>
      <c r="C91" s="82"/>
      <c r="D91" s="83"/>
      <c r="E91" s="82"/>
      <c r="F91" s="83"/>
      <c r="G91" s="82">
        <f>SUM(G85:G88)</f>
        <v>219634286</v>
      </c>
      <c r="H91" s="82"/>
      <c r="I91" s="82"/>
      <c r="J91" s="82">
        <f>SUM(J85:J88)</f>
        <v>0</v>
      </c>
      <c r="K91" s="82"/>
      <c r="L91" s="82"/>
      <c r="M91" s="82">
        <f>SUM(M85:M90)</f>
        <v>0</v>
      </c>
      <c r="N91" s="83"/>
      <c r="O91" s="82"/>
      <c r="P91" s="64"/>
    </row>
    <row r="92" spans="1:16">
      <c r="A92" s="71"/>
      <c r="E92" s="66"/>
      <c r="M92" s="102"/>
    </row>
    <row r="93" spans="1:16">
      <c r="A93" s="61" t="s">
        <v>17</v>
      </c>
      <c r="M93" s="101"/>
    </row>
    <row r="94" spans="1:16">
      <c r="A94" s="61"/>
      <c r="C94" s="117"/>
      <c r="G94" s="117" t="s">
        <v>9</v>
      </c>
      <c r="H94" s="117"/>
      <c r="I94" s="117"/>
      <c r="J94" s="128"/>
      <c r="K94" s="117"/>
      <c r="L94" s="117"/>
      <c r="M94" s="101"/>
    </row>
    <row r="95" spans="1:16" ht="15">
      <c r="A95" s="55" t="s">
        <v>82</v>
      </c>
      <c r="C95" s="66"/>
      <c r="E95" s="112"/>
      <c r="G95" s="66">
        <v>1000000000</v>
      </c>
      <c r="J95" s="66">
        <v>976152384</v>
      </c>
      <c r="M95" s="101"/>
    </row>
    <row r="96" spans="1:16" ht="15">
      <c r="A96" s="71" t="s">
        <v>78</v>
      </c>
      <c r="B96" s="56"/>
      <c r="C96" s="122"/>
      <c r="D96" s="55"/>
      <c r="E96" s="113"/>
      <c r="G96" s="66"/>
      <c r="J96" s="66"/>
      <c r="M96" s="101"/>
    </row>
    <row r="97" spans="1:16" ht="15">
      <c r="A97" s="71" t="s">
        <v>146</v>
      </c>
      <c r="B97" s="56"/>
      <c r="C97" s="122"/>
      <c r="D97" s="55"/>
      <c r="E97" s="113"/>
      <c r="G97" s="66">
        <f>G95*22.4999997/100</f>
        <v>224999997</v>
      </c>
      <c r="J97" s="66">
        <f>J95*22.5/100</f>
        <v>219634286.40000001</v>
      </c>
    </row>
    <row r="98" spans="1:16" ht="15.75">
      <c r="A98" s="61" t="s">
        <v>80</v>
      </c>
      <c r="B98" s="55"/>
      <c r="C98" s="133"/>
      <c r="D98" s="1"/>
      <c r="E98" s="66"/>
      <c r="G98" s="206">
        <f>G97</f>
        <v>224999997</v>
      </c>
      <c r="J98" s="66"/>
      <c r="K98" s="102"/>
    </row>
    <row r="99" spans="1:16" ht="15.75">
      <c r="A99" s="71" t="s">
        <v>148</v>
      </c>
      <c r="B99" s="55"/>
      <c r="C99" s="133"/>
      <c r="D99" s="1"/>
      <c r="E99" s="66"/>
      <c r="G99" s="154">
        <v>219634286</v>
      </c>
      <c r="J99" s="3"/>
      <c r="K99" s="102"/>
    </row>
    <row r="100" spans="1:16" ht="18">
      <c r="A100" s="212" t="s">
        <v>149</v>
      </c>
      <c r="B100" s="214"/>
      <c r="G100" s="230">
        <f>+G98-G99</f>
        <v>5365711</v>
      </c>
    </row>
    <row r="103" spans="1:16" ht="15">
      <c r="A103" s="325" t="s">
        <v>0</v>
      </c>
      <c r="B103" s="325"/>
      <c r="C103" s="325"/>
      <c r="D103" s="325"/>
      <c r="E103" s="325"/>
      <c r="F103" s="325"/>
      <c r="G103" s="325"/>
      <c r="H103" s="325"/>
      <c r="I103" s="325"/>
      <c r="J103" s="325"/>
      <c r="K103" s="325"/>
      <c r="L103" s="325"/>
      <c r="M103" s="325"/>
      <c r="N103" s="325"/>
      <c r="O103" s="325"/>
      <c r="P103" s="325"/>
    </row>
    <row r="104" spans="1:16" ht="15">
      <c r="A104" s="325" t="s">
        <v>1</v>
      </c>
      <c r="B104" s="325"/>
      <c r="C104" s="325"/>
      <c r="D104" s="325"/>
      <c r="E104" s="325"/>
      <c r="F104" s="325"/>
      <c r="G104" s="325"/>
      <c r="H104" s="325"/>
      <c r="I104" s="325"/>
      <c r="J104" s="325"/>
      <c r="K104" s="325"/>
      <c r="L104" s="325"/>
      <c r="M104" s="325"/>
      <c r="N104" s="325"/>
      <c r="O104" s="325"/>
      <c r="P104" s="325"/>
    </row>
    <row r="105" spans="1:16" ht="15">
      <c r="A105" s="325" t="s">
        <v>69</v>
      </c>
      <c r="B105" s="325"/>
      <c r="C105" s="325"/>
      <c r="D105" s="325"/>
      <c r="E105" s="325"/>
      <c r="F105" s="325"/>
      <c r="G105" s="325"/>
      <c r="H105" s="325"/>
      <c r="I105" s="325"/>
      <c r="J105" s="325"/>
      <c r="K105" s="325"/>
      <c r="L105" s="325"/>
      <c r="M105" s="325"/>
      <c r="N105" s="325"/>
      <c r="O105" s="325"/>
      <c r="P105" s="325"/>
    </row>
    <row r="106" spans="1:16" ht="15">
      <c r="A106" s="325" t="s">
        <v>70</v>
      </c>
      <c r="B106" s="325"/>
      <c r="C106" s="325"/>
      <c r="D106" s="325"/>
      <c r="E106" s="325"/>
      <c r="F106" s="325"/>
      <c r="G106" s="325"/>
      <c r="H106" s="325"/>
      <c r="I106" s="325"/>
      <c r="J106" s="325"/>
      <c r="K106" s="325"/>
      <c r="L106" s="325"/>
      <c r="M106" s="325"/>
      <c r="N106" s="325"/>
      <c r="O106" s="325"/>
      <c r="P106" s="325"/>
    </row>
    <row r="107" spans="1:16" ht="15.75" thickBot="1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</row>
    <row r="108" spans="1:16" ht="15.75" thickBot="1">
      <c r="A108" s="55" t="s">
        <v>4</v>
      </c>
      <c r="B108" s="56"/>
      <c r="C108" s="56"/>
      <c r="D108" s="97"/>
      <c r="E108" s="297" t="s">
        <v>40</v>
      </c>
      <c r="F108" s="298"/>
      <c r="G108" s="298"/>
      <c r="H108" s="298"/>
      <c r="I108" s="298"/>
      <c r="J108" s="298"/>
      <c r="K108" s="57"/>
      <c r="L108" s="57"/>
      <c r="M108" s="57"/>
      <c r="N108" s="56"/>
    </row>
    <row r="109" spans="1:16" ht="16.5" thickBot="1">
      <c r="A109" s="1" t="s">
        <v>5</v>
      </c>
      <c r="B109" s="58"/>
      <c r="C109" s="58"/>
      <c r="D109" s="76"/>
      <c r="E109" s="322" t="s">
        <v>88</v>
      </c>
      <c r="F109" s="323"/>
      <c r="G109" s="323"/>
      <c r="H109" s="323"/>
      <c r="I109" s="323"/>
      <c r="J109" s="323"/>
      <c r="K109" s="323"/>
      <c r="L109" s="323"/>
      <c r="M109" s="323"/>
      <c r="N109" s="323"/>
      <c r="O109" s="323"/>
      <c r="P109" s="324"/>
    </row>
    <row r="110" spans="1:16">
      <c r="A110" s="29" t="s">
        <v>10</v>
      </c>
      <c r="G110" s="69">
        <v>45530</v>
      </c>
      <c r="H110" s="14"/>
      <c r="I110" s="14"/>
    </row>
    <row r="111" spans="1:16" ht="15">
      <c r="A111" s="29"/>
      <c r="G111" s="12"/>
      <c r="H111" s="15"/>
      <c r="I111" s="15"/>
      <c r="J111" s="55" t="s">
        <v>82</v>
      </c>
      <c r="N111" s="4"/>
    </row>
    <row r="112" spans="1:16">
      <c r="A112" s="29" t="s">
        <v>8</v>
      </c>
      <c r="G112" s="72">
        <v>5365711</v>
      </c>
      <c r="H112" s="16"/>
      <c r="I112" s="16"/>
    </row>
    <row r="113" spans="1:16">
      <c r="A113" s="29" t="s">
        <v>13</v>
      </c>
      <c r="G113" s="72"/>
      <c r="H113" s="16"/>
      <c r="I113" s="16"/>
      <c r="N113" s="4"/>
    </row>
    <row r="114" spans="1:16" ht="13.5" thickBot="1">
      <c r="A114" s="29" t="s">
        <v>24</v>
      </c>
      <c r="G114" s="73">
        <v>45561</v>
      </c>
      <c r="H114" s="17"/>
      <c r="I114" s="17"/>
    </row>
    <row r="115" spans="1:16" ht="34.5" customHeight="1" thickBot="1">
      <c r="A115" s="28" t="s">
        <v>25</v>
      </c>
      <c r="B115" s="28" t="s">
        <v>26</v>
      </c>
      <c r="C115" s="28" t="s">
        <v>74</v>
      </c>
      <c r="D115" s="28" t="s">
        <v>27</v>
      </c>
      <c r="E115" s="28" t="s">
        <v>27</v>
      </c>
      <c r="F115" s="28"/>
      <c r="G115" s="28" t="s">
        <v>75</v>
      </c>
      <c r="H115" s="28" t="s">
        <v>76</v>
      </c>
      <c r="I115" s="28"/>
      <c r="J115" s="28" t="s">
        <v>29</v>
      </c>
      <c r="K115" s="28" t="s">
        <v>30</v>
      </c>
      <c r="L115" s="28" t="s">
        <v>77</v>
      </c>
      <c r="M115" s="28" t="s">
        <v>31</v>
      </c>
      <c r="N115" s="28" t="s">
        <v>32</v>
      </c>
      <c r="O115" s="137" t="s">
        <v>32</v>
      </c>
      <c r="P115" s="98" t="s">
        <v>64</v>
      </c>
    </row>
    <row r="116" spans="1:16">
      <c r="A116" s="134">
        <v>45565</v>
      </c>
      <c r="B116" s="106"/>
      <c r="C116" s="121">
        <v>0.28849999999999998</v>
      </c>
      <c r="D116" s="62">
        <f>(G112)</f>
        <v>5365711</v>
      </c>
      <c r="E116" s="62">
        <f t="shared" ref="E116:E121" si="36">IF(D116&gt;=0,D116,0)</f>
        <v>5365711</v>
      </c>
      <c r="F116" s="62">
        <f t="shared" ref="F116:F121" si="37">(B116-J116)</f>
        <v>0</v>
      </c>
      <c r="G116" s="62">
        <f t="shared" ref="G116:G121" si="38">IF(F116&gt;=E116,E116,F116)</f>
        <v>0</v>
      </c>
      <c r="H116" s="62">
        <f>IF(M116&gt;=B116,B116,M116)</f>
        <v>0</v>
      </c>
      <c r="I116" s="62">
        <f>(M116-H116)</f>
        <v>16964.467106849315</v>
      </c>
      <c r="J116" s="62">
        <f>(H116)</f>
        <v>0</v>
      </c>
      <c r="K116" s="63">
        <f>(A116-G114)</f>
        <v>4</v>
      </c>
      <c r="L116" s="63">
        <f t="shared" ref="L116:L121" si="39">IF(K116&gt;0,K116,0)</f>
        <v>4</v>
      </c>
      <c r="M116" s="62">
        <f>(E116*L116*C116)/365+$G$11</f>
        <v>16964.467106849315</v>
      </c>
      <c r="N116" s="62">
        <f>(D116+M116-B116)</f>
        <v>5382675.467106849</v>
      </c>
      <c r="O116" s="145">
        <f t="shared" ref="O116:O121" si="40">IF(A116&gt;0,N116,0)</f>
        <v>5382675.467106849</v>
      </c>
      <c r="P116" s="124">
        <v>1</v>
      </c>
    </row>
    <row r="117" spans="1:16" ht="13.5" thickBot="1">
      <c r="A117" s="134">
        <v>45596</v>
      </c>
      <c r="B117" s="106"/>
      <c r="C117" s="121">
        <v>0.28170000000000001</v>
      </c>
      <c r="D117" s="107">
        <f t="shared" ref="D117:D121" si="41">IF(O116&gt;=D116,D116,O116)</f>
        <v>5365711</v>
      </c>
      <c r="E117" s="111">
        <f t="shared" si="36"/>
        <v>5365711</v>
      </c>
      <c r="F117" s="108">
        <f t="shared" si="37"/>
        <v>0</v>
      </c>
      <c r="G117" s="108">
        <f t="shared" si="38"/>
        <v>0</v>
      </c>
      <c r="H117" s="108">
        <f>(I116+M117)</f>
        <v>145340.20532520546</v>
      </c>
      <c r="I117" s="108">
        <f t="shared" ref="I117:I121" si="42">IF(H117&gt;=B117,B117,H117)</f>
        <v>0</v>
      </c>
      <c r="J117" s="108">
        <f t="shared" ref="J117:J121" si="43">(I117)</f>
        <v>0</v>
      </c>
      <c r="K117" s="109">
        <f t="shared" ref="K117:K121" si="44">(A117-A116)</f>
        <v>31</v>
      </c>
      <c r="L117" s="109">
        <f t="shared" si="39"/>
        <v>31</v>
      </c>
      <c r="M117" s="111">
        <f t="shared" ref="M117:M121" si="45">(E117*L117*C117)/365</f>
        <v>128375.73821835616</v>
      </c>
      <c r="N117" s="108">
        <f t="shared" ref="N117:N121" si="46">(N116+M117-B117)</f>
        <v>5511051.2053252049</v>
      </c>
      <c r="O117" s="123">
        <f t="shared" si="40"/>
        <v>5511051.2053252049</v>
      </c>
      <c r="P117" s="125">
        <v>2</v>
      </c>
    </row>
    <row r="118" spans="1:16">
      <c r="A118" s="134">
        <v>45626</v>
      </c>
      <c r="B118" s="106"/>
      <c r="C118" s="121">
        <v>0.27900000000000003</v>
      </c>
      <c r="D118" s="59">
        <f t="shared" si="41"/>
        <v>5365711</v>
      </c>
      <c r="E118" s="59">
        <f t="shared" si="36"/>
        <v>5365711</v>
      </c>
      <c r="F118" s="59">
        <f t="shared" si="37"/>
        <v>0</v>
      </c>
      <c r="G118" s="59">
        <f t="shared" si="38"/>
        <v>0</v>
      </c>
      <c r="H118" s="59">
        <f t="shared" ref="H118:H121" si="47">(H117+M118-I117)</f>
        <v>268384.04387315072</v>
      </c>
      <c r="I118" s="59">
        <f t="shared" si="42"/>
        <v>0</v>
      </c>
      <c r="J118" s="59">
        <f t="shared" si="43"/>
        <v>0</v>
      </c>
      <c r="K118" s="60">
        <f t="shared" si="44"/>
        <v>30</v>
      </c>
      <c r="L118" s="60">
        <f t="shared" si="39"/>
        <v>30</v>
      </c>
      <c r="M118" s="111">
        <f t="shared" si="45"/>
        <v>123043.83854794523</v>
      </c>
      <c r="N118" s="59">
        <f t="shared" si="46"/>
        <v>5634095.0438731499</v>
      </c>
      <c r="O118" s="146">
        <f t="shared" si="40"/>
        <v>5634095.0438731499</v>
      </c>
      <c r="P118" s="124">
        <v>3</v>
      </c>
    </row>
    <row r="119" spans="1:16">
      <c r="A119" s="134"/>
      <c r="B119" s="106"/>
      <c r="C119" s="121"/>
      <c r="D119" s="59">
        <f t="shared" si="41"/>
        <v>5365711</v>
      </c>
      <c r="E119" s="59">
        <f t="shared" si="36"/>
        <v>5365711</v>
      </c>
      <c r="F119" s="59">
        <f t="shared" si="37"/>
        <v>0</v>
      </c>
      <c r="G119" s="59">
        <f t="shared" si="38"/>
        <v>0</v>
      </c>
      <c r="H119" s="59">
        <f t="shared" si="47"/>
        <v>268384.04387315072</v>
      </c>
      <c r="I119" s="59">
        <f t="shared" si="42"/>
        <v>0</v>
      </c>
      <c r="J119" s="59">
        <f t="shared" si="43"/>
        <v>0</v>
      </c>
      <c r="K119" s="60">
        <f t="shared" si="44"/>
        <v>-45626</v>
      </c>
      <c r="L119" s="60">
        <f t="shared" si="39"/>
        <v>0</v>
      </c>
      <c r="M119" s="59">
        <f t="shared" si="45"/>
        <v>0</v>
      </c>
      <c r="N119" s="59">
        <f t="shared" si="46"/>
        <v>5634095.0438731499</v>
      </c>
      <c r="O119" s="123">
        <f t="shared" si="40"/>
        <v>0</v>
      </c>
      <c r="P119" s="125"/>
    </row>
    <row r="120" spans="1:16" ht="13.5" thickBot="1">
      <c r="A120" s="134"/>
      <c r="B120" s="106"/>
      <c r="C120" s="121"/>
      <c r="D120" s="59">
        <f t="shared" si="41"/>
        <v>0</v>
      </c>
      <c r="E120" s="59">
        <f t="shared" si="36"/>
        <v>0</v>
      </c>
      <c r="F120" s="59">
        <f t="shared" si="37"/>
        <v>0</v>
      </c>
      <c r="G120" s="59">
        <f t="shared" si="38"/>
        <v>0</v>
      </c>
      <c r="H120" s="59">
        <f t="shared" si="47"/>
        <v>268384.04387315072</v>
      </c>
      <c r="I120" s="59">
        <f t="shared" si="42"/>
        <v>0</v>
      </c>
      <c r="J120" s="59">
        <f t="shared" si="43"/>
        <v>0</v>
      </c>
      <c r="K120" s="60">
        <f t="shared" si="44"/>
        <v>0</v>
      </c>
      <c r="L120" s="60">
        <f t="shared" si="39"/>
        <v>0</v>
      </c>
      <c r="M120" s="59">
        <f t="shared" si="45"/>
        <v>0</v>
      </c>
      <c r="N120" s="59">
        <f t="shared" si="46"/>
        <v>5634095.0438731499</v>
      </c>
      <c r="O120" s="123">
        <f t="shared" si="40"/>
        <v>0</v>
      </c>
      <c r="P120" s="125"/>
    </row>
    <row r="121" spans="1:16" ht="13.5" thickBot="1">
      <c r="A121" s="134"/>
      <c r="B121" s="106"/>
      <c r="C121" s="121"/>
      <c r="D121" s="59">
        <f t="shared" si="41"/>
        <v>0</v>
      </c>
      <c r="E121" s="59">
        <f t="shared" si="36"/>
        <v>0</v>
      </c>
      <c r="F121" s="59">
        <f t="shared" si="37"/>
        <v>0</v>
      </c>
      <c r="G121" s="59">
        <f t="shared" si="38"/>
        <v>0</v>
      </c>
      <c r="H121" s="59">
        <f t="shared" si="47"/>
        <v>268384.04387315072</v>
      </c>
      <c r="I121" s="59">
        <f t="shared" si="42"/>
        <v>0</v>
      </c>
      <c r="J121" s="59">
        <f t="shared" si="43"/>
        <v>0</v>
      </c>
      <c r="K121" s="60">
        <f t="shared" si="44"/>
        <v>0</v>
      </c>
      <c r="L121" s="60">
        <f t="shared" si="39"/>
        <v>0</v>
      </c>
      <c r="M121" s="59">
        <f t="shared" si="45"/>
        <v>0</v>
      </c>
      <c r="N121" s="59">
        <f t="shared" si="46"/>
        <v>5634095.0438731499</v>
      </c>
      <c r="O121" s="123">
        <f t="shared" si="40"/>
        <v>0</v>
      </c>
      <c r="P121" s="124"/>
    </row>
    <row r="122" spans="1:16" ht="13.5" thickBot="1">
      <c r="A122" s="81" t="s">
        <v>33</v>
      </c>
      <c r="B122" s="82">
        <f>SUM(B116:B119)</f>
        <v>0</v>
      </c>
      <c r="C122" s="82"/>
      <c r="D122" s="83"/>
      <c r="E122" s="82"/>
      <c r="F122" s="83"/>
      <c r="G122" s="82">
        <f>SUM(G116:G119)</f>
        <v>0</v>
      </c>
      <c r="H122" s="82"/>
      <c r="I122" s="82"/>
      <c r="J122" s="82">
        <f>SUM(J116:J119)</f>
        <v>0</v>
      </c>
      <c r="K122" s="82"/>
      <c r="L122" s="82"/>
      <c r="M122" s="82">
        <f>SUM(M116:M121)</f>
        <v>268384.04387315072</v>
      </c>
      <c r="N122" s="83"/>
      <c r="O122" s="82"/>
      <c r="P122" s="64"/>
    </row>
    <row r="123" spans="1:16">
      <c r="A123" s="71"/>
      <c r="E123" s="66"/>
      <c r="M123" s="102"/>
    </row>
    <row r="124" spans="1:16">
      <c r="A124" s="61" t="s">
        <v>17</v>
      </c>
      <c r="M124" s="101"/>
    </row>
    <row r="125" spans="1:16">
      <c r="A125" s="61"/>
      <c r="C125" s="117"/>
      <c r="G125" s="117" t="s">
        <v>9</v>
      </c>
      <c r="H125" s="117"/>
      <c r="I125" s="117"/>
      <c r="J125" s="128"/>
      <c r="K125" s="117"/>
      <c r="L125" s="117"/>
      <c r="M125" s="101"/>
    </row>
    <row r="126" spans="1:16">
      <c r="A126" s="61" t="s">
        <v>174</v>
      </c>
      <c r="C126" s="66"/>
      <c r="E126" s="112"/>
      <c r="G126" s="66">
        <v>5365711</v>
      </c>
      <c r="J126" s="66"/>
      <c r="M126" s="101"/>
    </row>
    <row r="127" spans="1:16" ht="15.75">
      <c r="A127" s="55" t="s">
        <v>80</v>
      </c>
      <c r="B127" s="55"/>
      <c r="C127" s="133"/>
      <c r="D127" s="1"/>
      <c r="E127" s="66"/>
      <c r="G127" s="66">
        <f>SUM(G126)</f>
        <v>5365711</v>
      </c>
      <c r="J127" s="66"/>
      <c r="M127" s="101"/>
    </row>
    <row r="128" spans="1:16">
      <c r="A128" s="71" t="s">
        <v>172</v>
      </c>
      <c r="G128" s="66"/>
      <c r="J128" s="66"/>
    </row>
    <row r="129" spans="1:16" ht="15">
      <c r="A129" s="132" t="s">
        <v>244</v>
      </c>
      <c r="B129" s="132"/>
      <c r="G129" s="148">
        <f>+G127-G128</f>
        <v>5365711</v>
      </c>
      <c r="J129" s="66"/>
      <c r="K129" s="102"/>
    </row>
    <row r="130" spans="1:16">
      <c r="J130" s="3"/>
      <c r="K130" s="102"/>
    </row>
    <row r="132" spans="1:16" ht="15">
      <c r="A132" s="211" t="s">
        <v>173</v>
      </c>
      <c r="B132" s="212"/>
      <c r="C132" s="212"/>
      <c r="E132" s="236">
        <f>O118</f>
        <v>5634095.0438731499</v>
      </c>
    </row>
    <row r="138" spans="1:16" ht="15.75">
      <c r="B138" s="56"/>
      <c r="H138" s="56"/>
      <c r="J138" s="1"/>
      <c r="M138" s="56"/>
    </row>
    <row r="139" spans="1:16" ht="15.75">
      <c r="A139" s="56"/>
      <c r="J139" s="56"/>
      <c r="M139" s="1" t="s">
        <v>37</v>
      </c>
    </row>
    <row r="140" spans="1:16" ht="15.75">
      <c r="A140" s="56" t="s">
        <v>38</v>
      </c>
      <c r="J140" s="1"/>
      <c r="M140" s="56" t="s">
        <v>39</v>
      </c>
    </row>
    <row r="143" spans="1:16" ht="15">
      <c r="A143" s="325" t="s">
        <v>0</v>
      </c>
      <c r="B143" s="325"/>
      <c r="C143" s="325"/>
      <c r="D143" s="325"/>
      <c r="E143" s="325"/>
      <c r="F143" s="325"/>
      <c r="G143" s="325"/>
      <c r="H143" s="325"/>
      <c r="I143" s="325"/>
      <c r="J143" s="325"/>
      <c r="K143" s="325"/>
      <c r="L143" s="325"/>
      <c r="M143" s="325"/>
      <c r="N143" s="325"/>
      <c r="O143" s="325"/>
      <c r="P143" s="325"/>
    </row>
    <row r="144" spans="1:16" ht="15">
      <c r="A144" s="325" t="s">
        <v>1</v>
      </c>
      <c r="B144" s="325"/>
      <c r="C144" s="325"/>
      <c r="D144" s="325"/>
      <c r="E144" s="325"/>
      <c r="F144" s="325"/>
      <c r="G144" s="325"/>
      <c r="H144" s="325"/>
      <c r="I144" s="325"/>
      <c r="J144" s="325"/>
      <c r="K144" s="325"/>
      <c r="L144" s="325"/>
      <c r="M144" s="325"/>
      <c r="N144" s="325"/>
      <c r="O144" s="325"/>
      <c r="P144" s="325"/>
    </row>
    <row r="145" spans="1:16" ht="15">
      <c r="A145" s="325" t="s">
        <v>69</v>
      </c>
      <c r="B145" s="325"/>
      <c r="C145" s="325"/>
      <c r="D145" s="325"/>
      <c r="E145" s="325"/>
      <c r="F145" s="325"/>
      <c r="G145" s="325"/>
      <c r="H145" s="325"/>
      <c r="I145" s="325"/>
      <c r="J145" s="325"/>
      <c r="K145" s="325"/>
      <c r="L145" s="325"/>
      <c r="M145" s="325"/>
      <c r="N145" s="325"/>
      <c r="O145" s="325"/>
      <c r="P145" s="325"/>
    </row>
    <row r="146" spans="1:16" ht="15">
      <c r="A146" s="325" t="s">
        <v>70</v>
      </c>
      <c r="B146" s="325"/>
      <c r="C146" s="325"/>
      <c r="D146" s="325"/>
      <c r="E146" s="325"/>
      <c r="F146" s="325"/>
      <c r="G146" s="325"/>
      <c r="H146" s="325"/>
      <c r="I146" s="325"/>
      <c r="J146" s="325"/>
      <c r="K146" s="325"/>
      <c r="L146" s="325"/>
      <c r="M146" s="325"/>
      <c r="N146" s="325"/>
      <c r="O146" s="325"/>
      <c r="P146" s="325"/>
    </row>
    <row r="147" spans="1:16" ht="15.75" thickBot="1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</row>
    <row r="148" spans="1:16" ht="15.75" thickBot="1">
      <c r="A148" s="55" t="s">
        <v>4</v>
      </c>
      <c r="B148" s="56"/>
      <c r="C148" s="56"/>
      <c r="D148" s="97"/>
      <c r="E148" s="297" t="s">
        <v>40</v>
      </c>
      <c r="F148" s="298"/>
      <c r="G148" s="298"/>
      <c r="H148" s="298"/>
      <c r="I148" s="298"/>
      <c r="J148" s="298"/>
      <c r="K148" s="57"/>
      <c r="L148" s="57"/>
      <c r="M148" s="57"/>
      <c r="N148" s="56"/>
    </row>
    <row r="149" spans="1:16" ht="16.5" thickBot="1">
      <c r="A149" s="1" t="s">
        <v>5</v>
      </c>
      <c r="B149" s="58"/>
      <c r="C149" s="58"/>
      <c r="D149" s="76"/>
      <c r="E149" s="322" t="s">
        <v>88</v>
      </c>
      <c r="F149" s="323"/>
      <c r="G149" s="323"/>
      <c r="H149" s="323"/>
      <c r="I149" s="323"/>
      <c r="J149" s="323"/>
      <c r="K149" s="323"/>
      <c r="L149" s="323"/>
      <c r="M149" s="323"/>
      <c r="N149" s="323"/>
      <c r="O149" s="323"/>
      <c r="P149" s="324"/>
    </row>
    <row r="150" spans="1:16">
      <c r="A150" s="29" t="s">
        <v>10</v>
      </c>
      <c r="G150" s="69">
        <v>45530</v>
      </c>
      <c r="H150" s="14"/>
      <c r="I150" s="14"/>
    </row>
    <row r="151" spans="1:16" ht="15">
      <c r="A151" s="29"/>
      <c r="G151" s="12"/>
      <c r="H151" s="15"/>
      <c r="I151" s="15"/>
      <c r="J151" s="55" t="s">
        <v>83</v>
      </c>
      <c r="N151" s="4"/>
    </row>
    <row r="152" spans="1:16">
      <c r="A152" s="29" t="s">
        <v>8</v>
      </c>
      <c r="G152" s="72">
        <v>224999997</v>
      </c>
      <c r="H152" s="16"/>
      <c r="I152" s="16"/>
    </row>
    <row r="153" spans="1:16">
      <c r="A153" s="29" t="s">
        <v>13</v>
      </c>
      <c r="G153" s="72"/>
      <c r="H153" s="16"/>
      <c r="I153" s="16"/>
      <c r="N153" s="4"/>
    </row>
    <row r="154" spans="1:16" ht="13.5" thickBot="1">
      <c r="A154" s="29" t="s">
        <v>24</v>
      </c>
      <c r="G154" s="73">
        <v>45561</v>
      </c>
      <c r="H154" s="17"/>
      <c r="I154" s="17"/>
    </row>
    <row r="155" spans="1:16" ht="30" customHeight="1" thickBot="1">
      <c r="A155" s="28" t="s">
        <v>25</v>
      </c>
      <c r="B155" s="28" t="s">
        <v>26</v>
      </c>
      <c r="C155" s="28" t="s">
        <v>74</v>
      </c>
      <c r="D155" s="28" t="s">
        <v>27</v>
      </c>
      <c r="E155" s="28" t="s">
        <v>27</v>
      </c>
      <c r="F155" s="28"/>
      <c r="G155" s="28" t="s">
        <v>75</v>
      </c>
      <c r="H155" s="28" t="s">
        <v>76</v>
      </c>
      <c r="I155" s="28"/>
      <c r="J155" s="28" t="s">
        <v>29</v>
      </c>
      <c r="K155" s="28" t="s">
        <v>30</v>
      </c>
      <c r="L155" s="28" t="s">
        <v>77</v>
      </c>
      <c r="M155" s="28" t="s">
        <v>31</v>
      </c>
      <c r="N155" s="28" t="s">
        <v>32</v>
      </c>
      <c r="O155" s="137" t="s">
        <v>32</v>
      </c>
      <c r="P155" s="98" t="s">
        <v>64</v>
      </c>
    </row>
    <row r="156" spans="1:16">
      <c r="A156" s="134">
        <v>45555</v>
      </c>
      <c r="B156" s="106">
        <v>96254128</v>
      </c>
      <c r="C156" s="121">
        <v>0.28849999999999998</v>
      </c>
      <c r="D156" s="62">
        <f>(G152)</f>
        <v>224999997</v>
      </c>
      <c r="E156" s="62">
        <f t="shared" ref="E156:E161" si="48">IF(D156&gt;=0,D156,0)</f>
        <v>224999997</v>
      </c>
      <c r="F156" s="62">
        <f t="shared" ref="F156:F161" si="49">(B156-J156)</f>
        <v>96254128</v>
      </c>
      <c r="G156" s="62">
        <f t="shared" ref="G156:G161" si="50">IF(F156&gt;=E156,E156,F156)</f>
        <v>96254128</v>
      </c>
      <c r="H156" s="62">
        <f>IF(M156&gt;=B156,B156,M156)</f>
        <v>0</v>
      </c>
      <c r="I156" s="62">
        <f>(M156-H156)</f>
        <v>0</v>
      </c>
      <c r="J156" s="62">
        <f>(H156)</f>
        <v>0</v>
      </c>
      <c r="K156" s="63">
        <f>(A156-G154)</f>
        <v>-6</v>
      </c>
      <c r="L156" s="63">
        <f t="shared" ref="L156:L161" si="51">IF(K156&gt;0,K156,0)</f>
        <v>0</v>
      </c>
      <c r="M156" s="62">
        <f>(E156*L156*C156)/365+$G$11</f>
        <v>0</v>
      </c>
      <c r="N156" s="62">
        <f>(D156+M156-B156)</f>
        <v>128745869</v>
      </c>
      <c r="O156" s="145">
        <f t="shared" ref="O156:O161" si="52">IF(A156&gt;0,N156,0)</f>
        <v>128745869</v>
      </c>
      <c r="P156" s="124">
        <v>1</v>
      </c>
    </row>
    <row r="157" spans="1:16" ht="13.5" thickBot="1">
      <c r="A157" s="134"/>
      <c r="B157" s="106"/>
      <c r="C157" s="121"/>
      <c r="D157" s="107">
        <f t="shared" ref="D157:D161" si="53">IF(O156&gt;=D156,D156,O156)</f>
        <v>128745869</v>
      </c>
      <c r="E157" s="111">
        <f t="shared" si="48"/>
        <v>128745869</v>
      </c>
      <c r="F157" s="108">
        <f t="shared" si="49"/>
        <v>0</v>
      </c>
      <c r="G157" s="108">
        <f t="shared" si="50"/>
        <v>0</v>
      </c>
      <c r="H157" s="108">
        <f>(I156+M157)</f>
        <v>0</v>
      </c>
      <c r="I157" s="108">
        <f t="shared" ref="I157:I161" si="54">IF(H157&gt;=B157,B157,H157)</f>
        <v>0</v>
      </c>
      <c r="J157" s="108">
        <f t="shared" ref="J157:J161" si="55">(I157)</f>
        <v>0</v>
      </c>
      <c r="K157" s="109">
        <f t="shared" ref="K157:K161" si="56">(A157-A156)</f>
        <v>-45555</v>
      </c>
      <c r="L157" s="109">
        <f t="shared" si="51"/>
        <v>0</v>
      </c>
      <c r="M157" s="111">
        <f t="shared" ref="M157:M161" si="57">(E157*L157*C157)/365</f>
        <v>0</v>
      </c>
      <c r="N157" s="108">
        <f t="shared" ref="N157:N161" si="58">(N156+M157-B157)</f>
        <v>128745869</v>
      </c>
      <c r="O157" s="146">
        <f t="shared" si="52"/>
        <v>0</v>
      </c>
      <c r="P157" s="147"/>
    </row>
    <row r="158" spans="1:16">
      <c r="A158" s="134"/>
      <c r="B158" s="106"/>
      <c r="C158" s="121"/>
      <c r="D158" s="59">
        <f t="shared" si="53"/>
        <v>0</v>
      </c>
      <c r="E158" s="59">
        <f t="shared" si="48"/>
        <v>0</v>
      </c>
      <c r="F158" s="59">
        <f t="shared" si="49"/>
        <v>0</v>
      </c>
      <c r="G158" s="59">
        <f t="shared" si="50"/>
        <v>0</v>
      </c>
      <c r="H158" s="59">
        <f t="shared" ref="H158:H161" si="59">(H157+M158-I157)</f>
        <v>0</v>
      </c>
      <c r="I158" s="59">
        <f t="shared" si="54"/>
        <v>0</v>
      </c>
      <c r="J158" s="59">
        <f t="shared" si="55"/>
        <v>0</v>
      </c>
      <c r="K158" s="60">
        <f t="shared" si="56"/>
        <v>0</v>
      </c>
      <c r="L158" s="60">
        <f t="shared" si="51"/>
        <v>0</v>
      </c>
      <c r="M158" s="111">
        <f t="shared" si="57"/>
        <v>0</v>
      </c>
      <c r="N158" s="59">
        <f t="shared" si="58"/>
        <v>128745869</v>
      </c>
      <c r="O158" s="123">
        <f t="shared" si="52"/>
        <v>0</v>
      </c>
      <c r="P158" s="124"/>
    </row>
    <row r="159" spans="1:16">
      <c r="A159" s="134"/>
      <c r="B159" s="106"/>
      <c r="C159" s="121"/>
      <c r="D159" s="59">
        <f t="shared" si="53"/>
        <v>0</v>
      </c>
      <c r="E159" s="59">
        <f t="shared" si="48"/>
        <v>0</v>
      </c>
      <c r="F159" s="59">
        <f t="shared" si="49"/>
        <v>0</v>
      </c>
      <c r="G159" s="59">
        <f t="shared" si="50"/>
        <v>0</v>
      </c>
      <c r="H159" s="59">
        <f t="shared" si="59"/>
        <v>0</v>
      </c>
      <c r="I159" s="59">
        <f t="shared" si="54"/>
        <v>0</v>
      </c>
      <c r="J159" s="59">
        <f t="shared" si="55"/>
        <v>0</v>
      </c>
      <c r="K159" s="60">
        <f t="shared" si="56"/>
        <v>0</v>
      </c>
      <c r="L159" s="60">
        <f t="shared" si="51"/>
        <v>0</v>
      </c>
      <c r="M159" s="59">
        <f t="shared" si="57"/>
        <v>0</v>
      </c>
      <c r="N159" s="59">
        <f t="shared" si="58"/>
        <v>128745869</v>
      </c>
      <c r="O159" s="123">
        <f t="shared" si="52"/>
        <v>0</v>
      </c>
      <c r="P159" s="125"/>
    </row>
    <row r="160" spans="1:16" ht="13.5" thickBot="1">
      <c r="A160" s="134"/>
      <c r="B160" s="106"/>
      <c r="C160" s="121"/>
      <c r="D160" s="59">
        <f t="shared" si="53"/>
        <v>0</v>
      </c>
      <c r="E160" s="59">
        <f t="shared" si="48"/>
        <v>0</v>
      </c>
      <c r="F160" s="59">
        <f t="shared" si="49"/>
        <v>0</v>
      </c>
      <c r="G160" s="59">
        <f t="shared" si="50"/>
        <v>0</v>
      </c>
      <c r="H160" s="59">
        <f t="shared" si="59"/>
        <v>0</v>
      </c>
      <c r="I160" s="59">
        <f t="shared" si="54"/>
        <v>0</v>
      </c>
      <c r="J160" s="59">
        <f t="shared" si="55"/>
        <v>0</v>
      </c>
      <c r="K160" s="60">
        <f t="shared" si="56"/>
        <v>0</v>
      </c>
      <c r="L160" s="60">
        <f t="shared" si="51"/>
        <v>0</v>
      </c>
      <c r="M160" s="59">
        <f t="shared" si="57"/>
        <v>0</v>
      </c>
      <c r="N160" s="59">
        <f t="shared" si="58"/>
        <v>128745869</v>
      </c>
      <c r="O160" s="123">
        <f t="shared" si="52"/>
        <v>0</v>
      </c>
      <c r="P160" s="125"/>
    </row>
    <row r="161" spans="1:16" ht="13.5" thickBot="1">
      <c r="A161" s="134"/>
      <c r="B161" s="106"/>
      <c r="C161" s="121"/>
      <c r="D161" s="59">
        <f t="shared" si="53"/>
        <v>0</v>
      </c>
      <c r="E161" s="59">
        <f t="shared" si="48"/>
        <v>0</v>
      </c>
      <c r="F161" s="59">
        <f t="shared" si="49"/>
        <v>0</v>
      </c>
      <c r="G161" s="59">
        <f t="shared" si="50"/>
        <v>0</v>
      </c>
      <c r="H161" s="59">
        <f t="shared" si="59"/>
        <v>0</v>
      </c>
      <c r="I161" s="59">
        <f t="shared" si="54"/>
        <v>0</v>
      </c>
      <c r="J161" s="59">
        <f t="shared" si="55"/>
        <v>0</v>
      </c>
      <c r="K161" s="60">
        <f t="shared" si="56"/>
        <v>0</v>
      </c>
      <c r="L161" s="60">
        <f t="shared" si="51"/>
        <v>0</v>
      </c>
      <c r="M161" s="59">
        <f t="shared" si="57"/>
        <v>0</v>
      </c>
      <c r="N161" s="59">
        <f t="shared" si="58"/>
        <v>128745869</v>
      </c>
      <c r="O161" s="123">
        <f t="shared" si="52"/>
        <v>0</v>
      </c>
      <c r="P161" s="124"/>
    </row>
    <row r="162" spans="1:16" ht="13.5" thickBot="1">
      <c r="A162" s="81" t="s">
        <v>33</v>
      </c>
      <c r="B162" s="82">
        <f>SUM(B156:B159)</f>
        <v>96254128</v>
      </c>
      <c r="C162" s="82"/>
      <c r="D162" s="83"/>
      <c r="E162" s="82"/>
      <c r="F162" s="83"/>
      <c r="G162" s="82">
        <f>SUM(G156:G159)</f>
        <v>96254128</v>
      </c>
      <c r="H162" s="82"/>
      <c r="I162" s="82"/>
      <c r="J162" s="82">
        <f>SUM(J156:J159)</f>
        <v>0</v>
      </c>
      <c r="K162" s="82"/>
      <c r="L162" s="82"/>
      <c r="M162" s="82">
        <f>SUM(M156:M161)</f>
        <v>0</v>
      </c>
      <c r="N162" s="83"/>
      <c r="O162" s="82"/>
      <c r="P162" s="64"/>
    </row>
    <row r="163" spans="1:16">
      <c r="A163" s="71"/>
      <c r="E163" s="66"/>
      <c r="M163" s="102"/>
    </row>
    <row r="164" spans="1:16">
      <c r="A164" s="61" t="s">
        <v>17</v>
      </c>
      <c r="M164" s="101"/>
    </row>
    <row r="165" spans="1:16">
      <c r="A165" s="61"/>
      <c r="C165" s="117"/>
      <c r="G165" s="117" t="s">
        <v>9</v>
      </c>
      <c r="H165" s="117"/>
      <c r="I165" s="117"/>
      <c r="J165" s="128" t="s">
        <v>34</v>
      </c>
      <c r="K165" s="117"/>
      <c r="L165" s="117" t="s">
        <v>35</v>
      </c>
      <c r="M165" s="101"/>
    </row>
    <row r="166" spans="1:16" ht="15">
      <c r="A166" s="55" t="s">
        <v>83</v>
      </c>
      <c r="C166" s="66"/>
      <c r="E166" s="112"/>
      <c r="G166" s="66">
        <v>1000000000</v>
      </c>
      <c r="J166" s="66"/>
      <c r="M166" s="101"/>
    </row>
    <row r="167" spans="1:16" ht="15">
      <c r="A167" s="71" t="s">
        <v>78</v>
      </c>
      <c r="B167" s="56"/>
      <c r="C167" s="122"/>
      <c r="D167" s="55"/>
      <c r="E167" s="113"/>
      <c r="G167" s="66"/>
      <c r="J167" s="66"/>
      <c r="M167" s="101"/>
    </row>
    <row r="168" spans="1:16" ht="15">
      <c r="A168" s="71" t="s">
        <v>146</v>
      </c>
      <c r="B168" s="56"/>
      <c r="C168" s="122"/>
      <c r="D168" s="55"/>
      <c r="E168" s="113"/>
      <c r="G168" s="66">
        <f>G166*22.4999997/100</f>
        <v>224999997</v>
      </c>
      <c r="J168" s="66"/>
      <c r="L168" s="101"/>
    </row>
    <row r="169" spans="1:16" ht="15.75">
      <c r="A169" s="61" t="s">
        <v>80</v>
      </c>
      <c r="B169" s="55"/>
      <c r="C169" s="133"/>
      <c r="D169" s="1"/>
      <c r="E169" s="66"/>
      <c r="G169" s="206">
        <f>G168</f>
        <v>224999997</v>
      </c>
      <c r="J169" s="66"/>
      <c r="K169" s="102"/>
    </row>
    <row r="170" spans="1:16" ht="15.75">
      <c r="A170" s="71" t="s">
        <v>148</v>
      </c>
      <c r="B170" s="55"/>
      <c r="C170" s="133"/>
      <c r="D170" s="1"/>
      <c r="E170" s="66"/>
      <c r="G170" s="248">
        <v>96254128</v>
      </c>
      <c r="J170" s="66"/>
      <c r="K170" s="102"/>
      <c r="M170" s="222">
        <f>+B14+B85+B156</f>
        <v>468357572</v>
      </c>
    </row>
    <row r="171" spans="1:16" ht="15.75">
      <c r="A171" s="205" t="s">
        <v>150</v>
      </c>
      <c r="B171" s="211"/>
      <c r="C171" s="133"/>
      <c r="D171" s="1"/>
      <c r="E171" s="66"/>
      <c r="G171" s="225">
        <f>G169-G170</f>
        <v>128745869</v>
      </c>
      <c r="J171" s="66"/>
      <c r="K171" s="102"/>
    </row>
    <row r="172" spans="1:16" ht="15.75">
      <c r="A172" s="61"/>
      <c r="B172" s="55"/>
      <c r="C172" s="133"/>
      <c r="D172" s="1"/>
      <c r="E172" s="66"/>
      <c r="J172" s="66"/>
      <c r="K172" s="102"/>
    </row>
    <row r="173" spans="1:16" ht="15">
      <c r="A173" s="325" t="s">
        <v>0</v>
      </c>
      <c r="B173" s="325"/>
      <c r="C173" s="325"/>
      <c r="D173" s="325"/>
      <c r="E173" s="325"/>
      <c r="F173" s="325"/>
      <c r="G173" s="325"/>
      <c r="H173" s="325"/>
      <c r="I173" s="325"/>
      <c r="J173" s="325"/>
      <c r="K173" s="325"/>
      <c r="L173" s="325"/>
      <c r="M173" s="325"/>
      <c r="N173" s="325"/>
      <c r="O173" s="325"/>
      <c r="P173" s="325"/>
    </row>
    <row r="174" spans="1:16" ht="15">
      <c r="A174" s="325" t="s">
        <v>1</v>
      </c>
      <c r="B174" s="325"/>
      <c r="C174" s="325"/>
      <c r="D174" s="325"/>
      <c r="E174" s="325"/>
      <c r="F174" s="325"/>
      <c r="G174" s="325"/>
      <c r="H174" s="325"/>
      <c r="I174" s="325"/>
      <c r="J174" s="325"/>
      <c r="K174" s="325"/>
      <c r="L174" s="325"/>
      <c r="M174" s="325"/>
      <c r="N174" s="325"/>
      <c r="O174" s="325"/>
      <c r="P174" s="325"/>
    </row>
    <row r="175" spans="1:16" ht="15">
      <c r="A175" s="325" t="s">
        <v>69</v>
      </c>
      <c r="B175" s="325"/>
      <c r="C175" s="325"/>
      <c r="D175" s="325"/>
      <c r="E175" s="325"/>
      <c r="F175" s="325"/>
      <c r="G175" s="325"/>
      <c r="H175" s="325"/>
      <c r="I175" s="325"/>
      <c r="J175" s="325"/>
      <c r="K175" s="325"/>
      <c r="L175" s="325"/>
      <c r="M175" s="325"/>
      <c r="N175" s="325"/>
      <c r="O175" s="325"/>
      <c r="P175" s="325"/>
    </row>
    <row r="176" spans="1:16" ht="15">
      <c r="A176" s="325" t="s">
        <v>70</v>
      </c>
      <c r="B176" s="325"/>
      <c r="C176" s="325"/>
      <c r="D176" s="325"/>
      <c r="E176" s="325"/>
      <c r="F176" s="325"/>
      <c r="G176" s="325"/>
      <c r="H176" s="325"/>
      <c r="I176" s="325"/>
      <c r="J176" s="325"/>
      <c r="K176" s="325"/>
      <c r="L176" s="325"/>
      <c r="M176" s="325"/>
      <c r="N176" s="325"/>
      <c r="O176" s="325"/>
      <c r="P176" s="325"/>
    </row>
    <row r="177" spans="1:16" ht="15.75" thickBot="1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</row>
    <row r="178" spans="1:16" ht="15.75" thickBot="1">
      <c r="A178" s="55" t="s">
        <v>4</v>
      </c>
      <c r="B178" s="56"/>
      <c r="C178" s="56"/>
      <c r="D178" s="97"/>
      <c r="E178" s="297" t="s">
        <v>40</v>
      </c>
      <c r="F178" s="298"/>
      <c r="G178" s="298"/>
      <c r="H178" s="298"/>
      <c r="I178" s="298"/>
      <c r="J178" s="298"/>
      <c r="K178" s="57"/>
      <c r="L178" s="57"/>
      <c r="M178" s="57"/>
      <c r="N178" s="56"/>
    </row>
    <row r="179" spans="1:16" ht="16.5" thickBot="1">
      <c r="A179" s="1" t="s">
        <v>5</v>
      </c>
      <c r="B179" s="58"/>
      <c r="C179" s="58"/>
      <c r="D179" s="76"/>
      <c r="E179" s="322" t="s">
        <v>88</v>
      </c>
      <c r="F179" s="323"/>
      <c r="G179" s="323"/>
      <c r="H179" s="323"/>
      <c r="I179" s="323"/>
      <c r="J179" s="323"/>
      <c r="K179" s="323"/>
      <c r="L179" s="323"/>
      <c r="M179" s="323"/>
      <c r="N179" s="323"/>
      <c r="O179" s="323"/>
      <c r="P179" s="324"/>
    </row>
    <row r="180" spans="1:16">
      <c r="A180" s="29" t="s">
        <v>10</v>
      </c>
      <c r="G180" s="69">
        <v>45530</v>
      </c>
      <c r="H180" s="14"/>
      <c r="I180" s="14"/>
    </row>
    <row r="181" spans="1:16" ht="15">
      <c r="A181" s="29"/>
      <c r="G181" s="12"/>
      <c r="H181" s="15"/>
      <c r="I181" s="15"/>
      <c r="J181" s="55" t="s">
        <v>83</v>
      </c>
      <c r="N181" s="4"/>
    </row>
    <row r="182" spans="1:16">
      <c r="A182" s="29" t="s">
        <v>8</v>
      </c>
      <c r="G182" s="72">
        <v>128745869</v>
      </c>
      <c r="H182" s="16"/>
      <c r="I182" s="16"/>
    </row>
    <row r="183" spans="1:16">
      <c r="A183" s="29" t="s">
        <v>13</v>
      </c>
      <c r="G183" s="72"/>
      <c r="H183" s="16"/>
      <c r="I183" s="16"/>
      <c r="N183" s="4"/>
    </row>
    <row r="184" spans="1:16" ht="13.5" thickBot="1">
      <c r="A184" s="29" t="s">
        <v>24</v>
      </c>
      <c r="G184" s="73">
        <v>45561</v>
      </c>
      <c r="H184" s="17"/>
      <c r="I184" s="17"/>
    </row>
    <row r="185" spans="1:16" ht="36.75" customHeight="1" thickBot="1">
      <c r="A185" s="28" t="s">
        <v>25</v>
      </c>
      <c r="B185" s="28" t="s">
        <v>26</v>
      </c>
      <c r="C185" s="28" t="s">
        <v>74</v>
      </c>
      <c r="D185" s="28" t="s">
        <v>27</v>
      </c>
      <c r="E185" s="28" t="s">
        <v>27</v>
      </c>
      <c r="F185" s="28"/>
      <c r="G185" s="28" t="s">
        <v>75</v>
      </c>
      <c r="H185" s="28" t="s">
        <v>76</v>
      </c>
      <c r="I185" s="28"/>
      <c r="J185" s="28" t="s">
        <v>29</v>
      </c>
      <c r="K185" s="28" t="s">
        <v>30</v>
      </c>
      <c r="L185" s="28" t="s">
        <v>77</v>
      </c>
      <c r="M185" s="28" t="s">
        <v>31</v>
      </c>
      <c r="N185" s="28" t="s">
        <v>32</v>
      </c>
      <c r="O185" s="137" t="s">
        <v>32</v>
      </c>
      <c r="P185" s="98" t="s">
        <v>64</v>
      </c>
    </row>
    <row r="186" spans="1:16">
      <c r="A186" s="134">
        <v>45565</v>
      </c>
      <c r="B186" s="106"/>
      <c r="C186" s="121">
        <v>0.28849999999999998</v>
      </c>
      <c r="D186" s="62">
        <f>(G182)</f>
        <v>128745869</v>
      </c>
      <c r="E186" s="62">
        <f t="shared" ref="E186:E191" si="60">IF(D186&gt;=0,D186,0)</f>
        <v>128745869</v>
      </c>
      <c r="F186" s="62">
        <f t="shared" ref="F186:F191" si="61">(B186-J186)</f>
        <v>0</v>
      </c>
      <c r="G186" s="62">
        <f t="shared" ref="G186:G191" si="62">IF(F186&gt;=E186,E186,F186)</f>
        <v>0</v>
      </c>
      <c r="H186" s="62">
        <f>IF(M186&gt;=B186,B186,M186)</f>
        <v>0</v>
      </c>
      <c r="I186" s="62">
        <f>(M186-H186)</f>
        <v>407048.58308493142</v>
      </c>
      <c r="J186" s="62">
        <f>(H186)</f>
        <v>0</v>
      </c>
      <c r="K186" s="63">
        <f>(A186-G184)</f>
        <v>4</v>
      </c>
      <c r="L186" s="63">
        <f t="shared" ref="L186:L191" si="63">IF(K186&gt;0,K186,0)</f>
        <v>4</v>
      </c>
      <c r="M186" s="62">
        <f>(E186*L186*C186)/365+$G$11</f>
        <v>407048.58308493142</v>
      </c>
      <c r="N186" s="62">
        <f>(D186+M186-B186)</f>
        <v>129152917.58308493</v>
      </c>
      <c r="O186" s="145">
        <f t="shared" ref="O186:O191" si="64">IF(A186&gt;0,N186,0)</f>
        <v>129152917.58308493</v>
      </c>
      <c r="P186" s="124">
        <v>1</v>
      </c>
    </row>
    <row r="187" spans="1:16" ht="13.5" thickBot="1">
      <c r="A187" s="134">
        <v>45596</v>
      </c>
      <c r="B187" s="106"/>
      <c r="C187" s="121">
        <v>0.28170000000000001</v>
      </c>
      <c r="D187" s="107">
        <f t="shared" ref="D187:D191" si="65">IF(O186&gt;=D186,D186,O186)</f>
        <v>128745869</v>
      </c>
      <c r="E187" s="111">
        <f t="shared" si="60"/>
        <v>128745869</v>
      </c>
      <c r="F187" s="108">
        <f t="shared" si="61"/>
        <v>0</v>
      </c>
      <c r="G187" s="108">
        <f t="shared" si="62"/>
        <v>0</v>
      </c>
      <c r="H187" s="108">
        <f>(I186+M187)</f>
        <v>3487319.9535405482</v>
      </c>
      <c r="I187" s="108">
        <f t="shared" ref="I187:I191" si="66">IF(H187&gt;=B187,B187,H187)</f>
        <v>0</v>
      </c>
      <c r="J187" s="108">
        <f t="shared" ref="J187:J191" si="67">(I187)</f>
        <v>0</v>
      </c>
      <c r="K187" s="109">
        <f t="shared" ref="K187:K191" si="68">(A187-A186)</f>
        <v>31</v>
      </c>
      <c r="L187" s="109">
        <f t="shared" si="63"/>
        <v>31</v>
      </c>
      <c r="M187" s="111">
        <f t="shared" ref="M187:M191" si="69">(E187*L187*C187)/365</f>
        <v>3080271.3704556166</v>
      </c>
      <c r="N187" s="108">
        <f t="shared" ref="N187:N191" si="70">(N186+M187-B187)</f>
        <v>132233188.95354055</v>
      </c>
      <c r="O187" s="123">
        <f t="shared" si="64"/>
        <v>132233188.95354055</v>
      </c>
      <c r="P187" s="125">
        <v>2</v>
      </c>
    </row>
    <row r="188" spans="1:16">
      <c r="A188" s="134">
        <v>45626</v>
      </c>
      <c r="B188" s="106"/>
      <c r="C188" s="121">
        <v>0.27900000000000003</v>
      </c>
      <c r="D188" s="59">
        <f t="shared" si="65"/>
        <v>128745869</v>
      </c>
      <c r="E188" s="59">
        <f t="shared" si="60"/>
        <v>128745869</v>
      </c>
      <c r="F188" s="59">
        <f t="shared" si="61"/>
        <v>0</v>
      </c>
      <c r="G188" s="59">
        <f t="shared" si="62"/>
        <v>0</v>
      </c>
      <c r="H188" s="59">
        <f t="shared" ref="H188:H191" si="71">(H187+M188-I187)</f>
        <v>6439656.7303350698</v>
      </c>
      <c r="I188" s="59">
        <f t="shared" si="66"/>
        <v>0</v>
      </c>
      <c r="J188" s="59">
        <f t="shared" si="67"/>
        <v>0</v>
      </c>
      <c r="K188" s="60">
        <f t="shared" si="68"/>
        <v>30</v>
      </c>
      <c r="L188" s="60">
        <f t="shared" si="63"/>
        <v>30</v>
      </c>
      <c r="M188" s="111">
        <f t="shared" si="69"/>
        <v>2952336.7767945211</v>
      </c>
      <c r="N188" s="59">
        <f t="shared" si="70"/>
        <v>135185525.73033506</v>
      </c>
      <c r="O188" s="146">
        <f t="shared" si="64"/>
        <v>135185525.73033506</v>
      </c>
      <c r="P188" s="124">
        <v>3</v>
      </c>
    </row>
    <row r="189" spans="1:16">
      <c r="A189" s="134"/>
      <c r="B189" s="106"/>
      <c r="C189" s="121"/>
      <c r="D189" s="59">
        <f t="shared" si="65"/>
        <v>128745869</v>
      </c>
      <c r="E189" s="59">
        <f t="shared" si="60"/>
        <v>128745869</v>
      </c>
      <c r="F189" s="59">
        <f t="shared" si="61"/>
        <v>0</v>
      </c>
      <c r="G189" s="59">
        <f t="shared" si="62"/>
        <v>0</v>
      </c>
      <c r="H189" s="59">
        <f t="shared" si="71"/>
        <v>6439656.7303350698</v>
      </c>
      <c r="I189" s="59">
        <f t="shared" si="66"/>
        <v>0</v>
      </c>
      <c r="J189" s="59">
        <f t="shared" si="67"/>
        <v>0</v>
      </c>
      <c r="K189" s="60">
        <f t="shared" si="68"/>
        <v>-45626</v>
      </c>
      <c r="L189" s="60">
        <f t="shared" si="63"/>
        <v>0</v>
      </c>
      <c r="M189" s="59">
        <f t="shared" si="69"/>
        <v>0</v>
      </c>
      <c r="N189" s="59">
        <f t="shared" si="70"/>
        <v>135185525.73033506</v>
      </c>
      <c r="O189" s="123">
        <f t="shared" si="64"/>
        <v>0</v>
      </c>
      <c r="P189" s="125"/>
    </row>
    <row r="190" spans="1:16" ht="13.5" thickBot="1">
      <c r="A190" s="134"/>
      <c r="B190" s="106"/>
      <c r="C190" s="121"/>
      <c r="D190" s="59">
        <f t="shared" si="65"/>
        <v>0</v>
      </c>
      <c r="E190" s="59">
        <f t="shared" si="60"/>
        <v>0</v>
      </c>
      <c r="F190" s="59">
        <f t="shared" si="61"/>
        <v>0</v>
      </c>
      <c r="G190" s="59">
        <f t="shared" si="62"/>
        <v>0</v>
      </c>
      <c r="H190" s="59">
        <f t="shared" si="71"/>
        <v>6439656.7303350698</v>
      </c>
      <c r="I190" s="59">
        <f t="shared" si="66"/>
        <v>0</v>
      </c>
      <c r="J190" s="59">
        <f t="shared" si="67"/>
        <v>0</v>
      </c>
      <c r="K190" s="60">
        <f t="shared" si="68"/>
        <v>0</v>
      </c>
      <c r="L190" s="60">
        <f t="shared" si="63"/>
        <v>0</v>
      </c>
      <c r="M190" s="59">
        <f t="shared" si="69"/>
        <v>0</v>
      </c>
      <c r="N190" s="59">
        <f t="shared" si="70"/>
        <v>135185525.73033506</v>
      </c>
      <c r="O190" s="123">
        <f t="shared" si="64"/>
        <v>0</v>
      </c>
      <c r="P190" s="125"/>
    </row>
    <row r="191" spans="1:16" ht="13.5" thickBot="1">
      <c r="A191" s="134"/>
      <c r="B191" s="106"/>
      <c r="C191" s="121"/>
      <c r="D191" s="59">
        <f t="shared" si="65"/>
        <v>0</v>
      </c>
      <c r="E191" s="59">
        <f t="shared" si="60"/>
        <v>0</v>
      </c>
      <c r="F191" s="59">
        <f t="shared" si="61"/>
        <v>0</v>
      </c>
      <c r="G191" s="59">
        <f t="shared" si="62"/>
        <v>0</v>
      </c>
      <c r="H191" s="59">
        <f t="shared" si="71"/>
        <v>6439656.7303350698</v>
      </c>
      <c r="I191" s="59">
        <f t="shared" si="66"/>
        <v>0</v>
      </c>
      <c r="J191" s="59">
        <f t="shared" si="67"/>
        <v>0</v>
      </c>
      <c r="K191" s="60">
        <f t="shared" si="68"/>
        <v>0</v>
      </c>
      <c r="L191" s="60">
        <f t="shared" si="63"/>
        <v>0</v>
      </c>
      <c r="M191" s="59">
        <f t="shared" si="69"/>
        <v>0</v>
      </c>
      <c r="N191" s="59">
        <f t="shared" si="70"/>
        <v>135185525.73033506</v>
      </c>
      <c r="O191" s="123">
        <f t="shared" si="64"/>
        <v>0</v>
      </c>
      <c r="P191" s="124"/>
    </row>
    <row r="192" spans="1:16" ht="13.5" thickBot="1">
      <c r="A192" s="81" t="s">
        <v>33</v>
      </c>
      <c r="B192" s="82">
        <f>SUM(B186:B189)</f>
        <v>0</v>
      </c>
      <c r="C192" s="82"/>
      <c r="D192" s="83"/>
      <c r="E192" s="82"/>
      <c r="F192" s="83"/>
      <c r="G192" s="82">
        <f>SUM(G186:G189)</f>
        <v>0</v>
      </c>
      <c r="H192" s="82"/>
      <c r="I192" s="82"/>
      <c r="J192" s="82">
        <f>SUM(J186:J189)</f>
        <v>0</v>
      </c>
      <c r="K192" s="82"/>
      <c r="L192" s="82"/>
      <c r="M192" s="82">
        <f>SUM(M186:M191)</f>
        <v>6439656.7303350698</v>
      </c>
      <c r="N192" s="83"/>
      <c r="O192" s="82"/>
      <c r="P192" s="64"/>
    </row>
    <row r="193" spans="1:13">
      <c r="A193" s="71"/>
      <c r="E193" s="66"/>
      <c r="M193" s="102"/>
    </row>
    <row r="194" spans="1:13">
      <c r="A194" s="61" t="s">
        <v>17</v>
      </c>
      <c r="M194" s="101"/>
    </row>
    <row r="195" spans="1:13">
      <c r="A195" s="61"/>
      <c r="C195" s="117"/>
      <c r="G195" s="117" t="s">
        <v>9</v>
      </c>
      <c r="H195" s="117"/>
      <c r="I195" s="117"/>
      <c r="J195" s="128"/>
      <c r="K195" s="117"/>
      <c r="L195" s="117"/>
      <c r="M195" s="101"/>
    </row>
    <row r="196" spans="1:13">
      <c r="A196" s="61" t="s">
        <v>175</v>
      </c>
      <c r="C196" s="66"/>
      <c r="E196" s="112"/>
      <c r="G196" s="66">
        <v>128745869</v>
      </c>
      <c r="J196" s="66"/>
      <c r="M196" s="101"/>
    </row>
    <row r="197" spans="1:13" ht="15.75">
      <c r="A197" s="55" t="s">
        <v>80</v>
      </c>
      <c r="B197" s="55"/>
      <c r="C197" s="133"/>
      <c r="D197" s="1"/>
      <c r="E197" s="66"/>
      <c r="G197" s="66">
        <f>SUM(G196)</f>
        <v>128745869</v>
      </c>
      <c r="J197" s="66"/>
      <c r="M197" s="101"/>
    </row>
    <row r="198" spans="1:13">
      <c r="A198" s="71" t="s">
        <v>172</v>
      </c>
      <c r="G198" s="66"/>
      <c r="J198" s="66"/>
    </row>
    <row r="199" spans="1:13" ht="15">
      <c r="A199" s="132" t="s">
        <v>149</v>
      </c>
      <c r="B199" s="132"/>
      <c r="G199" s="148">
        <f>+G197-G198</f>
        <v>128745869</v>
      </c>
      <c r="J199" s="66"/>
      <c r="K199" s="102"/>
    </row>
    <row r="200" spans="1:13">
      <c r="J200" s="3"/>
      <c r="K200" s="102"/>
    </row>
    <row r="202" spans="1:13" ht="15">
      <c r="A202" s="211" t="s">
        <v>173</v>
      </c>
      <c r="B202" s="212"/>
      <c r="C202" s="212"/>
      <c r="E202" s="236">
        <f>O188</f>
        <v>135185525.73033506</v>
      </c>
    </row>
    <row r="208" spans="1:13" ht="15.75">
      <c r="B208" s="56"/>
      <c r="H208" s="56"/>
      <c r="J208" s="1"/>
      <c r="M208" s="56"/>
    </row>
    <row r="209" spans="1:13" ht="15.75">
      <c r="A209" s="56"/>
      <c r="J209" s="56"/>
      <c r="M209" s="1" t="s">
        <v>37</v>
      </c>
    </row>
    <row r="210" spans="1:13" ht="15.75">
      <c r="A210" s="56" t="s">
        <v>38</v>
      </c>
      <c r="J210" s="1"/>
      <c r="M210" s="56" t="s">
        <v>39</v>
      </c>
    </row>
  </sheetData>
  <protectedRanges>
    <protectedRange password="CC03" sqref="D6:D7 D37:D38" name="Rango1_2" securityDescriptor="O:WDG:WDD:(A;;CC;;;WD)"/>
    <protectedRange password="CC03" sqref="B14:B20 B85:B86 B156:B157 B116:B118 B45:B51 B186:B188" name="Rango1_5_1_1_1" securityDescriptor="O:WDG:WDD:(A;;CC;;;WD)"/>
    <protectedRange password="CC03" sqref="C17 C47:C48 C118 C188" name="Rango1_1_1_1_1" securityDescriptor="O:WDG:WDD:(A;;CC;;;WD)"/>
    <protectedRange password="CC03" sqref="A14:A20 A85:A86 A156:A157 A116:A118 A45:A51 A186:A188" name="Rango1_4_1_1_1" securityDescriptor="O:WDG:WDD:(A;;CC;;;WD)"/>
    <protectedRange password="CC03" sqref="C18:C20 C85:C86 C156:C157 C116:C117 C14:C16 C49:C51 C45:C46 C186:C187" name="Rango1_1_1_1_1_1" securityDescriptor="O:WDG:WDD:(A;;CC;;;WD)"/>
    <protectedRange password="CC03" sqref="G9:G11 G40:G42" name="Rango1_3_1_1" securityDescriptor="O:WDG:WDD:(A;;CC;;;WD)"/>
    <protectedRange password="CC03" sqref="G8 G39" name="Rango1_1_1_2_1" securityDescriptor="O:WDG:WDD:(A;;CC;;;WD)"/>
    <protectedRange password="CC03" sqref="G12 G43" name="Rango1_3_1_1_1" securityDescriptor="O:WDG:WDD:(A;;CC;;;WD)"/>
    <protectedRange password="CC03" sqref="D77:D78 D148:D149 D108:D109 D178:D179" name="Rango1_2_1" securityDescriptor="O:WDG:WDD:(A;;CC;;;WD)"/>
    <protectedRange password="CC03" sqref="B87:B90 B158:B161 B119:B121 B189:B191" name="Rango1_5_1_1_1_1" securityDescriptor="O:WDG:WDD:(A;;CC;;;WD)"/>
    <protectedRange password="CC03" sqref="C88 C159 C119 C189" name="Rango1_1_1_1_1_2" securityDescriptor="O:WDG:WDD:(A;;CC;;;WD)"/>
    <protectedRange password="CC03" sqref="A87:A90 A158:A161 A119:A121 A189:A191" name="Rango1_4_1_1_1_1" securityDescriptor="O:WDG:WDD:(A;;CC;;;WD)"/>
    <protectedRange password="CC03" sqref="C87 C89:C90 C158 C160:C161 C120:C121 C190:C191" name="Rango1_1_1_1_1_1_1" securityDescriptor="O:WDG:WDD:(A;;CC;;;WD)"/>
    <protectedRange password="CC03" sqref="G80:G83 G151:G154 G111:G114 G181:G184" name="Rango1_3_1_1_2" securityDescriptor="O:WDG:WDD:(A;;CC;;;WD)"/>
    <protectedRange password="CC03" sqref="G79 G150 G110 G180" name="Rango1_1_1_2_1_1" securityDescriptor="O:WDG:WDD:(A;;CC;;;WD)"/>
  </protectedRanges>
  <mergeCells count="36">
    <mergeCell ref="A145:P145"/>
    <mergeCell ref="A146:P146"/>
    <mergeCell ref="E148:J148"/>
    <mergeCell ref="E149:P149"/>
    <mergeCell ref="E179:P179"/>
    <mergeCell ref="A173:P173"/>
    <mergeCell ref="A174:P174"/>
    <mergeCell ref="A175:P175"/>
    <mergeCell ref="A176:P176"/>
    <mergeCell ref="E178:J178"/>
    <mergeCell ref="E38:P38"/>
    <mergeCell ref="A103:P103"/>
    <mergeCell ref="A104:P104"/>
    <mergeCell ref="A105:P105"/>
    <mergeCell ref="A106:P106"/>
    <mergeCell ref="E7:P7"/>
    <mergeCell ref="E78:P78"/>
    <mergeCell ref="A143:P143"/>
    <mergeCell ref="A144:P144"/>
    <mergeCell ref="A72:P72"/>
    <mergeCell ref="A73:P73"/>
    <mergeCell ref="A74:P74"/>
    <mergeCell ref="A75:P75"/>
    <mergeCell ref="E77:J77"/>
    <mergeCell ref="E108:J108"/>
    <mergeCell ref="E109:P109"/>
    <mergeCell ref="A32:P32"/>
    <mergeCell ref="A33:P33"/>
    <mergeCell ref="A34:P34"/>
    <mergeCell ref="A35:P35"/>
    <mergeCell ref="E37:J37"/>
    <mergeCell ref="A1:P1"/>
    <mergeCell ref="A2:P2"/>
    <mergeCell ref="A3:P3"/>
    <mergeCell ref="A4:P4"/>
    <mergeCell ref="E6:J6"/>
  </mergeCells>
  <pageMargins left="0.31496062992125984" right="0.11811023622047245" top="0.55118110236220474" bottom="0.55118110236220474" header="0.31496062992125984" footer="0.31496062992125984"/>
  <pageSetup paperSize="281" scale="75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38913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2</xdr:col>
                <xdr:colOff>390525</xdr:colOff>
                <xdr:row>3</xdr:row>
                <xdr:rowOff>9525</xdr:rowOff>
              </to>
            </anchor>
          </objectPr>
        </oleObject>
      </mc:Choice>
      <mc:Fallback>
        <oleObject progId="Word.Picture.8" shapeId="38913" r:id="rId4"/>
      </mc:Fallback>
    </mc:AlternateContent>
    <mc:AlternateContent xmlns:mc="http://schemas.openxmlformats.org/markup-compatibility/2006">
      <mc:Choice Requires="x14">
        <oleObject progId="Word.Picture.8" shapeId="38914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123825</xdr:rowOff>
              </from>
              <to>
                <xdr:col>2</xdr:col>
                <xdr:colOff>361950</xdr:colOff>
                <xdr:row>2</xdr:row>
                <xdr:rowOff>152400</xdr:rowOff>
              </to>
            </anchor>
          </objectPr>
        </oleObject>
      </mc:Choice>
      <mc:Fallback>
        <oleObject progId="Word.Picture.8" shapeId="38914" r:id="rId6"/>
      </mc:Fallback>
    </mc:AlternateContent>
    <mc:AlternateContent xmlns:mc="http://schemas.openxmlformats.org/markup-compatibility/2006">
      <mc:Choice Requires="x14">
        <oleObject progId="Word.Picture.8" shapeId="38915" r:id="rId7">
          <objectPr defaultSize="0" autoPict="0" r:id="rId5">
            <anchor moveWithCells="1" sizeWithCells="1">
              <from>
                <xdr:col>0</xdr:col>
                <xdr:colOff>28575</xdr:colOff>
                <xdr:row>31</xdr:row>
                <xdr:rowOff>9525</xdr:rowOff>
              </from>
              <to>
                <xdr:col>2</xdr:col>
                <xdr:colOff>390525</xdr:colOff>
                <xdr:row>34</xdr:row>
                <xdr:rowOff>9525</xdr:rowOff>
              </to>
            </anchor>
          </objectPr>
        </oleObject>
      </mc:Choice>
      <mc:Fallback>
        <oleObject progId="Word.Picture.8" shapeId="38915" r:id="rId7"/>
      </mc:Fallback>
    </mc:AlternateContent>
    <mc:AlternateContent xmlns:mc="http://schemas.openxmlformats.org/markup-compatibility/2006">
      <mc:Choice Requires="x14">
        <oleObject progId="Word.Picture.8" shapeId="38916" r:id="rId8">
          <objectPr defaultSize="0" autoPict="0" r:id="rId5">
            <anchor moveWithCells="1" sizeWithCells="1">
              <from>
                <xdr:col>0</xdr:col>
                <xdr:colOff>0</xdr:colOff>
                <xdr:row>31</xdr:row>
                <xdr:rowOff>123825</xdr:rowOff>
              </from>
              <to>
                <xdr:col>2</xdr:col>
                <xdr:colOff>361950</xdr:colOff>
                <xdr:row>33</xdr:row>
                <xdr:rowOff>152400</xdr:rowOff>
              </to>
            </anchor>
          </objectPr>
        </oleObject>
      </mc:Choice>
      <mc:Fallback>
        <oleObject progId="Word.Picture.8" shapeId="38916" r:id="rId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3C9B6-F5D4-457A-9A31-07644DFE1352}">
  <dimension ref="A1:T232"/>
  <sheetViews>
    <sheetView tabSelected="1" topLeftCell="A157" workbookViewId="0">
      <selection activeCell="G183" sqref="G183"/>
    </sheetView>
  </sheetViews>
  <sheetFormatPr baseColWidth="10" defaultColWidth="11.42578125" defaultRowHeight="12.75"/>
  <cols>
    <col min="1" max="1" width="16.28515625" customWidth="1"/>
    <col min="2" max="2" width="24.42578125" customWidth="1"/>
    <col min="3" max="3" width="23.85546875" customWidth="1"/>
    <col min="4" max="4" width="21.42578125" hidden="1" customWidth="1"/>
    <col min="5" max="5" width="29" customWidth="1"/>
    <col min="6" max="6" width="27.140625" hidden="1" customWidth="1"/>
    <col min="7" max="7" width="26.42578125" customWidth="1"/>
    <col min="8" max="8" width="22.85546875" hidden="1" customWidth="1"/>
    <col min="9" max="9" width="25.42578125" hidden="1" customWidth="1"/>
    <col min="10" max="10" width="28" customWidth="1"/>
    <col min="11" max="11" width="9.42578125" hidden="1" customWidth="1"/>
    <col min="12" max="12" width="17.42578125" customWidth="1"/>
    <col min="13" max="13" width="17" customWidth="1"/>
    <col min="14" max="14" width="0.140625" customWidth="1"/>
    <col min="15" max="15" width="29" customWidth="1"/>
    <col min="16" max="16" width="21.85546875" customWidth="1"/>
    <col min="18" max="18" width="12.85546875" bestFit="1" customWidth="1"/>
  </cols>
  <sheetData>
    <row r="1" spans="1:18" ht="15.95" customHeight="1">
      <c r="A1" s="325" t="s">
        <v>0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</row>
    <row r="2" spans="1:18" ht="15.95" customHeight="1">
      <c r="A2" s="325" t="s">
        <v>1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</row>
    <row r="3" spans="1:18" ht="15.95" customHeight="1">
      <c r="A3" s="325" t="s">
        <v>69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</row>
    <row r="4" spans="1:18" ht="15.95" customHeight="1">
      <c r="A4" s="325" t="s">
        <v>70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</row>
    <row r="5" spans="1:18" ht="15.75" thickBot="1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</row>
    <row r="6" spans="1:18" ht="15.75" thickBot="1">
      <c r="A6" s="55" t="s">
        <v>4</v>
      </c>
      <c r="B6" s="56"/>
      <c r="C6" s="56"/>
      <c r="D6" s="97"/>
      <c r="E6" s="297" t="s">
        <v>40</v>
      </c>
      <c r="F6" s="298"/>
      <c r="G6" s="298"/>
      <c r="H6" s="298"/>
      <c r="I6" s="298"/>
      <c r="J6" s="298"/>
      <c r="K6" s="57"/>
      <c r="L6" s="57"/>
      <c r="M6" s="57"/>
      <c r="N6" s="56"/>
    </row>
    <row r="7" spans="1:18" ht="16.5" thickBot="1">
      <c r="A7" s="1" t="s">
        <v>5</v>
      </c>
      <c r="B7" s="58"/>
      <c r="C7" s="58"/>
      <c r="D7" s="76"/>
      <c r="E7" s="322" t="s">
        <v>89</v>
      </c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4"/>
    </row>
    <row r="8" spans="1:18">
      <c r="A8" s="29" t="s">
        <v>10</v>
      </c>
      <c r="G8" s="69">
        <v>45530</v>
      </c>
      <c r="H8" s="14"/>
      <c r="I8" s="14"/>
    </row>
    <row r="9" spans="1:18" ht="15">
      <c r="A9" s="29"/>
      <c r="G9" s="12"/>
      <c r="H9" s="15"/>
      <c r="I9" s="15"/>
      <c r="J9" s="55" t="s">
        <v>73</v>
      </c>
      <c r="N9" s="4"/>
    </row>
    <row r="10" spans="1:18">
      <c r="A10" s="29" t="s">
        <v>8</v>
      </c>
      <c r="G10" s="72">
        <v>172000031.19999999</v>
      </c>
      <c r="H10" s="16"/>
      <c r="I10" s="16"/>
    </row>
    <row r="11" spans="1:18">
      <c r="A11" s="29" t="s">
        <v>13</v>
      </c>
      <c r="G11" s="72"/>
      <c r="H11" s="16"/>
      <c r="I11" s="16"/>
      <c r="N11" s="4"/>
    </row>
    <row r="12" spans="1:18" ht="13.5" thickBot="1">
      <c r="A12" s="29" t="s">
        <v>24</v>
      </c>
      <c r="G12" s="73">
        <v>45561</v>
      </c>
      <c r="H12" s="17"/>
      <c r="I12" s="17"/>
    </row>
    <row r="13" spans="1:18" ht="42.75" customHeight="1" thickBot="1">
      <c r="A13" s="28" t="s">
        <v>25</v>
      </c>
      <c r="B13" s="28" t="s">
        <v>26</v>
      </c>
      <c r="C13" s="28" t="s">
        <v>74</v>
      </c>
      <c r="D13" s="28" t="s">
        <v>27</v>
      </c>
      <c r="E13" s="28" t="s">
        <v>27</v>
      </c>
      <c r="F13" s="28"/>
      <c r="G13" s="28" t="s">
        <v>75</v>
      </c>
      <c r="H13" s="28" t="s">
        <v>76</v>
      </c>
      <c r="I13" s="28"/>
      <c r="J13" s="28" t="s">
        <v>29</v>
      </c>
      <c r="K13" s="28" t="s">
        <v>30</v>
      </c>
      <c r="L13" s="28" t="s">
        <v>77</v>
      </c>
      <c r="M13" s="28" t="s">
        <v>31</v>
      </c>
      <c r="N13" s="28" t="s">
        <v>32</v>
      </c>
      <c r="O13" s="137" t="s">
        <v>32</v>
      </c>
      <c r="P13" s="98" t="s">
        <v>64</v>
      </c>
    </row>
    <row r="14" spans="1:18">
      <c r="A14" s="134">
        <v>45565</v>
      </c>
      <c r="B14" s="106"/>
      <c r="C14" s="121">
        <v>0.28849999999999998</v>
      </c>
      <c r="D14" s="62">
        <f>(G10)</f>
        <v>172000031.19999999</v>
      </c>
      <c r="E14" s="62">
        <f t="shared" ref="E14:E20" si="0">IF(D14&gt;=0,D14,0)</f>
        <v>172000031.19999999</v>
      </c>
      <c r="F14" s="62">
        <f t="shared" ref="F14:F20" si="1">(B14-J14)</f>
        <v>0</v>
      </c>
      <c r="G14" s="62">
        <f t="shared" ref="G14:G20" si="2">IF(F14&gt;=E14,E14,F14)</f>
        <v>0</v>
      </c>
      <c r="H14" s="62">
        <f>IF(M14&gt;=B14,B14,M14)</f>
        <v>0</v>
      </c>
      <c r="I14" s="62">
        <f>(M14-H14)</f>
        <v>543802.83836931491</v>
      </c>
      <c r="J14" s="62">
        <f>(H14)</f>
        <v>0</v>
      </c>
      <c r="K14" s="63">
        <f>(A14-G12)</f>
        <v>4</v>
      </c>
      <c r="L14" s="63">
        <f t="shared" ref="L14:L20" si="3">IF(K14&gt;0,K14,0)</f>
        <v>4</v>
      </c>
      <c r="M14" s="62">
        <f>(E14*L14*C14)/365+$G$11</f>
        <v>543802.83836931491</v>
      </c>
      <c r="N14" s="62">
        <f>(D14+M14-B14)</f>
        <v>172543834.0383693</v>
      </c>
      <c r="O14" s="145">
        <f t="shared" ref="O14:O20" si="4">IF(A14&gt;0,N14,0)</f>
        <v>172543834.0383693</v>
      </c>
      <c r="P14" s="124">
        <v>1</v>
      </c>
      <c r="Q14" s="99"/>
    </row>
    <row r="15" spans="1:18" ht="13.5" thickBot="1">
      <c r="A15" s="140">
        <v>45568</v>
      </c>
      <c r="B15" s="106">
        <v>25418363.350000001</v>
      </c>
      <c r="C15" s="121">
        <v>0.28170000000000001</v>
      </c>
      <c r="D15" s="107">
        <f t="shared" ref="D15:D20" si="5">IF(O14&gt;=D14,D14,O14)</f>
        <v>172000031.19999999</v>
      </c>
      <c r="E15" s="111">
        <f t="shared" si="0"/>
        <v>172000031.19999999</v>
      </c>
      <c r="F15" s="108">
        <f t="shared" si="1"/>
        <v>24476321.535282411</v>
      </c>
      <c r="G15" s="108">
        <f t="shared" si="2"/>
        <v>24476321.535282411</v>
      </c>
      <c r="H15" s="108">
        <f>(I14+M15)</f>
        <v>942041.81471758895</v>
      </c>
      <c r="I15" s="108">
        <f t="shared" ref="I15:I20" si="6">IF(H15&gt;=B15,B15,H15)</f>
        <v>942041.81471758895</v>
      </c>
      <c r="J15" s="108">
        <f t="shared" ref="J15:J20" si="7">(I15)</f>
        <v>942041.81471758895</v>
      </c>
      <c r="K15" s="109">
        <f t="shared" ref="K15:K20" si="8">(A15-A14)</f>
        <v>3</v>
      </c>
      <c r="L15" s="109">
        <f t="shared" si="3"/>
        <v>3</v>
      </c>
      <c r="M15" s="111">
        <f t="shared" ref="M15:M20" si="9">(E15*L15*C15)/365</f>
        <v>398238.97634827398</v>
      </c>
      <c r="N15" s="108">
        <f t="shared" ref="N15:N20" si="10">(N14+M15-B15)</f>
        <v>147523709.66471758</v>
      </c>
      <c r="O15" s="146">
        <f t="shared" si="4"/>
        <v>147523709.66471758</v>
      </c>
      <c r="P15" s="125">
        <v>2</v>
      </c>
      <c r="Q15" s="130"/>
      <c r="R15" s="131"/>
    </row>
    <row r="16" spans="1:18">
      <c r="A16" s="134"/>
      <c r="B16" s="106"/>
      <c r="C16" s="121"/>
      <c r="D16" s="59">
        <f t="shared" si="5"/>
        <v>147523709.66471758</v>
      </c>
      <c r="E16" s="59">
        <f t="shared" si="0"/>
        <v>147523709.66471758</v>
      </c>
      <c r="F16" s="59">
        <f t="shared" si="1"/>
        <v>0</v>
      </c>
      <c r="G16" s="59">
        <f t="shared" si="2"/>
        <v>0</v>
      </c>
      <c r="H16" s="59">
        <f t="shared" ref="H16:H20" si="11">(H15+M16-I15)</f>
        <v>0</v>
      </c>
      <c r="I16" s="59">
        <f t="shared" si="6"/>
        <v>0</v>
      </c>
      <c r="J16" s="59">
        <f t="shared" si="7"/>
        <v>0</v>
      </c>
      <c r="K16" s="60">
        <f t="shared" si="8"/>
        <v>-45568</v>
      </c>
      <c r="L16" s="60">
        <f t="shared" si="3"/>
        <v>0</v>
      </c>
      <c r="M16" s="111">
        <f t="shared" si="9"/>
        <v>0</v>
      </c>
      <c r="N16" s="59">
        <f t="shared" si="10"/>
        <v>147523709.66471758</v>
      </c>
      <c r="O16" s="207">
        <f t="shared" si="4"/>
        <v>0</v>
      </c>
      <c r="P16" s="124"/>
      <c r="Q16" s="99"/>
    </row>
    <row r="17" spans="1:20">
      <c r="A17" s="134"/>
      <c r="B17" s="106"/>
      <c r="C17" s="121"/>
      <c r="D17" s="59">
        <f t="shared" si="5"/>
        <v>0</v>
      </c>
      <c r="E17" s="59">
        <f t="shared" si="0"/>
        <v>0</v>
      </c>
      <c r="F17" s="59">
        <f t="shared" si="1"/>
        <v>0</v>
      </c>
      <c r="G17" s="59">
        <f t="shared" si="2"/>
        <v>0</v>
      </c>
      <c r="H17" s="59">
        <f t="shared" si="11"/>
        <v>0</v>
      </c>
      <c r="I17" s="59">
        <f t="shared" si="6"/>
        <v>0</v>
      </c>
      <c r="J17" s="59">
        <f t="shared" si="7"/>
        <v>0</v>
      </c>
      <c r="K17" s="60">
        <f t="shared" si="8"/>
        <v>0</v>
      </c>
      <c r="L17" s="60">
        <f t="shared" si="3"/>
        <v>0</v>
      </c>
      <c r="M17" s="59">
        <f t="shared" si="9"/>
        <v>0</v>
      </c>
      <c r="N17" s="59">
        <f t="shared" si="10"/>
        <v>147523709.66471758</v>
      </c>
      <c r="O17" s="123">
        <f t="shared" si="4"/>
        <v>0</v>
      </c>
      <c r="P17" s="125"/>
      <c r="Q17" s="100"/>
    </row>
    <row r="18" spans="1:20" ht="13.5" thickBot="1">
      <c r="A18" s="134"/>
      <c r="B18" s="106"/>
      <c r="C18" s="121"/>
      <c r="D18" s="59">
        <f t="shared" si="5"/>
        <v>0</v>
      </c>
      <c r="E18" s="59">
        <f t="shared" si="0"/>
        <v>0</v>
      </c>
      <c r="F18" s="59">
        <f t="shared" si="1"/>
        <v>0</v>
      </c>
      <c r="G18" s="59">
        <f t="shared" si="2"/>
        <v>0</v>
      </c>
      <c r="H18" s="59">
        <f t="shared" si="11"/>
        <v>0</v>
      </c>
      <c r="I18" s="59">
        <f t="shared" si="6"/>
        <v>0</v>
      </c>
      <c r="J18" s="59">
        <f t="shared" si="7"/>
        <v>0</v>
      </c>
      <c r="K18" s="60">
        <f t="shared" si="8"/>
        <v>0</v>
      </c>
      <c r="L18" s="60">
        <f t="shared" si="3"/>
        <v>0</v>
      </c>
      <c r="M18" s="59">
        <f t="shared" si="9"/>
        <v>0</v>
      </c>
      <c r="N18" s="59">
        <f t="shared" si="10"/>
        <v>147523709.66471758</v>
      </c>
      <c r="O18" s="123">
        <f t="shared" si="4"/>
        <v>0</v>
      </c>
      <c r="P18" s="125"/>
      <c r="Q18" s="100"/>
    </row>
    <row r="19" spans="1:20">
      <c r="A19" s="134"/>
      <c r="B19" s="106"/>
      <c r="C19" s="121"/>
      <c r="D19" s="59">
        <f t="shared" si="5"/>
        <v>0</v>
      </c>
      <c r="E19" s="59">
        <f t="shared" si="0"/>
        <v>0</v>
      </c>
      <c r="F19" s="59">
        <f t="shared" si="1"/>
        <v>0</v>
      </c>
      <c r="G19" s="59">
        <f t="shared" si="2"/>
        <v>0</v>
      </c>
      <c r="H19" s="59">
        <f t="shared" si="11"/>
        <v>0</v>
      </c>
      <c r="I19" s="59">
        <f t="shared" si="6"/>
        <v>0</v>
      </c>
      <c r="J19" s="59">
        <f t="shared" si="7"/>
        <v>0</v>
      </c>
      <c r="K19" s="60">
        <f t="shared" si="8"/>
        <v>0</v>
      </c>
      <c r="L19" s="60">
        <f t="shared" si="3"/>
        <v>0</v>
      </c>
      <c r="M19" s="59">
        <f t="shared" si="9"/>
        <v>0</v>
      </c>
      <c r="N19" s="59">
        <f t="shared" si="10"/>
        <v>147523709.66471758</v>
      </c>
      <c r="O19" s="123">
        <f t="shared" si="4"/>
        <v>0</v>
      </c>
      <c r="P19" s="124"/>
      <c r="Q19" s="100"/>
    </row>
    <row r="20" spans="1:20" ht="13.5" thickBot="1">
      <c r="A20" s="134"/>
      <c r="B20" s="106"/>
      <c r="C20" s="121"/>
      <c r="D20" s="59">
        <f t="shared" si="5"/>
        <v>0</v>
      </c>
      <c r="E20" s="59">
        <f t="shared" si="0"/>
        <v>0</v>
      </c>
      <c r="F20" s="59">
        <f t="shared" si="1"/>
        <v>0</v>
      </c>
      <c r="G20" s="59">
        <f t="shared" si="2"/>
        <v>0</v>
      </c>
      <c r="H20" s="59">
        <f t="shared" si="11"/>
        <v>0</v>
      </c>
      <c r="I20" s="59">
        <f t="shared" si="6"/>
        <v>0</v>
      </c>
      <c r="J20" s="59">
        <f t="shared" si="7"/>
        <v>0</v>
      </c>
      <c r="K20" s="60">
        <f t="shared" si="8"/>
        <v>0</v>
      </c>
      <c r="L20" s="60">
        <f t="shared" si="3"/>
        <v>0</v>
      </c>
      <c r="M20" s="59">
        <f t="shared" si="9"/>
        <v>0</v>
      </c>
      <c r="N20" s="59">
        <f t="shared" si="10"/>
        <v>147523709.66471758</v>
      </c>
      <c r="O20" s="123">
        <f t="shared" si="4"/>
        <v>0</v>
      </c>
      <c r="P20" s="129"/>
      <c r="Q20" s="100"/>
    </row>
    <row r="21" spans="1:20" ht="13.5" thickBot="1">
      <c r="A21" s="81" t="s">
        <v>33</v>
      </c>
      <c r="B21" s="82">
        <f>SUM(B14:B17)</f>
        <v>25418363.350000001</v>
      </c>
      <c r="C21" s="82"/>
      <c r="D21" s="83"/>
      <c r="E21" s="82"/>
      <c r="F21" s="83"/>
      <c r="G21" s="82">
        <f>SUM(G14:G17)</f>
        <v>24476321.535282411</v>
      </c>
      <c r="H21" s="82"/>
      <c r="I21" s="82"/>
      <c r="J21" s="82">
        <f>SUM(J14:J17)</f>
        <v>942041.81471758895</v>
      </c>
      <c r="K21" s="82"/>
      <c r="L21" s="82"/>
      <c r="M21" s="82">
        <f>SUM(M14:M20)</f>
        <v>942041.81471758895</v>
      </c>
      <c r="N21" s="83"/>
      <c r="O21" s="82"/>
      <c r="P21" s="64"/>
    </row>
    <row r="22" spans="1:20">
      <c r="A22" s="71"/>
      <c r="E22" s="66"/>
      <c r="M22" s="102"/>
    </row>
    <row r="23" spans="1:20">
      <c r="A23" s="61" t="s">
        <v>17</v>
      </c>
      <c r="M23" s="101">
        <f>+M21+E16</f>
        <v>148465751.47943518</v>
      </c>
      <c r="O23" s="101"/>
    </row>
    <row r="24" spans="1:20">
      <c r="A24" s="61"/>
      <c r="C24" s="117"/>
      <c r="G24" s="117" t="s">
        <v>9</v>
      </c>
      <c r="H24" s="117"/>
      <c r="I24" s="117"/>
      <c r="J24" s="128" t="s">
        <v>34</v>
      </c>
      <c r="K24" s="117"/>
      <c r="L24" s="117" t="s">
        <v>35</v>
      </c>
      <c r="M24" s="101"/>
      <c r="T24" s="71"/>
    </row>
    <row r="25" spans="1:20" ht="15">
      <c r="A25" s="55" t="s">
        <v>73</v>
      </c>
      <c r="C25" s="66"/>
      <c r="E25" s="112"/>
      <c r="G25" s="66">
        <v>800000000</v>
      </c>
      <c r="J25" s="66"/>
      <c r="M25" s="101"/>
      <c r="T25" s="71"/>
    </row>
    <row r="26" spans="1:20" ht="15">
      <c r="A26" s="56" t="s">
        <v>145</v>
      </c>
      <c r="B26" s="56"/>
      <c r="C26" s="122"/>
      <c r="D26" s="55"/>
      <c r="E26" s="113"/>
      <c r="G26" s="66">
        <f>G25*21.5000039/100</f>
        <v>172000031.19999999</v>
      </c>
      <c r="J26" s="101"/>
      <c r="T26" s="71"/>
    </row>
    <row r="27" spans="1:20" ht="15">
      <c r="A27" s="71" t="s">
        <v>229</v>
      </c>
      <c r="B27" s="56"/>
      <c r="C27" s="122"/>
      <c r="D27" s="55"/>
      <c r="E27" s="113"/>
      <c r="G27" s="66">
        <v>26477462</v>
      </c>
      <c r="J27" s="101"/>
      <c r="T27" s="71"/>
    </row>
    <row r="28" spans="1:20" ht="15">
      <c r="A28" s="55" t="s">
        <v>230</v>
      </c>
      <c r="B28" s="56"/>
      <c r="C28" s="122"/>
      <c r="D28" s="55"/>
      <c r="E28" s="113"/>
      <c r="G28" s="66">
        <v>1059098.48</v>
      </c>
      <c r="J28" s="101"/>
      <c r="T28" s="71"/>
    </row>
    <row r="29" spans="1:20" ht="15">
      <c r="A29" s="55" t="s">
        <v>231</v>
      </c>
      <c r="B29" s="56"/>
      <c r="C29" s="122"/>
      <c r="D29" s="55"/>
      <c r="E29" s="113"/>
      <c r="G29" s="66">
        <f>G27-G28</f>
        <v>25418363.52</v>
      </c>
      <c r="J29" s="101"/>
      <c r="T29" s="71"/>
    </row>
    <row r="30" spans="1:20" ht="15.75">
      <c r="A30" s="55" t="s">
        <v>80</v>
      </c>
      <c r="B30" s="55"/>
      <c r="C30" s="133"/>
      <c r="D30" s="1"/>
      <c r="E30" s="66"/>
      <c r="G30" s="272">
        <f>SUM(G26)</f>
        <v>172000031.19999999</v>
      </c>
      <c r="J30" s="3"/>
      <c r="K30" s="102"/>
    </row>
    <row r="31" spans="1:20" ht="15">
      <c r="A31" s="139" t="s">
        <v>151</v>
      </c>
      <c r="G31" s="122">
        <v>24476321.710000001</v>
      </c>
      <c r="H31" s="71"/>
      <c r="I31" s="122"/>
      <c r="J31" s="122">
        <v>942041.81</v>
      </c>
      <c r="K31" s="66"/>
      <c r="L31" s="272">
        <f>SUM(G31:K31)</f>
        <v>25418363.52</v>
      </c>
    </row>
    <row r="32" spans="1:20" ht="15.75">
      <c r="A32" s="55" t="s">
        <v>152</v>
      </c>
      <c r="B32" s="55"/>
      <c r="C32" s="55"/>
      <c r="D32" s="55"/>
      <c r="E32" s="55"/>
      <c r="F32" s="55"/>
      <c r="G32" s="276">
        <f>+G30-G31</f>
        <v>147523709.48999998</v>
      </c>
    </row>
    <row r="33" spans="1:16" ht="15.75">
      <c r="A33" s="55" t="s">
        <v>245</v>
      </c>
      <c r="G33" s="1">
        <v>0</v>
      </c>
    </row>
    <row r="37" spans="1:16" ht="15">
      <c r="A37" s="325" t="s">
        <v>0</v>
      </c>
      <c r="B37" s="325"/>
      <c r="C37" s="325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/>
      <c r="P37" s="325"/>
    </row>
    <row r="38" spans="1:16" ht="15">
      <c r="A38" s="325" t="s">
        <v>1</v>
      </c>
      <c r="B38" s="325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</row>
    <row r="39" spans="1:16" ht="15">
      <c r="A39" s="325" t="s">
        <v>69</v>
      </c>
      <c r="B39" s="325"/>
      <c r="C39" s="325"/>
      <c r="D39" s="325"/>
      <c r="E39" s="325"/>
      <c r="F39" s="325"/>
      <c r="G39" s="325"/>
      <c r="H39" s="325"/>
      <c r="I39" s="325"/>
      <c r="J39" s="325"/>
      <c r="K39" s="325"/>
      <c r="L39" s="325"/>
      <c r="M39" s="325"/>
      <c r="N39" s="325"/>
      <c r="O39" s="325"/>
      <c r="P39" s="325"/>
    </row>
    <row r="40" spans="1:16" ht="15">
      <c r="A40" s="325" t="s">
        <v>70</v>
      </c>
      <c r="B40" s="325"/>
      <c r="C40" s="325"/>
      <c r="D40" s="325"/>
      <c r="E40" s="325"/>
      <c r="F40" s="325"/>
      <c r="G40" s="325"/>
      <c r="H40" s="325"/>
      <c r="I40" s="325"/>
      <c r="J40" s="325"/>
      <c r="K40" s="325"/>
      <c r="L40" s="325"/>
      <c r="M40" s="325"/>
      <c r="N40" s="325"/>
      <c r="O40" s="325"/>
      <c r="P40" s="325"/>
    </row>
    <row r="41" spans="1:16" ht="15.75" thickBot="1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</row>
    <row r="42" spans="1:16" ht="15.75" thickBot="1">
      <c r="A42" s="55" t="s">
        <v>4</v>
      </c>
      <c r="B42" s="56"/>
      <c r="C42" s="56"/>
      <c r="D42" s="97"/>
      <c r="E42" s="297" t="s">
        <v>40</v>
      </c>
      <c r="F42" s="298"/>
      <c r="G42" s="298"/>
      <c r="H42" s="298"/>
      <c r="I42" s="298"/>
      <c r="J42" s="298"/>
      <c r="K42" s="57"/>
      <c r="L42" s="57"/>
      <c r="M42" s="57"/>
      <c r="N42" s="56"/>
    </row>
    <row r="43" spans="1:16" ht="16.5" thickBot="1">
      <c r="A43" s="1" t="s">
        <v>5</v>
      </c>
      <c r="B43" s="58"/>
      <c r="C43" s="58"/>
      <c r="D43" s="76"/>
      <c r="E43" s="322" t="s">
        <v>89</v>
      </c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4"/>
    </row>
    <row r="44" spans="1:16">
      <c r="A44" s="29" t="s">
        <v>10</v>
      </c>
      <c r="G44" s="69">
        <v>45530</v>
      </c>
      <c r="H44" s="14"/>
      <c r="I44" s="14"/>
    </row>
    <row r="45" spans="1:16" ht="15">
      <c r="A45" s="29"/>
      <c r="G45" s="12"/>
      <c r="H45" s="15"/>
      <c r="I45" s="15"/>
      <c r="J45" s="55" t="s">
        <v>73</v>
      </c>
      <c r="N45" s="4"/>
    </row>
    <row r="46" spans="1:16">
      <c r="A46" s="29" t="s">
        <v>8</v>
      </c>
      <c r="G46" s="72">
        <v>147523709.49000001</v>
      </c>
      <c r="H46" s="16"/>
      <c r="I46" s="16"/>
    </row>
    <row r="47" spans="1:16">
      <c r="A47" s="29" t="s">
        <v>13</v>
      </c>
      <c r="G47" s="72"/>
      <c r="H47" s="16"/>
      <c r="I47" s="16"/>
      <c r="N47" s="4"/>
    </row>
    <row r="48" spans="1:16" ht="13.5" thickBot="1">
      <c r="A48" s="29" t="s">
        <v>24</v>
      </c>
      <c r="G48" s="73">
        <v>45561</v>
      </c>
      <c r="H48" s="17"/>
      <c r="I48" s="17"/>
    </row>
    <row r="49" spans="1:16" ht="37.5" customHeight="1" thickBot="1">
      <c r="A49" s="28" t="s">
        <v>25</v>
      </c>
      <c r="B49" s="28" t="s">
        <v>26</v>
      </c>
      <c r="C49" s="28" t="s">
        <v>74</v>
      </c>
      <c r="D49" s="28" t="s">
        <v>27</v>
      </c>
      <c r="E49" s="28" t="s">
        <v>27</v>
      </c>
      <c r="F49" s="28"/>
      <c r="G49" s="28" t="s">
        <v>75</v>
      </c>
      <c r="H49" s="28" t="s">
        <v>76</v>
      </c>
      <c r="I49" s="28"/>
      <c r="J49" s="28" t="s">
        <v>29</v>
      </c>
      <c r="K49" s="28" t="s">
        <v>30</v>
      </c>
      <c r="L49" s="28" t="s">
        <v>77</v>
      </c>
      <c r="M49" s="28" t="s">
        <v>31</v>
      </c>
      <c r="N49" s="28" t="s">
        <v>32</v>
      </c>
      <c r="O49" s="137" t="s">
        <v>32</v>
      </c>
      <c r="P49" s="98" t="s">
        <v>64</v>
      </c>
    </row>
    <row r="50" spans="1:16">
      <c r="A50" s="134">
        <v>45565</v>
      </c>
      <c r="B50" s="106"/>
      <c r="C50" s="121">
        <v>0.28849999999999998</v>
      </c>
      <c r="D50" s="62">
        <f>(G46)</f>
        <v>147523709.49000001</v>
      </c>
      <c r="E50" s="62">
        <f t="shared" ref="E50:E56" si="12">IF(D50&gt;=0,D50,0)</f>
        <v>147523709.49000001</v>
      </c>
      <c r="F50" s="62">
        <f t="shared" ref="F50:F56" si="13">(B50-J50)</f>
        <v>0</v>
      </c>
      <c r="G50" s="62">
        <f t="shared" ref="G50:G56" si="14">IF(F50&gt;=E50,E50,F50)</f>
        <v>0</v>
      </c>
      <c r="H50" s="62">
        <f>IF(M50&gt;=B50,B50,M50)</f>
        <v>0</v>
      </c>
      <c r="I50" s="62">
        <f>(M50-H50)</f>
        <v>466417.42671632871</v>
      </c>
      <c r="J50" s="62">
        <f>(H50)</f>
        <v>0</v>
      </c>
      <c r="K50" s="63">
        <f>(A50-G48)</f>
        <v>4</v>
      </c>
      <c r="L50" s="63">
        <f t="shared" ref="L50:L56" si="15">IF(K50&gt;0,K50,0)</f>
        <v>4</v>
      </c>
      <c r="M50" s="62">
        <f>(E50*L50*C50)/365+$G$11</f>
        <v>466417.42671632871</v>
      </c>
      <c r="N50" s="62">
        <f>(D50+M50-B50)</f>
        <v>147990126.91671634</v>
      </c>
      <c r="O50" s="145">
        <f t="shared" ref="O50:O56" si="16">IF(A50&gt;0,N50,0)</f>
        <v>147990126.91671634</v>
      </c>
      <c r="P50" s="124">
        <v>1</v>
      </c>
    </row>
    <row r="51" spans="1:16" ht="13.5" thickBot="1">
      <c r="A51" s="134">
        <v>45596</v>
      </c>
      <c r="B51" s="106"/>
      <c r="C51" s="121">
        <v>0.28170000000000001</v>
      </c>
      <c r="D51" s="107">
        <f t="shared" ref="D51:D56" si="17">IF(O50&gt;=D50,D50,O50)</f>
        <v>147523709.49000001</v>
      </c>
      <c r="E51" s="111">
        <f t="shared" si="12"/>
        <v>147523709.49000001</v>
      </c>
      <c r="F51" s="108">
        <f t="shared" si="13"/>
        <v>0</v>
      </c>
      <c r="G51" s="108">
        <f t="shared" si="14"/>
        <v>0</v>
      </c>
      <c r="H51" s="108">
        <f>(I50+M51)</f>
        <v>3995952.4893555702</v>
      </c>
      <c r="I51" s="108">
        <f t="shared" ref="I51:I56" si="18">IF(H51&gt;=B51,B51,H51)</f>
        <v>0</v>
      </c>
      <c r="J51" s="108">
        <f t="shared" ref="J51:J56" si="19">(I51)</f>
        <v>0</v>
      </c>
      <c r="K51" s="109">
        <f t="shared" ref="K51:K56" si="20">(A51-A50)</f>
        <v>31</v>
      </c>
      <c r="L51" s="109">
        <f t="shared" si="15"/>
        <v>31</v>
      </c>
      <c r="M51" s="111">
        <f t="shared" ref="M51:M56" si="21">(E51*L51*C51)/365</f>
        <v>3529535.0626392416</v>
      </c>
      <c r="N51" s="108">
        <f t="shared" ref="N51:N56" si="22">(N50+M51-B51)</f>
        <v>151519661.97935557</v>
      </c>
      <c r="O51" s="123">
        <f t="shared" si="16"/>
        <v>151519661.97935557</v>
      </c>
      <c r="P51" s="125">
        <v>2</v>
      </c>
    </row>
    <row r="52" spans="1:16">
      <c r="A52" s="134">
        <v>45625</v>
      </c>
      <c r="B52" s="106"/>
      <c r="C52" s="121">
        <v>0.27900000000000003</v>
      </c>
      <c r="D52" s="59">
        <f t="shared" si="17"/>
        <v>147523709.49000001</v>
      </c>
      <c r="E52" s="59">
        <f t="shared" si="12"/>
        <v>147523709.49000001</v>
      </c>
      <c r="F52" s="59">
        <f t="shared" si="13"/>
        <v>0</v>
      </c>
      <c r="G52" s="59">
        <f t="shared" si="14"/>
        <v>0</v>
      </c>
      <c r="H52" s="59">
        <f t="shared" ref="H52:H56" si="23">(H51+M52-I51)</f>
        <v>7266128.7454749951</v>
      </c>
      <c r="I52" s="59">
        <f t="shared" si="18"/>
        <v>0</v>
      </c>
      <c r="J52" s="59">
        <f t="shared" si="19"/>
        <v>0</v>
      </c>
      <c r="K52" s="60">
        <f t="shared" si="20"/>
        <v>29</v>
      </c>
      <c r="L52" s="60">
        <f t="shared" si="15"/>
        <v>29</v>
      </c>
      <c r="M52" s="111">
        <f t="shared" si="21"/>
        <v>3270176.2561194249</v>
      </c>
      <c r="N52" s="59">
        <f t="shared" si="22"/>
        <v>154789838.235475</v>
      </c>
      <c r="O52" s="146">
        <f t="shared" si="16"/>
        <v>154789838.235475</v>
      </c>
      <c r="P52" s="124">
        <v>3</v>
      </c>
    </row>
    <row r="53" spans="1:16">
      <c r="A53" s="134"/>
      <c r="B53" s="106"/>
      <c r="C53" s="121"/>
      <c r="D53" s="59">
        <f t="shared" si="17"/>
        <v>147523709.49000001</v>
      </c>
      <c r="E53" s="59">
        <f t="shared" si="12"/>
        <v>147523709.49000001</v>
      </c>
      <c r="F53" s="59">
        <f t="shared" si="13"/>
        <v>0</v>
      </c>
      <c r="G53" s="59">
        <f t="shared" si="14"/>
        <v>0</v>
      </c>
      <c r="H53" s="59">
        <f t="shared" si="23"/>
        <v>7266128.7454749951</v>
      </c>
      <c r="I53" s="59">
        <f t="shared" si="18"/>
        <v>0</v>
      </c>
      <c r="J53" s="59">
        <f t="shared" si="19"/>
        <v>0</v>
      </c>
      <c r="K53" s="60">
        <f t="shared" si="20"/>
        <v>-45625</v>
      </c>
      <c r="L53" s="60">
        <f t="shared" si="15"/>
        <v>0</v>
      </c>
      <c r="M53" s="59">
        <f t="shared" si="21"/>
        <v>0</v>
      </c>
      <c r="N53" s="59">
        <f t="shared" si="22"/>
        <v>154789838.235475</v>
      </c>
      <c r="O53" s="123">
        <f t="shared" si="16"/>
        <v>0</v>
      </c>
      <c r="P53" s="125"/>
    </row>
    <row r="54" spans="1:16" ht="13.5" thickBot="1">
      <c r="A54" s="134"/>
      <c r="B54" s="106"/>
      <c r="C54" s="121"/>
      <c r="D54" s="59">
        <f t="shared" si="17"/>
        <v>0</v>
      </c>
      <c r="E54" s="59">
        <f t="shared" si="12"/>
        <v>0</v>
      </c>
      <c r="F54" s="59">
        <f t="shared" si="13"/>
        <v>0</v>
      </c>
      <c r="G54" s="59">
        <f t="shared" si="14"/>
        <v>0</v>
      </c>
      <c r="H54" s="59">
        <f t="shared" si="23"/>
        <v>7266128.7454749951</v>
      </c>
      <c r="I54" s="59">
        <f t="shared" si="18"/>
        <v>0</v>
      </c>
      <c r="J54" s="59">
        <f t="shared" si="19"/>
        <v>0</v>
      </c>
      <c r="K54" s="60">
        <f t="shared" si="20"/>
        <v>0</v>
      </c>
      <c r="L54" s="60">
        <f t="shared" si="15"/>
        <v>0</v>
      </c>
      <c r="M54" s="59">
        <f t="shared" si="21"/>
        <v>0</v>
      </c>
      <c r="N54" s="59">
        <f t="shared" si="22"/>
        <v>154789838.235475</v>
      </c>
      <c r="O54" s="123">
        <f t="shared" si="16"/>
        <v>0</v>
      </c>
      <c r="P54" s="125"/>
    </row>
    <row r="55" spans="1:16">
      <c r="A55" s="134"/>
      <c r="B55" s="106"/>
      <c r="C55" s="121"/>
      <c r="D55" s="59">
        <f t="shared" si="17"/>
        <v>0</v>
      </c>
      <c r="E55" s="59">
        <f t="shared" si="12"/>
        <v>0</v>
      </c>
      <c r="F55" s="59">
        <f t="shared" si="13"/>
        <v>0</v>
      </c>
      <c r="G55" s="59">
        <f t="shared" si="14"/>
        <v>0</v>
      </c>
      <c r="H55" s="59">
        <f t="shared" si="23"/>
        <v>7266128.7454749951</v>
      </c>
      <c r="I55" s="59">
        <f t="shared" si="18"/>
        <v>0</v>
      </c>
      <c r="J55" s="59">
        <f t="shared" si="19"/>
        <v>0</v>
      </c>
      <c r="K55" s="60">
        <f t="shared" si="20"/>
        <v>0</v>
      </c>
      <c r="L55" s="60">
        <f t="shared" si="15"/>
        <v>0</v>
      </c>
      <c r="M55" s="59">
        <f t="shared" si="21"/>
        <v>0</v>
      </c>
      <c r="N55" s="59">
        <f t="shared" si="22"/>
        <v>154789838.235475</v>
      </c>
      <c r="O55" s="123">
        <f t="shared" si="16"/>
        <v>0</v>
      </c>
      <c r="P55" s="124"/>
    </row>
    <row r="56" spans="1:16" ht="13.5" thickBot="1">
      <c r="A56" s="134"/>
      <c r="B56" s="106"/>
      <c r="C56" s="121"/>
      <c r="D56" s="59">
        <f t="shared" si="17"/>
        <v>0</v>
      </c>
      <c r="E56" s="59">
        <f t="shared" si="12"/>
        <v>0</v>
      </c>
      <c r="F56" s="59">
        <f t="shared" si="13"/>
        <v>0</v>
      </c>
      <c r="G56" s="59">
        <f t="shared" si="14"/>
        <v>0</v>
      </c>
      <c r="H56" s="59">
        <f t="shared" si="23"/>
        <v>7266128.7454749951</v>
      </c>
      <c r="I56" s="59">
        <f t="shared" si="18"/>
        <v>0</v>
      </c>
      <c r="J56" s="59">
        <f t="shared" si="19"/>
        <v>0</v>
      </c>
      <c r="K56" s="60">
        <f t="shared" si="20"/>
        <v>0</v>
      </c>
      <c r="L56" s="60">
        <f t="shared" si="15"/>
        <v>0</v>
      </c>
      <c r="M56" s="59">
        <f t="shared" si="21"/>
        <v>0</v>
      </c>
      <c r="N56" s="59">
        <f t="shared" si="22"/>
        <v>154789838.235475</v>
      </c>
      <c r="O56" s="123">
        <f t="shared" si="16"/>
        <v>0</v>
      </c>
      <c r="P56" s="129"/>
    </row>
    <row r="57" spans="1:16" ht="13.5" thickBot="1">
      <c r="A57" s="81" t="s">
        <v>33</v>
      </c>
      <c r="B57" s="82">
        <f>SUM(B50:B53)</f>
        <v>0</v>
      </c>
      <c r="C57" s="82"/>
      <c r="D57" s="83"/>
      <c r="E57" s="82"/>
      <c r="F57" s="83"/>
      <c r="G57" s="82">
        <f>SUM(G50:G53)</f>
        <v>0</v>
      </c>
      <c r="H57" s="82"/>
      <c r="I57" s="82"/>
      <c r="J57" s="82">
        <f>SUM(J50:J53)</f>
        <v>0</v>
      </c>
      <c r="K57" s="82"/>
      <c r="L57" s="82"/>
      <c r="M57" s="82">
        <f>SUM(M50:M56)</f>
        <v>7266128.7454749951</v>
      </c>
      <c r="N57" s="83"/>
      <c r="O57" s="82"/>
      <c r="P57" s="64"/>
    </row>
    <row r="58" spans="1:16">
      <c r="A58" s="61" t="s">
        <v>17</v>
      </c>
    </row>
    <row r="59" spans="1:16">
      <c r="M59" s="101"/>
    </row>
    <row r="60" spans="1:16">
      <c r="A60" s="61"/>
      <c r="C60" s="117"/>
      <c r="G60" s="117" t="s">
        <v>9</v>
      </c>
      <c r="H60" s="117"/>
      <c r="I60" s="117"/>
      <c r="J60" s="117" t="s">
        <v>34</v>
      </c>
      <c r="K60" s="117"/>
      <c r="L60" s="117" t="s">
        <v>35</v>
      </c>
      <c r="M60" s="101"/>
    </row>
    <row r="61" spans="1:16">
      <c r="A61" s="61" t="s">
        <v>171</v>
      </c>
      <c r="C61" s="66"/>
      <c r="G61" s="66">
        <v>147523709.49000001</v>
      </c>
    </row>
    <row r="62" spans="1:16">
      <c r="A62" s="71" t="s">
        <v>172</v>
      </c>
    </row>
    <row r="63" spans="1:16">
      <c r="A63" s="132" t="s">
        <v>149</v>
      </c>
      <c r="B63" s="132"/>
    </row>
    <row r="66" spans="1:17" ht="15">
      <c r="A66" s="55" t="s">
        <v>232</v>
      </c>
      <c r="B66" s="55"/>
      <c r="C66" s="55"/>
      <c r="D66" s="55"/>
      <c r="E66" s="277">
        <v>154789838.235475</v>
      </c>
    </row>
    <row r="67" spans="1:17" ht="15.75">
      <c r="A67" s="1" t="s">
        <v>246</v>
      </c>
      <c r="B67" s="1"/>
    </row>
    <row r="70" spans="1:17" ht="15">
      <c r="Q70" s="104"/>
    </row>
    <row r="71" spans="1:17" ht="15">
      <c r="J71" s="55"/>
    </row>
    <row r="72" spans="1:17" ht="15.75">
      <c r="A72" s="56"/>
      <c r="G72" s="1"/>
      <c r="J72" s="56"/>
    </row>
    <row r="73" spans="1:17" ht="15.75">
      <c r="A73" s="56"/>
      <c r="G73" s="56"/>
      <c r="J73" s="1" t="s">
        <v>37</v>
      </c>
    </row>
    <row r="74" spans="1:17" ht="15.75">
      <c r="A74" s="56" t="s">
        <v>38</v>
      </c>
      <c r="G74" s="1"/>
      <c r="J74" s="56" t="s">
        <v>236</v>
      </c>
    </row>
    <row r="75" spans="1:17" ht="15.75">
      <c r="A75" s="56"/>
      <c r="G75" s="1"/>
      <c r="J75" s="56"/>
    </row>
    <row r="76" spans="1:17" ht="18.75" customHeight="1">
      <c r="A76" s="56"/>
      <c r="G76" s="56"/>
      <c r="J76" s="56"/>
    </row>
    <row r="77" spans="1:17" ht="18.75" customHeight="1">
      <c r="A77" s="56"/>
      <c r="G77" s="56"/>
      <c r="J77" s="56"/>
    </row>
    <row r="78" spans="1:17" ht="18.75" customHeight="1">
      <c r="A78" s="56"/>
      <c r="G78" s="56"/>
      <c r="J78" s="56"/>
    </row>
    <row r="79" spans="1:17" ht="15">
      <c r="A79" s="325" t="s">
        <v>0</v>
      </c>
      <c r="B79" s="325"/>
      <c r="C79" s="325"/>
      <c r="D79" s="325"/>
      <c r="E79" s="325"/>
      <c r="F79" s="325"/>
      <c r="G79" s="325"/>
      <c r="H79" s="325"/>
      <c r="I79" s="325"/>
      <c r="J79" s="325"/>
      <c r="K79" s="325"/>
      <c r="L79" s="325"/>
      <c r="M79" s="325"/>
      <c r="N79" s="325"/>
      <c r="O79" s="325"/>
      <c r="P79" s="325"/>
    </row>
    <row r="80" spans="1:17" ht="15">
      <c r="A80" s="325" t="s">
        <v>1</v>
      </c>
      <c r="B80" s="325"/>
      <c r="C80" s="325"/>
      <c r="D80" s="325"/>
      <c r="E80" s="325"/>
      <c r="F80" s="325"/>
      <c r="G80" s="325"/>
      <c r="H80" s="325"/>
      <c r="I80" s="325"/>
      <c r="J80" s="325"/>
      <c r="K80" s="325"/>
      <c r="L80" s="325"/>
      <c r="M80" s="325"/>
      <c r="N80" s="325"/>
      <c r="O80" s="325"/>
      <c r="P80" s="325"/>
    </row>
    <row r="81" spans="1:16" ht="15">
      <c r="A81" s="325" t="s">
        <v>69</v>
      </c>
      <c r="B81" s="325"/>
      <c r="C81" s="325"/>
      <c r="D81" s="325"/>
      <c r="E81" s="325"/>
      <c r="F81" s="325"/>
      <c r="G81" s="325"/>
      <c r="H81" s="325"/>
      <c r="I81" s="325"/>
      <c r="J81" s="325"/>
      <c r="K81" s="325"/>
      <c r="L81" s="325"/>
      <c r="M81" s="325"/>
      <c r="N81" s="325"/>
      <c r="O81" s="325"/>
      <c r="P81" s="325"/>
    </row>
    <row r="82" spans="1:16" ht="15">
      <c r="A82" s="325" t="s">
        <v>70</v>
      </c>
      <c r="B82" s="325"/>
      <c r="C82" s="325"/>
      <c r="D82" s="325"/>
      <c r="E82" s="325"/>
      <c r="F82" s="325"/>
      <c r="G82" s="325"/>
      <c r="H82" s="325"/>
      <c r="I82" s="325"/>
      <c r="J82" s="325"/>
      <c r="K82" s="325"/>
      <c r="L82" s="325"/>
      <c r="M82" s="325"/>
      <c r="N82" s="325"/>
      <c r="O82" s="325"/>
      <c r="P82" s="325"/>
    </row>
    <row r="83" spans="1:16" ht="15.75" thickBot="1">
      <c r="A83" s="110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</row>
    <row r="84" spans="1:16" ht="15.75" thickBot="1">
      <c r="A84" s="55" t="s">
        <v>4</v>
      </c>
      <c r="B84" s="56"/>
      <c r="C84" s="56"/>
      <c r="D84" s="97"/>
      <c r="E84" s="297" t="s">
        <v>40</v>
      </c>
      <c r="F84" s="298"/>
      <c r="G84" s="298"/>
      <c r="H84" s="298"/>
      <c r="I84" s="298"/>
      <c r="J84" s="298"/>
      <c r="K84" s="57"/>
      <c r="L84" s="57"/>
      <c r="M84" s="57"/>
      <c r="N84" s="56"/>
    </row>
    <row r="85" spans="1:16" ht="16.5" thickBot="1">
      <c r="A85" s="1" t="s">
        <v>5</v>
      </c>
      <c r="B85" s="58"/>
      <c r="C85" s="58"/>
      <c r="D85" s="76"/>
      <c r="E85" s="322" t="s">
        <v>89</v>
      </c>
      <c r="F85" s="323"/>
      <c r="G85" s="323"/>
      <c r="H85" s="323"/>
      <c r="I85" s="323"/>
      <c r="J85" s="323"/>
      <c r="K85" s="323"/>
      <c r="L85" s="323"/>
      <c r="M85" s="323"/>
      <c r="N85" s="323"/>
      <c r="O85" s="323"/>
      <c r="P85" s="324"/>
    </row>
    <row r="86" spans="1:16">
      <c r="A86" s="29" t="s">
        <v>10</v>
      </c>
      <c r="G86" s="69">
        <v>45530</v>
      </c>
      <c r="H86" s="14"/>
      <c r="I86" s="14"/>
    </row>
    <row r="87" spans="1:16" ht="15">
      <c r="A87" s="29"/>
      <c r="G87" s="12"/>
      <c r="H87" s="15"/>
      <c r="I87" s="15"/>
      <c r="J87" s="55" t="s">
        <v>82</v>
      </c>
      <c r="N87" s="4"/>
    </row>
    <row r="88" spans="1:16">
      <c r="A88" s="29" t="s">
        <v>8</v>
      </c>
      <c r="G88" s="72">
        <v>215000039</v>
      </c>
      <c r="H88" s="16"/>
      <c r="I88" s="16"/>
    </row>
    <row r="89" spans="1:16">
      <c r="A89" s="29" t="s">
        <v>13</v>
      </c>
      <c r="G89" s="72"/>
      <c r="H89" s="16"/>
      <c r="I89" s="16"/>
      <c r="N89" s="4"/>
    </row>
    <row r="90" spans="1:16" ht="13.5" thickBot="1">
      <c r="A90" s="29" t="s">
        <v>24</v>
      </c>
      <c r="G90" s="73">
        <v>45561</v>
      </c>
      <c r="H90" s="17"/>
      <c r="I90" s="17"/>
    </row>
    <row r="91" spans="1:16" ht="28.5" customHeight="1" thickBot="1">
      <c r="A91" s="28" t="s">
        <v>25</v>
      </c>
      <c r="B91" s="28" t="s">
        <v>26</v>
      </c>
      <c r="C91" s="28" t="s">
        <v>74</v>
      </c>
      <c r="D91" s="28" t="s">
        <v>27</v>
      </c>
      <c r="E91" s="28" t="s">
        <v>27</v>
      </c>
      <c r="F91" s="28"/>
      <c r="G91" s="28" t="s">
        <v>75</v>
      </c>
      <c r="H91" s="28" t="s">
        <v>76</v>
      </c>
      <c r="I91" s="28"/>
      <c r="J91" s="28" t="s">
        <v>29</v>
      </c>
      <c r="K91" s="28" t="s">
        <v>30</v>
      </c>
      <c r="L91" s="28" t="s">
        <v>77</v>
      </c>
      <c r="M91" s="28" t="s">
        <v>31</v>
      </c>
      <c r="N91" s="28" t="s">
        <v>32</v>
      </c>
      <c r="O91" s="137" t="s">
        <v>32</v>
      </c>
      <c r="P91" s="98" t="s">
        <v>64</v>
      </c>
    </row>
    <row r="92" spans="1:16">
      <c r="A92" s="134">
        <v>45565</v>
      </c>
      <c r="B92" s="106"/>
      <c r="C92" s="121">
        <v>0.28849999999999998</v>
      </c>
      <c r="D92" s="62">
        <f>(G88)</f>
        <v>215000039</v>
      </c>
      <c r="E92" s="62">
        <f t="shared" ref="E92:E97" si="24">IF(D92&gt;=0,D92,0)</f>
        <v>215000039</v>
      </c>
      <c r="F92" s="62">
        <f t="shared" ref="F92:F97" si="25">(B92-J92)</f>
        <v>0</v>
      </c>
      <c r="G92" s="62">
        <f t="shared" ref="G92:G97" si="26">IF(F92&gt;=E92,E92,F92)</f>
        <v>0</v>
      </c>
      <c r="H92" s="62">
        <f>IF(M92&gt;=B92,B92,M92)</f>
        <v>0</v>
      </c>
      <c r="I92" s="62">
        <f>(M92-H92)</f>
        <v>679753.54796164378</v>
      </c>
      <c r="J92" s="62">
        <f>(H92)</f>
        <v>0</v>
      </c>
      <c r="K92" s="63">
        <f>(A92-G90)</f>
        <v>4</v>
      </c>
      <c r="L92" s="63">
        <f t="shared" ref="L92:L97" si="27">IF(K92&gt;0,K92,0)</f>
        <v>4</v>
      </c>
      <c r="M92" s="62">
        <f>(E92*L92*C92)/365+$G$11</f>
        <v>679753.54796164378</v>
      </c>
      <c r="N92" s="62">
        <f>(D92+M92-B92)</f>
        <v>215679792.54796165</v>
      </c>
      <c r="O92" s="145">
        <f t="shared" ref="O92:O97" si="28">IF(A92&gt;0,N92,0)</f>
        <v>215679792.54796165</v>
      </c>
      <c r="P92" s="124">
        <v>1</v>
      </c>
    </row>
    <row r="93" spans="1:16" ht="13.5" thickBot="1">
      <c r="A93" s="134">
        <v>45568</v>
      </c>
      <c r="B93" s="265">
        <v>215000039</v>
      </c>
      <c r="C93" s="121">
        <v>0.28170000000000001</v>
      </c>
      <c r="D93" s="107">
        <f t="shared" ref="D93:D97" si="29">IF(O92&gt;=D92,D92,O92)</f>
        <v>215000039</v>
      </c>
      <c r="E93" s="111">
        <f t="shared" si="24"/>
        <v>215000039</v>
      </c>
      <c r="F93" s="108">
        <f t="shared" si="25"/>
        <v>213822486.73160303</v>
      </c>
      <c r="G93" s="108">
        <f t="shared" si="26"/>
        <v>213822486.73160303</v>
      </c>
      <c r="H93" s="108">
        <f>(I92+M93)</f>
        <v>1177552.2683969862</v>
      </c>
      <c r="I93" s="108">
        <f t="shared" ref="I93:I97" si="30">IF(H93&gt;=B93,B93,H93)</f>
        <v>1177552.2683969862</v>
      </c>
      <c r="J93" s="267">
        <f t="shared" ref="J93:J97" si="31">(I93)</f>
        <v>1177552.2683969862</v>
      </c>
      <c r="K93" s="109">
        <f t="shared" ref="K93:K97" si="32">(A93-A92)</f>
        <v>3</v>
      </c>
      <c r="L93" s="109">
        <f t="shared" si="27"/>
        <v>3</v>
      </c>
      <c r="M93" s="111">
        <f t="shared" ref="M93:M97" si="33">(E93*L93*C93)/365</f>
        <v>497798.72043534246</v>
      </c>
      <c r="N93" s="108">
        <f t="shared" ref="N93:N97" si="34">(N92+M93-B93)</f>
        <v>1177552.2683970034</v>
      </c>
      <c r="O93" s="146">
        <f t="shared" si="28"/>
        <v>1177552.2683970034</v>
      </c>
      <c r="P93" s="147">
        <v>2</v>
      </c>
    </row>
    <row r="94" spans="1:16">
      <c r="A94" s="134"/>
      <c r="B94" s="106"/>
      <c r="C94" s="121"/>
      <c r="D94" s="59">
        <f t="shared" si="29"/>
        <v>1177552.2683970034</v>
      </c>
      <c r="E94" s="59">
        <f t="shared" si="24"/>
        <v>1177552.2683970034</v>
      </c>
      <c r="F94" s="59">
        <f t="shared" si="25"/>
        <v>0</v>
      </c>
      <c r="G94" s="59">
        <f t="shared" si="26"/>
        <v>0</v>
      </c>
      <c r="H94" s="59">
        <f t="shared" ref="H94:H97" si="35">(H93+M94-I93)</f>
        <v>0</v>
      </c>
      <c r="I94" s="59">
        <f t="shared" si="30"/>
        <v>0</v>
      </c>
      <c r="J94" s="59">
        <f t="shared" si="31"/>
        <v>0</v>
      </c>
      <c r="K94" s="60">
        <f t="shared" si="32"/>
        <v>-45568</v>
      </c>
      <c r="L94" s="60">
        <f t="shared" si="27"/>
        <v>0</v>
      </c>
      <c r="M94" s="111">
        <f t="shared" si="33"/>
        <v>0</v>
      </c>
      <c r="N94" s="59">
        <f t="shared" si="34"/>
        <v>1177552.2683970034</v>
      </c>
      <c r="O94" s="207">
        <f t="shared" si="28"/>
        <v>0</v>
      </c>
      <c r="P94" s="124"/>
    </row>
    <row r="95" spans="1:16">
      <c r="A95" s="134"/>
      <c r="B95" s="106"/>
      <c r="C95" s="121"/>
      <c r="D95" s="59">
        <f t="shared" si="29"/>
        <v>0</v>
      </c>
      <c r="E95" s="59">
        <f t="shared" si="24"/>
        <v>0</v>
      </c>
      <c r="F95" s="59">
        <f t="shared" si="25"/>
        <v>0</v>
      </c>
      <c r="G95" s="59">
        <f t="shared" si="26"/>
        <v>0</v>
      </c>
      <c r="H95" s="59">
        <f t="shared" si="35"/>
        <v>0</v>
      </c>
      <c r="I95" s="59">
        <f t="shared" si="30"/>
        <v>0</v>
      </c>
      <c r="J95" s="59">
        <f t="shared" si="31"/>
        <v>0</v>
      </c>
      <c r="K95" s="60">
        <f t="shared" si="32"/>
        <v>0</v>
      </c>
      <c r="L95" s="60">
        <f t="shared" si="27"/>
        <v>0</v>
      </c>
      <c r="M95" s="59">
        <f t="shared" si="33"/>
        <v>0</v>
      </c>
      <c r="N95" s="59">
        <f t="shared" si="34"/>
        <v>1177552.2683970034</v>
      </c>
      <c r="O95" s="123">
        <f t="shared" si="28"/>
        <v>0</v>
      </c>
      <c r="P95" s="125"/>
    </row>
    <row r="96" spans="1:16" ht="13.5" thickBot="1">
      <c r="A96" s="134"/>
      <c r="B96" s="106"/>
      <c r="C96" s="121"/>
      <c r="D96" s="59">
        <f t="shared" si="29"/>
        <v>0</v>
      </c>
      <c r="E96" s="59">
        <f t="shared" si="24"/>
        <v>0</v>
      </c>
      <c r="F96" s="59">
        <f t="shared" si="25"/>
        <v>0</v>
      </c>
      <c r="G96" s="59">
        <f t="shared" si="26"/>
        <v>0</v>
      </c>
      <c r="H96" s="59">
        <f t="shared" si="35"/>
        <v>0</v>
      </c>
      <c r="I96" s="59">
        <f t="shared" si="30"/>
        <v>0</v>
      </c>
      <c r="J96" s="59">
        <f t="shared" si="31"/>
        <v>0</v>
      </c>
      <c r="K96" s="60">
        <f t="shared" si="32"/>
        <v>0</v>
      </c>
      <c r="L96" s="60">
        <f t="shared" si="27"/>
        <v>0</v>
      </c>
      <c r="M96" s="59">
        <f t="shared" si="33"/>
        <v>0</v>
      </c>
      <c r="N96" s="59">
        <f t="shared" si="34"/>
        <v>1177552.2683970034</v>
      </c>
      <c r="O96" s="123">
        <f t="shared" si="28"/>
        <v>0</v>
      </c>
      <c r="P96" s="125"/>
    </row>
    <row r="97" spans="1:16" ht="13.5" thickBot="1">
      <c r="A97" s="134"/>
      <c r="B97" s="106"/>
      <c r="C97" s="121"/>
      <c r="D97" s="59">
        <f t="shared" si="29"/>
        <v>0</v>
      </c>
      <c r="E97" s="59">
        <f t="shared" si="24"/>
        <v>0</v>
      </c>
      <c r="F97" s="59">
        <f t="shared" si="25"/>
        <v>0</v>
      </c>
      <c r="G97" s="59">
        <f t="shared" si="26"/>
        <v>0</v>
      </c>
      <c r="H97" s="59">
        <f t="shared" si="35"/>
        <v>0</v>
      </c>
      <c r="I97" s="59">
        <f t="shared" si="30"/>
        <v>0</v>
      </c>
      <c r="J97" s="59">
        <f t="shared" si="31"/>
        <v>0</v>
      </c>
      <c r="K97" s="60">
        <f t="shared" si="32"/>
        <v>0</v>
      </c>
      <c r="L97" s="60">
        <f t="shared" si="27"/>
        <v>0</v>
      </c>
      <c r="M97" s="59">
        <f t="shared" si="33"/>
        <v>0</v>
      </c>
      <c r="N97" s="59">
        <f t="shared" si="34"/>
        <v>1177552.2683970034</v>
      </c>
      <c r="O97" s="123">
        <f t="shared" si="28"/>
        <v>0</v>
      </c>
      <c r="P97" s="124"/>
    </row>
    <row r="98" spans="1:16" ht="13.5" thickBot="1">
      <c r="A98" s="81" t="s">
        <v>33</v>
      </c>
      <c r="B98" s="82">
        <f>SUM(B92:B95)</f>
        <v>215000039</v>
      </c>
      <c r="C98" s="82"/>
      <c r="D98" s="83"/>
      <c r="E98" s="82"/>
      <c r="F98" s="83"/>
      <c r="G98" s="82">
        <f>SUM(G92:G95)</f>
        <v>213822486.73160303</v>
      </c>
      <c r="H98" s="82"/>
      <c r="I98" s="82"/>
      <c r="J98" s="82">
        <f>SUM(J92:J95)</f>
        <v>1177552.2683969862</v>
      </c>
      <c r="K98" s="82"/>
      <c r="L98" s="82"/>
      <c r="M98" s="82">
        <f>SUM(M92:M97)</f>
        <v>1177552.2683969862</v>
      </c>
      <c r="N98" s="83"/>
      <c r="O98" s="82"/>
      <c r="P98" s="64"/>
    </row>
    <row r="99" spans="1:16">
      <c r="A99" s="71"/>
      <c r="E99" s="66"/>
      <c r="M99" s="102"/>
    </row>
    <row r="100" spans="1:16">
      <c r="A100" s="61" t="s">
        <v>17</v>
      </c>
      <c r="M100" s="270"/>
    </row>
    <row r="101" spans="1:16">
      <c r="A101" s="61"/>
      <c r="C101" s="117"/>
      <c r="G101" s="117" t="s">
        <v>9</v>
      </c>
      <c r="H101" s="117"/>
      <c r="I101" s="117"/>
      <c r="J101" s="128" t="s">
        <v>34</v>
      </c>
      <c r="K101" s="117"/>
      <c r="L101" s="117" t="s">
        <v>35</v>
      </c>
      <c r="M101" s="101"/>
      <c r="O101" s="271"/>
    </row>
    <row r="102" spans="1:16" ht="15">
      <c r="A102" s="55" t="s">
        <v>82</v>
      </c>
      <c r="C102" s="66"/>
      <c r="E102" s="112"/>
      <c r="G102" s="66">
        <v>1000000000</v>
      </c>
      <c r="J102" s="66"/>
      <c r="M102" s="101"/>
    </row>
    <row r="103" spans="1:16" ht="15">
      <c r="A103" s="71" t="s">
        <v>78</v>
      </c>
      <c r="B103" s="56"/>
      <c r="C103" s="122"/>
      <c r="D103" s="55"/>
      <c r="E103" s="113"/>
      <c r="G103" s="66"/>
      <c r="J103" s="66"/>
      <c r="M103" s="101"/>
    </row>
    <row r="104" spans="1:16" ht="15">
      <c r="A104" s="71" t="s">
        <v>145</v>
      </c>
      <c r="B104" s="56"/>
      <c r="C104" s="122"/>
      <c r="D104" s="55"/>
      <c r="E104" s="113"/>
      <c r="G104" s="66">
        <f>G102*21.5000039/100</f>
        <v>215000039</v>
      </c>
      <c r="J104" s="66"/>
    </row>
    <row r="105" spans="1:16" ht="15.75">
      <c r="A105" s="61" t="s">
        <v>80</v>
      </c>
      <c r="B105" s="55"/>
      <c r="C105" s="133"/>
      <c r="D105" s="1"/>
      <c r="E105" s="66"/>
      <c r="G105" s="216">
        <f>G104</f>
        <v>215000039</v>
      </c>
      <c r="J105" s="66"/>
      <c r="K105" s="102"/>
      <c r="L105" s="218"/>
    </row>
    <row r="106" spans="1:16" ht="15.75">
      <c r="A106" s="139" t="s">
        <v>151</v>
      </c>
      <c r="B106" s="55"/>
      <c r="C106" s="133"/>
      <c r="D106" s="1"/>
      <c r="E106" s="66"/>
      <c r="G106" s="269">
        <v>213822447.77000001</v>
      </c>
      <c r="J106" s="268">
        <v>1177552.2679999999</v>
      </c>
      <c r="K106" s="102"/>
      <c r="L106" s="266">
        <f>SUM(G106:K106)</f>
        <v>215000000.03800002</v>
      </c>
    </row>
    <row r="107" spans="1:16" ht="20.25">
      <c r="A107" s="55" t="s">
        <v>247</v>
      </c>
      <c r="G107" s="278">
        <f>+G105-G106</f>
        <v>1177591.2299999893</v>
      </c>
    </row>
    <row r="108" spans="1:16" ht="20.25">
      <c r="A108" s="55"/>
      <c r="G108" s="278"/>
    </row>
    <row r="109" spans="1:16" ht="20.25">
      <c r="A109" s="55"/>
      <c r="G109" s="278"/>
    </row>
    <row r="110" spans="1:16" ht="20.25">
      <c r="A110" s="55"/>
      <c r="G110" s="278"/>
    </row>
    <row r="111" spans="1:16" ht="20.25">
      <c r="A111" s="55"/>
      <c r="G111" s="278"/>
    </row>
    <row r="112" spans="1:16" ht="20.25">
      <c r="A112" s="55"/>
      <c r="G112" s="278"/>
    </row>
    <row r="114" spans="1:16" ht="15">
      <c r="A114" s="325" t="s">
        <v>0</v>
      </c>
      <c r="B114" s="325"/>
      <c r="C114" s="325"/>
      <c r="D114" s="325"/>
      <c r="E114" s="325"/>
      <c r="F114" s="325"/>
      <c r="G114" s="325"/>
      <c r="H114" s="325"/>
      <c r="I114" s="325"/>
      <c r="J114" s="325"/>
      <c r="K114" s="325"/>
      <c r="L114" s="325"/>
      <c r="M114" s="325"/>
      <c r="N114" s="325"/>
      <c r="O114" s="325"/>
      <c r="P114" s="325"/>
    </row>
    <row r="115" spans="1:16" ht="15">
      <c r="A115" s="325" t="s">
        <v>1</v>
      </c>
      <c r="B115" s="325"/>
      <c r="C115" s="325"/>
      <c r="D115" s="325"/>
      <c r="E115" s="325"/>
      <c r="F115" s="325"/>
      <c r="G115" s="325"/>
      <c r="H115" s="325"/>
      <c r="I115" s="325"/>
      <c r="J115" s="325"/>
      <c r="K115" s="325"/>
      <c r="L115" s="325"/>
      <c r="M115" s="325"/>
      <c r="N115" s="325"/>
      <c r="O115" s="325"/>
      <c r="P115" s="325"/>
    </row>
    <row r="116" spans="1:16" ht="15">
      <c r="A116" s="325" t="s">
        <v>69</v>
      </c>
      <c r="B116" s="325"/>
      <c r="C116" s="325"/>
      <c r="D116" s="325"/>
      <c r="E116" s="325"/>
      <c r="F116" s="325"/>
      <c r="G116" s="325"/>
      <c r="H116" s="325"/>
      <c r="I116" s="325"/>
      <c r="J116" s="325"/>
      <c r="K116" s="325"/>
      <c r="L116" s="325"/>
      <c r="M116" s="325"/>
      <c r="N116" s="325"/>
      <c r="O116" s="325"/>
      <c r="P116" s="325"/>
    </row>
    <row r="117" spans="1:16" ht="15">
      <c r="A117" s="325" t="s">
        <v>70</v>
      </c>
      <c r="B117" s="325"/>
      <c r="C117" s="325"/>
      <c r="D117" s="325"/>
      <c r="E117" s="325"/>
      <c r="F117" s="325"/>
      <c r="G117" s="325"/>
      <c r="H117" s="325"/>
      <c r="I117" s="325"/>
      <c r="J117" s="325"/>
      <c r="K117" s="325"/>
      <c r="L117" s="325"/>
      <c r="M117" s="325"/>
      <c r="N117" s="325"/>
      <c r="O117" s="325"/>
      <c r="P117" s="325"/>
    </row>
    <row r="118" spans="1:16" ht="15.75" thickBot="1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</row>
    <row r="119" spans="1:16" ht="15.75" thickBot="1">
      <c r="A119" s="55" t="s">
        <v>4</v>
      </c>
      <c r="B119" s="56"/>
      <c r="C119" s="56"/>
      <c r="D119" s="97"/>
      <c r="E119" s="297" t="s">
        <v>40</v>
      </c>
      <c r="F119" s="298"/>
      <c r="G119" s="298"/>
      <c r="H119" s="298"/>
      <c r="I119" s="298"/>
      <c r="J119" s="298"/>
      <c r="K119" s="57"/>
      <c r="L119" s="57"/>
      <c r="M119" s="57"/>
      <c r="N119" s="56"/>
    </row>
    <row r="120" spans="1:16" ht="16.5" thickBot="1">
      <c r="A120" s="1" t="s">
        <v>5</v>
      </c>
      <c r="B120" s="58"/>
      <c r="C120" s="58"/>
      <c r="D120" s="76"/>
      <c r="E120" s="322" t="s">
        <v>89</v>
      </c>
      <c r="F120" s="323"/>
      <c r="G120" s="323"/>
      <c r="H120" s="323"/>
      <c r="I120" s="323"/>
      <c r="J120" s="323"/>
      <c r="K120" s="323"/>
      <c r="L120" s="323"/>
      <c r="M120" s="323"/>
      <c r="N120" s="323"/>
      <c r="O120" s="323"/>
      <c r="P120" s="324"/>
    </row>
    <row r="121" spans="1:16">
      <c r="A121" s="29" t="s">
        <v>10</v>
      </c>
      <c r="G121" s="69">
        <v>45530</v>
      </c>
      <c r="H121" s="14"/>
      <c r="I121" s="14"/>
    </row>
    <row r="122" spans="1:16" ht="15">
      <c r="A122" s="29"/>
      <c r="G122" s="12"/>
      <c r="H122" s="15"/>
      <c r="I122" s="15"/>
      <c r="J122" s="55" t="s">
        <v>233</v>
      </c>
      <c r="N122" s="4"/>
    </row>
    <row r="123" spans="1:16">
      <c r="A123" s="29" t="s">
        <v>8</v>
      </c>
      <c r="G123" s="72">
        <v>1177591.27</v>
      </c>
      <c r="H123" s="16"/>
      <c r="I123" s="16"/>
    </row>
    <row r="124" spans="1:16">
      <c r="A124" s="29" t="s">
        <v>13</v>
      </c>
      <c r="G124" s="72"/>
      <c r="H124" s="16"/>
      <c r="I124" s="16"/>
      <c r="N124" s="4"/>
    </row>
    <row r="125" spans="1:16" ht="13.5" thickBot="1">
      <c r="A125" s="29" t="s">
        <v>24</v>
      </c>
      <c r="G125" s="73">
        <v>45561</v>
      </c>
      <c r="H125" s="17"/>
      <c r="I125" s="17"/>
    </row>
    <row r="126" spans="1:16" ht="27" customHeight="1" thickBot="1">
      <c r="A126" s="28" t="s">
        <v>25</v>
      </c>
      <c r="B126" s="28" t="s">
        <v>26</v>
      </c>
      <c r="C126" s="28" t="s">
        <v>74</v>
      </c>
      <c r="D126" s="28" t="s">
        <v>27</v>
      </c>
      <c r="E126" s="28" t="s">
        <v>27</v>
      </c>
      <c r="F126" s="28"/>
      <c r="G126" s="28" t="s">
        <v>75</v>
      </c>
      <c r="H126" s="28" t="s">
        <v>76</v>
      </c>
      <c r="I126" s="28"/>
      <c r="J126" s="28" t="s">
        <v>29</v>
      </c>
      <c r="K126" s="28" t="s">
        <v>30</v>
      </c>
      <c r="L126" s="28" t="s">
        <v>77</v>
      </c>
      <c r="M126" s="28" t="s">
        <v>31</v>
      </c>
      <c r="N126" s="28" t="s">
        <v>32</v>
      </c>
      <c r="O126" s="137" t="s">
        <v>32</v>
      </c>
      <c r="P126" s="98" t="s">
        <v>64</v>
      </c>
    </row>
    <row r="127" spans="1:16">
      <c r="A127" s="134">
        <v>45565</v>
      </c>
      <c r="B127" s="106"/>
      <c r="C127" s="121">
        <v>0.28849999999999998</v>
      </c>
      <c r="D127" s="62">
        <f>(G123)</f>
        <v>1177591.27</v>
      </c>
      <c r="E127" s="62">
        <f t="shared" ref="E127:E133" si="36">IF(D127&gt;=0,D127,0)</f>
        <v>1177591.27</v>
      </c>
      <c r="F127" s="62">
        <f t="shared" ref="F127:F133" si="37">(B127-J127)</f>
        <v>0</v>
      </c>
      <c r="G127" s="62">
        <f t="shared" ref="G127:G133" si="38">IF(F127&gt;=E127,E127,F127)</f>
        <v>0</v>
      </c>
      <c r="H127" s="62">
        <f>IF(M127&gt;=B127,B127,M127)</f>
        <v>0</v>
      </c>
      <c r="I127" s="62">
        <f>(M127-H127)</f>
        <v>3723.1241796712329</v>
      </c>
      <c r="J127" s="62">
        <f>(H127)</f>
        <v>0</v>
      </c>
      <c r="K127" s="63">
        <f>(A127-G125)</f>
        <v>4</v>
      </c>
      <c r="L127" s="63">
        <f t="shared" ref="L127:L133" si="39">IF(K127&gt;0,K127,0)</f>
        <v>4</v>
      </c>
      <c r="M127" s="62">
        <f>(E127*L127*C127)/365+$G$11</f>
        <v>3723.1241796712329</v>
      </c>
      <c r="N127" s="62">
        <f>(D127+M127-B127)</f>
        <v>1181314.3941796713</v>
      </c>
      <c r="O127" s="145">
        <f t="shared" ref="O127:O133" si="40">IF(A127&gt;0,N127,0)</f>
        <v>1181314.3941796713</v>
      </c>
      <c r="P127" s="124">
        <v>1</v>
      </c>
    </row>
    <row r="128" spans="1:16" ht="13.5" thickBot="1">
      <c r="A128" s="134">
        <v>45596</v>
      </c>
      <c r="B128" s="106"/>
      <c r="C128" s="121">
        <v>0.28170000000000001</v>
      </c>
      <c r="D128" s="107">
        <f t="shared" ref="D128:D133" si="41">IF(O127&gt;=D127,D127,O127)</f>
        <v>1177591.27</v>
      </c>
      <c r="E128" s="111">
        <f t="shared" si="36"/>
        <v>1177591.27</v>
      </c>
      <c r="F128" s="108">
        <f t="shared" si="37"/>
        <v>0</v>
      </c>
      <c r="G128" s="108">
        <f t="shared" si="38"/>
        <v>0</v>
      </c>
      <c r="H128" s="108">
        <f>(I127+M128)</f>
        <v>31897.237285230141</v>
      </c>
      <c r="I128" s="108">
        <f t="shared" ref="I128:I133" si="42">IF(H128&gt;=B128,B128,H128)</f>
        <v>0</v>
      </c>
      <c r="J128" s="108">
        <f t="shared" ref="J128:J133" si="43">(I128)</f>
        <v>0</v>
      </c>
      <c r="K128" s="109">
        <f t="shared" ref="K128:K133" si="44">(A128-A127)</f>
        <v>31</v>
      </c>
      <c r="L128" s="109">
        <f t="shared" si="39"/>
        <v>31</v>
      </c>
      <c r="M128" s="111">
        <f t="shared" ref="M128:M133" si="45">(E128*L128*C128)/365</f>
        <v>28174.113105558907</v>
      </c>
      <c r="N128" s="108">
        <f t="shared" ref="N128:N133" si="46">(N127+M128-B128)</f>
        <v>1209488.5072852303</v>
      </c>
      <c r="O128" s="123">
        <f t="shared" si="40"/>
        <v>1209488.5072852303</v>
      </c>
      <c r="P128" s="125">
        <v>2</v>
      </c>
    </row>
    <row r="129" spans="1:16">
      <c r="A129" s="134">
        <v>45625</v>
      </c>
      <c r="B129" s="106"/>
      <c r="C129" s="121">
        <v>0.27900000000000003</v>
      </c>
      <c r="D129" s="59">
        <f t="shared" si="41"/>
        <v>1177591.27</v>
      </c>
      <c r="E129" s="59">
        <f t="shared" si="36"/>
        <v>1177591.27</v>
      </c>
      <c r="F129" s="59">
        <f t="shared" si="37"/>
        <v>0</v>
      </c>
      <c r="G129" s="59">
        <f t="shared" si="38"/>
        <v>0</v>
      </c>
      <c r="H129" s="59">
        <f t="shared" ref="H129:H133" si="47">(H128+M129-I128)</f>
        <v>58001.048149805487</v>
      </c>
      <c r="I129" s="59">
        <f t="shared" si="42"/>
        <v>0</v>
      </c>
      <c r="J129" s="59">
        <f t="shared" si="43"/>
        <v>0</v>
      </c>
      <c r="K129" s="60">
        <f t="shared" si="44"/>
        <v>29</v>
      </c>
      <c r="L129" s="60">
        <f t="shared" si="39"/>
        <v>29</v>
      </c>
      <c r="M129" s="111">
        <f t="shared" si="45"/>
        <v>26103.810864575345</v>
      </c>
      <c r="N129" s="59">
        <f t="shared" si="46"/>
        <v>1235592.3181498058</v>
      </c>
      <c r="O129" s="146">
        <f t="shared" si="40"/>
        <v>1235592.3181498058</v>
      </c>
      <c r="P129" s="124">
        <v>3</v>
      </c>
    </row>
    <row r="130" spans="1:16">
      <c r="A130" s="134"/>
      <c r="B130" s="106"/>
      <c r="C130" s="121"/>
      <c r="D130" s="59">
        <f t="shared" si="41"/>
        <v>1177591.27</v>
      </c>
      <c r="E130" s="59">
        <f t="shared" si="36"/>
        <v>1177591.27</v>
      </c>
      <c r="F130" s="59">
        <f t="shared" si="37"/>
        <v>0</v>
      </c>
      <c r="G130" s="59">
        <f t="shared" si="38"/>
        <v>0</v>
      </c>
      <c r="H130" s="59">
        <f t="shared" si="47"/>
        <v>58001.048149805487</v>
      </c>
      <c r="I130" s="59">
        <f t="shared" si="42"/>
        <v>0</v>
      </c>
      <c r="J130" s="59">
        <f t="shared" si="43"/>
        <v>0</v>
      </c>
      <c r="K130" s="60">
        <f t="shared" si="44"/>
        <v>-45625</v>
      </c>
      <c r="L130" s="60">
        <f t="shared" si="39"/>
        <v>0</v>
      </c>
      <c r="M130" s="59">
        <f t="shared" si="45"/>
        <v>0</v>
      </c>
      <c r="N130" s="59">
        <f t="shared" si="46"/>
        <v>1235592.3181498058</v>
      </c>
      <c r="O130" s="123">
        <f t="shared" si="40"/>
        <v>0</v>
      </c>
      <c r="P130" s="125"/>
    </row>
    <row r="131" spans="1:16" ht="13.5" thickBot="1">
      <c r="A131" s="134"/>
      <c r="B131" s="106"/>
      <c r="C131" s="121"/>
      <c r="D131" s="59">
        <f t="shared" si="41"/>
        <v>0</v>
      </c>
      <c r="E131" s="59">
        <f t="shared" si="36"/>
        <v>0</v>
      </c>
      <c r="F131" s="59">
        <f t="shared" si="37"/>
        <v>0</v>
      </c>
      <c r="G131" s="59">
        <f t="shared" si="38"/>
        <v>0</v>
      </c>
      <c r="H131" s="59">
        <f t="shared" si="47"/>
        <v>58001.048149805487</v>
      </c>
      <c r="I131" s="59">
        <f t="shared" si="42"/>
        <v>0</v>
      </c>
      <c r="J131" s="59">
        <f t="shared" si="43"/>
        <v>0</v>
      </c>
      <c r="K131" s="60">
        <f t="shared" si="44"/>
        <v>0</v>
      </c>
      <c r="L131" s="60">
        <f t="shared" si="39"/>
        <v>0</v>
      </c>
      <c r="M131" s="59">
        <f t="shared" si="45"/>
        <v>0</v>
      </c>
      <c r="N131" s="59">
        <f t="shared" si="46"/>
        <v>1235592.3181498058</v>
      </c>
      <c r="O131" s="123">
        <f t="shared" si="40"/>
        <v>0</v>
      </c>
      <c r="P131" s="125"/>
    </row>
    <row r="132" spans="1:16">
      <c r="A132" s="134"/>
      <c r="B132" s="106"/>
      <c r="C132" s="121"/>
      <c r="D132" s="59">
        <f t="shared" si="41"/>
        <v>0</v>
      </c>
      <c r="E132" s="59">
        <f t="shared" si="36"/>
        <v>0</v>
      </c>
      <c r="F132" s="59">
        <f t="shared" si="37"/>
        <v>0</v>
      </c>
      <c r="G132" s="59">
        <f t="shared" si="38"/>
        <v>0</v>
      </c>
      <c r="H132" s="59">
        <f t="shared" si="47"/>
        <v>58001.048149805487</v>
      </c>
      <c r="I132" s="59">
        <f t="shared" si="42"/>
        <v>0</v>
      </c>
      <c r="J132" s="59">
        <f t="shared" si="43"/>
        <v>0</v>
      </c>
      <c r="K132" s="60">
        <f t="shared" si="44"/>
        <v>0</v>
      </c>
      <c r="L132" s="60">
        <f t="shared" si="39"/>
        <v>0</v>
      </c>
      <c r="M132" s="59">
        <f t="shared" si="45"/>
        <v>0</v>
      </c>
      <c r="N132" s="59">
        <f t="shared" si="46"/>
        <v>1235592.3181498058</v>
      </c>
      <c r="O132" s="123">
        <f t="shared" si="40"/>
        <v>0</v>
      </c>
      <c r="P132" s="124"/>
    </row>
    <row r="133" spans="1:16" ht="13.5" thickBot="1">
      <c r="A133" s="134"/>
      <c r="B133" s="106"/>
      <c r="C133" s="121"/>
      <c r="D133" s="59">
        <f t="shared" si="41"/>
        <v>0</v>
      </c>
      <c r="E133" s="59">
        <f t="shared" si="36"/>
        <v>0</v>
      </c>
      <c r="F133" s="59">
        <f t="shared" si="37"/>
        <v>0</v>
      </c>
      <c r="G133" s="59">
        <f t="shared" si="38"/>
        <v>0</v>
      </c>
      <c r="H133" s="59">
        <f t="shared" si="47"/>
        <v>58001.048149805487</v>
      </c>
      <c r="I133" s="59">
        <f t="shared" si="42"/>
        <v>0</v>
      </c>
      <c r="J133" s="59">
        <f t="shared" si="43"/>
        <v>0</v>
      </c>
      <c r="K133" s="60">
        <f t="shared" si="44"/>
        <v>0</v>
      </c>
      <c r="L133" s="60">
        <f t="shared" si="39"/>
        <v>0</v>
      </c>
      <c r="M133" s="59">
        <f t="shared" si="45"/>
        <v>0</v>
      </c>
      <c r="N133" s="59">
        <f t="shared" si="46"/>
        <v>1235592.3181498058</v>
      </c>
      <c r="O133" s="123">
        <f t="shared" si="40"/>
        <v>0</v>
      </c>
      <c r="P133" s="129"/>
    </row>
    <row r="134" spans="1:16" ht="13.5" thickBot="1">
      <c r="A134" s="81" t="s">
        <v>33</v>
      </c>
      <c r="B134" s="82">
        <f>SUM(B127:B130)</f>
        <v>0</v>
      </c>
      <c r="C134" s="82"/>
      <c r="D134" s="83"/>
      <c r="E134" s="82"/>
      <c r="F134" s="83"/>
      <c r="G134" s="82">
        <f>SUM(G127:G130)</f>
        <v>0</v>
      </c>
      <c r="H134" s="82"/>
      <c r="I134" s="82"/>
      <c r="J134" s="82">
        <f>SUM(J127:J130)</f>
        <v>0</v>
      </c>
      <c r="K134" s="82"/>
      <c r="L134" s="82"/>
      <c r="M134" s="82">
        <f>SUM(M127:M133)</f>
        <v>58001.048149805487</v>
      </c>
      <c r="N134" s="83"/>
      <c r="O134" s="82"/>
      <c r="P134" s="64"/>
    </row>
    <row r="135" spans="1:16">
      <c r="A135" s="61" t="s">
        <v>17</v>
      </c>
    </row>
    <row r="136" spans="1:16">
      <c r="M136" s="101"/>
    </row>
    <row r="137" spans="1:16">
      <c r="A137" s="61"/>
      <c r="C137" s="117"/>
      <c r="G137" s="117" t="s">
        <v>9</v>
      </c>
      <c r="H137" s="117"/>
      <c r="I137" s="117"/>
      <c r="J137" s="117" t="s">
        <v>34</v>
      </c>
      <c r="K137" s="117"/>
      <c r="L137" s="117" t="s">
        <v>35</v>
      </c>
      <c r="M137" s="101"/>
    </row>
    <row r="138" spans="1:16">
      <c r="A138" s="61" t="s">
        <v>174</v>
      </c>
      <c r="C138" s="66"/>
      <c r="G138" s="66">
        <v>1177591.27</v>
      </c>
    </row>
    <row r="139" spans="1:16">
      <c r="A139" s="71" t="s">
        <v>172</v>
      </c>
    </row>
    <row r="140" spans="1:16">
      <c r="A140" s="132" t="s">
        <v>149</v>
      </c>
      <c r="B140" s="132"/>
    </row>
    <row r="143" spans="1:16" ht="15">
      <c r="A143" s="211" t="s">
        <v>232</v>
      </c>
      <c r="B143" s="211"/>
      <c r="C143" s="211"/>
      <c r="D143" s="211"/>
      <c r="E143" s="240">
        <v>1235592.3181498058</v>
      </c>
    </row>
    <row r="149" spans="1:16" ht="15.75">
      <c r="J149" s="1" t="s">
        <v>37</v>
      </c>
    </row>
    <row r="150" spans="1:16" ht="15.75">
      <c r="A150" s="56" t="s">
        <v>38</v>
      </c>
      <c r="G150" s="1"/>
      <c r="J150" s="56" t="s">
        <v>236</v>
      </c>
    </row>
    <row r="151" spans="1:16" ht="15.75">
      <c r="A151" s="56"/>
      <c r="G151" s="1"/>
      <c r="J151" s="56"/>
    </row>
    <row r="152" spans="1:16" ht="15.75">
      <c r="A152" s="56"/>
      <c r="G152" s="1"/>
      <c r="J152" s="56"/>
    </row>
    <row r="155" spans="1:16" ht="15">
      <c r="A155" s="325" t="s">
        <v>0</v>
      </c>
      <c r="B155" s="325"/>
      <c r="C155" s="325"/>
      <c r="D155" s="325"/>
      <c r="E155" s="325"/>
      <c r="F155" s="325"/>
      <c r="G155" s="325"/>
      <c r="H155" s="325"/>
      <c r="I155" s="325"/>
      <c r="J155" s="325"/>
      <c r="K155" s="325"/>
      <c r="L155" s="325"/>
      <c r="M155" s="325"/>
      <c r="N155" s="325"/>
      <c r="O155" s="325"/>
      <c r="P155" s="325"/>
    </row>
    <row r="156" spans="1:16" ht="15">
      <c r="A156" s="325" t="s">
        <v>1</v>
      </c>
      <c r="B156" s="325"/>
      <c r="C156" s="325"/>
      <c r="D156" s="325"/>
      <c r="E156" s="325"/>
      <c r="F156" s="325"/>
      <c r="G156" s="325"/>
      <c r="H156" s="325"/>
      <c r="I156" s="325"/>
      <c r="J156" s="325"/>
      <c r="K156" s="325"/>
      <c r="L156" s="325"/>
      <c r="M156" s="325"/>
      <c r="N156" s="325"/>
      <c r="O156" s="325"/>
      <c r="P156" s="325"/>
    </row>
    <row r="157" spans="1:16" ht="15">
      <c r="A157" s="325" t="s">
        <v>69</v>
      </c>
      <c r="B157" s="325"/>
      <c r="C157" s="325"/>
      <c r="D157" s="325"/>
      <c r="E157" s="325"/>
      <c r="F157" s="325"/>
      <c r="G157" s="325"/>
      <c r="H157" s="325"/>
      <c r="I157" s="325"/>
      <c r="J157" s="325"/>
      <c r="K157" s="325"/>
      <c r="L157" s="325"/>
      <c r="M157" s="325"/>
      <c r="N157" s="325"/>
      <c r="O157" s="325"/>
      <c r="P157" s="325"/>
    </row>
    <row r="158" spans="1:16" ht="15">
      <c r="A158" s="325" t="s">
        <v>70</v>
      </c>
      <c r="B158" s="325"/>
      <c r="C158" s="325"/>
      <c r="D158" s="325"/>
      <c r="E158" s="325"/>
      <c r="F158" s="325"/>
      <c r="G158" s="325"/>
      <c r="H158" s="325"/>
      <c r="I158" s="325"/>
      <c r="J158" s="325"/>
      <c r="K158" s="325"/>
      <c r="L158" s="325"/>
      <c r="M158" s="325"/>
      <c r="N158" s="325"/>
      <c r="O158" s="325"/>
      <c r="P158" s="325"/>
    </row>
    <row r="159" spans="1:16" ht="15.75" thickBot="1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</row>
    <row r="160" spans="1:16" ht="15.75" thickBot="1">
      <c r="A160" s="55" t="s">
        <v>4</v>
      </c>
      <c r="B160" s="56"/>
      <c r="C160" s="56"/>
      <c r="D160" s="97"/>
      <c r="E160" s="297" t="s">
        <v>40</v>
      </c>
      <c r="F160" s="298"/>
      <c r="G160" s="298"/>
      <c r="H160" s="298"/>
      <c r="I160" s="298"/>
      <c r="J160" s="298"/>
      <c r="K160" s="57"/>
      <c r="L160" s="57"/>
      <c r="M160" s="57"/>
      <c r="N160" s="56"/>
    </row>
    <row r="161" spans="1:16" ht="16.5" thickBot="1">
      <c r="A161" s="1" t="s">
        <v>5</v>
      </c>
      <c r="B161" s="58"/>
      <c r="C161" s="58"/>
      <c r="D161" s="76"/>
      <c r="E161" s="322" t="s">
        <v>89</v>
      </c>
      <c r="F161" s="323"/>
      <c r="G161" s="323"/>
      <c r="H161" s="323"/>
      <c r="I161" s="323"/>
      <c r="J161" s="323"/>
      <c r="K161" s="323"/>
      <c r="L161" s="323"/>
      <c r="M161" s="323"/>
      <c r="N161" s="323"/>
      <c r="O161" s="323"/>
      <c r="P161" s="324"/>
    </row>
    <row r="162" spans="1:16">
      <c r="A162" s="29" t="s">
        <v>10</v>
      </c>
      <c r="G162" s="69">
        <v>45530</v>
      </c>
      <c r="H162" s="14"/>
      <c r="I162" s="14"/>
    </row>
    <row r="163" spans="1:16" ht="15">
      <c r="A163" s="29"/>
      <c r="G163" s="12"/>
      <c r="H163" s="15"/>
      <c r="I163" s="15"/>
      <c r="J163" s="55" t="s">
        <v>83</v>
      </c>
      <c r="N163" s="4"/>
    </row>
    <row r="164" spans="1:16">
      <c r="A164" s="29" t="s">
        <v>8</v>
      </c>
      <c r="G164" s="72">
        <v>215000039</v>
      </c>
      <c r="H164" s="16"/>
      <c r="I164" s="16"/>
    </row>
    <row r="165" spans="1:16">
      <c r="A165" s="29" t="s">
        <v>13</v>
      </c>
      <c r="G165" s="72"/>
      <c r="H165" s="16"/>
      <c r="I165" s="16"/>
      <c r="N165" s="4"/>
    </row>
    <row r="166" spans="1:16" ht="13.5" thickBot="1">
      <c r="A166" s="29" t="s">
        <v>24</v>
      </c>
      <c r="G166" s="73">
        <v>45561</v>
      </c>
      <c r="H166" s="17"/>
      <c r="I166" s="17"/>
    </row>
    <row r="167" spans="1:16" ht="30" customHeight="1" thickBot="1">
      <c r="A167" s="28" t="s">
        <v>25</v>
      </c>
      <c r="B167" s="28" t="s">
        <v>26</v>
      </c>
      <c r="C167" s="28" t="s">
        <v>74</v>
      </c>
      <c r="D167" s="28" t="s">
        <v>27</v>
      </c>
      <c r="E167" s="28" t="s">
        <v>27</v>
      </c>
      <c r="F167" s="28"/>
      <c r="G167" s="28" t="s">
        <v>75</v>
      </c>
      <c r="H167" s="28" t="s">
        <v>76</v>
      </c>
      <c r="I167" s="28"/>
      <c r="J167" s="28" t="s">
        <v>29</v>
      </c>
      <c r="K167" s="28" t="s">
        <v>30</v>
      </c>
      <c r="L167" s="28" t="s">
        <v>77</v>
      </c>
      <c r="M167" s="28" t="s">
        <v>31</v>
      </c>
      <c r="N167" s="28" t="s">
        <v>32</v>
      </c>
      <c r="O167" s="137" t="s">
        <v>32</v>
      </c>
      <c r="P167" s="98" t="s">
        <v>64</v>
      </c>
    </row>
    <row r="168" spans="1:16">
      <c r="A168" s="134">
        <v>45565</v>
      </c>
      <c r="B168" s="106"/>
      <c r="C168" s="121">
        <v>0.28849999999999998</v>
      </c>
      <c r="D168" s="62">
        <f>(G164)</f>
        <v>215000039</v>
      </c>
      <c r="E168" s="62">
        <f t="shared" ref="E168:E173" si="48">IF(D168&gt;=0,D168,0)</f>
        <v>215000039</v>
      </c>
      <c r="F168" s="62">
        <f t="shared" ref="F168:F173" si="49">(B168-J168)</f>
        <v>0</v>
      </c>
      <c r="G168" s="62">
        <f t="shared" ref="G168:G173" si="50">IF(F168&gt;=E168,E168,F168)</f>
        <v>0</v>
      </c>
      <c r="H168" s="62">
        <f>IF(M168&gt;=B168,B168,M168)</f>
        <v>0</v>
      </c>
      <c r="I168" s="62">
        <f>(M168-H168)</f>
        <v>679753.54796164378</v>
      </c>
      <c r="J168" s="62">
        <f>(H168)</f>
        <v>0</v>
      </c>
      <c r="K168" s="63">
        <f>(A168-G166)</f>
        <v>4</v>
      </c>
      <c r="L168" s="63">
        <f t="shared" ref="L168:L173" si="51">IF(K168&gt;0,K168,0)</f>
        <v>4</v>
      </c>
      <c r="M168" s="62">
        <f>(E168*L168*C168)/365+$G$11</f>
        <v>679753.54796164378</v>
      </c>
      <c r="N168" s="62">
        <f>(D168+M168-B168)</f>
        <v>215679792.54796165</v>
      </c>
      <c r="O168" s="145">
        <f t="shared" ref="O168:O173" si="52">IF(A168&gt;0,N168,0)</f>
        <v>215679792.54796165</v>
      </c>
      <c r="P168" s="124">
        <v>1</v>
      </c>
    </row>
    <row r="169" spans="1:16" ht="13.5" thickBot="1">
      <c r="A169" s="134">
        <v>45568</v>
      </c>
      <c r="B169" s="106">
        <v>213481121</v>
      </c>
      <c r="C169" s="121">
        <v>0.28170000000000001</v>
      </c>
      <c r="D169" s="107">
        <f t="shared" ref="D169:D173" si="53">IF(O168&gt;=D168,D168,O168)</f>
        <v>215000039</v>
      </c>
      <c r="E169" s="111">
        <f t="shared" si="48"/>
        <v>215000039</v>
      </c>
      <c r="F169" s="108">
        <f t="shared" si="49"/>
        <v>212303568.73160303</v>
      </c>
      <c r="G169" s="108">
        <f t="shared" si="50"/>
        <v>212303568.73160303</v>
      </c>
      <c r="H169" s="108">
        <f>(I168+M169)</f>
        <v>1177552.2683969862</v>
      </c>
      <c r="I169" s="108">
        <f t="shared" ref="I169:I173" si="54">IF(H169&gt;=B169,B169,H169)</f>
        <v>1177552.2683969862</v>
      </c>
      <c r="J169" s="108">
        <f t="shared" ref="J169:J173" si="55">(I169)</f>
        <v>1177552.2683969862</v>
      </c>
      <c r="K169" s="109">
        <f t="shared" ref="K169:K173" si="56">(A169-A168)</f>
        <v>3</v>
      </c>
      <c r="L169" s="109">
        <f t="shared" si="51"/>
        <v>3</v>
      </c>
      <c r="M169" s="111">
        <f t="shared" ref="M169:M173" si="57">(E169*L169*C169)/365</f>
        <v>497798.72043534246</v>
      </c>
      <c r="N169" s="108">
        <f t="shared" ref="N169:N173" si="58">(N168+M169-B169)</f>
        <v>2696470.2683970034</v>
      </c>
      <c r="O169" s="208">
        <f t="shared" si="52"/>
        <v>2696470.2683970034</v>
      </c>
      <c r="P169" s="209">
        <v>2</v>
      </c>
    </row>
    <row r="170" spans="1:16">
      <c r="A170" s="134"/>
      <c r="B170" s="106"/>
      <c r="C170" s="121"/>
      <c r="D170" s="59">
        <f t="shared" si="53"/>
        <v>2696470.2683970034</v>
      </c>
      <c r="E170" s="59">
        <f t="shared" si="48"/>
        <v>2696470.2683970034</v>
      </c>
      <c r="F170" s="59">
        <f t="shared" si="49"/>
        <v>0</v>
      </c>
      <c r="G170" s="59">
        <f t="shared" si="50"/>
        <v>0</v>
      </c>
      <c r="H170" s="59">
        <f t="shared" ref="H170:H173" si="59">(H169+M170-I169)</f>
        <v>0</v>
      </c>
      <c r="I170" s="59">
        <f t="shared" si="54"/>
        <v>0</v>
      </c>
      <c r="J170" s="59">
        <f t="shared" si="55"/>
        <v>0</v>
      </c>
      <c r="K170" s="60">
        <f t="shared" si="56"/>
        <v>-45568</v>
      </c>
      <c r="L170" s="60">
        <f t="shared" si="51"/>
        <v>0</v>
      </c>
      <c r="M170" s="111">
        <f t="shared" si="57"/>
        <v>0</v>
      </c>
      <c r="N170" s="59">
        <f t="shared" si="58"/>
        <v>2696470.2683970034</v>
      </c>
      <c r="O170" s="123">
        <f t="shared" si="52"/>
        <v>0</v>
      </c>
      <c r="P170" s="124"/>
    </row>
    <row r="171" spans="1:16">
      <c r="A171" s="134"/>
      <c r="B171" s="106"/>
      <c r="C171" s="121"/>
      <c r="D171" s="59">
        <f t="shared" si="53"/>
        <v>0</v>
      </c>
      <c r="E171" s="59">
        <f t="shared" si="48"/>
        <v>0</v>
      </c>
      <c r="F171" s="59">
        <f t="shared" si="49"/>
        <v>0</v>
      </c>
      <c r="G171" s="59">
        <f t="shared" si="50"/>
        <v>0</v>
      </c>
      <c r="H171" s="59">
        <f t="shared" si="59"/>
        <v>0</v>
      </c>
      <c r="I171" s="59">
        <f t="shared" si="54"/>
        <v>0</v>
      </c>
      <c r="J171" s="59">
        <f t="shared" si="55"/>
        <v>0</v>
      </c>
      <c r="K171" s="60">
        <f t="shared" si="56"/>
        <v>0</v>
      </c>
      <c r="L171" s="60">
        <f t="shared" si="51"/>
        <v>0</v>
      </c>
      <c r="M171" s="59">
        <f t="shared" si="57"/>
        <v>0</v>
      </c>
      <c r="N171" s="59">
        <f t="shared" si="58"/>
        <v>2696470.2683970034</v>
      </c>
      <c r="O171" s="207">
        <f t="shared" si="52"/>
        <v>0</v>
      </c>
      <c r="P171" s="129"/>
    </row>
    <row r="172" spans="1:16" ht="13.5" thickBot="1">
      <c r="A172" s="134"/>
      <c r="B172" s="106"/>
      <c r="C172" s="121"/>
      <c r="D172" s="59">
        <f t="shared" si="53"/>
        <v>0</v>
      </c>
      <c r="E172" s="59">
        <f t="shared" si="48"/>
        <v>0</v>
      </c>
      <c r="F172" s="59">
        <f t="shared" si="49"/>
        <v>0</v>
      </c>
      <c r="G172" s="59">
        <f t="shared" si="50"/>
        <v>0</v>
      </c>
      <c r="H172" s="59">
        <f t="shared" si="59"/>
        <v>0</v>
      </c>
      <c r="I172" s="59">
        <f t="shared" si="54"/>
        <v>0</v>
      </c>
      <c r="J172" s="59">
        <f t="shared" si="55"/>
        <v>0</v>
      </c>
      <c r="K172" s="60">
        <f t="shared" si="56"/>
        <v>0</v>
      </c>
      <c r="L172" s="60">
        <f t="shared" si="51"/>
        <v>0</v>
      </c>
      <c r="M172" s="59">
        <f t="shared" si="57"/>
        <v>0</v>
      </c>
      <c r="N172" s="59">
        <f t="shared" si="58"/>
        <v>2696470.2683970034</v>
      </c>
      <c r="O172" s="123">
        <f t="shared" si="52"/>
        <v>0</v>
      </c>
      <c r="P172" s="125"/>
    </row>
    <row r="173" spans="1:16" ht="13.5" thickBot="1">
      <c r="A173" s="134"/>
      <c r="B173" s="106"/>
      <c r="C173" s="121"/>
      <c r="D173" s="59">
        <f t="shared" si="53"/>
        <v>0</v>
      </c>
      <c r="E173" s="59">
        <f t="shared" si="48"/>
        <v>0</v>
      </c>
      <c r="F173" s="59">
        <f t="shared" si="49"/>
        <v>0</v>
      </c>
      <c r="G173" s="59">
        <f t="shared" si="50"/>
        <v>0</v>
      </c>
      <c r="H173" s="59">
        <f t="shared" si="59"/>
        <v>0</v>
      </c>
      <c r="I173" s="59">
        <f t="shared" si="54"/>
        <v>0</v>
      </c>
      <c r="J173" s="59">
        <f t="shared" si="55"/>
        <v>0</v>
      </c>
      <c r="K173" s="60">
        <f t="shared" si="56"/>
        <v>0</v>
      </c>
      <c r="L173" s="60">
        <f t="shared" si="51"/>
        <v>0</v>
      </c>
      <c r="M173" s="59">
        <f t="shared" si="57"/>
        <v>0</v>
      </c>
      <c r="N173" s="59">
        <f t="shared" si="58"/>
        <v>2696470.2683970034</v>
      </c>
      <c r="O173" s="123">
        <f t="shared" si="52"/>
        <v>0</v>
      </c>
      <c r="P173" s="124"/>
    </row>
    <row r="174" spans="1:16" ht="13.5" thickBot="1">
      <c r="A174" s="81" t="s">
        <v>33</v>
      </c>
      <c r="B174" s="82">
        <f>SUM(B168:B171)</f>
        <v>213481121</v>
      </c>
      <c r="C174" s="82"/>
      <c r="D174" s="83"/>
      <c r="E174" s="82"/>
      <c r="F174" s="83"/>
      <c r="G174" s="82">
        <f>SUM(G168:G171)</f>
        <v>212303568.73160303</v>
      </c>
      <c r="H174" s="82"/>
      <c r="I174" s="82"/>
      <c r="J174" s="82">
        <f>SUM(J168:J171)</f>
        <v>1177552.2683969862</v>
      </c>
      <c r="K174" s="82"/>
      <c r="L174" s="82"/>
      <c r="M174" s="82">
        <f>SUM(M168:M173)</f>
        <v>1177552.2683969862</v>
      </c>
      <c r="N174" s="83"/>
      <c r="O174" s="82"/>
      <c r="P174" s="64"/>
    </row>
    <row r="175" spans="1:16">
      <c r="A175" s="71"/>
      <c r="E175" s="66"/>
      <c r="M175" s="102"/>
    </row>
    <row r="176" spans="1:16">
      <c r="A176" s="61" t="s">
        <v>17</v>
      </c>
      <c r="M176" s="101"/>
      <c r="O176" s="101"/>
    </row>
    <row r="177" spans="1:16">
      <c r="A177" s="61"/>
      <c r="C177" s="117"/>
      <c r="G177" s="117" t="s">
        <v>9</v>
      </c>
      <c r="H177" s="117"/>
      <c r="I177" s="117"/>
      <c r="J177" s="128" t="s">
        <v>34</v>
      </c>
      <c r="K177" s="117"/>
      <c r="L177" s="117" t="s">
        <v>35</v>
      </c>
      <c r="M177" s="101"/>
    </row>
    <row r="178" spans="1:16" ht="15">
      <c r="A178" s="55" t="s">
        <v>83</v>
      </c>
      <c r="C178" s="66"/>
      <c r="E178" s="112"/>
      <c r="G178" s="66">
        <v>1000000000</v>
      </c>
      <c r="J178" s="66"/>
      <c r="M178" s="101"/>
    </row>
    <row r="179" spans="1:16" ht="15">
      <c r="A179" s="71" t="s">
        <v>78</v>
      </c>
      <c r="B179" s="56"/>
      <c r="C179" s="122"/>
      <c r="D179" s="55"/>
      <c r="E179" s="113"/>
      <c r="G179" s="66"/>
      <c r="J179" s="66"/>
      <c r="M179" s="101"/>
    </row>
    <row r="180" spans="1:16" ht="15">
      <c r="A180" s="71" t="s">
        <v>145</v>
      </c>
      <c r="B180" s="56"/>
      <c r="C180" s="122"/>
      <c r="D180" s="55"/>
      <c r="E180" s="113"/>
      <c r="G180" s="66">
        <f>G178*21.5000039/100</f>
        <v>215000039</v>
      </c>
      <c r="J180" s="66"/>
    </row>
    <row r="181" spans="1:16" ht="15.75">
      <c r="A181" s="61" t="s">
        <v>80</v>
      </c>
      <c r="B181" s="55"/>
      <c r="C181" s="133"/>
      <c r="D181" s="1"/>
      <c r="E181" s="66"/>
      <c r="G181" s="206">
        <f>G180</f>
        <v>215000039</v>
      </c>
      <c r="J181" s="66"/>
      <c r="K181" s="102"/>
      <c r="L181" s="66"/>
      <c r="M181" s="101"/>
    </row>
    <row r="182" spans="1:16" ht="15.75">
      <c r="A182" s="139" t="s">
        <v>151</v>
      </c>
      <c r="B182" s="55"/>
      <c r="C182" s="133"/>
      <c r="D182" s="1"/>
      <c r="E182" s="66"/>
      <c r="G182" s="215">
        <v>212303568.72999999</v>
      </c>
      <c r="J182" s="154">
        <v>1177552.27</v>
      </c>
      <c r="K182" s="102"/>
      <c r="L182" s="148">
        <f>SUM(G182:K182)</f>
        <v>213481121</v>
      </c>
      <c r="M182" s="264"/>
    </row>
    <row r="183" spans="1:16" ht="18">
      <c r="A183" s="55" t="s">
        <v>248</v>
      </c>
      <c r="B183" s="55"/>
      <c r="C183" s="272"/>
      <c r="D183" s="1"/>
      <c r="E183" s="66"/>
      <c r="G183" s="431">
        <f>+G181-G182</f>
        <v>2696470.2700000107</v>
      </c>
      <c r="J183" s="66"/>
      <c r="K183" s="102"/>
      <c r="L183" s="66"/>
      <c r="M183" s="101"/>
    </row>
    <row r="184" spans="1:16" ht="15.75">
      <c r="A184" s="55"/>
      <c r="B184" s="55"/>
      <c r="C184" s="272"/>
      <c r="D184" s="1"/>
      <c r="E184" s="66"/>
      <c r="G184" s="272"/>
      <c r="J184" s="66"/>
      <c r="K184" s="102"/>
      <c r="L184" s="66"/>
      <c r="M184" s="101"/>
    </row>
    <row r="185" spans="1:16" ht="15.75">
      <c r="A185" s="55"/>
      <c r="B185" s="55"/>
      <c r="C185" s="272"/>
      <c r="D185" s="1"/>
      <c r="E185" s="66"/>
      <c r="G185" s="272"/>
      <c r="J185" s="66"/>
      <c r="K185" s="102"/>
      <c r="L185" s="66"/>
      <c r="M185" s="101"/>
    </row>
    <row r="186" spans="1:16" ht="15.75">
      <c r="A186" s="55"/>
      <c r="B186" s="55"/>
      <c r="C186" s="272"/>
      <c r="D186" s="1"/>
      <c r="E186" s="66"/>
      <c r="G186" s="272"/>
      <c r="J186" s="66"/>
      <c r="K186" s="102"/>
      <c r="L186" s="66"/>
      <c r="M186" s="101"/>
    </row>
    <row r="187" spans="1:16" ht="15.75">
      <c r="A187" s="55"/>
      <c r="B187" s="55"/>
      <c r="C187" s="272"/>
      <c r="D187" s="1"/>
      <c r="E187" s="66"/>
      <c r="G187" s="272"/>
      <c r="J187" s="66"/>
      <c r="K187" s="102"/>
      <c r="L187" s="66"/>
      <c r="M187" s="101"/>
    </row>
    <row r="188" spans="1:16" ht="15.75">
      <c r="A188" s="55"/>
      <c r="B188" s="55"/>
      <c r="C188" s="272"/>
      <c r="D188" s="1"/>
      <c r="E188" s="66"/>
      <c r="G188" s="272"/>
      <c r="J188" s="66"/>
      <c r="K188" s="102"/>
      <c r="L188" s="66"/>
      <c r="M188" s="101"/>
    </row>
    <row r="189" spans="1:16" ht="15.75">
      <c r="A189" s="71"/>
      <c r="B189" s="55"/>
      <c r="C189" s="133"/>
      <c r="D189" s="1"/>
      <c r="E189" s="66"/>
      <c r="G189" s="66"/>
      <c r="J189" s="3"/>
      <c r="K189" s="102"/>
    </row>
    <row r="190" spans="1:16" ht="15">
      <c r="A190" s="325" t="s">
        <v>0</v>
      </c>
      <c r="B190" s="325"/>
      <c r="C190" s="325"/>
      <c r="D190" s="325"/>
      <c r="E190" s="325"/>
      <c r="F190" s="325"/>
      <c r="G190" s="325"/>
      <c r="H190" s="325"/>
      <c r="I190" s="325"/>
      <c r="J190" s="325"/>
      <c r="K190" s="325"/>
      <c r="L190" s="325"/>
      <c r="M190" s="325"/>
      <c r="N190" s="325"/>
      <c r="O190" s="325"/>
      <c r="P190" s="325"/>
    </row>
    <row r="191" spans="1:16" ht="15">
      <c r="A191" s="325" t="s">
        <v>1</v>
      </c>
      <c r="B191" s="325"/>
      <c r="C191" s="325"/>
      <c r="D191" s="325"/>
      <c r="E191" s="325"/>
      <c r="F191" s="325"/>
      <c r="G191" s="325"/>
      <c r="H191" s="325"/>
      <c r="I191" s="325"/>
      <c r="J191" s="325"/>
      <c r="K191" s="325"/>
      <c r="L191" s="325"/>
      <c r="M191" s="325"/>
      <c r="N191" s="325"/>
      <c r="O191" s="325"/>
      <c r="P191" s="325"/>
    </row>
    <row r="192" spans="1:16" ht="15">
      <c r="A192" s="325" t="s">
        <v>69</v>
      </c>
      <c r="B192" s="325"/>
      <c r="C192" s="325"/>
      <c r="D192" s="325"/>
      <c r="E192" s="325"/>
      <c r="F192" s="325"/>
      <c r="G192" s="325"/>
      <c r="H192" s="325"/>
      <c r="I192" s="325"/>
      <c r="J192" s="325"/>
      <c r="K192" s="325"/>
      <c r="L192" s="325"/>
      <c r="M192" s="325"/>
      <c r="N192" s="325"/>
      <c r="O192" s="325"/>
      <c r="P192" s="325"/>
    </row>
    <row r="193" spans="1:16" ht="15">
      <c r="A193" s="325" t="s">
        <v>70</v>
      </c>
      <c r="B193" s="325"/>
      <c r="C193" s="325"/>
      <c r="D193" s="325"/>
      <c r="E193" s="325"/>
      <c r="F193" s="325"/>
      <c r="G193" s="325"/>
      <c r="H193" s="325"/>
      <c r="I193" s="325"/>
      <c r="J193" s="325"/>
      <c r="K193" s="325"/>
      <c r="L193" s="325"/>
      <c r="M193" s="325"/>
      <c r="N193" s="325"/>
      <c r="O193" s="325"/>
      <c r="P193" s="325"/>
    </row>
    <row r="194" spans="1:16" ht="15.75" thickBot="1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</row>
    <row r="195" spans="1:16" ht="15.75" thickBot="1">
      <c r="A195" s="55" t="s">
        <v>4</v>
      </c>
      <c r="B195" s="56"/>
      <c r="C195" s="56"/>
      <c r="D195" s="97"/>
      <c r="E195" s="297" t="s">
        <v>40</v>
      </c>
      <c r="F195" s="298"/>
      <c r="G195" s="298"/>
      <c r="H195" s="298"/>
      <c r="I195" s="298"/>
      <c r="J195" s="298"/>
      <c r="K195" s="57"/>
      <c r="L195" s="57"/>
      <c r="M195" s="57"/>
      <c r="N195" s="56"/>
    </row>
    <row r="196" spans="1:16" ht="16.5" thickBot="1">
      <c r="A196" s="1" t="s">
        <v>5</v>
      </c>
      <c r="B196" s="58"/>
      <c r="C196" s="58"/>
      <c r="D196" s="76"/>
      <c r="E196" s="322" t="s">
        <v>89</v>
      </c>
      <c r="F196" s="323"/>
      <c r="G196" s="323"/>
      <c r="H196" s="323"/>
      <c r="I196" s="323"/>
      <c r="J196" s="323"/>
      <c r="K196" s="323"/>
      <c r="L196" s="323"/>
      <c r="M196" s="323"/>
      <c r="N196" s="323"/>
      <c r="O196" s="323"/>
      <c r="P196" s="324"/>
    </row>
    <row r="197" spans="1:16">
      <c r="A197" s="29" t="s">
        <v>10</v>
      </c>
      <c r="G197" s="69">
        <v>45530</v>
      </c>
      <c r="H197" s="14"/>
      <c r="I197" s="14"/>
    </row>
    <row r="198" spans="1:16" ht="15">
      <c r="A198" s="29"/>
      <c r="G198" s="12"/>
      <c r="H198" s="15"/>
      <c r="I198" s="15"/>
      <c r="J198" s="55" t="s">
        <v>234</v>
      </c>
      <c r="N198" s="4"/>
    </row>
    <row r="199" spans="1:16">
      <c r="A199" s="29" t="s">
        <v>8</v>
      </c>
      <c r="G199" s="72">
        <v>2696470.27</v>
      </c>
      <c r="H199" s="16"/>
      <c r="I199" s="16"/>
    </row>
    <row r="200" spans="1:16">
      <c r="A200" s="29" t="s">
        <v>13</v>
      </c>
      <c r="G200" s="72"/>
      <c r="H200" s="16"/>
      <c r="I200" s="16"/>
      <c r="N200" s="4"/>
    </row>
    <row r="201" spans="1:16" ht="13.5" thickBot="1">
      <c r="A201" s="29" t="s">
        <v>24</v>
      </c>
      <c r="G201" s="73">
        <v>45561</v>
      </c>
      <c r="H201" s="17"/>
      <c r="I201" s="17"/>
    </row>
    <row r="202" spans="1:16" ht="23.25" customHeight="1" thickBot="1">
      <c r="A202" s="28" t="s">
        <v>25</v>
      </c>
      <c r="B202" s="28" t="s">
        <v>26</v>
      </c>
      <c r="C202" s="28" t="s">
        <v>74</v>
      </c>
      <c r="D202" s="28" t="s">
        <v>27</v>
      </c>
      <c r="E202" s="28" t="s">
        <v>27</v>
      </c>
      <c r="F202" s="28"/>
      <c r="G202" s="28" t="s">
        <v>75</v>
      </c>
      <c r="H202" s="28" t="s">
        <v>76</v>
      </c>
      <c r="I202" s="28"/>
      <c r="J202" s="28" t="s">
        <v>29</v>
      </c>
      <c r="K202" s="28" t="s">
        <v>30</v>
      </c>
      <c r="L202" s="28" t="s">
        <v>77</v>
      </c>
      <c r="M202" s="28" t="s">
        <v>31</v>
      </c>
      <c r="N202" s="28" t="s">
        <v>32</v>
      </c>
      <c r="O202" s="137" t="s">
        <v>32</v>
      </c>
      <c r="P202" s="98" t="s">
        <v>64</v>
      </c>
    </row>
    <row r="203" spans="1:16">
      <c r="A203" s="134">
        <v>45565</v>
      </c>
      <c r="B203" s="106"/>
      <c r="C203" s="121">
        <v>0.28849999999999998</v>
      </c>
      <c r="D203" s="62">
        <f>(G199)</f>
        <v>2696470.27</v>
      </c>
      <c r="E203" s="62">
        <f t="shared" ref="E203:E209" si="60">IF(D203&gt;=0,D203,0)</f>
        <v>2696470.27</v>
      </c>
      <c r="F203" s="62">
        <f t="shared" ref="F203:F209" si="61">(B203-J203)</f>
        <v>0</v>
      </c>
      <c r="G203" s="62">
        <f t="shared" ref="G203:G209" si="62">IF(F203&gt;=E203,E203,F203)</f>
        <v>0</v>
      </c>
      <c r="H203" s="62">
        <f>IF(M203&gt;=B203,B203,M203)</f>
        <v>0</v>
      </c>
      <c r="I203" s="62">
        <f>(M203-H203)</f>
        <v>8525.2786070684924</v>
      </c>
      <c r="J203" s="62">
        <f>(H203)</f>
        <v>0</v>
      </c>
      <c r="K203" s="63">
        <f>(A203-G201)</f>
        <v>4</v>
      </c>
      <c r="L203" s="63">
        <f t="shared" ref="L203:L209" si="63">IF(K203&gt;0,K203,0)</f>
        <v>4</v>
      </c>
      <c r="M203" s="62">
        <f>(E203*L203*C203)/365+$G$11</f>
        <v>8525.2786070684924</v>
      </c>
      <c r="N203" s="62">
        <f>(D203+M203-B203)</f>
        <v>2704995.5486070686</v>
      </c>
      <c r="O203" s="145">
        <f t="shared" ref="O203:O209" si="64">IF(A203&gt;0,N203,0)</f>
        <v>2704995.5486070686</v>
      </c>
      <c r="P203" s="124">
        <v>1</v>
      </c>
    </row>
    <row r="204" spans="1:16" ht="13.5" thickBot="1">
      <c r="A204" s="134">
        <v>45596</v>
      </c>
      <c r="B204" s="106"/>
      <c r="C204" s="121">
        <v>0.28170000000000001</v>
      </c>
      <c r="D204" s="107">
        <f t="shared" ref="D204:D209" si="65">IF(O203&gt;=D203,D203,O203)</f>
        <v>2696470.27</v>
      </c>
      <c r="E204" s="111">
        <f t="shared" si="60"/>
        <v>2696470.27</v>
      </c>
      <c r="F204" s="108">
        <f t="shared" si="61"/>
        <v>0</v>
      </c>
      <c r="G204" s="108">
        <f t="shared" si="62"/>
        <v>0</v>
      </c>
      <c r="H204" s="108">
        <f>(I203+M204)</f>
        <v>73038.883886052063</v>
      </c>
      <c r="I204" s="108">
        <f t="shared" ref="I204:I209" si="66">IF(H204&gt;=B204,B204,H204)</f>
        <v>0</v>
      </c>
      <c r="J204" s="108">
        <f t="shared" ref="J204:J209" si="67">(I204)</f>
        <v>0</v>
      </c>
      <c r="K204" s="109">
        <f t="shared" ref="K204:K209" si="68">(A204-A203)</f>
        <v>31</v>
      </c>
      <c r="L204" s="109">
        <f t="shared" si="63"/>
        <v>31</v>
      </c>
      <c r="M204" s="111">
        <f t="shared" ref="M204:M209" si="69">(E204*L204*C204)/365</f>
        <v>64513.605278983567</v>
      </c>
      <c r="N204" s="108">
        <f t="shared" ref="N204:N209" si="70">(N203+M204-B204)</f>
        <v>2769509.1538860523</v>
      </c>
      <c r="O204" s="123">
        <f t="shared" si="64"/>
        <v>2769509.1538860523</v>
      </c>
      <c r="P204" s="125">
        <v>2</v>
      </c>
    </row>
    <row r="205" spans="1:16">
      <c r="A205" s="134">
        <v>45625</v>
      </c>
      <c r="B205" s="106"/>
      <c r="C205" s="121">
        <v>0.27900000000000003</v>
      </c>
      <c r="D205" s="59">
        <f t="shared" si="65"/>
        <v>2696470.27</v>
      </c>
      <c r="E205" s="59">
        <f t="shared" si="60"/>
        <v>2696470.27</v>
      </c>
      <c r="F205" s="59">
        <f t="shared" si="61"/>
        <v>0</v>
      </c>
      <c r="G205" s="59">
        <f t="shared" si="62"/>
        <v>0</v>
      </c>
      <c r="H205" s="59">
        <f t="shared" ref="H205:H209" si="71">(H204+M205-I204)</f>
        <v>132811.87280268222</v>
      </c>
      <c r="I205" s="59">
        <f t="shared" si="66"/>
        <v>0</v>
      </c>
      <c r="J205" s="59">
        <f t="shared" si="67"/>
        <v>0</v>
      </c>
      <c r="K205" s="60">
        <f t="shared" si="68"/>
        <v>29</v>
      </c>
      <c r="L205" s="60">
        <f t="shared" si="63"/>
        <v>29</v>
      </c>
      <c r="M205" s="111">
        <f t="shared" si="69"/>
        <v>59772.988916630144</v>
      </c>
      <c r="N205" s="59">
        <f t="shared" si="70"/>
        <v>2829282.1428026822</v>
      </c>
      <c r="O205" s="146">
        <f t="shared" si="64"/>
        <v>2829282.1428026822</v>
      </c>
      <c r="P205" s="124">
        <v>3</v>
      </c>
    </row>
    <row r="206" spans="1:16">
      <c r="A206" s="134"/>
      <c r="B206" s="106"/>
      <c r="C206" s="121"/>
      <c r="D206" s="59">
        <f t="shared" si="65"/>
        <v>2696470.27</v>
      </c>
      <c r="E206" s="59">
        <f t="shared" si="60"/>
        <v>2696470.27</v>
      </c>
      <c r="F206" s="59">
        <f t="shared" si="61"/>
        <v>0</v>
      </c>
      <c r="G206" s="59">
        <f t="shared" si="62"/>
        <v>0</v>
      </c>
      <c r="H206" s="59">
        <f t="shared" si="71"/>
        <v>132811.87280268222</v>
      </c>
      <c r="I206" s="59">
        <f t="shared" si="66"/>
        <v>0</v>
      </c>
      <c r="J206" s="59">
        <f t="shared" si="67"/>
        <v>0</v>
      </c>
      <c r="K206" s="60">
        <f t="shared" si="68"/>
        <v>-45625</v>
      </c>
      <c r="L206" s="60">
        <f t="shared" si="63"/>
        <v>0</v>
      </c>
      <c r="M206" s="59">
        <f t="shared" si="69"/>
        <v>0</v>
      </c>
      <c r="N206" s="59">
        <f t="shared" si="70"/>
        <v>2829282.1428026822</v>
      </c>
      <c r="O206" s="123">
        <f t="shared" si="64"/>
        <v>0</v>
      </c>
      <c r="P206" s="125"/>
    </row>
    <row r="207" spans="1:16" ht="13.5" thickBot="1">
      <c r="A207" s="134"/>
      <c r="B207" s="106"/>
      <c r="C207" s="121"/>
      <c r="D207" s="59">
        <f t="shared" si="65"/>
        <v>0</v>
      </c>
      <c r="E207" s="59">
        <f t="shared" si="60"/>
        <v>0</v>
      </c>
      <c r="F207" s="59">
        <f t="shared" si="61"/>
        <v>0</v>
      </c>
      <c r="G207" s="59">
        <f t="shared" si="62"/>
        <v>0</v>
      </c>
      <c r="H207" s="59">
        <f t="shared" si="71"/>
        <v>132811.87280268222</v>
      </c>
      <c r="I207" s="59">
        <f t="shared" si="66"/>
        <v>0</v>
      </c>
      <c r="J207" s="59">
        <f t="shared" si="67"/>
        <v>0</v>
      </c>
      <c r="K207" s="60">
        <f t="shared" si="68"/>
        <v>0</v>
      </c>
      <c r="L207" s="60">
        <f t="shared" si="63"/>
        <v>0</v>
      </c>
      <c r="M207" s="59">
        <f t="shared" si="69"/>
        <v>0</v>
      </c>
      <c r="N207" s="59">
        <f t="shared" si="70"/>
        <v>2829282.1428026822</v>
      </c>
      <c r="O207" s="123">
        <f t="shared" si="64"/>
        <v>0</v>
      </c>
      <c r="P207" s="125"/>
    </row>
    <row r="208" spans="1:16">
      <c r="A208" s="134"/>
      <c r="B208" s="106"/>
      <c r="C208" s="121"/>
      <c r="D208" s="59">
        <f t="shared" si="65"/>
        <v>0</v>
      </c>
      <c r="E208" s="59">
        <f t="shared" si="60"/>
        <v>0</v>
      </c>
      <c r="F208" s="59">
        <f t="shared" si="61"/>
        <v>0</v>
      </c>
      <c r="G208" s="59">
        <f t="shared" si="62"/>
        <v>0</v>
      </c>
      <c r="H208" s="59">
        <f t="shared" si="71"/>
        <v>132811.87280268222</v>
      </c>
      <c r="I208" s="59">
        <f t="shared" si="66"/>
        <v>0</v>
      </c>
      <c r="J208" s="59">
        <f t="shared" si="67"/>
        <v>0</v>
      </c>
      <c r="K208" s="60">
        <f t="shared" si="68"/>
        <v>0</v>
      </c>
      <c r="L208" s="60">
        <f t="shared" si="63"/>
        <v>0</v>
      </c>
      <c r="M208" s="59">
        <f t="shared" si="69"/>
        <v>0</v>
      </c>
      <c r="N208" s="59">
        <f t="shared" si="70"/>
        <v>2829282.1428026822</v>
      </c>
      <c r="O208" s="123">
        <f t="shared" si="64"/>
        <v>0</v>
      </c>
      <c r="P208" s="124"/>
    </row>
    <row r="209" spans="1:16" ht="13.5" thickBot="1">
      <c r="A209" s="134"/>
      <c r="B209" s="106"/>
      <c r="C209" s="121"/>
      <c r="D209" s="59">
        <f t="shared" si="65"/>
        <v>0</v>
      </c>
      <c r="E209" s="59">
        <f t="shared" si="60"/>
        <v>0</v>
      </c>
      <c r="F209" s="59">
        <f t="shared" si="61"/>
        <v>0</v>
      </c>
      <c r="G209" s="59">
        <f t="shared" si="62"/>
        <v>0</v>
      </c>
      <c r="H209" s="59">
        <f t="shared" si="71"/>
        <v>132811.87280268222</v>
      </c>
      <c r="I209" s="59">
        <f t="shared" si="66"/>
        <v>0</v>
      </c>
      <c r="J209" s="59">
        <f t="shared" si="67"/>
        <v>0</v>
      </c>
      <c r="K209" s="60">
        <f t="shared" si="68"/>
        <v>0</v>
      </c>
      <c r="L209" s="60">
        <f t="shared" si="63"/>
        <v>0</v>
      </c>
      <c r="M209" s="59">
        <f t="shared" si="69"/>
        <v>0</v>
      </c>
      <c r="N209" s="59">
        <f t="shared" si="70"/>
        <v>2829282.1428026822</v>
      </c>
      <c r="O209" s="123">
        <f t="shared" si="64"/>
        <v>0</v>
      </c>
      <c r="P209" s="129"/>
    </row>
    <row r="210" spans="1:16" ht="13.5" thickBot="1">
      <c r="A210" s="81" t="s">
        <v>33</v>
      </c>
      <c r="B210" s="82">
        <f>SUM(B203:B206)</f>
        <v>0</v>
      </c>
      <c r="C210" s="82"/>
      <c r="D210" s="83"/>
      <c r="E210" s="82"/>
      <c r="F210" s="83"/>
      <c r="G210" s="82">
        <f>SUM(G203:G206)</f>
        <v>0</v>
      </c>
      <c r="H210" s="82"/>
      <c r="I210" s="82"/>
      <c r="J210" s="82">
        <f>SUM(J203:J206)</f>
        <v>0</v>
      </c>
      <c r="K210" s="82"/>
      <c r="L210" s="82"/>
      <c r="M210" s="82">
        <f>SUM(M203:M209)</f>
        <v>132811.87280268222</v>
      </c>
      <c r="N210" s="83"/>
      <c r="O210" s="82"/>
      <c r="P210" s="64"/>
    </row>
    <row r="211" spans="1:16">
      <c r="A211" s="61" t="s">
        <v>17</v>
      </c>
    </row>
    <row r="212" spans="1:16">
      <c r="M212" s="101"/>
    </row>
    <row r="213" spans="1:16">
      <c r="A213" s="61"/>
      <c r="C213" s="117"/>
      <c r="G213" s="117" t="s">
        <v>9</v>
      </c>
      <c r="H213" s="117"/>
      <c r="I213" s="117"/>
      <c r="J213" s="117" t="s">
        <v>34</v>
      </c>
      <c r="K213" s="117"/>
      <c r="L213" s="117" t="s">
        <v>35</v>
      </c>
      <c r="M213" s="101">
        <f>+M210+E205</f>
        <v>2829282.1428026822</v>
      </c>
    </row>
    <row r="214" spans="1:16">
      <c r="A214" s="61" t="s">
        <v>175</v>
      </c>
      <c r="C214" s="66"/>
      <c r="G214" s="66">
        <v>1177591.27</v>
      </c>
    </row>
    <row r="215" spans="1:16">
      <c r="A215" s="71" t="s">
        <v>172</v>
      </c>
    </row>
    <row r="216" spans="1:16">
      <c r="A216" s="132" t="s">
        <v>149</v>
      </c>
      <c r="B216" s="132"/>
    </row>
    <row r="217" spans="1:16">
      <c r="M217" s="101">
        <f>+G15+G93+G169</f>
        <v>450602376.99848843</v>
      </c>
      <c r="O217" s="101">
        <f>+J15+J93+J169</f>
        <v>3297146.3515115613</v>
      </c>
      <c r="P217" s="101">
        <f>SUM(M217:O217)</f>
        <v>453899523.34999996</v>
      </c>
    </row>
    <row r="219" spans="1:16" ht="15">
      <c r="A219" s="211" t="s">
        <v>232</v>
      </c>
      <c r="B219" s="211"/>
      <c r="C219" s="211"/>
      <c r="D219" s="211"/>
      <c r="E219" s="240">
        <v>2829282.1428026822</v>
      </c>
    </row>
    <row r="226" spans="1:10" ht="15.75">
      <c r="J226" s="1" t="s">
        <v>37</v>
      </c>
    </row>
    <row r="227" spans="1:10" ht="15.75">
      <c r="A227" s="56" t="s">
        <v>38</v>
      </c>
      <c r="G227" s="1"/>
      <c r="J227" s="56" t="s">
        <v>235</v>
      </c>
    </row>
    <row r="228" spans="1:10" ht="15.75">
      <c r="A228" s="56"/>
      <c r="G228" s="1"/>
      <c r="J228" s="56"/>
    </row>
    <row r="229" spans="1:10" ht="15.75">
      <c r="A229" s="56"/>
      <c r="G229" s="1"/>
      <c r="J229" s="56"/>
    </row>
    <row r="230" spans="1:10" ht="15.75">
      <c r="A230" s="56"/>
      <c r="G230" s="1"/>
      <c r="J230" s="56"/>
    </row>
    <row r="231" spans="1:10" ht="15.75">
      <c r="A231" s="56"/>
      <c r="G231" s="1"/>
      <c r="J231" s="56"/>
    </row>
    <row r="232" spans="1:10" ht="15.75">
      <c r="A232" s="56"/>
      <c r="G232" s="1"/>
      <c r="J232" s="56"/>
    </row>
  </sheetData>
  <protectedRanges>
    <protectedRange password="CC03" sqref="D6:D7 D42:D43 D119:D120 D195:D196" name="Rango1_2" securityDescriptor="O:WDG:WDD:(A;;CC;;;WD)"/>
    <protectedRange password="CC03" sqref="B92:B93 B168:B169 B50:B56 B127:B133 B14:B20 B203:B209" name="Rango1_5_1_1_1" securityDescriptor="O:WDG:WDD:(A;;CC;;;WD)"/>
    <protectedRange password="CC03" sqref="C53 C130 C206" name="Rango1_1_1_1_1" securityDescriptor="O:WDG:WDD:(A;;CC;;;WD)"/>
    <protectedRange password="CC03" sqref="A92:A93 A168:A169 A50:A56 A127:A133 A14:A20 A203:A209" name="Rango1_4_1_1_1" securityDescriptor="O:WDG:WDD:(A;;CC;;;WD)"/>
    <protectedRange password="CC03" sqref="C18:C20 C92 C168:C169 C14 C54:C56 C50 C131:C133 C127 C207:C209 C203" name="Rango1_1_1_1_1_1" securityDescriptor="O:WDG:WDD:(A;;CC;;;WD)"/>
    <protectedRange password="CC03" sqref="G9:G11 G45:G47 G122:G124 G198:G200" name="Rango1_3_1_1" securityDescriptor="O:WDG:WDD:(A;;CC;;;WD)"/>
    <protectedRange password="CC03" sqref="G8 G44 G121 G197" name="Rango1_1_1_2_1" securityDescriptor="O:WDG:WDD:(A;;CC;;;WD)"/>
    <protectedRange password="CC03" sqref="G12 G48 G125 G201" name="Rango1_3_1_1_1" securityDescriptor="O:WDG:WDD:(A;;CC;;;WD)"/>
    <protectedRange password="CC03" sqref="D84:D85 D160:D161" name="Rango1_2_1" securityDescriptor="O:WDG:WDD:(A;;CC;;;WD)"/>
    <protectedRange password="CC03" sqref="B94:B97 B170:B173" name="Rango1_5_1_1_1_1" securityDescriptor="O:WDG:WDD:(A;;CC;;;WD)"/>
    <protectedRange password="CC03" sqref="C95 C171" name="Rango1_1_1_1_1_2" securityDescriptor="O:WDG:WDD:(A;;CC;;;WD)"/>
    <protectedRange password="CC03" sqref="A94:A97 A170:A173" name="Rango1_4_1_1_1_1" securityDescriptor="O:WDG:WDD:(A;;CC;;;WD)"/>
    <protectedRange password="CC03" sqref="C96:C97 C170 C172:C173" name="Rango1_1_1_1_1_1_1" securityDescriptor="O:WDG:WDD:(A;;CC;;;WD)"/>
    <protectedRange password="CC03" sqref="G87:G90 G163:G166" name="Rango1_3_1_1_2" securityDescriptor="O:WDG:WDD:(A;;CC;;;WD)"/>
    <protectedRange password="CC03" sqref="G86 G162" name="Rango1_1_1_2_1_1" securityDescriptor="O:WDG:WDD:(A;;CC;;;WD)"/>
    <protectedRange password="CC03" sqref="C93:C94 C51:C52 C128:C129 C15:C17 C204:C205" name="Rango1_1_1_1_1_1_2" securityDescriptor="O:WDG:WDD:(A;;CC;;;WD)"/>
  </protectedRanges>
  <mergeCells count="36">
    <mergeCell ref="E160:J160"/>
    <mergeCell ref="E161:P161"/>
    <mergeCell ref="E85:P85"/>
    <mergeCell ref="A155:P155"/>
    <mergeCell ref="A156:P156"/>
    <mergeCell ref="A157:P157"/>
    <mergeCell ref="A158:P158"/>
    <mergeCell ref="E119:J119"/>
    <mergeCell ref="E120:P120"/>
    <mergeCell ref="E7:P7"/>
    <mergeCell ref="A1:P1"/>
    <mergeCell ref="A2:P2"/>
    <mergeCell ref="A3:P3"/>
    <mergeCell ref="A4:P4"/>
    <mergeCell ref="E6:J6"/>
    <mergeCell ref="A37:P37"/>
    <mergeCell ref="A38:P38"/>
    <mergeCell ref="A39:P39"/>
    <mergeCell ref="A40:P40"/>
    <mergeCell ref="E42:J42"/>
    <mergeCell ref="E43:P43"/>
    <mergeCell ref="A114:P114"/>
    <mergeCell ref="A115:P115"/>
    <mergeCell ref="A116:P116"/>
    <mergeCell ref="A117:P117"/>
    <mergeCell ref="A79:P79"/>
    <mergeCell ref="A80:P80"/>
    <mergeCell ref="A81:P81"/>
    <mergeCell ref="A82:P82"/>
    <mergeCell ref="E84:J84"/>
    <mergeCell ref="E196:P196"/>
    <mergeCell ref="A190:P190"/>
    <mergeCell ref="A191:P191"/>
    <mergeCell ref="A192:P192"/>
    <mergeCell ref="A193:P193"/>
    <mergeCell ref="E195:J195"/>
  </mergeCells>
  <pageMargins left="0.31496062992125984" right="0.11811023622047245" top="0.74803149606299213" bottom="0.55118110236220474" header="0.31496062992125984" footer="0.31496062992125984"/>
  <pageSetup paperSize="281" scale="70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26625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2</xdr:col>
                <xdr:colOff>390525</xdr:colOff>
                <xdr:row>3</xdr:row>
                <xdr:rowOff>9525</xdr:rowOff>
              </to>
            </anchor>
          </objectPr>
        </oleObject>
      </mc:Choice>
      <mc:Fallback>
        <oleObject progId="Word.Picture.8" shapeId="26625" r:id="rId4"/>
      </mc:Fallback>
    </mc:AlternateContent>
    <mc:AlternateContent xmlns:mc="http://schemas.openxmlformats.org/markup-compatibility/2006">
      <mc:Choice Requires="x14">
        <oleObject progId="Word.Picture.8" shapeId="266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123825</xdr:rowOff>
              </from>
              <to>
                <xdr:col>2</xdr:col>
                <xdr:colOff>361950</xdr:colOff>
                <xdr:row>2</xdr:row>
                <xdr:rowOff>152400</xdr:rowOff>
              </to>
            </anchor>
          </objectPr>
        </oleObject>
      </mc:Choice>
      <mc:Fallback>
        <oleObject progId="Word.Picture.8" shapeId="26626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:I1"/>
  <sheetViews>
    <sheetView topLeftCell="K16" zoomScale="298" zoomScaleNormal="298" workbookViewId="0">
      <selection activeCell="A553" sqref="A553"/>
    </sheetView>
  </sheetViews>
  <sheetFormatPr baseColWidth="10" defaultColWidth="11.42578125" defaultRowHeight="12.75"/>
  <cols>
    <col min="1" max="1" width="14.28515625" customWidth="1"/>
    <col min="2" max="2" width="18.5703125" customWidth="1"/>
    <col min="3" max="3" width="23.85546875" customWidth="1"/>
    <col min="4" max="4" width="0.140625" hidden="1" customWidth="1"/>
    <col min="5" max="5" width="19.85546875" customWidth="1"/>
    <col min="6" max="6" width="0.140625" customWidth="1"/>
    <col min="7" max="7" width="25.42578125" customWidth="1"/>
    <col min="8" max="9" width="11.42578125" hidden="1" customWidth="1"/>
    <col min="10" max="10" width="17.5703125" customWidth="1"/>
    <col min="11" max="11" width="13.5703125" customWidth="1"/>
    <col min="12" max="12" width="0.140625" customWidth="1"/>
    <col min="13" max="13" width="17" customWidth="1"/>
    <col min="14" max="14" width="0.140625" customWidth="1"/>
    <col min="15" max="15" width="20.5703125" customWidth="1"/>
    <col min="16" max="16" width="9.42578125" customWidth="1"/>
    <col min="18" max="18" width="12.85546875" bestFit="1" customWidth="1"/>
  </cols>
  <sheetData>
    <row r="1" ht="16.5" customHeight="1"/>
  </sheetData>
  <pageMargins left="0.70866141732283472" right="0.70866141732283472" top="0.74803149606299213" bottom="0.74803149606299213" header="0.31496062992125984" footer="0.31496062992125984"/>
  <pageSetup paperSize="14"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4</vt:i4>
      </vt:variant>
    </vt:vector>
  </HeadingPairs>
  <TitlesOfParts>
    <vt:vector size="15" baseType="lpstr">
      <vt:lpstr>SIN ABONOS</vt:lpstr>
      <vt:lpstr>GIOVANNI FRANCO GOMEZ S. Y OTRO</vt:lpstr>
      <vt:lpstr>ACUERDO DE PAGO</vt:lpstr>
      <vt:lpstr>QBE SEGUROS S.A. HOY ZURICH DE </vt:lpstr>
      <vt:lpstr>MAFRE SEGUROS GLES DE COLOM (2)</vt:lpstr>
      <vt:lpstr>ALLIANZ SEGUROS S.A. (2)</vt:lpstr>
      <vt:lpstr>AXA   COLPATRIA (2)</vt:lpstr>
      <vt:lpstr>ASEG. LA PREVISORA S.A.</vt:lpstr>
      <vt:lpstr>PAGOS REALIZADOS DEL PROCESO</vt:lpstr>
      <vt:lpstr>SOLICITUD LIQ. 15-10-2024  (2)</vt:lpstr>
      <vt:lpstr>SOLIC. LIQ. 19-20-NOV-2024 </vt:lpstr>
      <vt:lpstr>'ASEG. LA PREVISORA S.A.'!Área_de_impresión</vt:lpstr>
      <vt:lpstr>'AXA   COLPATRIA (2)'!Área_de_impresión</vt:lpstr>
      <vt:lpstr>'ACUERDO DE PAGO'!Títulos_a_imprimir</vt:lpstr>
      <vt:lpstr>'GIOVANNI FRANCO GOMEZ S. Y OTRO'!Títulos_a_imprimir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Isaías</dc:creator>
  <cp:keywords/>
  <dc:description/>
  <cp:lastModifiedBy>Marcela Penaloza Cruz (CGR)</cp:lastModifiedBy>
  <cp:revision/>
  <cp:lastPrinted>2024-11-25T14:30:31Z</cp:lastPrinted>
  <dcterms:created xsi:type="dcterms:W3CDTF">2008-03-02T12:29:17Z</dcterms:created>
  <dcterms:modified xsi:type="dcterms:W3CDTF">2024-11-25T14:36:47Z</dcterms:modified>
  <cp:category/>
  <cp:contentStatus/>
</cp:coreProperties>
</file>