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\Downloads\"/>
    </mc:Choice>
  </mc:AlternateContent>
  <xr:revisionPtr revIDLastSave="0" documentId="13_ncr:1_{C9DC4266-E806-4EB1-890E-1F3AC7AFCC99}" xr6:coauthVersionLast="47" xr6:coauthVersionMax="47" xr10:uidLastSave="{00000000-0000-0000-0000-000000000000}"/>
  <bookViews>
    <workbookView xWindow="-120" yWindow="-120" windowWidth="29040" windowHeight="15720" activeTab="1" xr2:uid="{69AAD36E-CAFA-43EB-832F-400E58192986}"/>
  </bookViews>
  <sheets>
    <sheet name="LIQ. PRETENSIONES DEMANDA" sheetId="10" r:id="rId1"/>
    <sheet name="LIQ. FACTURACIÓN (GU136799)" sheetId="1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1" l="1"/>
  <c r="B42" i="11"/>
  <c r="F42" i="11" s="1"/>
  <c r="E36" i="11"/>
  <c r="E35" i="11"/>
  <c r="H33" i="11"/>
  <c r="I33" i="11" s="1"/>
  <c r="E37" i="11" s="1"/>
  <c r="F37" i="11" s="1"/>
  <c r="E26" i="11"/>
  <c r="E25" i="11"/>
  <c r="E24" i="11"/>
  <c r="E23" i="11"/>
  <c r="D23" i="11"/>
  <c r="F23" i="11" s="1"/>
  <c r="F19" i="11"/>
  <c r="D26" i="11" s="1"/>
  <c r="F26" i="11" s="1"/>
  <c r="E19" i="11"/>
  <c r="E18" i="11"/>
  <c r="F18" i="11" s="1"/>
  <c r="D25" i="11" s="1"/>
  <c r="F25" i="11" s="1"/>
  <c r="E17" i="11"/>
  <c r="F17" i="11" s="1"/>
  <c r="F16" i="11"/>
  <c r="E16" i="11"/>
  <c r="E12" i="11"/>
  <c r="F12" i="11" s="1"/>
  <c r="F11" i="11"/>
  <c r="E11" i="11"/>
  <c r="E10" i="11"/>
  <c r="F10" i="11" s="1"/>
  <c r="F9" i="11"/>
  <c r="E9" i="11"/>
  <c r="F5" i="11"/>
  <c r="E5" i="11"/>
  <c r="E4" i="11"/>
  <c r="F4" i="11" s="1"/>
  <c r="E3" i="11"/>
  <c r="F3" i="11" s="1"/>
  <c r="F106" i="10"/>
  <c r="B103" i="10"/>
  <c r="F103" i="10" s="1"/>
  <c r="E34" i="10"/>
  <c r="E97" i="10"/>
  <c r="E96" i="10"/>
  <c r="H94" i="10"/>
  <c r="I94" i="10" s="1"/>
  <c r="E98" i="10" s="1"/>
  <c r="F13" i="11" l="1"/>
  <c r="F38" i="11"/>
  <c r="F6" i="11"/>
  <c r="D24" i="11"/>
  <c r="F24" i="11" s="1"/>
  <c r="F27" i="11" s="1"/>
  <c r="F20" i="11"/>
  <c r="F98" i="10"/>
  <c r="F99" i="10" s="1"/>
  <c r="E41" i="10"/>
  <c r="F41" i="10" s="1"/>
  <c r="E40" i="10"/>
  <c r="F40" i="10" s="1"/>
  <c r="E39" i="10"/>
  <c r="F39" i="10" s="1"/>
  <c r="B57" i="10"/>
  <c r="F34" i="10"/>
  <c r="E87" i="10"/>
  <c r="E86" i="10"/>
  <c r="E85" i="10"/>
  <c r="E84" i="10"/>
  <c r="E80" i="10"/>
  <c r="F80" i="10" s="1"/>
  <c r="D87" i="10" s="1"/>
  <c r="E79" i="10"/>
  <c r="F79" i="10" s="1"/>
  <c r="D86" i="10" s="1"/>
  <c r="E78" i="10"/>
  <c r="F78" i="10" s="1"/>
  <c r="D85" i="10" s="1"/>
  <c r="E77" i="10"/>
  <c r="F77" i="10" s="1"/>
  <c r="D84" i="10" s="1"/>
  <c r="E73" i="10"/>
  <c r="F73" i="10" s="1"/>
  <c r="E72" i="10"/>
  <c r="F72" i="10" s="1"/>
  <c r="E71" i="10"/>
  <c r="F71" i="10" s="1"/>
  <c r="E70" i="10"/>
  <c r="F70" i="10" s="1"/>
  <c r="E66" i="10"/>
  <c r="F66" i="10" s="1"/>
  <c r="E65" i="10"/>
  <c r="F65" i="10" s="1"/>
  <c r="E64" i="10"/>
  <c r="F64" i="10" s="1"/>
  <c r="E50" i="10"/>
  <c r="E49" i="10"/>
  <c r="H47" i="10"/>
  <c r="I47" i="10" s="1"/>
  <c r="E51" i="10" s="1"/>
  <c r="E30" i="10"/>
  <c r="E29" i="10"/>
  <c r="E28" i="10"/>
  <c r="E23" i="10"/>
  <c r="F23" i="10" s="1"/>
  <c r="D30" i="10" s="1"/>
  <c r="E22" i="10"/>
  <c r="F22" i="10" s="1"/>
  <c r="D29" i="10" s="1"/>
  <c r="E21" i="10"/>
  <c r="F21" i="10" s="1"/>
  <c r="D28" i="10" s="1"/>
  <c r="E16" i="10"/>
  <c r="F16" i="10" s="1"/>
  <c r="E15" i="10"/>
  <c r="F15" i="10" s="1"/>
  <c r="E14" i="10"/>
  <c r="F14" i="10" s="1"/>
  <c r="E9" i="10"/>
  <c r="F9" i="10" s="1"/>
  <c r="E8" i="10"/>
  <c r="F8" i="10" s="1"/>
  <c r="E7" i="10"/>
  <c r="F7" i="10" s="1"/>
  <c r="F42" i="10" l="1"/>
  <c r="F30" i="10"/>
  <c r="F29" i="10"/>
  <c r="F85" i="10"/>
  <c r="F87" i="10"/>
  <c r="F84" i="10"/>
  <c r="F28" i="10"/>
  <c r="F86" i="10"/>
  <c r="F81" i="10"/>
  <c r="F51" i="10"/>
  <c r="F52" i="10" s="1"/>
  <c r="F74" i="10"/>
  <c r="F67" i="10"/>
  <c r="F10" i="10"/>
  <c r="F88" i="10" l="1"/>
  <c r="F57" i="10"/>
  <c r="E13" i="10"/>
  <c r="F13" i="10" s="1"/>
  <c r="F17" i="10" s="1"/>
  <c r="E27" i="10"/>
  <c r="E20" i="10"/>
  <c r="F20" i="10" s="1"/>
  <c r="F24" i="10" l="1"/>
  <c r="D27" i="10"/>
  <c r="F27" i="10" s="1"/>
  <c r="F31" i="10" s="1"/>
  <c r="F35" i="10"/>
  <c r="F59" i="10" l="1"/>
</calcChain>
</file>

<file path=xl/sharedStrings.xml><?xml version="1.0" encoding="utf-8"?>
<sst xmlns="http://schemas.openxmlformats.org/spreadsheetml/2006/main" count="152" uniqueCount="38">
  <si>
    <t>LIQUIDACIÓN DE LAS PRETENSIONES DE LA DEMANDA</t>
  </si>
  <si>
    <t>*Nota: Se liquidan las prestaciones sociales el año 2020 sobre el salario indicado en la demanda y en atención a que se desconoce el salario para el año 2017, 2018 y 2019, se liquidan estos con un SMMLV</t>
  </si>
  <si>
    <t>DESDE</t>
  </si>
  <si>
    <t>HASTA</t>
  </si>
  <si>
    <t>SALARIO</t>
  </si>
  <si>
    <t>DÍAS</t>
  </si>
  <si>
    <t>SALARIOS</t>
  </si>
  <si>
    <t>TOTAL ADEUDADO</t>
  </si>
  <si>
    <t>PRIMAS</t>
  </si>
  <si>
    <t>CESANTÍAS</t>
  </si>
  <si>
    <t>INTERESES</t>
  </si>
  <si>
    <t>VACACIONES</t>
  </si>
  <si>
    <t>SANCIÓN POR NO CONSIGNACIÓN DE CESANTÍAS</t>
  </si>
  <si>
    <t>SANCIÓN</t>
  </si>
  <si>
    <t>INDEMNIZACIÓN ARTÍCULO 64 DEL C.S.T.</t>
  </si>
  <si>
    <t>AÑO</t>
  </si>
  <si>
    <t>MES</t>
  </si>
  <si>
    <t>DÍA</t>
  </si>
  <si>
    <t>Tiempo Laborado en:</t>
  </si>
  <si>
    <t>Fecha de Liquidación:</t>
  </si>
  <si>
    <t>Días</t>
  </si>
  <si>
    <t>Años</t>
  </si>
  <si>
    <t>Fecha de Ingreso:</t>
  </si>
  <si>
    <t>Ingreso Mensual:</t>
  </si>
  <si>
    <t>Ingreso Diario:</t>
  </si>
  <si>
    <t>Indemnización primer año</t>
  </si>
  <si>
    <t>Indemnización años adicionales:</t>
  </si>
  <si>
    <t>Total Indemnizacón:</t>
  </si>
  <si>
    <t>INDEMNIZACIÓN DEL ARTÍCULO 65 DEL C.S.T.</t>
  </si>
  <si>
    <t>Salario diario</t>
  </si>
  <si>
    <t>x 720 días</t>
  </si>
  <si>
    <t>Total</t>
  </si>
  <si>
    <t>Total Liquidación:</t>
  </si>
  <si>
    <t>LIQUIDACIÓN PARA FACTURACIÓN (CONFORME A LOS AMPAROS DE LA PÓLIZA)</t>
  </si>
  <si>
    <t>*Nota: En la liquidación de cesantías y prima se tiene en cuenta el auxilio de transporte en atención a que los años 2017, 2018 y 2019 se liquidaron sobre un SMMLV</t>
  </si>
  <si>
    <t xml:space="preserve">*Nota: Conforme al clausulado que nos envió la compañía, la póliza ampara el pago de salarios, prestaciones sociales e indemnizaciones laborales </t>
  </si>
  <si>
    <t xml:space="preserve">*Nota: La vigencia de la póliza inicia el 23/06/2017 y fenece el 23/06/2022, teniendo en cuenta el término de prescripción trienal. Los salarios, prestaciones e indemnizaciones que solicita la parte demandante, se encuentran dentro de la vigencia de la póliza. </t>
  </si>
  <si>
    <t>Teniendo en cuenta que la liquidación del PML arroja un monto superior al valor asegurado, se tomará como PML el valor asegurado de la póliza, el cual asciende a la suma de $25,000,000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</si>
</sst>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-&quot;$&quot;\ * #,##0_-;\-&quot;$&quot;\ * #,##0_-;_-&quot;$&quot;\ * &quot;-&quot;??_-;_-@_-"/>
    <numFmt numFmtId="166" formatCode="_ &quot;$&quot;\ * #,##0_ ;_ &quot;$&quot;\ * \-#,##0_ ;_ &quot;$&quot;\ * &quot;-&quot;_ ;_ @_ "/>
    <numFmt numFmtId="167" formatCode="_ * #,##0_ ;_ * \-#,##0_ ;_ * &quot;-&quot;_ ;_ @_ "/>
    <numFmt numFmtId="168" formatCode="_ &quot;$&quot;\ * #,##0.00_ ;_ &quot;$&quot;\ * \-#,##0.00_ ;_ &quot;$&quot;\ * &quot;-&quot;??_ ;_ @_ "/>
    <numFmt numFmtId="169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u/>
      <sz val="9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1F2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65">
    <xf numFmtId="0" fontId="0" fillId="0" borderId="0" xfId="0"/>
    <xf numFmtId="0" fontId="3" fillId="0" borderId="1" xfId="0" applyFont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14" fontId="4" fillId="0" borderId="1" xfId="0" applyNumberFormat="1" applyFont="1" applyBorder="1"/>
    <xf numFmtId="164" fontId="4" fillId="0" borderId="1" xfId="1" applyNumberFormat="1" applyFont="1" applyBorder="1"/>
    <xf numFmtId="164" fontId="4" fillId="0" borderId="1" xfId="1" applyNumberFormat="1" applyFont="1" applyFill="1" applyBorder="1"/>
    <xf numFmtId="164" fontId="3" fillId="3" borderId="1" xfId="1" applyNumberFormat="1" applyFont="1" applyFill="1" applyBorder="1"/>
    <xf numFmtId="0" fontId="4" fillId="0" borderId="0" xfId="0" applyFont="1"/>
    <xf numFmtId="164" fontId="3" fillId="0" borderId="1" xfId="1" applyNumberFormat="1" applyFont="1" applyBorder="1" applyAlignment="1">
      <alignment horizontal="center"/>
    </xf>
    <xf numFmtId="0" fontId="8" fillId="0" borderId="0" xfId="0" applyFont="1"/>
    <xf numFmtId="0" fontId="3" fillId="0" borderId="1" xfId="0" applyFont="1" applyBorder="1" applyAlignment="1">
      <alignment horizontal="center" vertical="center"/>
    </xf>
    <xf numFmtId="165" fontId="4" fillId="3" borderId="1" xfId="0" applyNumberFormat="1" applyFont="1" applyFill="1" applyBorder="1"/>
    <xf numFmtId="0" fontId="7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8" fontId="6" fillId="0" borderId="0" xfId="0" applyNumberFormat="1" applyFont="1" applyAlignment="1">
      <alignment horizontal="center"/>
    </xf>
    <xf numFmtId="0" fontId="7" fillId="0" borderId="4" xfId="0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44" fontId="10" fillId="4" borderId="1" xfId="0" applyNumberFormat="1" applyFont="1" applyFill="1" applyBorder="1"/>
    <xf numFmtId="0" fontId="6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69" fontId="6" fillId="2" borderId="1" xfId="0" applyNumberFormat="1" applyFont="1" applyFill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0" fillId="5" borderId="0" xfId="0" applyFill="1" applyAlignment="1">
      <alignment horizontal="center"/>
    </xf>
    <xf numFmtId="8" fontId="10" fillId="4" borderId="1" xfId="0" applyNumberFormat="1" applyFont="1" applyFill="1" applyBorder="1"/>
    <xf numFmtId="0" fontId="3" fillId="0" borderId="10" xfId="0" applyFont="1" applyBorder="1" applyAlignment="1">
      <alignment horizontal="center"/>
    </xf>
    <xf numFmtId="0" fontId="4" fillId="0" borderId="10" xfId="0" applyFont="1" applyBorder="1"/>
    <xf numFmtId="0" fontId="9" fillId="0" borderId="7" xfId="0" applyFont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14" fontId="4" fillId="0" borderId="5" xfId="0" applyNumberFormat="1" applyFont="1" applyBorder="1"/>
    <xf numFmtId="0" fontId="11" fillId="0" borderId="0" xfId="0" applyFont="1"/>
    <xf numFmtId="8" fontId="6" fillId="0" borderId="2" xfId="0" applyNumberFormat="1" applyFont="1" applyBorder="1" applyAlignment="1">
      <alignment horizontal="center"/>
    </xf>
    <xf numFmtId="8" fontId="6" fillId="0" borderId="8" xfId="0" applyNumberFormat="1" applyFont="1" applyBorder="1" applyAlignment="1">
      <alignment horizontal="center"/>
    </xf>
    <xf numFmtId="8" fontId="6" fillId="0" borderId="9" xfId="0" applyNumberFormat="1" applyFont="1" applyBorder="1" applyAlignment="1">
      <alignment horizontal="center"/>
    </xf>
    <xf numFmtId="8" fontId="6" fillId="3" borderId="2" xfId="0" applyNumberFormat="1" applyFont="1" applyFill="1" applyBorder="1" applyAlignment="1">
      <alignment horizontal="center"/>
    </xf>
    <xf numFmtId="8" fontId="6" fillId="3" borderId="8" xfId="0" applyNumberFormat="1" applyFont="1" applyFill="1" applyBorder="1" applyAlignment="1">
      <alignment horizontal="center"/>
    </xf>
    <xf numFmtId="8" fontId="6" fillId="3" borderId="9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8" fontId="7" fillId="0" borderId="2" xfId="0" applyNumberFormat="1" applyFont="1" applyBorder="1" applyAlignment="1">
      <alignment horizontal="center"/>
    </xf>
    <xf numFmtId="8" fontId="7" fillId="0" borderId="8" xfId="0" applyNumberFormat="1" applyFont="1" applyBorder="1" applyAlignment="1">
      <alignment horizontal="center"/>
    </xf>
    <xf numFmtId="8" fontId="7" fillId="0" borderId="9" xfId="0" applyNumberFormat="1" applyFont="1" applyBorder="1" applyAlignment="1">
      <alignment horizontal="center"/>
    </xf>
    <xf numFmtId="0" fontId="12" fillId="6" borderId="0" xfId="0" applyFont="1" applyFill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1" fillId="6" borderId="0" xfId="0" applyFont="1" applyFill="1" applyAlignment="1">
      <alignment horizontal="center" vertical="center" wrapText="1"/>
    </xf>
    <xf numFmtId="165" fontId="4" fillId="0" borderId="5" xfId="2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2" borderId="0" xfId="0" applyFill="1" applyAlignment="1">
      <alignment horizontal="center" wrapText="1"/>
    </xf>
    <xf numFmtId="0" fontId="13" fillId="6" borderId="0" xfId="0" applyFont="1" applyFill="1" applyAlignment="1">
      <alignment horizontal="center" wrapText="1"/>
    </xf>
  </cellXfs>
  <cellStyles count="7">
    <cellStyle name="Millares" xfId="1" builtinId="3"/>
    <cellStyle name="Millares [0] 2" xfId="4" xr:uid="{3555D9B7-EA0C-4C21-A235-0CD6BE1EC253}"/>
    <cellStyle name="Moneda" xfId="2" builtinId="4"/>
    <cellStyle name="Moneda [0] 2" xfId="6" xr:uid="{40580231-C906-4C03-A65D-3EA45064320D}"/>
    <cellStyle name="Moneda 2" xfId="5" xr:uid="{60B0EB24-56E2-4FB9-B187-077D7FCBAA83}"/>
    <cellStyle name="Normal" xfId="0" builtinId="0"/>
    <cellStyle name="Normal 2" xfId="3" xr:uid="{C2E01C61-3397-4CB6-9BBE-5E165668D7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142874</xdr:colOff>
      <xdr:row>0</xdr:row>
      <xdr:rowOff>0</xdr:rowOff>
    </xdr:from>
    <xdr:to>
      <xdr:col>4</xdr:col>
      <xdr:colOff>1456611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F31F2A-C7FD-DF26-E5CF-E26BD90D6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59174" y="0"/>
          <a:ext cx="2837737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B59CC-80A3-46FE-AADB-EF5FED6064B5}">
  <dimension ref="A5:O106"/>
  <sheetViews>
    <sheetView topLeftCell="A20" workbookViewId="0">
      <selection activeCell="G37" sqref="G37"/>
    </sheetView>
  </sheetViews>
  <sheetFormatPr baseColWidth="10" defaultColWidth="11.42578125" defaultRowHeight="15" x14ac:dyDescent="0.25"/>
  <cols>
    <col min="2" max="2" width="16.42578125" style="7" customWidth="1"/>
    <col min="3" max="4" width="11.42578125" style="7"/>
    <col min="5" max="5" width="22.7109375" style="7" bestFit="1" customWidth="1"/>
    <col min="6" max="6" width="18.85546875" style="7" customWidth="1"/>
    <col min="7" max="7" width="11.42578125" style="7"/>
    <col min="10" max="10" width="13.140625" bestFit="1" customWidth="1"/>
    <col min="11" max="11" width="15.28515625" bestFit="1" customWidth="1"/>
    <col min="12" max="12" width="22.7109375" bestFit="1" customWidth="1"/>
  </cols>
  <sheetData>
    <row r="5" spans="2:11" x14ac:dyDescent="0.25">
      <c r="B5" s="45" t="s">
        <v>0</v>
      </c>
      <c r="C5" s="45"/>
      <c r="D5" s="45"/>
      <c r="E5" s="45"/>
      <c r="F5" s="45"/>
      <c r="H5" s="63" t="s">
        <v>1</v>
      </c>
      <c r="I5" s="63"/>
      <c r="J5" s="63"/>
      <c r="K5" s="63"/>
    </row>
    <row r="6" spans="2:11" x14ac:dyDescent="0.25">
      <c r="B6" s="1" t="s">
        <v>2</v>
      </c>
      <c r="C6" s="1" t="s">
        <v>3</v>
      </c>
      <c r="D6" s="1" t="s">
        <v>4</v>
      </c>
      <c r="E6" s="1" t="s">
        <v>5</v>
      </c>
      <c r="F6" s="2" t="s">
        <v>6</v>
      </c>
      <c r="H6" s="63"/>
      <c r="I6" s="63"/>
      <c r="J6" s="63"/>
      <c r="K6" s="63"/>
    </row>
    <row r="7" spans="2:11" x14ac:dyDescent="0.25">
      <c r="B7" s="3">
        <v>43983</v>
      </c>
      <c r="C7" s="3">
        <v>44012</v>
      </c>
      <c r="D7" s="4">
        <v>2200000</v>
      </c>
      <c r="E7" s="4">
        <f t="shared" ref="E7:E9" si="0">DAYS360(B7,C7)+1</f>
        <v>30</v>
      </c>
      <c r="F7" s="5">
        <f>(D7/30)*E7</f>
        <v>2200000</v>
      </c>
      <c r="H7" s="63"/>
      <c r="I7" s="63"/>
      <c r="J7" s="63"/>
      <c r="K7" s="63"/>
    </row>
    <row r="8" spans="2:11" x14ac:dyDescent="0.25">
      <c r="B8" s="3">
        <v>44013</v>
      </c>
      <c r="C8" s="3">
        <v>44042</v>
      </c>
      <c r="D8" s="4">
        <v>2200000</v>
      </c>
      <c r="E8" s="4">
        <f t="shared" si="0"/>
        <v>30</v>
      </c>
      <c r="F8" s="5">
        <f t="shared" ref="F8:F9" si="1">(D8/30)*E8</f>
        <v>2200000</v>
      </c>
      <c r="H8" s="63"/>
      <c r="I8" s="63"/>
      <c r="J8" s="63"/>
      <c r="K8" s="63"/>
    </row>
    <row r="9" spans="2:11" x14ac:dyDescent="0.25">
      <c r="B9" s="3">
        <v>44044</v>
      </c>
      <c r="C9" s="3">
        <v>44073</v>
      </c>
      <c r="D9" s="4">
        <v>2200000</v>
      </c>
      <c r="E9" s="4">
        <f t="shared" si="0"/>
        <v>30</v>
      </c>
      <c r="F9" s="5">
        <f t="shared" si="1"/>
        <v>2200000</v>
      </c>
    </row>
    <row r="10" spans="2:11" ht="15" customHeight="1" x14ac:dyDescent="0.25">
      <c r="B10" s="43" t="s">
        <v>7</v>
      </c>
      <c r="C10" s="43"/>
      <c r="D10" s="43"/>
      <c r="E10" s="43"/>
      <c r="F10" s="6">
        <f>SUM(F7:F9)</f>
        <v>6600000</v>
      </c>
      <c r="H10" s="57" t="s">
        <v>34</v>
      </c>
      <c r="I10" s="57"/>
      <c r="J10" s="57"/>
      <c r="K10" s="57"/>
    </row>
    <row r="11" spans="2:11" x14ac:dyDescent="0.25">
      <c r="H11" s="57"/>
      <c r="I11" s="57"/>
      <c r="J11" s="57"/>
      <c r="K11" s="57"/>
    </row>
    <row r="12" spans="2:11" x14ac:dyDescent="0.25">
      <c r="B12" s="1" t="s">
        <v>2</v>
      </c>
      <c r="C12" s="1" t="s">
        <v>3</v>
      </c>
      <c r="D12" s="1" t="s">
        <v>4</v>
      </c>
      <c r="E12" s="1" t="s">
        <v>5</v>
      </c>
      <c r="F12" s="2" t="s">
        <v>8</v>
      </c>
      <c r="H12" s="57"/>
      <c r="I12" s="57"/>
      <c r="J12" s="57"/>
      <c r="K12" s="57"/>
    </row>
    <row r="13" spans="2:11" x14ac:dyDescent="0.25">
      <c r="B13" s="3">
        <v>42941</v>
      </c>
      <c r="C13" s="3">
        <v>43100</v>
      </c>
      <c r="D13" s="4">
        <v>820857</v>
      </c>
      <c r="E13" s="4">
        <f>DAYS360(B13,C13)+1</f>
        <v>157</v>
      </c>
      <c r="F13" s="5">
        <f>(D13*E13)/360</f>
        <v>357984.85833333334</v>
      </c>
      <c r="H13" s="57"/>
      <c r="I13" s="57"/>
      <c r="J13" s="57"/>
      <c r="K13" s="57"/>
    </row>
    <row r="14" spans="2:11" x14ac:dyDescent="0.25">
      <c r="B14" s="3">
        <v>43101</v>
      </c>
      <c r="C14" s="3">
        <v>43465</v>
      </c>
      <c r="D14" s="4">
        <v>869453</v>
      </c>
      <c r="E14" s="4">
        <f t="shared" ref="E14:E16" si="2">DAYS360(B14,C14)+1</f>
        <v>361</v>
      </c>
      <c r="F14" s="5">
        <f t="shared" ref="F14:F16" si="3">(D14*E14)/360</f>
        <v>871868.14722222218</v>
      </c>
    </row>
    <row r="15" spans="2:11" x14ac:dyDescent="0.25">
      <c r="B15" s="3">
        <v>43466</v>
      </c>
      <c r="C15" s="3">
        <v>43830</v>
      </c>
      <c r="D15" s="4">
        <v>925148</v>
      </c>
      <c r="E15" s="4">
        <f t="shared" si="2"/>
        <v>361</v>
      </c>
      <c r="F15" s="5">
        <f t="shared" si="3"/>
        <v>927717.85555555555</v>
      </c>
    </row>
    <row r="16" spans="2:11" x14ac:dyDescent="0.25">
      <c r="B16" s="3">
        <v>43831</v>
      </c>
      <c r="C16" s="3">
        <v>44074</v>
      </c>
      <c r="D16" s="4">
        <v>2200000</v>
      </c>
      <c r="E16" s="4">
        <f t="shared" si="2"/>
        <v>241</v>
      </c>
      <c r="F16" s="5">
        <f t="shared" si="3"/>
        <v>1472777.7777777778</v>
      </c>
    </row>
    <row r="17" spans="2:6" x14ac:dyDescent="0.25">
      <c r="B17" s="43" t="s">
        <v>7</v>
      </c>
      <c r="C17" s="43"/>
      <c r="D17" s="43"/>
      <c r="E17" s="43"/>
      <c r="F17" s="6">
        <f>SUM(F13:F16)</f>
        <v>3630348.638888889</v>
      </c>
    </row>
    <row r="19" spans="2:6" x14ac:dyDescent="0.25">
      <c r="B19" s="1" t="s">
        <v>2</v>
      </c>
      <c r="C19" s="1" t="s">
        <v>3</v>
      </c>
      <c r="D19" s="1" t="s">
        <v>4</v>
      </c>
      <c r="E19" s="1" t="s">
        <v>5</v>
      </c>
      <c r="F19" s="2" t="s">
        <v>9</v>
      </c>
    </row>
    <row r="20" spans="2:6" x14ac:dyDescent="0.25">
      <c r="B20" s="3">
        <v>42941</v>
      </c>
      <c r="C20" s="3">
        <v>43100</v>
      </c>
      <c r="D20" s="4">
        <v>820857</v>
      </c>
      <c r="E20" s="4">
        <f>DAYS360(B20,C20)+1</f>
        <v>157</v>
      </c>
      <c r="F20" s="5">
        <f>(D20*E20)/360</f>
        <v>357984.85833333334</v>
      </c>
    </row>
    <row r="21" spans="2:6" x14ac:dyDescent="0.25">
      <c r="B21" s="3">
        <v>43101</v>
      </c>
      <c r="C21" s="3">
        <v>43465</v>
      </c>
      <c r="D21" s="4">
        <v>869453</v>
      </c>
      <c r="E21" s="4">
        <f t="shared" ref="E21:E23" si="4">DAYS360(B21,C21)+1</f>
        <v>361</v>
      </c>
      <c r="F21" s="5">
        <f t="shared" ref="F21:F23" si="5">(D21*E21)/360</f>
        <v>871868.14722222218</v>
      </c>
    </row>
    <row r="22" spans="2:6" x14ac:dyDescent="0.25">
      <c r="B22" s="3">
        <v>43466</v>
      </c>
      <c r="C22" s="3">
        <v>43830</v>
      </c>
      <c r="D22" s="4">
        <v>925148</v>
      </c>
      <c r="E22" s="4">
        <f t="shared" si="4"/>
        <v>361</v>
      </c>
      <c r="F22" s="5">
        <f t="shared" si="5"/>
        <v>927717.85555555555</v>
      </c>
    </row>
    <row r="23" spans="2:6" x14ac:dyDescent="0.25">
      <c r="B23" s="3">
        <v>43831</v>
      </c>
      <c r="C23" s="3">
        <v>44074</v>
      </c>
      <c r="D23" s="4">
        <v>2200000</v>
      </c>
      <c r="E23" s="4">
        <f t="shared" si="4"/>
        <v>241</v>
      </c>
      <c r="F23" s="5">
        <f t="shared" si="5"/>
        <v>1472777.7777777778</v>
      </c>
    </row>
    <row r="24" spans="2:6" x14ac:dyDescent="0.25">
      <c r="B24" s="43" t="s">
        <v>7</v>
      </c>
      <c r="C24" s="43"/>
      <c r="D24" s="43"/>
      <c r="E24" s="43"/>
      <c r="F24" s="6">
        <f>SUM(F20:F23)</f>
        <v>3630348.638888889</v>
      </c>
    </row>
    <row r="26" spans="2:6" x14ac:dyDescent="0.25">
      <c r="B26" s="1" t="s">
        <v>2</v>
      </c>
      <c r="C26" s="1" t="s">
        <v>3</v>
      </c>
      <c r="D26" s="1" t="s">
        <v>9</v>
      </c>
      <c r="E26" s="1" t="s">
        <v>5</v>
      </c>
      <c r="F26" s="2" t="s">
        <v>10</v>
      </c>
    </row>
    <row r="27" spans="2:6" x14ac:dyDescent="0.25">
      <c r="B27" s="3">
        <v>42941</v>
      </c>
      <c r="C27" s="3">
        <v>43100</v>
      </c>
      <c r="D27" s="4">
        <f>F20</f>
        <v>357984.85833333334</v>
      </c>
      <c r="E27" s="4">
        <f>DAYS360(B27,C27)+1</f>
        <v>157</v>
      </c>
      <c r="F27" s="4">
        <f>(D27*E27*0.12)/360</f>
        <v>18734.540919444444</v>
      </c>
    </row>
    <row r="28" spans="2:6" x14ac:dyDescent="0.25">
      <c r="B28" s="3">
        <v>43101</v>
      </c>
      <c r="C28" s="3">
        <v>43465</v>
      </c>
      <c r="D28" s="4">
        <f>F21</f>
        <v>871868.14722222218</v>
      </c>
      <c r="E28" s="4">
        <f t="shared" ref="E28:E30" si="6">DAYS360(B28,C28)+1</f>
        <v>361</v>
      </c>
      <c r="F28" s="4">
        <f t="shared" ref="F28:F30" si="7">(D28*E28*0.12)/360</f>
        <v>104914.8003824074</v>
      </c>
    </row>
    <row r="29" spans="2:6" x14ac:dyDescent="0.25">
      <c r="B29" s="3">
        <v>43466</v>
      </c>
      <c r="C29" s="3">
        <v>43830</v>
      </c>
      <c r="D29" s="4">
        <f>F22</f>
        <v>927717.85555555555</v>
      </c>
      <c r="E29" s="4">
        <f t="shared" si="6"/>
        <v>361</v>
      </c>
      <c r="F29" s="4">
        <f t="shared" si="7"/>
        <v>111635.38195185183</v>
      </c>
    </row>
    <row r="30" spans="2:6" x14ac:dyDescent="0.25">
      <c r="B30" s="3">
        <v>43831</v>
      </c>
      <c r="C30" s="3">
        <v>44074</v>
      </c>
      <c r="D30" s="5">
        <f>F23</f>
        <v>1472777.7777777778</v>
      </c>
      <c r="E30" s="4">
        <f t="shared" si="6"/>
        <v>241</v>
      </c>
      <c r="F30" s="4">
        <f t="shared" si="7"/>
        <v>118313.14814814813</v>
      </c>
    </row>
    <row r="31" spans="2:6" x14ac:dyDescent="0.25">
      <c r="B31" s="43" t="s">
        <v>7</v>
      </c>
      <c r="C31" s="43"/>
      <c r="D31" s="43"/>
      <c r="E31" s="43"/>
      <c r="F31" s="6">
        <f>SUM(F27:F30)</f>
        <v>353597.87140185182</v>
      </c>
    </row>
    <row r="33" spans="2:9" x14ac:dyDescent="0.25">
      <c r="B33" s="1" t="s">
        <v>2</v>
      </c>
      <c r="C33" s="1" t="s">
        <v>3</v>
      </c>
      <c r="D33" s="1" t="s">
        <v>4</v>
      </c>
      <c r="E33" s="1" t="s">
        <v>5</v>
      </c>
      <c r="F33" s="2" t="s">
        <v>11</v>
      </c>
    </row>
    <row r="34" spans="2:9" x14ac:dyDescent="0.25">
      <c r="B34" s="3">
        <v>42941</v>
      </c>
      <c r="C34" s="3">
        <v>44074</v>
      </c>
      <c r="D34" s="5">
        <v>2200000</v>
      </c>
      <c r="E34" s="4">
        <f t="shared" ref="E34" si="8">DAYS360(B34,C34)+1</f>
        <v>1117</v>
      </c>
      <c r="F34" s="5">
        <f t="shared" ref="F34" si="9">(D34*E34)/720</f>
        <v>3413055.5555555555</v>
      </c>
    </row>
    <row r="35" spans="2:9" x14ac:dyDescent="0.25">
      <c r="B35" s="43" t="s">
        <v>7</v>
      </c>
      <c r="C35" s="43"/>
      <c r="D35" s="43"/>
      <c r="E35" s="43"/>
      <c r="F35" s="6">
        <f>SUM(F34:F34)</f>
        <v>3413055.5555555555</v>
      </c>
    </row>
    <row r="37" spans="2:9" x14ac:dyDescent="0.25">
      <c r="B37" s="56" t="s">
        <v>12</v>
      </c>
      <c r="C37" s="56"/>
      <c r="D37" s="56"/>
      <c r="E37" s="56"/>
      <c r="F37" s="56"/>
    </row>
    <row r="38" spans="2:9" x14ac:dyDescent="0.25">
      <c r="B38" s="1" t="s">
        <v>2</v>
      </c>
      <c r="C38" s="1" t="s">
        <v>3</v>
      </c>
      <c r="D38" s="1" t="s">
        <v>4</v>
      </c>
      <c r="E38" s="1" t="s">
        <v>5</v>
      </c>
      <c r="F38" s="8" t="s">
        <v>13</v>
      </c>
    </row>
    <row r="39" spans="2:9" x14ac:dyDescent="0.25">
      <c r="B39" s="3">
        <v>43146</v>
      </c>
      <c r="C39" s="3">
        <v>43510</v>
      </c>
      <c r="D39" s="4">
        <v>737717</v>
      </c>
      <c r="E39" s="4">
        <f>DAYS360(B39,C39)+1</f>
        <v>360</v>
      </c>
      <c r="F39" s="4">
        <f>(D39/30)*E39</f>
        <v>8852604</v>
      </c>
    </row>
    <row r="40" spans="2:9" x14ac:dyDescent="0.25">
      <c r="B40" s="3">
        <v>43511</v>
      </c>
      <c r="C40" s="3">
        <v>43875</v>
      </c>
      <c r="D40" s="4">
        <v>781242</v>
      </c>
      <c r="E40" s="4">
        <f t="shared" ref="E40:E41" si="10">DAYS360(B40,C40)+1</f>
        <v>360</v>
      </c>
      <c r="F40" s="4">
        <f t="shared" ref="F40:F41" si="11">(D40/30)*E40</f>
        <v>9374904</v>
      </c>
    </row>
    <row r="41" spans="2:9" x14ac:dyDescent="0.25">
      <c r="B41" s="3">
        <v>43876</v>
      </c>
      <c r="C41" s="3">
        <v>44074</v>
      </c>
      <c r="D41" s="4">
        <v>828116</v>
      </c>
      <c r="E41" s="5">
        <f t="shared" si="10"/>
        <v>197</v>
      </c>
      <c r="F41" s="5">
        <f t="shared" si="11"/>
        <v>5437961.7333333334</v>
      </c>
    </row>
    <row r="42" spans="2:9" x14ac:dyDescent="0.25">
      <c r="B42" s="43" t="s">
        <v>7</v>
      </c>
      <c r="C42" s="43"/>
      <c r="D42" s="43"/>
      <c r="E42" s="43"/>
      <c r="F42" s="6">
        <f>SUM(F39:F41)</f>
        <v>23665469.733333334</v>
      </c>
    </row>
    <row r="44" spans="2:9" x14ac:dyDescent="0.25">
      <c r="B44" s="46" t="s">
        <v>14</v>
      </c>
      <c r="C44" s="47"/>
      <c r="D44" s="47"/>
      <c r="E44" s="47"/>
      <c r="F44" s="47"/>
      <c r="G44" s="47"/>
      <c r="H44" s="47"/>
      <c r="I44" s="48"/>
    </row>
    <row r="45" spans="2:9" x14ac:dyDescent="0.25">
      <c r="B45" s="55"/>
      <c r="C45" s="55"/>
      <c r="D45" s="55"/>
      <c r="E45" s="20" t="s">
        <v>15</v>
      </c>
      <c r="F45" s="20" t="s">
        <v>16</v>
      </c>
      <c r="G45" s="20" t="s">
        <v>17</v>
      </c>
      <c r="H45" s="31" t="s">
        <v>18</v>
      </c>
      <c r="I45" s="31"/>
    </row>
    <row r="46" spans="2:9" x14ac:dyDescent="0.25">
      <c r="B46" s="54" t="s">
        <v>19</v>
      </c>
      <c r="C46" s="54"/>
      <c r="D46" s="54"/>
      <c r="E46" s="12">
        <v>2020</v>
      </c>
      <c r="F46" s="12">
        <v>8</v>
      </c>
      <c r="G46" s="21">
        <v>31</v>
      </c>
      <c r="H46" s="23" t="s">
        <v>20</v>
      </c>
      <c r="I46" s="24" t="s">
        <v>21</v>
      </c>
    </row>
    <row r="47" spans="2:9" x14ac:dyDescent="0.25">
      <c r="B47" s="54" t="s">
        <v>22</v>
      </c>
      <c r="C47" s="54"/>
      <c r="D47" s="54"/>
      <c r="E47" s="17">
        <v>2017</v>
      </c>
      <c r="F47" s="17">
        <v>7</v>
      </c>
      <c r="G47" s="22">
        <v>25</v>
      </c>
      <c r="H47" s="25">
        <f>(E46-E47)*360+(F46-F47)*30+(G46-G47+1)</f>
        <v>1117</v>
      </c>
      <c r="I47" s="26">
        <f>H47/360</f>
        <v>3.1027777777777779</v>
      </c>
    </row>
    <row r="48" spans="2:9" x14ac:dyDescent="0.25">
      <c r="B48" s="54" t="s">
        <v>23</v>
      </c>
      <c r="C48" s="54"/>
      <c r="D48" s="54"/>
      <c r="E48" s="49">
        <v>2200000</v>
      </c>
      <c r="F48" s="50"/>
      <c r="G48" s="50"/>
      <c r="H48" s="50"/>
      <c r="I48" s="51"/>
    </row>
    <row r="49" spans="1:15" x14ac:dyDescent="0.25">
      <c r="B49" s="54" t="s">
        <v>24</v>
      </c>
      <c r="C49" s="54"/>
      <c r="D49" s="54"/>
      <c r="E49" s="36">
        <f>E48/30</f>
        <v>73333.333333333328</v>
      </c>
      <c r="F49" s="37"/>
      <c r="G49" s="37"/>
      <c r="H49" s="37"/>
      <c r="I49" s="38"/>
    </row>
    <row r="50" spans="1:15" x14ac:dyDescent="0.25">
      <c r="B50" s="54" t="s">
        <v>25</v>
      </c>
      <c r="C50" s="54"/>
      <c r="D50" s="54"/>
      <c r="E50" s="36">
        <f>E48</f>
        <v>2200000</v>
      </c>
      <c r="F50" s="37"/>
      <c r="G50" s="37"/>
      <c r="H50" s="37"/>
      <c r="I50" s="38"/>
    </row>
    <row r="51" spans="1:15" x14ac:dyDescent="0.25">
      <c r="B51" s="54" t="s">
        <v>26</v>
      </c>
      <c r="C51" s="54"/>
      <c r="D51" s="54"/>
      <c r="E51" s="18">
        <f>I47-1</f>
        <v>2.1027777777777779</v>
      </c>
      <c r="F51" s="36">
        <f>E51*20*E49</f>
        <v>3084074.0740740742</v>
      </c>
      <c r="G51" s="37"/>
      <c r="H51" s="37"/>
      <c r="I51" s="38"/>
    </row>
    <row r="52" spans="1:15" x14ac:dyDescent="0.25">
      <c r="B52" s="53" t="s">
        <v>27</v>
      </c>
      <c r="C52" s="53"/>
      <c r="D52" s="53"/>
      <c r="E52" s="13"/>
      <c r="F52" s="39">
        <f>E50+F51</f>
        <v>5284074.0740740746</v>
      </c>
      <c r="G52" s="40"/>
      <c r="H52" s="40"/>
      <c r="I52" s="41"/>
    </row>
    <row r="53" spans="1:15" x14ac:dyDescent="0.25">
      <c r="B53" s="14"/>
      <c r="C53" s="14"/>
      <c r="D53" s="14"/>
      <c r="E53" s="15"/>
      <c r="F53" s="16"/>
    </row>
    <row r="54" spans="1:15" x14ac:dyDescent="0.25">
      <c r="B54" s="9"/>
      <c r="C54" s="9"/>
      <c r="D54" s="9"/>
      <c r="E54" s="9"/>
      <c r="F54" s="9"/>
    </row>
    <row r="55" spans="1:15" x14ac:dyDescent="0.25">
      <c r="B55" s="60" t="s">
        <v>28</v>
      </c>
      <c r="C55" s="60"/>
      <c r="D55" s="56"/>
      <c r="E55" s="56"/>
      <c r="F55" s="56"/>
    </row>
    <row r="56" spans="1:15" x14ac:dyDescent="0.25">
      <c r="B56" s="61" t="s">
        <v>29</v>
      </c>
      <c r="C56" s="61"/>
      <c r="D56" s="62" t="s">
        <v>30</v>
      </c>
      <c r="E56" s="61"/>
      <c r="F56" s="10" t="s">
        <v>31</v>
      </c>
    </row>
    <row r="57" spans="1:15" x14ac:dyDescent="0.25">
      <c r="B57" s="58">
        <f>(2200000/30)</f>
        <v>73333.333333333328</v>
      </c>
      <c r="C57" s="58"/>
      <c r="D57" s="59">
        <v>720</v>
      </c>
      <c r="E57" s="59"/>
      <c r="F57" s="11">
        <f>B57*D57</f>
        <v>52800000</v>
      </c>
    </row>
    <row r="59" spans="1:15" x14ac:dyDescent="0.25">
      <c r="B59" s="42" t="s">
        <v>32</v>
      </c>
      <c r="C59" s="42"/>
      <c r="D59" s="42"/>
      <c r="E59" s="42"/>
      <c r="F59" s="19">
        <f>SUM(F10+F17+F24+F31+F35+F42+F52+F57)</f>
        <v>99376894.512142599</v>
      </c>
    </row>
    <row r="60" spans="1:15" s="27" customFormat="1" ht="15.75" thickBot="1" x14ac:dyDescent="0.3">
      <c r="A60" s="32"/>
      <c r="B60" s="29"/>
      <c r="C60" s="29"/>
      <c r="D60" s="29"/>
      <c r="E60" s="29"/>
      <c r="F60" s="30"/>
      <c r="G60" s="32"/>
      <c r="H60" s="32"/>
      <c r="I60" s="32"/>
      <c r="J60" s="32"/>
      <c r="K60" s="32"/>
      <c r="L60" s="32"/>
      <c r="M60" s="32"/>
      <c r="N60" s="32"/>
      <c r="O60" s="32"/>
    </row>
    <row r="61" spans="1:15" x14ac:dyDescent="0.25">
      <c r="B61" s="27"/>
      <c r="C61" s="27"/>
      <c r="D61" s="27"/>
      <c r="E61" s="27"/>
      <c r="F61" s="27"/>
    </row>
    <row r="62" spans="1:15" x14ac:dyDescent="0.25">
      <c r="B62" s="44" t="s">
        <v>33</v>
      </c>
      <c r="C62" s="45"/>
      <c r="D62" s="45"/>
      <c r="E62" s="45"/>
      <c r="F62" s="45"/>
    </row>
    <row r="63" spans="1:15" x14ac:dyDescent="0.25">
      <c r="B63" s="1" t="s">
        <v>2</v>
      </c>
      <c r="C63" s="33" t="s">
        <v>3</v>
      </c>
      <c r="D63" s="1" t="s">
        <v>4</v>
      </c>
      <c r="E63" s="1" t="s">
        <v>5</v>
      </c>
      <c r="F63" s="2" t="s">
        <v>6</v>
      </c>
      <c r="H63" s="52" t="s">
        <v>35</v>
      </c>
      <c r="I63" s="52"/>
      <c r="J63" s="52"/>
      <c r="K63" s="52"/>
    </row>
    <row r="64" spans="1:15" x14ac:dyDescent="0.25">
      <c r="B64" s="34">
        <v>43983</v>
      </c>
      <c r="C64" s="3">
        <v>44012</v>
      </c>
      <c r="D64" s="4">
        <v>2200000</v>
      </c>
      <c r="E64" s="4">
        <f t="shared" ref="E64:E66" si="12">DAYS360(B64,C64)+1</f>
        <v>30</v>
      </c>
      <c r="F64" s="5">
        <f>(D64/30)*E64</f>
        <v>2200000</v>
      </c>
      <c r="H64" s="52"/>
      <c r="I64" s="52"/>
      <c r="J64" s="52"/>
      <c r="K64" s="52"/>
    </row>
    <row r="65" spans="2:11" x14ac:dyDescent="0.25">
      <c r="B65" s="3">
        <v>44013</v>
      </c>
      <c r="C65" s="3">
        <v>44042</v>
      </c>
      <c r="D65" s="4">
        <v>2200000</v>
      </c>
      <c r="E65" s="4">
        <f t="shared" si="12"/>
        <v>30</v>
      </c>
      <c r="F65" s="5">
        <f t="shared" ref="F65:F66" si="13">(D65/30)*E65</f>
        <v>2200000</v>
      </c>
      <c r="H65" s="52"/>
      <c r="I65" s="52"/>
      <c r="J65" s="52"/>
      <c r="K65" s="52"/>
    </row>
    <row r="66" spans="2:11" x14ac:dyDescent="0.25">
      <c r="B66" s="3">
        <v>44044</v>
      </c>
      <c r="C66" s="3">
        <v>44073</v>
      </c>
      <c r="D66" s="4">
        <v>2200000</v>
      </c>
      <c r="E66" s="4">
        <f t="shared" si="12"/>
        <v>30</v>
      </c>
      <c r="F66" s="5">
        <f t="shared" si="13"/>
        <v>2200000</v>
      </c>
      <c r="H66" s="35"/>
      <c r="I66" s="35"/>
      <c r="J66" s="35"/>
      <c r="K66" s="35"/>
    </row>
    <row r="67" spans="2:11" ht="15" customHeight="1" x14ac:dyDescent="0.25">
      <c r="B67" s="43" t="s">
        <v>7</v>
      </c>
      <c r="C67" s="43"/>
      <c r="D67" s="43"/>
      <c r="E67" s="43"/>
      <c r="F67" s="6">
        <f>SUM(F64:F66)</f>
        <v>6600000</v>
      </c>
      <c r="H67" s="52" t="s">
        <v>36</v>
      </c>
      <c r="I67" s="52"/>
      <c r="J67" s="52"/>
      <c r="K67" s="52"/>
    </row>
    <row r="68" spans="2:11" x14ac:dyDescent="0.25">
      <c r="H68" s="52"/>
      <c r="I68" s="52"/>
      <c r="J68" s="52"/>
      <c r="K68" s="52"/>
    </row>
    <row r="69" spans="2:11" x14ac:dyDescent="0.25">
      <c r="B69" s="1" t="s">
        <v>2</v>
      </c>
      <c r="C69" s="1" t="s">
        <v>3</v>
      </c>
      <c r="D69" s="1" t="s">
        <v>4</v>
      </c>
      <c r="E69" s="1" t="s">
        <v>5</v>
      </c>
      <c r="F69" s="2" t="s">
        <v>8</v>
      </c>
      <c r="H69" s="52"/>
      <c r="I69" s="52"/>
      <c r="J69" s="52"/>
      <c r="K69" s="52"/>
    </row>
    <row r="70" spans="2:11" x14ac:dyDescent="0.25">
      <c r="B70" s="3">
        <v>42941</v>
      </c>
      <c r="C70" s="3">
        <v>43100</v>
      </c>
      <c r="D70" s="4">
        <v>820857</v>
      </c>
      <c r="E70" s="4">
        <f>DAYS360(B70,C70)+1</f>
        <v>157</v>
      </c>
      <c r="F70" s="5">
        <f>(D70*E70)/360</f>
        <v>357984.85833333334</v>
      </c>
      <c r="H70" s="52"/>
      <c r="I70" s="52"/>
      <c r="J70" s="52"/>
      <c r="K70" s="52"/>
    </row>
    <row r="71" spans="2:11" x14ac:dyDescent="0.25">
      <c r="B71" s="3">
        <v>43101</v>
      </c>
      <c r="C71" s="3">
        <v>43465</v>
      </c>
      <c r="D71" s="4">
        <v>869453</v>
      </c>
      <c r="E71" s="4">
        <f t="shared" ref="E71:E73" si="14">DAYS360(B71,C71)+1</f>
        <v>361</v>
      </c>
      <c r="F71" s="5">
        <f t="shared" ref="F71:F73" si="15">(D71*E71)/360</f>
        <v>871868.14722222218</v>
      </c>
    </row>
    <row r="72" spans="2:11" x14ac:dyDescent="0.25">
      <c r="B72" s="3">
        <v>43466</v>
      </c>
      <c r="C72" s="3">
        <v>43830</v>
      </c>
      <c r="D72" s="4">
        <v>925148</v>
      </c>
      <c r="E72" s="4">
        <f t="shared" si="14"/>
        <v>361</v>
      </c>
      <c r="F72" s="5">
        <f t="shared" si="15"/>
        <v>927717.85555555555</v>
      </c>
    </row>
    <row r="73" spans="2:11" x14ac:dyDescent="0.25">
      <c r="B73" s="3">
        <v>43831</v>
      </c>
      <c r="C73" s="3">
        <v>44074</v>
      </c>
      <c r="D73" s="4">
        <v>2200000</v>
      </c>
      <c r="E73" s="4">
        <f t="shared" si="14"/>
        <v>241</v>
      </c>
      <c r="F73" s="5">
        <f t="shared" si="15"/>
        <v>1472777.7777777778</v>
      </c>
    </row>
    <row r="74" spans="2:11" x14ac:dyDescent="0.25">
      <c r="B74" s="43" t="s">
        <v>7</v>
      </c>
      <c r="C74" s="43"/>
      <c r="D74" s="43"/>
      <c r="E74" s="43"/>
      <c r="F74" s="6">
        <f>SUM(F70:F73)</f>
        <v>3630348.638888889</v>
      </c>
    </row>
    <row r="76" spans="2:11" x14ac:dyDescent="0.25">
      <c r="B76" s="1" t="s">
        <v>2</v>
      </c>
      <c r="C76" s="1" t="s">
        <v>3</v>
      </c>
      <c r="D76" s="1" t="s">
        <v>4</v>
      </c>
      <c r="E76" s="1" t="s">
        <v>5</v>
      </c>
      <c r="F76" s="2" t="s">
        <v>9</v>
      </c>
    </row>
    <row r="77" spans="2:11" x14ac:dyDescent="0.25">
      <c r="B77" s="3">
        <v>42941</v>
      </c>
      <c r="C77" s="3">
        <v>43100</v>
      </c>
      <c r="D77" s="4">
        <v>820857</v>
      </c>
      <c r="E77" s="4">
        <f>DAYS360(B77,C77)+1</f>
        <v>157</v>
      </c>
      <c r="F77" s="5">
        <f>(D77*E77)/360</f>
        <v>357984.85833333334</v>
      </c>
    </row>
    <row r="78" spans="2:11" x14ac:dyDescent="0.25">
      <c r="B78" s="3">
        <v>43101</v>
      </c>
      <c r="C78" s="3">
        <v>43465</v>
      </c>
      <c r="D78" s="4">
        <v>869453</v>
      </c>
      <c r="E78" s="4">
        <f t="shared" ref="E78:E80" si="16">DAYS360(B78,C78)+1</f>
        <v>361</v>
      </c>
      <c r="F78" s="5">
        <f t="shared" ref="F78:F80" si="17">(D78*E78)/360</f>
        <v>871868.14722222218</v>
      </c>
    </row>
    <row r="79" spans="2:11" x14ac:dyDescent="0.25">
      <c r="B79" s="3">
        <v>43466</v>
      </c>
      <c r="C79" s="3">
        <v>43830</v>
      </c>
      <c r="D79" s="4">
        <v>925148</v>
      </c>
      <c r="E79" s="4">
        <f t="shared" si="16"/>
        <v>361</v>
      </c>
      <c r="F79" s="5">
        <f t="shared" si="17"/>
        <v>927717.85555555555</v>
      </c>
    </row>
    <row r="80" spans="2:11" x14ac:dyDescent="0.25">
      <c r="B80" s="3">
        <v>43831</v>
      </c>
      <c r="C80" s="3">
        <v>44074</v>
      </c>
      <c r="D80" s="4">
        <v>2200000</v>
      </c>
      <c r="E80" s="4">
        <f t="shared" si="16"/>
        <v>241</v>
      </c>
      <c r="F80" s="5">
        <f t="shared" si="17"/>
        <v>1472777.7777777778</v>
      </c>
    </row>
    <row r="81" spans="2:9" x14ac:dyDescent="0.25">
      <c r="B81" s="43" t="s">
        <v>7</v>
      </c>
      <c r="C81" s="43"/>
      <c r="D81" s="43"/>
      <c r="E81" s="43"/>
      <c r="F81" s="6">
        <f>SUM(F77:F80)</f>
        <v>3630348.638888889</v>
      </c>
    </row>
    <row r="83" spans="2:9" x14ac:dyDescent="0.25">
      <c r="B83" s="1" t="s">
        <v>2</v>
      </c>
      <c r="C83" s="1" t="s">
        <v>3</v>
      </c>
      <c r="D83" s="1" t="s">
        <v>9</v>
      </c>
      <c r="E83" s="1" t="s">
        <v>5</v>
      </c>
      <c r="F83" s="2" t="s">
        <v>10</v>
      </c>
    </row>
    <row r="84" spans="2:9" x14ac:dyDescent="0.25">
      <c r="B84" s="3">
        <v>42941</v>
      </c>
      <c r="C84" s="3">
        <v>43100</v>
      </c>
      <c r="D84" s="4">
        <f>F77</f>
        <v>357984.85833333334</v>
      </c>
      <c r="E84" s="4">
        <f>DAYS360(B84,C84)+1</f>
        <v>157</v>
      </c>
      <c r="F84" s="4">
        <f>(D84*E84*0.12)/360</f>
        <v>18734.540919444444</v>
      </c>
    </row>
    <row r="85" spans="2:9" x14ac:dyDescent="0.25">
      <c r="B85" s="3">
        <v>43101</v>
      </c>
      <c r="C85" s="3">
        <v>43465</v>
      </c>
      <c r="D85" s="4">
        <f>F78</f>
        <v>871868.14722222218</v>
      </c>
      <c r="E85" s="4">
        <f t="shared" ref="E85:E87" si="18">DAYS360(B85,C85)+1</f>
        <v>361</v>
      </c>
      <c r="F85" s="4">
        <f t="shared" ref="F85:F87" si="19">(D85*E85*0.12)/360</f>
        <v>104914.8003824074</v>
      </c>
    </row>
    <row r="86" spans="2:9" x14ac:dyDescent="0.25">
      <c r="B86" s="3">
        <v>43466</v>
      </c>
      <c r="C86" s="3">
        <v>43830</v>
      </c>
      <c r="D86" s="4">
        <f>F79</f>
        <v>927717.85555555555</v>
      </c>
      <c r="E86" s="4">
        <f t="shared" si="18"/>
        <v>361</v>
      </c>
      <c r="F86" s="4">
        <f t="shared" si="19"/>
        <v>111635.38195185183</v>
      </c>
    </row>
    <row r="87" spans="2:9" x14ac:dyDescent="0.25">
      <c r="B87" s="3">
        <v>43831</v>
      </c>
      <c r="C87" s="3">
        <v>44074</v>
      </c>
      <c r="D87" s="5">
        <f>F80</f>
        <v>1472777.7777777778</v>
      </c>
      <c r="E87" s="4">
        <f t="shared" si="18"/>
        <v>241</v>
      </c>
      <c r="F87" s="4">
        <f t="shared" si="19"/>
        <v>118313.14814814813</v>
      </c>
    </row>
    <row r="88" spans="2:9" x14ac:dyDescent="0.25">
      <c r="B88" s="43" t="s">
        <v>7</v>
      </c>
      <c r="C88" s="43"/>
      <c r="D88" s="43"/>
      <c r="E88" s="43"/>
      <c r="F88" s="6">
        <f>SUM(F84:F87)</f>
        <v>353597.87140185182</v>
      </c>
    </row>
    <row r="91" spans="2:9" x14ac:dyDescent="0.25">
      <c r="B91" s="46" t="s">
        <v>14</v>
      </c>
      <c r="C91" s="47"/>
      <c r="D91" s="47"/>
      <c r="E91" s="47"/>
      <c r="F91" s="47"/>
      <c r="G91" s="47"/>
      <c r="H91" s="47"/>
      <c r="I91" s="48"/>
    </row>
    <row r="92" spans="2:9" x14ac:dyDescent="0.25">
      <c r="B92" s="55"/>
      <c r="C92" s="55"/>
      <c r="D92" s="55"/>
      <c r="E92" s="20" t="s">
        <v>15</v>
      </c>
      <c r="F92" s="20" t="s">
        <v>16</v>
      </c>
      <c r="G92" s="20" t="s">
        <v>17</v>
      </c>
      <c r="H92" s="31" t="s">
        <v>18</v>
      </c>
      <c r="I92" s="31"/>
    </row>
    <row r="93" spans="2:9" x14ac:dyDescent="0.25">
      <c r="B93" s="54" t="s">
        <v>19</v>
      </c>
      <c r="C93" s="54"/>
      <c r="D93" s="54"/>
      <c r="E93" s="12">
        <v>2020</v>
      </c>
      <c r="F93" s="12">
        <v>8</v>
      </c>
      <c r="G93" s="21">
        <v>31</v>
      </c>
      <c r="H93" s="23" t="s">
        <v>20</v>
      </c>
      <c r="I93" s="24" t="s">
        <v>21</v>
      </c>
    </row>
    <row r="94" spans="2:9" x14ac:dyDescent="0.25">
      <c r="B94" s="54" t="s">
        <v>22</v>
      </c>
      <c r="C94" s="54"/>
      <c r="D94" s="54"/>
      <c r="E94" s="17">
        <v>2017</v>
      </c>
      <c r="F94" s="17">
        <v>7</v>
      </c>
      <c r="G94" s="22">
        <v>25</v>
      </c>
      <c r="H94" s="25">
        <f>(E93-E94)*360+(F93-F94)*30+(G93-G94+1)</f>
        <v>1117</v>
      </c>
      <c r="I94" s="26">
        <f>H94/360</f>
        <v>3.1027777777777779</v>
      </c>
    </row>
    <row r="95" spans="2:9" x14ac:dyDescent="0.25">
      <c r="B95" s="54" t="s">
        <v>23</v>
      </c>
      <c r="C95" s="54"/>
      <c r="D95" s="54"/>
      <c r="E95" s="49">
        <v>2200000</v>
      </c>
      <c r="F95" s="50"/>
      <c r="G95" s="50"/>
      <c r="H95" s="50"/>
      <c r="I95" s="51"/>
    </row>
    <row r="96" spans="2:9" x14ac:dyDescent="0.25">
      <c r="B96" s="54" t="s">
        <v>24</v>
      </c>
      <c r="C96" s="54"/>
      <c r="D96" s="54"/>
      <c r="E96" s="36">
        <f>E95/30</f>
        <v>73333.333333333328</v>
      </c>
      <c r="F96" s="37"/>
      <c r="G96" s="37"/>
      <c r="H96" s="37"/>
      <c r="I96" s="38"/>
    </row>
    <row r="97" spans="2:9" x14ac:dyDescent="0.25">
      <c r="B97" s="54" t="s">
        <v>25</v>
      </c>
      <c r="C97" s="54"/>
      <c r="D97" s="54"/>
      <c r="E97" s="36">
        <f>E95</f>
        <v>2200000</v>
      </c>
      <c r="F97" s="37"/>
      <c r="G97" s="37"/>
      <c r="H97" s="37"/>
      <c r="I97" s="38"/>
    </row>
    <row r="98" spans="2:9" x14ac:dyDescent="0.25">
      <c r="B98" s="54" t="s">
        <v>26</v>
      </c>
      <c r="C98" s="54"/>
      <c r="D98" s="54"/>
      <c r="E98" s="18">
        <f>I94-1</f>
        <v>2.1027777777777779</v>
      </c>
      <c r="F98" s="36">
        <f>E98*20*E96</f>
        <v>3084074.0740740742</v>
      </c>
      <c r="G98" s="37"/>
      <c r="H98" s="37"/>
      <c r="I98" s="38"/>
    </row>
    <row r="99" spans="2:9" x14ac:dyDescent="0.25">
      <c r="B99" s="53" t="s">
        <v>27</v>
      </c>
      <c r="C99" s="53"/>
      <c r="D99" s="53"/>
      <c r="E99" s="13"/>
      <c r="F99" s="39">
        <f>E97+F98</f>
        <v>5284074.0740740746</v>
      </c>
      <c r="G99" s="40"/>
      <c r="H99" s="40"/>
      <c r="I99" s="41"/>
    </row>
    <row r="101" spans="2:9" x14ac:dyDescent="0.25">
      <c r="B101" s="60" t="s">
        <v>28</v>
      </c>
      <c r="C101" s="60"/>
      <c r="D101" s="56"/>
      <c r="E101" s="56"/>
      <c r="F101" s="56"/>
    </row>
    <row r="102" spans="2:9" x14ac:dyDescent="0.25">
      <c r="B102" s="61" t="s">
        <v>29</v>
      </c>
      <c r="C102" s="61"/>
      <c r="D102" s="62" t="s">
        <v>30</v>
      </c>
      <c r="E102" s="61"/>
      <c r="F102" s="10" t="s">
        <v>31</v>
      </c>
    </row>
    <row r="103" spans="2:9" x14ac:dyDescent="0.25">
      <c r="B103" s="58">
        <f>(2200000/30)</f>
        <v>73333.333333333328</v>
      </c>
      <c r="C103" s="58"/>
      <c r="D103" s="59">
        <v>720</v>
      </c>
      <c r="E103" s="59"/>
      <c r="F103" s="11">
        <f>B103*D103</f>
        <v>52800000</v>
      </c>
    </row>
    <row r="106" spans="2:9" x14ac:dyDescent="0.25">
      <c r="B106" s="42" t="s">
        <v>32</v>
      </c>
      <c r="C106" s="42"/>
      <c r="D106" s="42"/>
      <c r="E106" s="42"/>
      <c r="F106" s="28">
        <f>SUM(F67+F74+F81+F88+F99+F103)</f>
        <v>72298369.223253697</v>
      </c>
    </row>
  </sheetData>
  <mergeCells count="57">
    <mergeCell ref="B101:F101"/>
    <mergeCell ref="B102:C102"/>
    <mergeCell ref="D102:E102"/>
    <mergeCell ref="B103:C103"/>
    <mergeCell ref="D103:E103"/>
    <mergeCell ref="H5:K8"/>
    <mergeCell ref="B106:E106"/>
    <mergeCell ref="B74:E74"/>
    <mergeCell ref="B81:E81"/>
    <mergeCell ref="B88:E88"/>
    <mergeCell ref="B93:D93"/>
    <mergeCell ref="B94:D94"/>
    <mergeCell ref="B95:D95"/>
    <mergeCell ref="B96:D96"/>
    <mergeCell ref="B99:D99"/>
    <mergeCell ref="B97:D97"/>
    <mergeCell ref="B98:D98"/>
    <mergeCell ref="B92:D92"/>
    <mergeCell ref="E48:I48"/>
    <mergeCell ref="E49:I49"/>
    <mergeCell ref="E50:I50"/>
    <mergeCell ref="H10:K13"/>
    <mergeCell ref="B42:E42"/>
    <mergeCell ref="B57:C57"/>
    <mergeCell ref="D57:E57"/>
    <mergeCell ref="B47:D47"/>
    <mergeCell ref="B48:D48"/>
    <mergeCell ref="B55:F55"/>
    <mergeCell ref="B56:C56"/>
    <mergeCell ref="D56:E56"/>
    <mergeCell ref="F51:I51"/>
    <mergeCell ref="B44:I44"/>
    <mergeCell ref="B5:F5"/>
    <mergeCell ref="B17:E17"/>
    <mergeCell ref="B10:E10"/>
    <mergeCell ref="B52:D52"/>
    <mergeCell ref="B49:D49"/>
    <mergeCell ref="B50:D50"/>
    <mergeCell ref="B51:D51"/>
    <mergeCell ref="B24:E24"/>
    <mergeCell ref="B31:E31"/>
    <mergeCell ref="B35:E35"/>
    <mergeCell ref="B45:D45"/>
    <mergeCell ref="B46:D46"/>
    <mergeCell ref="B37:F37"/>
    <mergeCell ref="E96:I96"/>
    <mergeCell ref="E97:I97"/>
    <mergeCell ref="F98:I98"/>
    <mergeCell ref="F99:I99"/>
    <mergeCell ref="F52:I52"/>
    <mergeCell ref="B59:E59"/>
    <mergeCell ref="B67:E67"/>
    <mergeCell ref="B62:F62"/>
    <mergeCell ref="B91:I91"/>
    <mergeCell ref="E95:I95"/>
    <mergeCell ref="H63:K65"/>
    <mergeCell ref="H67:K7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27652-B2AA-4F41-9A7E-56D79C60E6EB}">
  <dimension ref="B1:K48"/>
  <sheetViews>
    <sheetView tabSelected="1" topLeftCell="A28" workbookViewId="0">
      <selection activeCell="J47" sqref="J47"/>
    </sheetView>
  </sheetViews>
  <sheetFormatPr baseColWidth="10" defaultRowHeight="15" x14ac:dyDescent="0.25"/>
  <cols>
    <col min="6" max="6" width="15.140625" customWidth="1"/>
  </cols>
  <sheetData>
    <row r="1" spans="2:11" x14ac:dyDescent="0.25">
      <c r="B1" s="44" t="s">
        <v>33</v>
      </c>
      <c r="C1" s="45"/>
      <c r="D1" s="45"/>
      <c r="E1" s="45"/>
      <c r="F1" s="45"/>
      <c r="G1" s="7"/>
    </row>
    <row r="2" spans="2:11" x14ac:dyDescent="0.25">
      <c r="B2" s="1" t="s">
        <v>2</v>
      </c>
      <c r="C2" s="33" t="s">
        <v>3</v>
      </c>
      <c r="D2" s="1" t="s">
        <v>4</v>
      </c>
      <c r="E2" s="1" t="s">
        <v>5</v>
      </c>
      <c r="F2" s="2" t="s">
        <v>6</v>
      </c>
      <c r="G2" s="7"/>
      <c r="H2" s="52" t="s">
        <v>35</v>
      </c>
      <c r="I2" s="52"/>
      <c r="J2" s="52"/>
      <c r="K2" s="52"/>
    </row>
    <row r="3" spans="2:11" x14ac:dyDescent="0.25">
      <c r="B3" s="34">
        <v>43983</v>
      </c>
      <c r="C3" s="3">
        <v>44012</v>
      </c>
      <c r="D3" s="4">
        <v>2200000</v>
      </c>
      <c r="E3" s="4">
        <f t="shared" ref="E3:E5" si="0">DAYS360(B3,C3)+1</f>
        <v>30</v>
      </c>
      <c r="F3" s="5">
        <f>(D3/30)*E3</f>
        <v>2200000</v>
      </c>
      <c r="G3" s="7"/>
      <c r="H3" s="52"/>
      <c r="I3" s="52"/>
      <c r="J3" s="52"/>
      <c r="K3" s="52"/>
    </row>
    <row r="4" spans="2:11" x14ac:dyDescent="0.25">
      <c r="B4" s="3">
        <v>44013</v>
      </c>
      <c r="C4" s="3">
        <v>44042</v>
      </c>
      <c r="D4" s="4">
        <v>2200000</v>
      </c>
      <c r="E4" s="4">
        <f t="shared" si="0"/>
        <v>30</v>
      </c>
      <c r="F4" s="5">
        <f t="shared" ref="F4:F5" si="1">(D4/30)*E4</f>
        <v>2200000</v>
      </c>
      <c r="G4" s="7"/>
      <c r="H4" s="52"/>
      <c r="I4" s="52"/>
      <c r="J4" s="52"/>
      <c r="K4" s="52"/>
    </row>
    <row r="5" spans="2:11" x14ac:dyDescent="0.25">
      <c r="B5" s="3">
        <v>44044</v>
      </c>
      <c r="C5" s="3">
        <v>44073</v>
      </c>
      <c r="D5" s="4">
        <v>2200000</v>
      </c>
      <c r="E5" s="4">
        <f t="shared" si="0"/>
        <v>30</v>
      </c>
      <c r="F5" s="5">
        <f t="shared" si="1"/>
        <v>2200000</v>
      </c>
      <c r="G5" s="7"/>
      <c r="H5" s="35"/>
      <c r="I5" s="35"/>
      <c r="J5" s="35"/>
      <c r="K5" s="35"/>
    </row>
    <row r="6" spans="2:11" ht="15" customHeight="1" x14ac:dyDescent="0.25">
      <c r="B6" s="43" t="s">
        <v>7</v>
      </c>
      <c r="C6" s="43"/>
      <c r="D6" s="43"/>
      <c r="E6" s="43"/>
      <c r="F6" s="6">
        <f>SUM(F3:F5)</f>
        <v>6600000</v>
      </c>
      <c r="G6" s="7"/>
      <c r="H6" s="52" t="s">
        <v>36</v>
      </c>
      <c r="I6" s="52"/>
      <c r="J6" s="52"/>
      <c r="K6" s="52"/>
    </row>
    <row r="7" spans="2:11" x14ac:dyDescent="0.25">
      <c r="B7" s="7"/>
      <c r="C7" s="7"/>
      <c r="D7" s="7"/>
      <c r="E7" s="7"/>
      <c r="F7" s="7"/>
      <c r="G7" s="7"/>
      <c r="H7" s="52"/>
      <c r="I7" s="52"/>
      <c r="J7" s="52"/>
      <c r="K7" s="52"/>
    </row>
    <row r="8" spans="2:11" x14ac:dyDescent="0.25">
      <c r="B8" s="1" t="s">
        <v>2</v>
      </c>
      <c r="C8" s="1" t="s">
        <v>3</v>
      </c>
      <c r="D8" s="1" t="s">
        <v>4</v>
      </c>
      <c r="E8" s="1" t="s">
        <v>5</v>
      </c>
      <c r="F8" s="2" t="s">
        <v>8</v>
      </c>
      <c r="G8" s="7"/>
      <c r="H8" s="52"/>
      <c r="I8" s="52"/>
      <c r="J8" s="52"/>
      <c r="K8" s="52"/>
    </row>
    <row r="9" spans="2:11" x14ac:dyDescent="0.25">
      <c r="B9" s="3">
        <v>42941</v>
      </c>
      <c r="C9" s="3">
        <v>43100</v>
      </c>
      <c r="D9" s="4">
        <v>820857</v>
      </c>
      <c r="E9" s="4">
        <f>DAYS360(B9,C9)+1</f>
        <v>157</v>
      </c>
      <c r="F9" s="5">
        <f>(D9*E9)/360</f>
        <v>357984.85833333334</v>
      </c>
      <c r="G9" s="7"/>
      <c r="H9" s="52"/>
      <c r="I9" s="52"/>
      <c r="J9" s="52"/>
      <c r="K9" s="52"/>
    </row>
    <row r="10" spans="2:11" x14ac:dyDescent="0.25">
      <c r="B10" s="3">
        <v>43101</v>
      </c>
      <c r="C10" s="3">
        <v>43465</v>
      </c>
      <c r="D10" s="4">
        <v>869453</v>
      </c>
      <c r="E10" s="4">
        <f t="shared" ref="E10:E12" si="2">DAYS360(B10,C10)+1</f>
        <v>361</v>
      </c>
      <c r="F10" s="5">
        <f t="shared" ref="F10:F12" si="3">(D10*E10)/360</f>
        <v>871868.14722222218</v>
      </c>
      <c r="G10" s="7"/>
    </row>
    <row r="11" spans="2:11" x14ac:dyDescent="0.25">
      <c r="B11" s="3">
        <v>43466</v>
      </c>
      <c r="C11" s="3">
        <v>43830</v>
      </c>
      <c r="D11" s="4">
        <v>925148</v>
      </c>
      <c r="E11" s="4">
        <f t="shared" si="2"/>
        <v>361</v>
      </c>
      <c r="F11" s="5">
        <f t="shared" si="3"/>
        <v>927717.85555555555</v>
      </c>
      <c r="G11" s="7"/>
    </row>
    <row r="12" spans="2:11" x14ac:dyDescent="0.25">
      <c r="B12" s="3">
        <v>43831</v>
      </c>
      <c r="C12" s="3">
        <v>44074</v>
      </c>
      <c r="D12" s="4">
        <v>2200000</v>
      </c>
      <c r="E12" s="4">
        <f t="shared" si="2"/>
        <v>241</v>
      </c>
      <c r="F12" s="5">
        <f t="shared" si="3"/>
        <v>1472777.7777777778</v>
      </c>
      <c r="G12" s="7"/>
    </row>
    <row r="13" spans="2:11" x14ac:dyDescent="0.25">
      <c r="B13" s="43" t="s">
        <v>7</v>
      </c>
      <c r="C13" s="43"/>
      <c r="D13" s="43"/>
      <c r="E13" s="43"/>
      <c r="F13" s="6">
        <f>SUM(F9:F12)</f>
        <v>3630348.638888889</v>
      </c>
      <c r="G13" s="7"/>
    </row>
    <row r="14" spans="2:11" x14ac:dyDescent="0.25">
      <c r="B14" s="7"/>
      <c r="C14" s="7"/>
      <c r="D14" s="7"/>
      <c r="E14" s="7"/>
      <c r="F14" s="7"/>
      <c r="G14" s="7"/>
    </row>
    <row r="15" spans="2:11" x14ac:dyDescent="0.25">
      <c r="B15" s="1" t="s">
        <v>2</v>
      </c>
      <c r="C15" s="1" t="s">
        <v>3</v>
      </c>
      <c r="D15" s="1" t="s">
        <v>4</v>
      </c>
      <c r="E15" s="1" t="s">
        <v>5</v>
      </c>
      <c r="F15" s="2" t="s">
        <v>9</v>
      </c>
      <c r="G15" s="7"/>
    </row>
    <row r="16" spans="2:11" x14ac:dyDescent="0.25">
      <c r="B16" s="3">
        <v>42941</v>
      </c>
      <c r="C16" s="3">
        <v>43100</v>
      </c>
      <c r="D16" s="4">
        <v>820857</v>
      </c>
      <c r="E16" s="4">
        <f>DAYS360(B16,C16)+1</f>
        <v>157</v>
      </c>
      <c r="F16" s="5">
        <f>(D16*E16)/360</f>
        <v>357984.85833333334</v>
      </c>
      <c r="G16" s="7"/>
    </row>
    <row r="17" spans="2:9" x14ac:dyDescent="0.25">
      <c r="B17" s="3">
        <v>43101</v>
      </c>
      <c r="C17" s="3">
        <v>43465</v>
      </c>
      <c r="D17" s="4">
        <v>869453</v>
      </c>
      <c r="E17" s="4">
        <f t="shared" ref="E17:E19" si="4">DAYS360(B17,C17)+1</f>
        <v>361</v>
      </c>
      <c r="F17" s="5">
        <f t="shared" ref="F17:F19" si="5">(D17*E17)/360</f>
        <v>871868.14722222218</v>
      </c>
      <c r="G17" s="7"/>
    </row>
    <row r="18" spans="2:9" x14ac:dyDescent="0.25">
      <c r="B18" s="3">
        <v>43466</v>
      </c>
      <c r="C18" s="3">
        <v>43830</v>
      </c>
      <c r="D18" s="4">
        <v>925148</v>
      </c>
      <c r="E18" s="4">
        <f t="shared" si="4"/>
        <v>361</v>
      </c>
      <c r="F18" s="5">
        <f t="shared" si="5"/>
        <v>927717.85555555555</v>
      </c>
      <c r="G18" s="7"/>
    </row>
    <row r="19" spans="2:9" x14ac:dyDescent="0.25">
      <c r="B19" s="3">
        <v>43831</v>
      </c>
      <c r="C19" s="3">
        <v>44074</v>
      </c>
      <c r="D19" s="4">
        <v>2200000</v>
      </c>
      <c r="E19" s="4">
        <f t="shared" si="4"/>
        <v>241</v>
      </c>
      <c r="F19" s="5">
        <f t="shared" si="5"/>
        <v>1472777.7777777778</v>
      </c>
      <c r="G19" s="7"/>
    </row>
    <row r="20" spans="2:9" x14ac:dyDescent="0.25">
      <c r="B20" s="43" t="s">
        <v>7</v>
      </c>
      <c r="C20" s="43"/>
      <c r="D20" s="43"/>
      <c r="E20" s="43"/>
      <c r="F20" s="6">
        <f>SUM(F16:F19)</f>
        <v>3630348.638888889</v>
      </c>
      <c r="G20" s="7"/>
    </row>
    <row r="21" spans="2:9" x14ac:dyDescent="0.25">
      <c r="B21" s="7"/>
      <c r="C21" s="7"/>
      <c r="D21" s="7"/>
      <c r="E21" s="7"/>
      <c r="F21" s="7"/>
      <c r="G21" s="7"/>
    </row>
    <row r="22" spans="2:9" x14ac:dyDescent="0.25">
      <c r="B22" s="1" t="s">
        <v>2</v>
      </c>
      <c r="C22" s="1" t="s">
        <v>3</v>
      </c>
      <c r="D22" s="1" t="s">
        <v>9</v>
      </c>
      <c r="E22" s="1" t="s">
        <v>5</v>
      </c>
      <c r="F22" s="2" t="s">
        <v>10</v>
      </c>
      <c r="G22" s="7"/>
    </row>
    <row r="23" spans="2:9" x14ac:dyDescent="0.25">
      <c r="B23" s="3">
        <v>42941</v>
      </c>
      <c r="C23" s="3">
        <v>43100</v>
      </c>
      <c r="D23" s="4">
        <f>F16</f>
        <v>357984.85833333334</v>
      </c>
      <c r="E23" s="4">
        <f>DAYS360(B23,C23)+1</f>
        <v>157</v>
      </c>
      <c r="F23" s="4">
        <f>(D23*E23*0.12)/360</f>
        <v>18734.540919444444</v>
      </c>
      <c r="G23" s="7"/>
    </row>
    <row r="24" spans="2:9" x14ac:dyDescent="0.25">
      <c r="B24" s="3">
        <v>43101</v>
      </c>
      <c r="C24" s="3">
        <v>43465</v>
      </c>
      <c r="D24" s="4">
        <f>F17</f>
        <v>871868.14722222218</v>
      </c>
      <c r="E24" s="4">
        <f t="shared" ref="E24:E26" si="6">DAYS360(B24,C24)+1</f>
        <v>361</v>
      </c>
      <c r="F24" s="4">
        <f t="shared" ref="F24:F26" si="7">(D24*E24*0.12)/360</f>
        <v>104914.8003824074</v>
      </c>
      <c r="G24" s="7"/>
    </row>
    <row r="25" spans="2:9" x14ac:dyDescent="0.25">
      <c r="B25" s="3">
        <v>43466</v>
      </c>
      <c r="C25" s="3">
        <v>43830</v>
      </c>
      <c r="D25" s="4">
        <f>F18</f>
        <v>927717.85555555555</v>
      </c>
      <c r="E25" s="4">
        <f t="shared" si="6"/>
        <v>361</v>
      </c>
      <c r="F25" s="4">
        <f t="shared" si="7"/>
        <v>111635.38195185183</v>
      </c>
      <c r="G25" s="7"/>
    </row>
    <row r="26" spans="2:9" x14ac:dyDescent="0.25">
      <c r="B26" s="3">
        <v>43831</v>
      </c>
      <c r="C26" s="3">
        <v>44074</v>
      </c>
      <c r="D26" s="5">
        <f>F19</f>
        <v>1472777.7777777778</v>
      </c>
      <c r="E26" s="4">
        <f t="shared" si="6"/>
        <v>241</v>
      </c>
      <c r="F26" s="4">
        <f t="shared" si="7"/>
        <v>118313.14814814813</v>
      </c>
      <c r="G26" s="7"/>
    </row>
    <row r="27" spans="2:9" x14ac:dyDescent="0.25">
      <c r="B27" s="43" t="s">
        <v>7</v>
      </c>
      <c r="C27" s="43"/>
      <c r="D27" s="43"/>
      <c r="E27" s="43"/>
      <c r="F27" s="6">
        <f>SUM(F23:F26)</f>
        <v>353597.87140185182</v>
      </c>
      <c r="G27" s="7"/>
    </row>
    <row r="28" spans="2:9" x14ac:dyDescent="0.25">
      <c r="B28" s="7"/>
      <c r="C28" s="7"/>
      <c r="D28" s="7"/>
      <c r="E28" s="7"/>
      <c r="F28" s="7"/>
      <c r="G28" s="7"/>
    </row>
    <row r="29" spans="2:9" x14ac:dyDescent="0.25">
      <c r="B29" s="7"/>
      <c r="C29" s="7"/>
      <c r="D29" s="7"/>
      <c r="E29" s="7"/>
      <c r="F29" s="7"/>
      <c r="G29" s="7"/>
    </row>
    <row r="30" spans="2:9" x14ac:dyDescent="0.25">
      <c r="B30" s="46" t="s">
        <v>14</v>
      </c>
      <c r="C30" s="47"/>
      <c r="D30" s="47"/>
      <c r="E30" s="47"/>
      <c r="F30" s="47"/>
      <c r="G30" s="47"/>
      <c r="H30" s="47"/>
      <c r="I30" s="48"/>
    </row>
    <row r="31" spans="2:9" x14ac:dyDescent="0.25">
      <c r="B31" s="55"/>
      <c r="C31" s="55"/>
      <c r="D31" s="55"/>
      <c r="E31" s="20" t="s">
        <v>15</v>
      </c>
      <c r="F31" s="20" t="s">
        <v>16</v>
      </c>
      <c r="G31" s="20" t="s">
        <v>17</v>
      </c>
      <c r="H31" s="31" t="s">
        <v>18</v>
      </c>
      <c r="I31" s="31"/>
    </row>
    <row r="32" spans="2:9" x14ac:dyDescent="0.25">
      <c r="B32" s="54" t="s">
        <v>19</v>
      </c>
      <c r="C32" s="54"/>
      <c r="D32" s="54"/>
      <c r="E32" s="12">
        <v>2020</v>
      </c>
      <c r="F32" s="12">
        <v>8</v>
      </c>
      <c r="G32" s="21">
        <v>31</v>
      </c>
      <c r="H32" s="23" t="s">
        <v>20</v>
      </c>
      <c r="I32" s="24" t="s">
        <v>21</v>
      </c>
    </row>
    <row r="33" spans="2:9" x14ac:dyDescent="0.25">
      <c r="B33" s="54" t="s">
        <v>22</v>
      </c>
      <c r="C33" s="54"/>
      <c r="D33" s="54"/>
      <c r="E33" s="17">
        <v>2017</v>
      </c>
      <c r="F33" s="17">
        <v>7</v>
      </c>
      <c r="G33" s="22">
        <v>25</v>
      </c>
      <c r="H33" s="25">
        <f>(E32-E33)*360+(F32-F33)*30+(G32-G33+1)</f>
        <v>1117</v>
      </c>
      <c r="I33" s="26">
        <f>H33/360</f>
        <v>3.1027777777777779</v>
      </c>
    </row>
    <row r="34" spans="2:9" x14ac:dyDescent="0.25">
      <c r="B34" s="54" t="s">
        <v>23</v>
      </c>
      <c r="C34" s="54"/>
      <c r="D34" s="54"/>
      <c r="E34" s="49">
        <v>2200000</v>
      </c>
      <c r="F34" s="50"/>
      <c r="G34" s="50"/>
      <c r="H34" s="50"/>
      <c r="I34" s="51"/>
    </row>
    <row r="35" spans="2:9" x14ac:dyDescent="0.25">
      <c r="B35" s="54" t="s">
        <v>24</v>
      </c>
      <c r="C35" s="54"/>
      <c r="D35" s="54"/>
      <c r="E35" s="36">
        <f>E34/30</f>
        <v>73333.333333333328</v>
      </c>
      <c r="F35" s="37"/>
      <c r="G35" s="37"/>
      <c r="H35" s="37"/>
      <c r="I35" s="38"/>
    </row>
    <row r="36" spans="2:9" x14ac:dyDescent="0.25">
      <c r="B36" s="54" t="s">
        <v>25</v>
      </c>
      <c r="C36" s="54"/>
      <c r="D36" s="54"/>
      <c r="E36" s="36">
        <f>E34</f>
        <v>2200000</v>
      </c>
      <c r="F36" s="37"/>
      <c r="G36" s="37"/>
      <c r="H36" s="37"/>
      <c r="I36" s="38"/>
    </row>
    <row r="37" spans="2:9" x14ac:dyDescent="0.25">
      <c r="B37" s="54" t="s">
        <v>26</v>
      </c>
      <c r="C37" s="54"/>
      <c r="D37" s="54"/>
      <c r="E37" s="18">
        <f>I33-1</f>
        <v>2.1027777777777779</v>
      </c>
      <c r="F37" s="36">
        <f>E37*20*E35</f>
        <v>3084074.0740740742</v>
      </c>
      <c r="G37" s="37"/>
      <c r="H37" s="37"/>
      <c r="I37" s="38"/>
    </row>
    <row r="38" spans="2:9" x14ac:dyDescent="0.25">
      <c r="B38" s="53" t="s">
        <v>27</v>
      </c>
      <c r="C38" s="53"/>
      <c r="D38" s="53"/>
      <c r="E38" s="13"/>
      <c r="F38" s="39">
        <f>E36+F37</f>
        <v>5284074.0740740746</v>
      </c>
      <c r="G38" s="40"/>
      <c r="H38" s="40"/>
      <c r="I38" s="41"/>
    </row>
    <row r="39" spans="2:9" x14ac:dyDescent="0.25">
      <c r="B39" s="7"/>
      <c r="C39" s="7"/>
      <c r="D39" s="7"/>
      <c r="E39" s="7"/>
      <c r="F39" s="7"/>
      <c r="G39" s="7"/>
    </row>
    <row r="40" spans="2:9" x14ac:dyDescent="0.25">
      <c r="B40" s="60" t="s">
        <v>28</v>
      </c>
      <c r="C40" s="60"/>
      <c r="D40" s="56"/>
      <c r="E40" s="56"/>
      <c r="F40" s="56"/>
      <c r="G40" s="7"/>
    </row>
    <row r="41" spans="2:9" x14ac:dyDescent="0.25">
      <c r="B41" s="61" t="s">
        <v>29</v>
      </c>
      <c r="C41" s="61"/>
      <c r="D41" s="62" t="s">
        <v>30</v>
      </c>
      <c r="E41" s="61"/>
      <c r="F41" s="10" t="s">
        <v>31</v>
      </c>
      <c r="G41" s="7"/>
    </row>
    <row r="42" spans="2:9" x14ac:dyDescent="0.25">
      <c r="B42" s="58">
        <f>(2200000/30)</f>
        <v>73333.333333333328</v>
      </c>
      <c r="C42" s="58"/>
      <c r="D42" s="59">
        <v>720</v>
      </c>
      <c r="E42" s="59"/>
      <c r="F42" s="11">
        <f>B42*D42</f>
        <v>52800000</v>
      </c>
      <c r="G42" s="7"/>
    </row>
    <row r="43" spans="2:9" x14ac:dyDescent="0.25">
      <c r="B43" s="7"/>
      <c r="C43" s="7"/>
      <c r="D43" s="7"/>
      <c r="E43" s="7"/>
      <c r="F43" s="7"/>
      <c r="G43" s="7"/>
    </row>
    <row r="44" spans="2:9" x14ac:dyDescent="0.25">
      <c r="B44" s="7"/>
      <c r="C44" s="7"/>
      <c r="D44" s="7"/>
      <c r="E44" s="7"/>
      <c r="F44" s="7"/>
      <c r="G44" s="7"/>
    </row>
    <row r="45" spans="2:9" x14ac:dyDescent="0.25">
      <c r="B45" s="42" t="s">
        <v>32</v>
      </c>
      <c r="C45" s="42"/>
      <c r="D45" s="42"/>
      <c r="E45" s="42"/>
      <c r="F45" s="28">
        <f>SUM(F6+F13+F20+F27+F38+F42)</f>
        <v>72298369.223253697</v>
      </c>
      <c r="G45" s="7"/>
    </row>
    <row r="47" spans="2:9" x14ac:dyDescent="0.25">
      <c r="B47" s="64" t="s">
        <v>37</v>
      </c>
      <c r="C47" s="64"/>
      <c r="D47" s="64"/>
      <c r="E47" s="64"/>
      <c r="F47" s="64"/>
    </row>
    <row r="48" spans="2:9" ht="34.5" customHeight="1" x14ac:dyDescent="0.25">
      <c r="B48" s="64"/>
      <c r="C48" s="64"/>
      <c r="D48" s="64"/>
      <c r="E48" s="64"/>
      <c r="F48" s="64"/>
    </row>
  </sheetData>
  <mergeCells count="28">
    <mergeCell ref="B45:E45"/>
    <mergeCell ref="B47:F48"/>
    <mergeCell ref="B38:D38"/>
    <mergeCell ref="F38:I38"/>
    <mergeCell ref="B40:F40"/>
    <mergeCell ref="B41:C41"/>
    <mergeCell ref="D41:E41"/>
    <mergeCell ref="B42:C42"/>
    <mergeCell ref="D42:E42"/>
    <mergeCell ref="B35:D35"/>
    <mergeCell ref="E35:I35"/>
    <mergeCell ref="B36:D36"/>
    <mergeCell ref="E36:I36"/>
    <mergeCell ref="B37:D37"/>
    <mergeCell ref="F37:I37"/>
    <mergeCell ref="B34:D34"/>
    <mergeCell ref="E34:I34"/>
    <mergeCell ref="B1:F1"/>
    <mergeCell ref="H2:K4"/>
    <mergeCell ref="B6:E6"/>
    <mergeCell ref="H6:K9"/>
    <mergeCell ref="B13:E13"/>
    <mergeCell ref="B20:E20"/>
    <mergeCell ref="B27:E27"/>
    <mergeCell ref="B30:I30"/>
    <mergeCell ref="B31:D31"/>
    <mergeCell ref="B32:D32"/>
    <mergeCell ref="B33:D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LIQ. PRETENSIONES DEMANDA</vt:lpstr>
      <vt:lpstr>LIQ. FACTURACIÓN (GU136799)</vt:lpstr>
    </vt:vector>
  </TitlesOfParts>
  <Manager/>
  <Company>Rama Judicial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Sebastian Suarez Ossa</dc:creator>
  <cp:keywords/>
  <dc:description/>
  <cp:lastModifiedBy>Daniela Quintero</cp:lastModifiedBy>
  <cp:revision/>
  <dcterms:created xsi:type="dcterms:W3CDTF">2023-05-23T18:21:31Z</dcterms:created>
  <dcterms:modified xsi:type="dcterms:W3CDTF">2023-11-14T17:19:44Z</dcterms:modified>
  <cp:category/>
  <cp:contentStatus/>
</cp:coreProperties>
</file>