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valen\Downloads\"/>
    </mc:Choice>
  </mc:AlternateContent>
  <xr:revisionPtr revIDLastSave="0" documentId="13_ncr:1_{CF456805-2FC6-4E83-A749-86956701ED62}" xr6:coauthVersionLast="47" xr6:coauthVersionMax="47" xr10:uidLastSave="{00000000-0000-0000-0000-000000000000}"/>
  <bookViews>
    <workbookView xWindow="-120" yWindow="-120" windowWidth="20730" windowHeight="11040" xr2:uid="{69AAD36E-CAFA-43EB-832F-400E58192986}"/>
  </bookViews>
  <sheets>
    <sheet name="LIQ. PRETENSIONES DEMANDA" sheetId="12" r:id="rId1"/>
    <sheet name="PML-" sheetId="15"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6" i="15" l="1"/>
  <c r="F62" i="15"/>
  <c r="F58" i="15"/>
  <c r="F54" i="15"/>
  <c r="G54" i="15" s="1"/>
  <c r="G55" i="15" s="1"/>
  <c r="E54" i="15"/>
  <c r="E58" i="15" s="1"/>
  <c r="F50" i="15"/>
  <c r="G50" i="15" s="1"/>
  <c r="G51" i="15" s="1"/>
  <c r="F46" i="15"/>
  <c r="G46" i="15" s="1"/>
  <c r="F93" i="12"/>
  <c r="E39" i="12"/>
  <c r="E40" i="12"/>
  <c r="E23" i="12"/>
  <c r="F23" i="12" s="1"/>
  <c r="D39" i="12" s="1"/>
  <c r="E24" i="12"/>
  <c r="F24" i="12" s="1"/>
  <c r="D40" i="12" s="1"/>
  <c r="E8" i="12"/>
  <c r="F8" i="12" s="1"/>
  <c r="E9" i="12"/>
  <c r="F9" i="12" s="1"/>
  <c r="F40" i="12" l="1"/>
  <c r="F39" i="12"/>
  <c r="G58" i="15"/>
  <c r="E62" i="15"/>
  <c r="G62" i="15" s="1"/>
  <c r="G63" i="15" s="1"/>
  <c r="G59" i="15"/>
  <c r="F22" i="15" l="1"/>
  <c r="F23" i="15"/>
  <c r="F24" i="15"/>
  <c r="F25" i="15"/>
  <c r="F21" i="15"/>
  <c r="E39" i="15"/>
  <c r="E38" i="15"/>
  <c r="H36" i="15"/>
  <c r="I36" i="15" s="1"/>
  <c r="E40" i="15" s="1"/>
  <c r="F60" i="12"/>
  <c r="G60" i="12" s="1"/>
  <c r="F14" i="15"/>
  <c r="G14" i="15" s="1"/>
  <c r="E22" i="15" s="1"/>
  <c r="F15" i="15"/>
  <c r="G15" i="15" s="1"/>
  <c r="E23" i="15" s="1"/>
  <c r="G23" i="15" s="1"/>
  <c r="F16" i="15"/>
  <c r="G16" i="15" s="1"/>
  <c r="E24" i="15" s="1"/>
  <c r="F17" i="15"/>
  <c r="F13" i="15"/>
  <c r="F91" i="12"/>
  <c r="G91" i="12" s="1"/>
  <c r="F92" i="12"/>
  <c r="G92" i="12" s="1"/>
  <c r="F86" i="12"/>
  <c r="G86" i="12" s="1"/>
  <c r="F87" i="12"/>
  <c r="G87" i="12" s="1"/>
  <c r="F88" i="12"/>
  <c r="G88" i="12" s="1"/>
  <c r="F89" i="12"/>
  <c r="G89" i="12" s="1"/>
  <c r="F90" i="12"/>
  <c r="G90" i="12" s="1"/>
  <c r="F83" i="12"/>
  <c r="D103" i="12"/>
  <c r="D102" i="12"/>
  <c r="C114" i="12" s="1"/>
  <c r="G114" i="12" s="1"/>
  <c r="G100" i="12"/>
  <c r="H100" i="12" s="1"/>
  <c r="D104" i="12" s="1"/>
  <c r="G22" i="15" l="1"/>
  <c r="G24" i="15"/>
  <c r="C109" i="12"/>
  <c r="G109" i="12" s="1"/>
  <c r="F40" i="15"/>
  <c r="F41" i="15" s="1"/>
  <c r="E104" i="12"/>
  <c r="E105" i="12" s="1"/>
  <c r="F6" i="15"/>
  <c r="G6" i="15" s="1"/>
  <c r="F7" i="15"/>
  <c r="G7" i="15" s="1"/>
  <c r="F8" i="15"/>
  <c r="G8" i="15" s="1"/>
  <c r="F5" i="15"/>
  <c r="F9" i="15"/>
  <c r="E42" i="12" l="1"/>
  <c r="E43" i="12"/>
  <c r="E44" i="12"/>
  <c r="E45" i="12"/>
  <c r="E46" i="12"/>
  <c r="E47" i="12"/>
  <c r="E48" i="12"/>
  <c r="E49" i="12"/>
  <c r="E50" i="12"/>
  <c r="E41" i="12"/>
  <c r="E34" i="12"/>
  <c r="E33" i="12"/>
  <c r="F33" i="12" s="1"/>
  <c r="D49" i="12" s="1"/>
  <c r="E93" i="12" s="1"/>
  <c r="G93" i="12" s="1"/>
  <c r="E32" i="12"/>
  <c r="F32" i="12" s="1"/>
  <c r="D48" i="12" s="1"/>
  <c r="E31" i="12"/>
  <c r="F31" i="12" s="1"/>
  <c r="D47" i="12" s="1"/>
  <c r="F47" i="12" s="1"/>
  <c r="E30" i="12"/>
  <c r="F30" i="12" s="1"/>
  <c r="D46" i="12" s="1"/>
  <c r="E29" i="12"/>
  <c r="F29" i="12" s="1"/>
  <c r="D45" i="12" s="1"/>
  <c r="E28" i="12"/>
  <c r="F28" i="12" s="1"/>
  <c r="D44" i="12" s="1"/>
  <c r="E27" i="12"/>
  <c r="F27" i="12" s="1"/>
  <c r="D43" i="12" s="1"/>
  <c r="E26" i="12"/>
  <c r="F26" i="12" s="1"/>
  <c r="D42" i="12" s="1"/>
  <c r="E25" i="12"/>
  <c r="E10" i="12"/>
  <c r="E12" i="12"/>
  <c r="E13" i="12"/>
  <c r="E14" i="12"/>
  <c r="E15" i="12"/>
  <c r="E16" i="12"/>
  <c r="E17" i="12"/>
  <c r="F17" i="12" s="1"/>
  <c r="E18" i="12"/>
  <c r="F18" i="12" s="1"/>
  <c r="E19" i="12"/>
  <c r="E11" i="12"/>
  <c r="E69" i="12"/>
  <c r="E73" i="12" s="1"/>
  <c r="F45" i="12" l="1"/>
  <c r="F49" i="12"/>
  <c r="G9" i="15"/>
  <c r="G17" i="15"/>
  <c r="E25" i="15" s="1"/>
  <c r="G25" i="15" s="1"/>
  <c r="F43" i="12"/>
  <c r="F42" i="12"/>
  <c r="F46" i="12"/>
  <c r="F19" i="12"/>
  <c r="F34" i="12"/>
  <c r="D50" i="12" s="1"/>
  <c r="F50" i="12" s="1"/>
  <c r="F44" i="12"/>
  <c r="F48" i="12"/>
  <c r="F84" i="12"/>
  <c r="F85" i="12"/>
  <c r="F29" i="15" l="1"/>
  <c r="G29" i="15" s="1"/>
  <c r="G30" i="15" s="1"/>
  <c r="G13" i="15"/>
  <c r="G5" i="15"/>
  <c r="G10" i="15" s="1"/>
  <c r="G85" i="12"/>
  <c r="G18" i="15" l="1"/>
  <c r="E21" i="15"/>
  <c r="G21" i="15" s="1"/>
  <c r="G26" i="15" s="1"/>
  <c r="G84" i="12"/>
  <c r="G83" i="12"/>
  <c r="G94" i="12" l="1"/>
  <c r="F65" i="12"/>
  <c r="G65" i="12" s="1"/>
  <c r="F69" i="12"/>
  <c r="G69" i="12" s="1"/>
  <c r="F73" i="12"/>
  <c r="G73" i="12" s="1"/>
  <c r="E77" i="12" s="1"/>
  <c r="F77" i="12"/>
  <c r="E54" i="12"/>
  <c r="F54" i="12" s="1"/>
  <c r="F55" i="12" s="1"/>
  <c r="F10" i="12" l="1"/>
  <c r="F25" i="12"/>
  <c r="F35" i="12" s="1"/>
  <c r="F12" i="12"/>
  <c r="F11" i="12"/>
  <c r="G66" i="12"/>
  <c r="G77" i="12"/>
  <c r="G70" i="12"/>
  <c r="G74" i="12"/>
  <c r="D41" i="12" l="1"/>
  <c r="F41" i="12" s="1"/>
  <c r="F51" i="12" s="1"/>
  <c r="F13" i="12"/>
  <c r="G78" i="12"/>
  <c r="F16" i="12" l="1"/>
  <c r="F14" i="12"/>
  <c r="F15" i="12"/>
  <c r="F20" i="12" l="1"/>
  <c r="G117" i="12" s="1"/>
</calcChain>
</file>

<file path=xl/sharedStrings.xml><?xml version="1.0" encoding="utf-8"?>
<sst xmlns="http://schemas.openxmlformats.org/spreadsheetml/2006/main" count="205" uniqueCount="59">
  <si>
    <t>DESDE</t>
  </si>
  <si>
    <t>HASTA</t>
  </si>
  <si>
    <t>SALARIO</t>
  </si>
  <si>
    <t>DÍAS</t>
  </si>
  <si>
    <t>SALARIOS</t>
  </si>
  <si>
    <t>DIFERENCIA</t>
  </si>
  <si>
    <t>31/12/2014</t>
  </si>
  <si>
    <t>TOTAL ADEUDADO</t>
  </si>
  <si>
    <t>31/12/2016</t>
  </si>
  <si>
    <t>PRIMAS</t>
  </si>
  <si>
    <t>31/12/2017</t>
  </si>
  <si>
    <t>31/12/2018</t>
  </si>
  <si>
    <t>CESANTÍAS</t>
  </si>
  <si>
    <t>INTERESES</t>
  </si>
  <si>
    <t>VACACIONES</t>
  </si>
  <si>
    <t xml:space="preserve"> </t>
  </si>
  <si>
    <t>SANCIÓN POR NO CONSIGNACIÓN DE CESANTÍAS</t>
  </si>
  <si>
    <t>SANCIÓN</t>
  </si>
  <si>
    <t>Total Liquidación:</t>
  </si>
  <si>
    <t>LIQUIDACIÓN DE LAS PRETENSIONES DE LA DEMANDA (DESDE EL 01/06/2012 AL 16/02/2023)</t>
  </si>
  <si>
    <t>31/12/2015</t>
  </si>
  <si>
    <t>31/12/2019</t>
  </si>
  <si>
    <t>31/12/2020</t>
  </si>
  <si>
    <t>31/12/2021</t>
  </si>
  <si>
    <t>31/12/2022</t>
  </si>
  <si>
    <t>*Nota: Conforme al clausulado que nos envió la compañía, las pólizas amparan el pago de salarios, prestaciones sociales e indemnización del art. 64 CST. Sin embargo, por instrucción de la cía se incluyen las vacaciones para el calculo del PML</t>
  </si>
  <si>
    <t xml:space="preserve">*Nota: La vigencia de las pólizas No. CU083198 inicia el 01/03/2019 y fenece el 31/07/2026 
</t>
  </si>
  <si>
    <t>AUMENTO IPC 2023</t>
  </si>
  <si>
    <t>INDEMNIZACIÓN ARTÍCULO 64 DEL C.S.T.</t>
  </si>
  <si>
    <t>AÑO</t>
  </si>
  <si>
    <t>MES</t>
  </si>
  <si>
    <t>DÍA</t>
  </si>
  <si>
    <t>Tiempo Laborado en:</t>
  </si>
  <si>
    <t>Fecha de Terminación:</t>
  </si>
  <si>
    <t>Días</t>
  </si>
  <si>
    <t>Años</t>
  </si>
  <si>
    <t>Fecha de Ingreso:</t>
  </si>
  <si>
    <t>Ingreso Mensual:</t>
  </si>
  <si>
    <t>Ingreso Diario:</t>
  </si>
  <si>
    <t>Indemnización primer año</t>
  </si>
  <si>
    <t>Indemnización años adicionales:</t>
  </si>
  <si>
    <t>Total Indemnizacón:</t>
  </si>
  <si>
    <t>INDEMNIZACIÓN DEL ARTÍCULO 65 DEL C.S.T.</t>
  </si>
  <si>
    <t>Salario diario</t>
  </si>
  <si>
    <t>x 720 días</t>
  </si>
  <si>
    <t>Total</t>
  </si>
  <si>
    <t>INDEMNIZACIÓN DEL ARTÍCULO 26 DE LA LEY 361 DE 1997. (180 DÍAS DE SALARIO)</t>
  </si>
  <si>
    <t>x 180 DÍAS</t>
  </si>
  <si>
    <t>*Nota:(i) Las pretensiones de la demanda están orientadas a solicitar reintegro con los salarios y prestaciones sociales dejados de percibir teniendo como salario $1.413.000 actualizado con IPC, (ii) adicionalmente solicita el pago de la indemnización del art. 26 Ley 361 de 1997 (en subsidio art. 64 del CST), pago de prestaciones sociales, vacaciones, indemnización no consignación cesantías, intereses sobre las mismas, indemnización por mora en el pago de intereses a las cesantías, indemnización art. 65 CST, (iii) adicionalmente solicita pago de aportes a seguridad social y perjuicios morales mismo que no se liquidan y (iv) Solicita reajusta salarial de un cargo como empleado de la Fundación Hospital, no se tiene conocimiento de dichos cargos y no solicita uno especifico, por lo tanto no se liquida.</t>
  </si>
  <si>
    <t>SALARIO DEVENGADO</t>
  </si>
  <si>
    <t>LIQUIDACIÓN DE LAS PRETENSIONES DE LA DEMANDA (DESDE EL  01/03/2019 AL 16/02/2023)</t>
  </si>
  <si>
    <t>SALARIO + IPC</t>
  </si>
  <si>
    <t xml:space="preserve">La presente liquidación se realiza desde  01/03/2019 y se tomará como fecha fin de liquidación el 16/02/2023 sin tener en cuenta los tres años adicionales del término de prescripción trienal. </t>
  </si>
  <si>
    <t>LIQUIDACIÓN DE LAS PRETENSIONES DE LA DEMANDA (DESDE EL 17/02/2023 A LA FECHA)</t>
  </si>
  <si>
    <t>Desde el 17/02/2023 ( día después fecha de finalizacion laboral) hasta el 05/12/2023 (fecha en que se realiza la liquidación). Se realiza con el último salario actualizado con el IPC</t>
  </si>
  <si>
    <t>LIQUIDACIÓN DE LAS PRETENSIONES DE LA DEMANDA (DESDE EL 17/02/2023 A 31/7/2023)</t>
  </si>
  <si>
    <t>Los salarios percibidos fueron sacados de los hechos de la demanda y se precisa que solo estan desde el 01/08/2014 al 16/02/2023, por lo cual la liquidación de los años 2012 y 2013 se tomará el SMLMV y aquellos años que sea inferior se ajustará al SMLMV más el auxilio de transporte de ser el caso</t>
  </si>
  <si>
    <t>Se precisa que si bien la calificación es REMOTA, a liquidar las pretensiones</t>
  </si>
  <si>
    <t>Por concepto de salarios y prestaciones dejadas de percibir (reintegro): Desde el 17/02/2023 ( día después fecha de finalizacion laboral) hasta el 31/07/2023 (fecha fenece póliza). Se realiza con el último salario actualizado con el IPC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</si>
</sst>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8" formatCode="&quot;$&quot;\ #,##0.00;[Red]\-&quot;$&quot;\ #,##0.00"/>
    <numFmt numFmtId="44" formatCode="_-&quot;$&quot;\ * #,##0.00_-;\-&quot;$&quot;\ * #,##0.00_-;_-&quot;$&quot;\ * &quot;-&quot;??_-;_-@_-"/>
    <numFmt numFmtId="43" formatCode="_-* #,##0.00_-;\-* #,##0.00_-;_-* &quot;-&quot;??_-;_-@_-"/>
    <numFmt numFmtId="164" formatCode="_-* #,##0_-;\-* #,##0_-;_-* &quot;-&quot;??_-;_-@_-"/>
    <numFmt numFmtId="165" formatCode="_-&quot;$&quot;\ * #,##0_-;\-&quot;$&quot;\ * #,##0_-;_-&quot;$&quot;\ * &quot;-&quot;??_-;_-@_-"/>
    <numFmt numFmtId="166" formatCode="_ &quot;$&quot;\ * #,##0_ ;_ &quot;$&quot;\ * \-#,##0_ ;_ &quot;$&quot;\ * &quot;-&quot;_ ;_ @_ "/>
    <numFmt numFmtId="167" formatCode="_ * #,##0_ ;_ * \-#,##0_ ;_ * &quot;-&quot;_ ;_ @_ "/>
    <numFmt numFmtId="168" formatCode="_ &quot;$&quot;\ * #,##0.00_ ;_ &quot;$&quot;\ * \-#,##0.00_ ;_ &quot;$&quot;\ * &quot;-&quot;??_ ;_ @_ "/>
    <numFmt numFmtId="169" formatCode="0.0"/>
  </numFmts>
  <fonts count="14" x14ac:knownFonts="1">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b/>
      <sz val="11"/>
      <color theme="1"/>
      <name val="Calibri"/>
      <family val="2"/>
      <scheme val="minor"/>
    </font>
    <font>
      <b/>
      <sz val="11"/>
      <color theme="0"/>
      <name val="Calibri"/>
      <family val="2"/>
      <scheme val="minor"/>
    </font>
    <font>
      <b/>
      <u/>
      <sz val="11"/>
      <color theme="1"/>
      <name val="Calibri"/>
      <family val="2"/>
      <scheme val="minor"/>
    </font>
    <font>
      <sz val="8"/>
      <name val="Calibri"/>
      <family val="2"/>
      <scheme val="minor"/>
    </font>
    <font>
      <b/>
      <sz val="9"/>
      <color theme="1"/>
      <name val="Arial"/>
      <family val="2"/>
    </font>
    <font>
      <sz val="9"/>
      <name val="Arial"/>
      <family val="2"/>
    </font>
    <font>
      <b/>
      <sz val="9"/>
      <name val="Arial"/>
      <family val="2"/>
    </font>
    <font>
      <sz val="9"/>
      <color theme="1"/>
      <name val="Arial"/>
      <family val="2"/>
    </font>
    <font>
      <b/>
      <sz val="9"/>
      <color rgb="FF000000"/>
      <name val="Calibri"/>
      <family val="2"/>
      <scheme val="minor"/>
    </font>
    <font>
      <sz val="9"/>
      <color rgb="FF00000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
      <patternFill patternType="solid">
        <fgColor rgb="FFD9E1F2"/>
        <bgColor rgb="FF000000"/>
      </patternFill>
    </fill>
    <fill>
      <patternFill patternType="solid">
        <fgColor theme="9"/>
        <bgColor indexed="64"/>
      </patternFill>
    </fill>
    <fill>
      <patternFill patternType="solid">
        <fgColor rgb="FF92D050"/>
        <bgColor rgb="FF00000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9">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167" fontId="2" fillId="0" borderId="0" applyFont="0" applyFill="0" applyBorder="0" applyAlignment="0" applyProtection="0"/>
    <xf numFmtId="168" fontId="2"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93">
    <xf numFmtId="0" fontId="0" fillId="0" borderId="0" xfId="0"/>
    <xf numFmtId="165" fontId="0" fillId="0" borderId="1" xfId="2" applyNumberFormat="1" applyFont="1" applyBorder="1"/>
    <xf numFmtId="0" fontId="4" fillId="0" borderId="1" xfId="0" applyFont="1" applyBorder="1" applyAlignment="1">
      <alignment horizontal="center"/>
    </xf>
    <xf numFmtId="164" fontId="0" fillId="0" borderId="1" xfId="1" applyNumberFormat="1" applyFont="1" applyBorder="1"/>
    <xf numFmtId="164" fontId="4" fillId="3" borderId="1" xfId="1" applyNumberFormat="1" applyFont="1" applyFill="1" applyBorder="1"/>
    <xf numFmtId="164" fontId="4" fillId="2" borderId="1" xfId="1" applyNumberFormat="1" applyFont="1" applyFill="1" applyBorder="1" applyAlignment="1">
      <alignment horizontal="center"/>
    </xf>
    <xf numFmtId="0" fontId="0" fillId="0" borderId="1" xfId="0" applyBorder="1" applyAlignment="1">
      <alignment horizontal="center" vertical="center"/>
    </xf>
    <xf numFmtId="3" fontId="0" fillId="0" borderId="1" xfId="0" applyNumberFormat="1" applyBorder="1"/>
    <xf numFmtId="165" fontId="0" fillId="0" borderId="1" xfId="0" applyNumberFormat="1" applyBorder="1"/>
    <xf numFmtId="14" fontId="0" fillId="0" borderId="1" xfId="0" applyNumberFormat="1" applyBorder="1" applyAlignment="1">
      <alignment horizontal="center" vertical="center"/>
    </xf>
    <xf numFmtId="165" fontId="0" fillId="0" borderId="1" xfId="0" applyNumberFormat="1" applyBorder="1" applyAlignment="1">
      <alignment horizontal="center" vertical="center"/>
    </xf>
    <xf numFmtId="164" fontId="0" fillId="0" borderId="1" xfId="1" applyNumberFormat="1" applyFont="1" applyFill="1" applyBorder="1"/>
    <xf numFmtId="14" fontId="0" fillId="0" borderId="1" xfId="0" applyNumberFormat="1" applyBorder="1"/>
    <xf numFmtId="0" fontId="0" fillId="0" borderId="6" xfId="0" applyBorder="1"/>
    <xf numFmtId="164" fontId="4" fillId="2" borderId="1" xfId="7" applyNumberFormat="1" applyFont="1" applyFill="1" applyBorder="1" applyAlignment="1">
      <alignment horizontal="center"/>
    </xf>
    <xf numFmtId="164" fontId="4" fillId="3" borderId="1" xfId="7" applyNumberFormat="1" applyFont="1" applyFill="1" applyBorder="1"/>
    <xf numFmtId="164" fontId="0" fillId="0" borderId="1" xfId="0" applyNumberFormat="1" applyBorder="1" applyAlignment="1">
      <alignment horizontal="center"/>
    </xf>
    <xf numFmtId="164" fontId="4" fillId="0" borderId="1" xfId="1" applyNumberFormat="1" applyFont="1" applyBorder="1" applyAlignment="1">
      <alignment horizontal="center"/>
    </xf>
    <xf numFmtId="14" fontId="0" fillId="0" borderId="1" xfId="0" applyNumberFormat="1" applyBorder="1" applyAlignment="1">
      <alignment horizontal="center"/>
    </xf>
    <xf numFmtId="0" fontId="4" fillId="0" borderId="0" xfId="0" applyFont="1" applyAlignment="1">
      <alignment horizontal="center"/>
    </xf>
    <xf numFmtId="164" fontId="5" fillId="4" borderId="1" xfId="0" applyNumberFormat="1" applyFont="1" applyFill="1" applyBorder="1"/>
    <xf numFmtId="164" fontId="4" fillId="0" borderId="0" xfId="1" applyNumberFormat="1" applyFont="1" applyFill="1" applyBorder="1"/>
    <xf numFmtId="164" fontId="4" fillId="6" borderId="1" xfId="0" applyNumberFormat="1" applyFont="1" applyFill="1" applyBorder="1"/>
    <xf numFmtId="0" fontId="0" fillId="0" borderId="0" xfId="0" applyAlignment="1">
      <alignment vertical="center" wrapText="1"/>
    </xf>
    <xf numFmtId="0" fontId="3" fillId="0" borderId="0" xfId="0" applyFont="1" applyAlignment="1">
      <alignment vertical="center" wrapText="1"/>
    </xf>
    <xf numFmtId="0" fontId="6" fillId="0" borderId="3" xfId="0" applyFont="1" applyBorder="1" applyAlignment="1">
      <alignment horizontal="center"/>
    </xf>
    <xf numFmtId="0" fontId="3" fillId="0" borderId="0" xfId="0" applyFont="1" applyAlignment="1">
      <alignment wrapText="1"/>
    </xf>
    <xf numFmtId="0" fontId="10" fillId="0" borderId="7" xfId="0" applyFont="1" applyBorder="1" applyAlignment="1">
      <alignment horizontal="center"/>
    </xf>
    <xf numFmtId="0" fontId="9" fillId="0" borderId="1" xfId="0" applyFont="1" applyBorder="1" applyAlignment="1">
      <alignment horizontal="center"/>
    </xf>
    <xf numFmtId="0" fontId="9" fillId="0" borderId="2" xfId="0" applyFont="1" applyBorder="1" applyAlignment="1">
      <alignment horizontal="center"/>
    </xf>
    <xf numFmtId="0" fontId="10" fillId="2" borderId="1" xfId="0" applyFont="1" applyFill="1" applyBorder="1" applyAlignment="1">
      <alignment horizontal="center"/>
    </xf>
    <xf numFmtId="169" fontId="10" fillId="2" borderId="1" xfId="0" applyNumberFormat="1" applyFont="1" applyFill="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3" fontId="9" fillId="0" borderId="1" xfId="0" applyNumberFormat="1" applyFont="1" applyBorder="1" applyAlignment="1">
      <alignment horizontal="center"/>
    </xf>
    <xf numFmtId="2" fontId="9" fillId="0" borderId="1" xfId="0" applyNumberFormat="1" applyFont="1" applyBorder="1" applyAlignment="1">
      <alignment horizontal="center"/>
    </xf>
    <xf numFmtId="2" fontId="10" fillId="0" borderId="7" xfId="0" applyNumberFormat="1" applyFont="1" applyBorder="1" applyAlignment="1">
      <alignment horizontal="center"/>
    </xf>
    <xf numFmtId="0" fontId="10" fillId="0" borderId="1" xfId="0" applyFont="1" applyBorder="1"/>
    <xf numFmtId="0" fontId="8" fillId="0" borderId="1" xfId="0" applyFont="1" applyBorder="1" applyAlignment="1">
      <alignment horizontal="center" vertical="center"/>
    </xf>
    <xf numFmtId="165" fontId="8" fillId="3" borderId="1" xfId="0" applyNumberFormat="1" applyFont="1" applyFill="1" applyBorder="1"/>
    <xf numFmtId="0" fontId="12" fillId="0" borderId="1" xfId="0" applyFont="1" applyBorder="1" applyAlignment="1">
      <alignment horizontal="center" vertical="center"/>
    </xf>
    <xf numFmtId="6" fontId="12" fillId="7" borderId="1" xfId="0" applyNumberFormat="1" applyFont="1" applyFill="1" applyBorder="1"/>
    <xf numFmtId="0" fontId="3" fillId="0" borderId="0" xfId="0" applyFont="1" applyAlignment="1">
      <alignment horizontal="center" vertical="center" wrapText="1"/>
    </xf>
    <xf numFmtId="165" fontId="1" fillId="0" borderId="1" xfId="2" applyNumberFormat="1" applyFont="1" applyBorder="1" applyAlignment="1">
      <alignment horizontal="center"/>
    </xf>
    <xf numFmtId="0" fontId="10" fillId="0" borderId="0" xfId="0" applyFont="1" applyAlignment="1">
      <alignment horizontal="center"/>
    </xf>
    <xf numFmtId="0" fontId="10" fillId="0" borderId="0" xfId="0" applyFont="1"/>
    <xf numFmtId="8" fontId="10" fillId="0" borderId="0" xfId="0" applyNumberFormat="1" applyFont="1" applyAlignment="1">
      <alignment horizontal="center"/>
    </xf>
    <xf numFmtId="0" fontId="4" fillId="0" borderId="2"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5" fillId="4" borderId="2" xfId="0" applyFont="1" applyFill="1" applyBorder="1" applyAlignment="1">
      <alignment horizontal="center"/>
    </xf>
    <xf numFmtId="0" fontId="5" fillId="4" borderId="4" xfId="0" applyFont="1" applyFill="1" applyBorder="1" applyAlignment="1">
      <alignment horizontal="center"/>
    </xf>
    <xf numFmtId="0" fontId="5" fillId="4" borderId="5" xfId="0" applyFont="1" applyFill="1" applyBorder="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xf>
    <xf numFmtId="0" fontId="6" fillId="3" borderId="3" xfId="0" applyFont="1" applyFill="1" applyBorder="1" applyAlignment="1">
      <alignment horizontal="center"/>
    </xf>
    <xf numFmtId="0" fontId="4" fillId="0" borderId="1" xfId="0" applyFont="1" applyBorder="1" applyAlignment="1">
      <alignment horizontal="center"/>
    </xf>
    <xf numFmtId="0" fontId="0" fillId="2" borderId="0" xfId="0" applyFill="1" applyAlignment="1">
      <alignment horizontal="center" vertical="center" wrapText="1"/>
    </xf>
    <xf numFmtId="0" fontId="0" fillId="0" borderId="0" xfId="0" applyAlignment="1">
      <alignment horizontal="center" vertical="center" wrapText="1"/>
    </xf>
    <xf numFmtId="0" fontId="6" fillId="3" borderId="2" xfId="0" applyFont="1" applyFill="1" applyBorder="1" applyAlignment="1">
      <alignment horizontal="center"/>
    </xf>
    <xf numFmtId="0" fontId="6" fillId="3" borderId="4" xfId="0" applyFont="1" applyFill="1" applyBorder="1" applyAlignment="1">
      <alignment horizontal="center"/>
    </xf>
    <xf numFmtId="0" fontId="6" fillId="3" borderId="5" xfId="0" applyFont="1" applyFill="1" applyBorder="1" applyAlignment="1">
      <alignment horizontal="center"/>
    </xf>
    <xf numFmtId="0" fontId="9" fillId="0" borderId="2" xfId="0" applyFont="1" applyBorder="1" applyAlignment="1">
      <alignment horizontal="center"/>
    </xf>
    <xf numFmtId="0" fontId="9" fillId="0" borderId="5" xfId="0" applyFont="1" applyBorder="1" applyAlignment="1">
      <alignment horizontal="center"/>
    </xf>
    <xf numFmtId="0" fontId="10" fillId="0" borderId="2" xfId="0" applyFont="1" applyBorder="1" applyAlignment="1">
      <alignment horizontal="center"/>
    </xf>
    <xf numFmtId="0" fontId="10" fillId="0" borderId="5" xfId="0" applyFont="1" applyBorder="1" applyAlignment="1">
      <alignment horizontal="center"/>
    </xf>
    <xf numFmtId="0" fontId="8" fillId="0" borderId="8" xfId="0" applyFont="1" applyBorder="1" applyAlignment="1">
      <alignment horizontal="center"/>
    </xf>
    <xf numFmtId="8" fontId="9" fillId="0" borderId="1" xfId="0" applyNumberFormat="1" applyFont="1" applyBorder="1" applyAlignment="1">
      <alignment horizontal="center"/>
    </xf>
    <xf numFmtId="8" fontId="10" fillId="0" borderId="1" xfId="0" applyNumberFormat="1" applyFont="1" applyBorder="1" applyAlignment="1">
      <alignment horizontal="center"/>
    </xf>
    <xf numFmtId="0" fontId="8" fillId="2" borderId="1" xfId="0" applyFont="1" applyFill="1" applyBorder="1" applyAlignment="1">
      <alignment horizontal="center"/>
    </xf>
    <xf numFmtId="0" fontId="8" fillId="0" borderId="1" xfId="0" applyFont="1" applyBorder="1" applyAlignment="1">
      <alignment horizontal="center" vertical="center"/>
    </xf>
    <xf numFmtId="8" fontId="11" fillId="0" borderId="1" xfId="2" applyNumberFormat="1" applyFont="1" applyBorder="1" applyAlignment="1">
      <alignment horizontal="center"/>
    </xf>
    <xf numFmtId="44" fontId="11" fillId="0" borderId="1" xfId="2" applyFont="1" applyBorder="1" applyAlignment="1">
      <alignment horizontal="center"/>
    </xf>
    <xf numFmtId="0" fontId="11" fillId="0" borderId="1" xfId="0" applyFont="1" applyBorder="1" applyAlignment="1">
      <alignment horizontal="center"/>
    </xf>
    <xf numFmtId="0" fontId="12" fillId="0" borderId="2" xfId="0" applyFont="1" applyBorder="1" applyAlignment="1">
      <alignment horizontal="center" vertical="center"/>
    </xf>
    <xf numFmtId="0" fontId="12" fillId="0" borderId="5" xfId="0" applyFont="1" applyBorder="1" applyAlignment="1">
      <alignment horizontal="center" vertical="center"/>
    </xf>
    <xf numFmtId="6" fontId="13" fillId="0" borderId="2" xfId="0" applyNumberFormat="1" applyFont="1" applyBorder="1" applyAlignment="1">
      <alignment horizontal="center"/>
    </xf>
    <xf numFmtId="6" fontId="13" fillId="0" borderId="5" xfId="0" applyNumberFormat="1" applyFont="1" applyBorder="1" applyAlignment="1">
      <alignment horizontal="center"/>
    </xf>
    <xf numFmtId="0" fontId="13" fillId="0" borderId="2" xfId="0" applyFont="1" applyBorder="1" applyAlignment="1">
      <alignment horizontal="center"/>
    </xf>
    <xf numFmtId="0" fontId="13" fillId="0" borderId="5" xfId="0" applyFont="1" applyBorder="1" applyAlignment="1">
      <alignment horizontal="center"/>
    </xf>
    <xf numFmtId="0" fontId="12" fillId="5" borderId="2" xfId="0" applyFont="1" applyFill="1" applyBorder="1" applyAlignment="1">
      <alignment horizontal="center"/>
    </xf>
    <xf numFmtId="0" fontId="12" fillId="5" borderId="4" xfId="0" applyFont="1" applyFill="1" applyBorder="1" applyAlignment="1">
      <alignment horizontal="center"/>
    </xf>
    <xf numFmtId="8" fontId="10" fillId="3" borderId="1" xfId="0" applyNumberFormat="1" applyFont="1" applyFill="1" applyBorder="1" applyAlignment="1">
      <alignment horizontal="center"/>
    </xf>
    <xf numFmtId="0" fontId="8" fillId="2" borderId="2"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3" fillId="5" borderId="0" xfId="0" applyFont="1" applyFill="1" applyAlignment="1">
      <alignment horizontal="center" wrapText="1"/>
    </xf>
    <xf numFmtId="0" fontId="3" fillId="5" borderId="0" xfId="0" applyFont="1" applyFill="1" applyAlignment="1">
      <alignment horizontal="center" vertical="center" wrapText="1"/>
    </xf>
    <xf numFmtId="0" fontId="4" fillId="0" borderId="0" xfId="0" applyFont="1" applyBorder="1" applyAlignment="1">
      <alignment horizontal="center"/>
    </xf>
    <xf numFmtId="0" fontId="0" fillId="0" borderId="0" xfId="0" applyBorder="1"/>
    <xf numFmtId="0" fontId="4" fillId="0" borderId="0" xfId="0" applyFont="1" applyFill="1" applyBorder="1" applyAlignment="1">
      <alignment horizontal="center"/>
    </xf>
    <xf numFmtId="0" fontId="0" fillId="0" borderId="0" xfId="0" applyFill="1" applyBorder="1"/>
  </cellXfs>
  <cellStyles count="19">
    <cellStyle name="Millares" xfId="1" builtinId="3"/>
    <cellStyle name="Millares [0] 2" xfId="4" xr:uid="{3555D9B7-EA0C-4C21-A235-0CD6BE1EC253}"/>
    <cellStyle name="Millares 2" xfId="9" xr:uid="{52E748A6-508A-43EC-9983-10807D820023}"/>
    <cellStyle name="Millares 3" xfId="11" xr:uid="{489BD241-C3FF-4DFE-89AE-EA3930EC2C75}"/>
    <cellStyle name="Millares 4" xfId="7" xr:uid="{30B7C3BA-0FB0-470D-88BE-FBEF74427B88}"/>
    <cellStyle name="Millares 5" xfId="13" xr:uid="{79326964-5294-479E-B982-0A5948E6458E}"/>
    <cellStyle name="Millares 6" xfId="16" xr:uid="{ABFDC7D0-759F-45EB-9979-8CD3F87889E5}"/>
    <cellStyle name="Millares 7" xfId="17" xr:uid="{FFF4BEC4-3F5B-40BE-AC92-6362DAEDDD14}"/>
    <cellStyle name="Moneda" xfId="2" builtinId="4"/>
    <cellStyle name="Moneda [0] 2" xfId="6" xr:uid="{40580231-C906-4C03-A65D-3EA45064320D}"/>
    <cellStyle name="Moneda 2" xfId="5" xr:uid="{60B0EB24-56E2-4FB9-B187-077D7FCBAA83}"/>
    <cellStyle name="Moneda 3" xfId="10" xr:uid="{B553DF60-E9E3-43DE-950B-5D5A0815FFF2}"/>
    <cellStyle name="Moneda 4" xfId="12" xr:uid="{91876A93-028D-40C8-982D-CCA51D4D575D}"/>
    <cellStyle name="Moneda 5" xfId="8" xr:uid="{A7350134-E2AE-4379-A4D5-B823FC54C5D3}"/>
    <cellStyle name="Moneda 6" xfId="14" xr:uid="{BF3C704B-FB29-4786-98E8-8A8CE20070B2}"/>
    <cellStyle name="Moneda 7" xfId="15" xr:uid="{B8E0172D-6407-491A-BE97-75C736043314}"/>
    <cellStyle name="Moneda 8" xfId="18" xr:uid="{2F89C845-0DCC-444B-8884-C9A0330B6C73}"/>
    <cellStyle name="Normal" xfId="0" builtinId="0"/>
    <cellStyle name="Normal 2" xfId="3" xr:uid="{C2E01C61-3397-4CB6-9BBE-5E165668D7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142874</xdr:colOff>
      <xdr:row>0</xdr:row>
      <xdr:rowOff>0</xdr:rowOff>
    </xdr:from>
    <xdr:to>
      <xdr:col>4</xdr:col>
      <xdr:colOff>1528047</xdr:colOff>
      <xdr:row>3</xdr:row>
      <xdr:rowOff>161925</xdr:rowOff>
    </xdr:to>
    <xdr:pic>
      <xdr:nvPicPr>
        <xdr:cNvPr id="2" name="Imagen 1">
          <a:extLst>
            <a:ext uri="{FF2B5EF4-FFF2-40B4-BE49-F238E27FC236}">
              <a16:creationId xmlns:a16="http://schemas.microsoft.com/office/drawing/2014/main" id="{5600422F-526E-49AF-9888-D5D4C3987E85}"/>
            </a:ext>
          </a:extLst>
        </xdr:cNvPr>
        <xdr:cNvPicPr>
          <a:picLocks noChangeAspect="1"/>
        </xdr:cNvPicPr>
      </xdr:nvPicPr>
      <xdr:blipFill>
        <a:blip xmlns:r="http://schemas.openxmlformats.org/officeDocument/2006/relationships" r:embed="rId1"/>
        <a:stretch>
          <a:fillRect/>
        </a:stretch>
      </xdr:blipFill>
      <xdr:spPr>
        <a:xfrm>
          <a:off x="2000249" y="0"/>
          <a:ext cx="2837737" cy="7334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5A30-EE9D-436B-B5B0-179805CA5561}">
  <dimension ref="B5:M117"/>
  <sheetViews>
    <sheetView tabSelected="1" topLeftCell="A106" zoomScale="80" zoomScaleNormal="80" workbookViewId="0">
      <selection activeCell="G13" sqref="G13"/>
    </sheetView>
  </sheetViews>
  <sheetFormatPr baseColWidth="10" defaultColWidth="11.42578125" defaultRowHeight="15" x14ac:dyDescent="0.25"/>
  <cols>
    <col min="1" max="1" width="8.42578125" customWidth="1"/>
    <col min="2" max="2" width="17.42578125" customWidth="1"/>
    <col min="3" max="3" width="15.5703125" customWidth="1"/>
    <col min="4" max="4" width="21.7109375" customWidth="1"/>
    <col min="5" max="5" width="23.85546875" bestFit="1" customWidth="1"/>
    <col min="6" max="6" width="22.7109375" bestFit="1" customWidth="1"/>
    <col min="7" max="7" width="18.85546875" customWidth="1"/>
    <col min="8" max="8" width="15.85546875" customWidth="1"/>
    <col min="9" max="9" width="11.5703125" bestFit="1" customWidth="1"/>
    <col min="10" max="10" width="11.5703125" customWidth="1"/>
    <col min="11" max="11" width="19.140625" bestFit="1" customWidth="1"/>
    <col min="12" max="12" width="24.42578125" customWidth="1"/>
    <col min="13" max="13" width="23" bestFit="1" customWidth="1"/>
    <col min="14" max="14" width="18.85546875" bestFit="1" customWidth="1"/>
    <col min="15" max="15" width="20.28515625" bestFit="1" customWidth="1"/>
  </cols>
  <sheetData>
    <row r="5" spans="2:13" ht="15" customHeight="1" x14ac:dyDescent="0.25">
      <c r="B5" s="56" t="s">
        <v>19</v>
      </c>
      <c r="C5" s="56"/>
      <c r="D5" s="56"/>
      <c r="E5" s="56"/>
      <c r="F5" s="56"/>
    </row>
    <row r="7" spans="2:13" x14ac:dyDescent="0.25">
      <c r="B7" s="2" t="s">
        <v>0</v>
      </c>
      <c r="C7" s="2" t="s">
        <v>1</v>
      </c>
      <c r="D7" s="2" t="s">
        <v>2</v>
      </c>
      <c r="E7" s="2" t="s">
        <v>3</v>
      </c>
      <c r="F7" s="5" t="s">
        <v>9</v>
      </c>
      <c r="I7" s="24"/>
    </row>
    <row r="8" spans="2:13" x14ac:dyDescent="0.25">
      <c r="B8" s="18">
        <v>41061</v>
      </c>
      <c r="C8" s="18">
        <v>41274</v>
      </c>
      <c r="D8" s="43">
        <v>634500</v>
      </c>
      <c r="E8" s="3">
        <f t="shared" ref="E8:E9" si="0">DAYS360(B8,C8)</f>
        <v>210</v>
      </c>
      <c r="F8" s="11">
        <f t="shared" ref="F8:F19" si="1">(D8*E8)/360</f>
        <v>370125</v>
      </c>
      <c r="I8" s="24"/>
    </row>
    <row r="9" spans="2:13" x14ac:dyDescent="0.25">
      <c r="B9" s="18">
        <v>41275</v>
      </c>
      <c r="C9" s="18">
        <v>41639</v>
      </c>
      <c r="D9" s="43">
        <v>660000</v>
      </c>
      <c r="E9" s="3">
        <f t="shared" si="0"/>
        <v>360</v>
      </c>
      <c r="F9" s="11">
        <f t="shared" si="1"/>
        <v>660000</v>
      </c>
      <c r="I9" s="24"/>
      <c r="J9" s="24"/>
      <c r="K9" s="24"/>
      <c r="L9" s="24"/>
    </row>
    <row r="10" spans="2:13" ht="15.75" customHeight="1" x14ac:dyDescent="0.25">
      <c r="B10" s="9">
        <v>41852</v>
      </c>
      <c r="C10" s="6" t="s">
        <v>6</v>
      </c>
      <c r="D10" s="8">
        <v>772000</v>
      </c>
      <c r="E10" s="3">
        <f>DAYS360(B10,C10)</f>
        <v>150</v>
      </c>
      <c r="F10" s="11">
        <f t="shared" si="1"/>
        <v>321666.66666666669</v>
      </c>
      <c r="K10" s="59"/>
      <c r="L10" s="59"/>
      <c r="M10" s="59"/>
    </row>
    <row r="11" spans="2:13" ht="15.75" customHeight="1" x14ac:dyDescent="0.25">
      <c r="B11" s="9">
        <v>42005</v>
      </c>
      <c r="C11" s="6" t="s">
        <v>20</v>
      </c>
      <c r="D11" s="8">
        <v>774000</v>
      </c>
      <c r="E11" s="3">
        <f>DAYS360(B11,C11)</f>
        <v>360</v>
      </c>
      <c r="F11" s="11">
        <f t="shared" si="1"/>
        <v>774000</v>
      </c>
      <c r="K11" s="59"/>
      <c r="L11" s="59"/>
      <c r="M11" s="59"/>
    </row>
    <row r="12" spans="2:13" ht="15.75" customHeight="1" x14ac:dyDescent="0.25">
      <c r="B12" s="9">
        <v>42370</v>
      </c>
      <c r="C12" s="6" t="s">
        <v>8</v>
      </c>
      <c r="D12" s="8">
        <v>777000</v>
      </c>
      <c r="E12" s="3">
        <f t="shared" ref="E12:E19" si="2">DAYS360(B12,C12)</f>
        <v>360</v>
      </c>
      <c r="F12" s="11">
        <f t="shared" si="1"/>
        <v>777000</v>
      </c>
    </row>
    <row r="13" spans="2:13" ht="15.75" customHeight="1" x14ac:dyDescent="0.25">
      <c r="B13" s="9">
        <v>42736</v>
      </c>
      <c r="C13" s="6" t="s">
        <v>10</v>
      </c>
      <c r="D13" s="8">
        <v>820857</v>
      </c>
      <c r="E13" s="3">
        <f t="shared" si="2"/>
        <v>360</v>
      </c>
      <c r="F13" s="11">
        <f t="shared" si="1"/>
        <v>820857</v>
      </c>
      <c r="I13" s="58" t="s">
        <v>48</v>
      </c>
      <c r="J13" s="58"/>
      <c r="K13" s="58"/>
      <c r="L13" s="58"/>
      <c r="M13" s="58"/>
    </row>
    <row r="14" spans="2:13" ht="15.75" customHeight="1" x14ac:dyDescent="0.25">
      <c r="B14" s="9">
        <v>43101</v>
      </c>
      <c r="C14" s="6" t="s">
        <v>11</v>
      </c>
      <c r="D14" s="8">
        <v>869453</v>
      </c>
      <c r="E14" s="3">
        <f t="shared" si="2"/>
        <v>360</v>
      </c>
      <c r="F14" s="11">
        <f t="shared" si="1"/>
        <v>869453</v>
      </c>
      <c r="I14" s="58"/>
      <c r="J14" s="58"/>
      <c r="K14" s="58"/>
      <c r="L14" s="58"/>
      <c r="M14" s="58"/>
    </row>
    <row r="15" spans="2:13" ht="15.75" customHeight="1" x14ac:dyDescent="0.25">
      <c r="B15" s="9">
        <v>43466</v>
      </c>
      <c r="C15" s="6" t="s">
        <v>21</v>
      </c>
      <c r="D15" s="8">
        <v>925148</v>
      </c>
      <c r="E15" s="3">
        <f t="shared" si="2"/>
        <v>360</v>
      </c>
      <c r="F15" s="11">
        <f t="shared" si="1"/>
        <v>925148</v>
      </c>
      <c r="I15" s="58"/>
      <c r="J15" s="58"/>
      <c r="K15" s="58"/>
      <c r="L15" s="58"/>
      <c r="M15" s="58"/>
    </row>
    <row r="16" spans="2:13" ht="15.75" customHeight="1" x14ac:dyDescent="0.25">
      <c r="B16" s="9">
        <v>43831</v>
      </c>
      <c r="C16" s="6" t="s">
        <v>22</v>
      </c>
      <c r="D16" s="10">
        <v>1515854</v>
      </c>
      <c r="E16" s="3">
        <f t="shared" si="2"/>
        <v>360</v>
      </c>
      <c r="F16" s="11">
        <f t="shared" si="1"/>
        <v>1515854</v>
      </c>
      <c r="I16" s="58"/>
      <c r="J16" s="58"/>
      <c r="K16" s="58"/>
      <c r="L16" s="58"/>
      <c r="M16" s="58"/>
    </row>
    <row r="17" spans="2:13" ht="15.75" customHeight="1" x14ac:dyDescent="0.25">
      <c r="B17" s="9">
        <v>44197</v>
      </c>
      <c r="C17" s="6" t="s">
        <v>23</v>
      </c>
      <c r="D17" s="10">
        <v>1519454</v>
      </c>
      <c r="E17" s="3">
        <f t="shared" si="2"/>
        <v>360</v>
      </c>
      <c r="F17" s="11">
        <f t="shared" si="1"/>
        <v>1519454</v>
      </c>
      <c r="I17" s="58"/>
      <c r="J17" s="58"/>
      <c r="K17" s="58"/>
      <c r="L17" s="58"/>
      <c r="M17" s="58"/>
    </row>
    <row r="18" spans="2:13" ht="15.75" customHeight="1" x14ac:dyDescent="0.25">
      <c r="B18" s="9">
        <v>44562</v>
      </c>
      <c r="C18" s="6" t="s">
        <v>24</v>
      </c>
      <c r="D18" s="10">
        <v>1530172</v>
      </c>
      <c r="E18" s="3">
        <f t="shared" si="2"/>
        <v>360</v>
      </c>
      <c r="F18" s="11">
        <f t="shared" si="1"/>
        <v>1530172</v>
      </c>
      <c r="I18" s="58"/>
      <c r="J18" s="58"/>
      <c r="K18" s="58"/>
      <c r="L18" s="58"/>
      <c r="M18" s="58"/>
    </row>
    <row r="19" spans="2:13" ht="15.75" customHeight="1" x14ac:dyDescent="0.25">
      <c r="B19" s="9">
        <v>44927</v>
      </c>
      <c r="C19" s="9">
        <v>44973</v>
      </c>
      <c r="D19" s="10">
        <v>1553606</v>
      </c>
      <c r="E19" s="3">
        <f t="shared" si="2"/>
        <v>45</v>
      </c>
      <c r="F19" s="11">
        <f t="shared" si="1"/>
        <v>194200.75</v>
      </c>
      <c r="I19" s="58"/>
      <c r="J19" s="58"/>
      <c r="K19" s="58"/>
      <c r="L19" s="58"/>
      <c r="M19" s="58"/>
    </row>
    <row r="20" spans="2:13" ht="15.75" customHeight="1" x14ac:dyDescent="0.25">
      <c r="B20" s="57" t="s">
        <v>7</v>
      </c>
      <c r="C20" s="57"/>
      <c r="D20" s="57"/>
      <c r="E20" s="57"/>
      <c r="F20" s="4">
        <f>SUM(F8:F19)</f>
        <v>10277930.416666668</v>
      </c>
      <c r="I20" s="58"/>
      <c r="J20" s="58"/>
      <c r="K20" s="58"/>
      <c r="L20" s="58"/>
      <c r="M20" s="58"/>
    </row>
    <row r="21" spans="2:13" ht="15.75" customHeight="1" x14ac:dyDescent="0.25">
      <c r="I21" s="58"/>
      <c r="J21" s="58"/>
      <c r="K21" s="58"/>
      <c r="L21" s="58"/>
      <c r="M21" s="58"/>
    </row>
    <row r="22" spans="2:13" ht="15.75" customHeight="1" x14ac:dyDescent="0.25">
      <c r="B22" s="2" t="s">
        <v>0</v>
      </c>
      <c r="C22" s="2" t="s">
        <v>1</v>
      </c>
      <c r="D22" s="2" t="s">
        <v>2</v>
      </c>
      <c r="E22" s="2" t="s">
        <v>3</v>
      </c>
      <c r="F22" s="5" t="s">
        <v>12</v>
      </c>
      <c r="I22" s="58"/>
      <c r="J22" s="58"/>
      <c r="K22" s="58"/>
      <c r="L22" s="58"/>
      <c r="M22" s="58"/>
    </row>
    <row r="23" spans="2:13" ht="15.75" customHeight="1" x14ac:dyDescent="0.25">
      <c r="B23" s="18">
        <v>41061</v>
      </c>
      <c r="C23" s="18">
        <v>41274</v>
      </c>
      <c r="D23" s="43">
        <v>634500</v>
      </c>
      <c r="E23" s="3">
        <f t="shared" ref="E23:E24" si="3">DAYS360(B23,C23)</f>
        <v>210</v>
      </c>
      <c r="F23" s="11">
        <f t="shared" ref="F23:F34" si="4">(D23*E23)/360</f>
        <v>370125</v>
      </c>
      <c r="I23" s="58"/>
      <c r="J23" s="58"/>
      <c r="K23" s="58"/>
      <c r="L23" s="58"/>
      <c r="M23" s="58"/>
    </row>
    <row r="24" spans="2:13" ht="15.75" customHeight="1" x14ac:dyDescent="0.25">
      <c r="B24" s="18">
        <v>41275</v>
      </c>
      <c r="C24" s="18">
        <v>41639</v>
      </c>
      <c r="D24" s="43">
        <v>660000</v>
      </c>
      <c r="E24" s="3">
        <f t="shared" si="3"/>
        <v>360</v>
      </c>
      <c r="F24" s="11">
        <f t="shared" si="4"/>
        <v>660000</v>
      </c>
      <c r="I24" s="58"/>
      <c r="J24" s="58"/>
      <c r="K24" s="58"/>
      <c r="L24" s="58"/>
      <c r="M24" s="58"/>
    </row>
    <row r="25" spans="2:13" ht="15.75" customHeight="1" x14ac:dyDescent="0.25">
      <c r="B25" s="9">
        <v>41852</v>
      </c>
      <c r="C25" s="6" t="s">
        <v>6</v>
      </c>
      <c r="D25" s="8">
        <v>772000</v>
      </c>
      <c r="E25" s="3">
        <f>DAYS360(B25,C25)</f>
        <v>150</v>
      </c>
      <c r="F25" s="11">
        <f t="shared" si="4"/>
        <v>321666.66666666669</v>
      </c>
      <c r="I25" s="58"/>
      <c r="J25" s="58"/>
      <c r="K25" s="58"/>
      <c r="L25" s="58"/>
      <c r="M25" s="58"/>
    </row>
    <row r="26" spans="2:13" ht="15.75" customHeight="1" x14ac:dyDescent="0.25">
      <c r="B26" s="9">
        <v>42005</v>
      </c>
      <c r="C26" s="6" t="s">
        <v>20</v>
      </c>
      <c r="D26" s="8">
        <v>774000</v>
      </c>
      <c r="E26" s="3">
        <f>DAYS360(B26,C26)</f>
        <v>360</v>
      </c>
      <c r="F26" s="11">
        <f t="shared" si="4"/>
        <v>774000</v>
      </c>
    </row>
    <row r="27" spans="2:13" ht="15.75" customHeight="1" x14ac:dyDescent="0.25">
      <c r="B27" s="9">
        <v>42370</v>
      </c>
      <c r="C27" s="6" t="s">
        <v>8</v>
      </c>
      <c r="D27" s="8">
        <v>777000</v>
      </c>
      <c r="E27" s="3">
        <f t="shared" ref="E27:E34" si="5">DAYS360(B27,C27)</f>
        <v>360</v>
      </c>
      <c r="F27" s="11">
        <f t="shared" si="4"/>
        <v>777000</v>
      </c>
    </row>
    <row r="28" spans="2:13" ht="15.75" customHeight="1" x14ac:dyDescent="0.25">
      <c r="B28" s="9">
        <v>42736</v>
      </c>
      <c r="C28" s="6" t="s">
        <v>10</v>
      </c>
      <c r="D28" s="8">
        <v>820857</v>
      </c>
      <c r="E28" s="3">
        <f t="shared" si="5"/>
        <v>360</v>
      </c>
      <c r="F28" s="11">
        <f t="shared" si="4"/>
        <v>820857</v>
      </c>
    </row>
    <row r="29" spans="2:13" ht="15.75" customHeight="1" x14ac:dyDescent="0.25">
      <c r="B29" s="9">
        <v>43101</v>
      </c>
      <c r="C29" s="6" t="s">
        <v>11</v>
      </c>
      <c r="D29" s="8">
        <v>869453</v>
      </c>
      <c r="E29" s="3">
        <f t="shared" si="5"/>
        <v>360</v>
      </c>
      <c r="F29" s="11">
        <f t="shared" si="4"/>
        <v>869453</v>
      </c>
    </row>
    <row r="30" spans="2:13" ht="15.75" customHeight="1" x14ac:dyDescent="0.25">
      <c r="B30" s="9">
        <v>43466</v>
      </c>
      <c r="C30" s="6" t="s">
        <v>21</v>
      </c>
      <c r="D30" s="8">
        <v>925148</v>
      </c>
      <c r="E30" s="3">
        <f t="shared" si="5"/>
        <v>360</v>
      </c>
      <c r="F30" s="11">
        <f t="shared" si="4"/>
        <v>925148</v>
      </c>
      <c r="J30" s="58" t="s">
        <v>56</v>
      </c>
      <c r="K30" s="58"/>
      <c r="L30" s="58"/>
    </row>
    <row r="31" spans="2:13" ht="15.75" customHeight="1" x14ac:dyDescent="0.25">
      <c r="B31" s="9">
        <v>43831</v>
      </c>
      <c r="C31" s="6" t="s">
        <v>22</v>
      </c>
      <c r="D31" s="10">
        <v>1515854</v>
      </c>
      <c r="E31" s="3">
        <f t="shared" si="5"/>
        <v>360</v>
      </c>
      <c r="F31" s="11">
        <f t="shared" si="4"/>
        <v>1515854</v>
      </c>
      <c r="J31" s="58"/>
      <c r="K31" s="58"/>
      <c r="L31" s="58"/>
    </row>
    <row r="32" spans="2:13" ht="15.75" customHeight="1" x14ac:dyDescent="0.25">
      <c r="B32" s="9">
        <v>44197</v>
      </c>
      <c r="C32" s="6" t="s">
        <v>23</v>
      </c>
      <c r="D32" s="10">
        <v>1519454</v>
      </c>
      <c r="E32" s="3">
        <f t="shared" si="5"/>
        <v>360</v>
      </c>
      <c r="F32" s="11">
        <f t="shared" si="4"/>
        <v>1519454</v>
      </c>
      <c r="J32" s="58"/>
      <c r="K32" s="58"/>
      <c r="L32" s="58"/>
    </row>
    <row r="33" spans="2:12" ht="15.75" customHeight="1" x14ac:dyDescent="0.25">
      <c r="B33" s="9">
        <v>44562</v>
      </c>
      <c r="C33" s="6" t="s">
        <v>24</v>
      </c>
      <c r="D33" s="10">
        <v>1530172</v>
      </c>
      <c r="E33" s="3">
        <f t="shared" si="5"/>
        <v>360</v>
      </c>
      <c r="F33" s="11">
        <f t="shared" si="4"/>
        <v>1530172</v>
      </c>
      <c r="J33" s="58"/>
      <c r="K33" s="58"/>
      <c r="L33" s="58"/>
    </row>
    <row r="34" spans="2:12" ht="15.75" customHeight="1" x14ac:dyDescent="0.25">
      <c r="B34" s="9">
        <v>44927</v>
      </c>
      <c r="C34" s="9">
        <v>44973</v>
      </c>
      <c r="D34" s="10">
        <v>1553606</v>
      </c>
      <c r="E34" s="3">
        <f t="shared" si="5"/>
        <v>45</v>
      </c>
      <c r="F34" s="11">
        <f t="shared" si="4"/>
        <v>194200.75</v>
      </c>
      <c r="J34" s="58"/>
      <c r="K34" s="58"/>
      <c r="L34" s="58"/>
    </row>
    <row r="35" spans="2:12" ht="15.75" customHeight="1" x14ac:dyDescent="0.25">
      <c r="B35" s="57" t="s">
        <v>7</v>
      </c>
      <c r="C35" s="57"/>
      <c r="D35" s="57"/>
      <c r="E35" s="57"/>
      <c r="F35" s="4">
        <f>SUM(F23:F34)</f>
        <v>10277930.416666668</v>
      </c>
      <c r="J35" s="58"/>
      <c r="K35" s="58"/>
      <c r="L35" s="58"/>
    </row>
    <row r="36" spans="2:12" ht="15.75" customHeight="1" x14ac:dyDescent="0.25">
      <c r="B36" s="19"/>
      <c r="C36" s="19"/>
      <c r="D36" s="19"/>
      <c r="E36" s="19"/>
      <c r="F36" s="21"/>
      <c r="J36" s="58"/>
      <c r="K36" s="58"/>
      <c r="L36" s="58"/>
    </row>
    <row r="37" spans="2:12" ht="15.75" customHeight="1" x14ac:dyDescent="0.25"/>
    <row r="38" spans="2:12" ht="15.75" customHeight="1" x14ac:dyDescent="0.25">
      <c r="B38" s="2" t="s">
        <v>0</v>
      </c>
      <c r="C38" s="2" t="s">
        <v>1</v>
      </c>
      <c r="D38" s="2" t="s">
        <v>12</v>
      </c>
      <c r="E38" s="2" t="s">
        <v>3</v>
      </c>
      <c r="F38" s="5" t="s">
        <v>13</v>
      </c>
    </row>
    <row r="39" spans="2:12" ht="15.75" customHeight="1" x14ac:dyDescent="0.25">
      <c r="B39" s="18">
        <v>41061</v>
      </c>
      <c r="C39" s="18">
        <v>41274</v>
      </c>
      <c r="D39" s="16">
        <f t="shared" ref="D39:D50" si="6">+F23</f>
        <v>370125</v>
      </c>
      <c r="E39" s="3">
        <f t="shared" ref="E39:E40" si="7">DAYS360(B39,C39)</f>
        <v>210</v>
      </c>
      <c r="F39" s="3">
        <f t="shared" ref="F39:F50" si="8">(D39*E39*0.12)/360</f>
        <v>25908.75</v>
      </c>
    </row>
    <row r="40" spans="2:12" ht="15.75" customHeight="1" x14ac:dyDescent="0.25">
      <c r="B40" s="18">
        <v>41275</v>
      </c>
      <c r="C40" s="18">
        <v>41639</v>
      </c>
      <c r="D40" s="16">
        <f t="shared" si="6"/>
        <v>660000</v>
      </c>
      <c r="E40" s="3">
        <f t="shared" si="7"/>
        <v>360</v>
      </c>
      <c r="F40" s="3">
        <f t="shared" si="8"/>
        <v>79200</v>
      </c>
    </row>
    <row r="41" spans="2:12" ht="15.75" customHeight="1" x14ac:dyDescent="0.25">
      <c r="B41" s="9">
        <v>41852</v>
      </c>
      <c r="C41" s="6" t="s">
        <v>6</v>
      </c>
      <c r="D41" s="11">
        <f t="shared" si="6"/>
        <v>321666.66666666669</v>
      </c>
      <c r="E41" s="3">
        <f>DAYS360(B41,C41)</f>
        <v>150</v>
      </c>
      <c r="F41" s="3">
        <f t="shared" si="8"/>
        <v>16083.333333333334</v>
      </c>
    </row>
    <row r="42" spans="2:12" ht="15.75" customHeight="1" x14ac:dyDescent="0.25">
      <c r="B42" s="9">
        <v>42005</v>
      </c>
      <c r="C42" s="6" t="s">
        <v>20</v>
      </c>
      <c r="D42" s="11">
        <f t="shared" si="6"/>
        <v>774000</v>
      </c>
      <c r="E42" s="3">
        <f t="shared" ref="E42:E50" si="9">DAYS360(B42,C42)</f>
        <v>360</v>
      </c>
      <c r="F42" s="3">
        <f t="shared" si="8"/>
        <v>92880</v>
      </c>
    </row>
    <row r="43" spans="2:12" ht="15.75" customHeight="1" x14ac:dyDescent="0.25">
      <c r="B43" s="9">
        <v>42370</v>
      </c>
      <c r="C43" s="6" t="s">
        <v>8</v>
      </c>
      <c r="D43" s="11">
        <f t="shared" si="6"/>
        <v>777000</v>
      </c>
      <c r="E43" s="3">
        <f t="shared" si="9"/>
        <v>360</v>
      </c>
      <c r="F43" s="3">
        <f t="shared" si="8"/>
        <v>93240</v>
      </c>
    </row>
    <row r="44" spans="2:12" x14ac:dyDescent="0.25">
      <c r="B44" s="9">
        <v>42736</v>
      </c>
      <c r="C44" s="6" t="s">
        <v>10</v>
      </c>
      <c r="D44" s="11">
        <f t="shared" si="6"/>
        <v>820857</v>
      </c>
      <c r="E44" s="3">
        <f t="shared" si="9"/>
        <v>360</v>
      </c>
      <c r="F44" s="3">
        <f t="shared" si="8"/>
        <v>98502.84</v>
      </c>
    </row>
    <row r="45" spans="2:12" x14ac:dyDescent="0.25">
      <c r="B45" s="9">
        <v>43101</v>
      </c>
      <c r="C45" s="6" t="s">
        <v>11</v>
      </c>
      <c r="D45" s="11">
        <f t="shared" si="6"/>
        <v>869453</v>
      </c>
      <c r="E45" s="3">
        <f t="shared" si="9"/>
        <v>360</v>
      </c>
      <c r="F45" s="3">
        <f t="shared" si="8"/>
        <v>104334.36</v>
      </c>
    </row>
    <row r="46" spans="2:12" x14ac:dyDescent="0.25">
      <c r="B46" s="9">
        <v>43466</v>
      </c>
      <c r="C46" s="6" t="s">
        <v>21</v>
      </c>
      <c r="D46" s="11">
        <f t="shared" si="6"/>
        <v>925148</v>
      </c>
      <c r="E46" s="3">
        <f t="shared" si="9"/>
        <v>360</v>
      </c>
      <c r="F46" s="3">
        <f t="shared" si="8"/>
        <v>111017.76000000001</v>
      </c>
    </row>
    <row r="47" spans="2:12" x14ac:dyDescent="0.25">
      <c r="B47" s="9">
        <v>43831</v>
      </c>
      <c r="C47" s="6" t="s">
        <v>22</v>
      </c>
      <c r="D47" s="11">
        <f t="shared" si="6"/>
        <v>1515854</v>
      </c>
      <c r="E47" s="3">
        <f t="shared" si="9"/>
        <v>360</v>
      </c>
      <c r="F47" s="3">
        <f t="shared" si="8"/>
        <v>181902.47999999998</v>
      </c>
    </row>
    <row r="48" spans="2:12" x14ac:dyDescent="0.25">
      <c r="B48" s="9">
        <v>44197</v>
      </c>
      <c r="C48" s="6" t="s">
        <v>23</v>
      </c>
      <c r="D48" s="11">
        <f t="shared" si="6"/>
        <v>1519454</v>
      </c>
      <c r="E48" s="3">
        <f t="shared" si="9"/>
        <v>360</v>
      </c>
      <c r="F48" s="3">
        <f t="shared" si="8"/>
        <v>182334.47999999998</v>
      </c>
    </row>
    <row r="49" spans="2:7" x14ac:dyDescent="0.25">
      <c r="B49" s="9">
        <v>44562</v>
      </c>
      <c r="C49" s="6" t="s">
        <v>24</v>
      </c>
      <c r="D49" s="11">
        <f t="shared" si="6"/>
        <v>1530172</v>
      </c>
      <c r="E49" s="3">
        <f t="shared" si="9"/>
        <v>360</v>
      </c>
      <c r="F49" s="3">
        <f t="shared" si="8"/>
        <v>183620.63999999998</v>
      </c>
    </row>
    <row r="50" spans="2:7" x14ac:dyDescent="0.25">
      <c r="B50" s="9">
        <v>44927</v>
      </c>
      <c r="C50" s="9">
        <v>44973</v>
      </c>
      <c r="D50" s="11">
        <f t="shared" si="6"/>
        <v>194200.75</v>
      </c>
      <c r="E50" s="3">
        <f t="shared" si="9"/>
        <v>45</v>
      </c>
      <c r="F50" s="3">
        <f t="shared" si="8"/>
        <v>2913.01125</v>
      </c>
    </row>
    <row r="51" spans="2:7" x14ac:dyDescent="0.25">
      <c r="B51" s="57" t="s">
        <v>7</v>
      </c>
      <c r="C51" s="57"/>
      <c r="D51" s="57"/>
      <c r="E51" s="57"/>
      <c r="F51" s="22">
        <f>SUM(F39:F50)</f>
        <v>1171937.6545833333</v>
      </c>
      <c r="G51" s="21"/>
    </row>
    <row r="53" spans="2:7" x14ac:dyDescent="0.25">
      <c r="B53" s="2" t="s">
        <v>0</v>
      </c>
      <c r="C53" s="2" t="s">
        <v>1</v>
      </c>
      <c r="D53" s="2" t="s">
        <v>2</v>
      </c>
      <c r="E53" s="2" t="s">
        <v>3</v>
      </c>
      <c r="F53" s="5" t="s">
        <v>14</v>
      </c>
    </row>
    <row r="54" spans="2:7" x14ac:dyDescent="0.25">
      <c r="B54" s="12">
        <v>41061</v>
      </c>
      <c r="C54" s="12">
        <v>44973</v>
      </c>
      <c r="D54" s="11">
        <v>1413000</v>
      </c>
      <c r="E54" s="3">
        <f>DAYS360(B54,C54)+1</f>
        <v>3856</v>
      </c>
      <c r="F54" s="3">
        <f>(D54*E54)/720</f>
        <v>7567400</v>
      </c>
    </row>
    <row r="55" spans="2:7" x14ac:dyDescent="0.25">
      <c r="B55" s="57" t="s">
        <v>7</v>
      </c>
      <c r="C55" s="57"/>
      <c r="D55" s="57"/>
      <c r="E55" s="57"/>
      <c r="F55" s="4">
        <f>SUM(F54:F54)</f>
        <v>7567400</v>
      </c>
    </row>
    <row r="56" spans="2:7" x14ac:dyDescent="0.25">
      <c r="B56" s="89"/>
      <c r="C56" s="91"/>
      <c r="D56" s="91"/>
      <c r="E56" s="91"/>
      <c r="F56" s="21"/>
      <c r="G56" s="92"/>
    </row>
    <row r="57" spans="2:7" x14ac:dyDescent="0.25">
      <c r="B57" s="89"/>
      <c r="C57" s="91"/>
      <c r="D57" s="91"/>
      <c r="E57" s="91"/>
      <c r="F57" s="21"/>
      <c r="G57" s="92"/>
    </row>
    <row r="58" spans="2:7" x14ac:dyDescent="0.25">
      <c r="B58" s="89"/>
      <c r="C58" s="53" t="s">
        <v>27</v>
      </c>
      <c r="D58" s="54"/>
      <c r="E58" s="54"/>
      <c r="F58" s="54"/>
      <c r="G58" s="54"/>
    </row>
    <row r="59" spans="2:7" x14ac:dyDescent="0.25">
      <c r="B59" s="89"/>
      <c r="C59" s="6" t="s">
        <v>0</v>
      </c>
      <c r="D59" s="6" t="s">
        <v>1</v>
      </c>
      <c r="E59" s="6" t="s">
        <v>49</v>
      </c>
      <c r="F59" s="6" t="s">
        <v>51</v>
      </c>
      <c r="G59" s="6" t="s">
        <v>5</v>
      </c>
    </row>
    <row r="60" spans="2:7" x14ac:dyDescent="0.25">
      <c r="B60" s="89"/>
      <c r="C60" s="9">
        <v>44927</v>
      </c>
      <c r="D60" s="9">
        <v>44973</v>
      </c>
      <c r="E60" s="1">
        <v>1413000</v>
      </c>
      <c r="F60" s="7">
        <f>+E60*13.12%+E60</f>
        <v>1598385.6</v>
      </c>
      <c r="G60" s="8">
        <f>F60-E60</f>
        <v>185385.60000000009</v>
      </c>
    </row>
    <row r="61" spans="2:7" x14ac:dyDescent="0.25">
      <c r="B61" s="89"/>
      <c r="C61" s="91"/>
      <c r="D61" s="91"/>
      <c r="E61" s="91"/>
      <c r="F61" s="21"/>
      <c r="G61" s="92"/>
    </row>
    <row r="62" spans="2:7" x14ac:dyDescent="0.25">
      <c r="C62" s="90"/>
      <c r="D62" s="90"/>
      <c r="E62" s="90"/>
      <c r="F62" s="90"/>
      <c r="G62" s="90"/>
    </row>
    <row r="63" spans="2:7" x14ac:dyDescent="0.25">
      <c r="C63" s="60" t="s">
        <v>53</v>
      </c>
      <c r="D63" s="61"/>
      <c r="E63" s="61"/>
      <c r="F63" s="61"/>
      <c r="G63" s="62"/>
    </row>
    <row r="64" spans="2:7" x14ac:dyDescent="0.25">
      <c r="B64" s="23"/>
      <c r="C64" s="2" t="s">
        <v>0</v>
      </c>
      <c r="D64" s="2" t="s">
        <v>1</v>
      </c>
      <c r="E64" s="2" t="s">
        <v>2</v>
      </c>
      <c r="F64" s="2" t="s">
        <v>3</v>
      </c>
      <c r="G64" s="14" t="s">
        <v>4</v>
      </c>
    </row>
    <row r="65" spans="2:13" x14ac:dyDescent="0.25">
      <c r="B65" s="23"/>
      <c r="C65" s="12">
        <v>44974</v>
      </c>
      <c r="D65" s="12">
        <v>45265</v>
      </c>
      <c r="E65" s="7">
        <v>1738992</v>
      </c>
      <c r="F65" s="3">
        <f>DAYS360(C65,D65)+1</f>
        <v>289</v>
      </c>
      <c r="G65" s="11">
        <f>(E65/30)*F65</f>
        <v>16752289.6</v>
      </c>
    </row>
    <row r="66" spans="2:13" x14ac:dyDescent="0.25">
      <c r="B66" s="23"/>
      <c r="C66" s="47" t="s">
        <v>7</v>
      </c>
      <c r="D66" s="48"/>
      <c r="E66" s="48"/>
      <c r="F66" s="49"/>
      <c r="G66" s="15">
        <f>SUM(G65:G65)</f>
        <v>16752289.6</v>
      </c>
    </row>
    <row r="67" spans="2:13" x14ac:dyDescent="0.25">
      <c r="B67" s="23"/>
      <c r="M67" t="s">
        <v>15</v>
      </c>
    </row>
    <row r="68" spans="2:13" ht="15" customHeight="1" x14ac:dyDescent="0.25">
      <c r="B68" s="23"/>
      <c r="C68" s="2" t="s">
        <v>0</v>
      </c>
      <c r="D68" s="2" t="s">
        <v>1</v>
      </c>
      <c r="E68" s="2" t="s">
        <v>2</v>
      </c>
      <c r="F68" s="2" t="s">
        <v>3</v>
      </c>
      <c r="G68" s="5" t="s">
        <v>9</v>
      </c>
      <c r="I68" s="58" t="s">
        <v>54</v>
      </c>
      <c r="J68" s="58"/>
      <c r="K68" s="58"/>
    </row>
    <row r="69" spans="2:13" x14ac:dyDescent="0.25">
      <c r="B69" s="23"/>
      <c r="C69" s="12">
        <v>44974</v>
      </c>
      <c r="D69" s="12">
        <v>45265</v>
      </c>
      <c r="E69" s="7">
        <f>+E65</f>
        <v>1738992</v>
      </c>
      <c r="F69" s="3">
        <f>DAYS360(C69,D69)+1</f>
        <v>289</v>
      </c>
      <c r="G69" s="11">
        <f>(E69*F69)/360</f>
        <v>1396024.1333333333</v>
      </c>
      <c r="I69" s="58"/>
      <c r="J69" s="58"/>
      <c r="K69" s="58"/>
    </row>
    <row r="70" spans="2:13" x14ac:dyDescent="0.25">
      <c r="B70" s="23"/>
      <c r="C70" s="47" t="s">
        <v>7</v>
      </c>
      <c r="D70" s="48"/>
      <c r="E70" s="48"/>
      <c r="F70" s="49"/>
      <c r="G70" s="4">
        <f>SUM(G69:G69)</f>
        <v>1396024.1333333333</v>
      </c>
      <c r="I70" s="58"/>
      <c r="J70" s="58"/>
      <c r="K70" s="58"/>
    </row>
    <row r="71" spans="2:13" x14ac:dyDescent="0.25">
      <c r="I71" s="58"/>
      <c r="J71" s="58"/>
      <c r="K71" s="58"/>
    </row>
    <row r="72" spans="2:13" x14ac:dyDescent="0.25">
      <c r="C72" s="2" t="s">
        <v>0</v>
      </c>
      <c r="D72" s="2" t="s">
        <v>1</v>
      </c>
      <c r="E72" s="2" t="s">
        <v>2</v>
      </c>
      <c r="F72" s="2" t="s">
        <v>3</v>
      </c>
      <c r="G72" s="5" t="s">
        <v>12</v>
      </c>
      <c r="I72" s="58"/>
      <c r="J72" s="58"/>
      <c r="K72" s="58"/>
    </row>
    <row r="73" spans="2:13" ht="14.25" customHeight="1" x14ac:dyDescent="0.25">
      <c r="C73" s="12">
        <v>44974</v>
      </c>
      <c r="D73" s="12">
        <v>45265</v>
      </c>
      <c r="E73" s="7">
        <f>+E69</f>
        <v>1738992</v>
      </c>
      <c r="F73" s="3">
        <f>DAYS360(C73,D73)+1</f>
        <v>289</v>
      </c>
      <c r="G73" s="11">
        <f>(E73*F73)/360</f>
        <v>1396024.1333333333</v>
      </c>
      <c r="I73" s="58"/>
      <c r="J73" s="58"/>
      <c r="K73" s="58"/>
    </row>
    <row r="74" spans="2:13" x14ac:dyDescent="0.25">
      <c r="C74" s="47" t="s">
        <v>7</v>
      </c>
      <c r="D74" s="48"/>
      <c r="E74" s="48"/>
      <c r="F74" s="49"/>
      <c r="G74" s="4">
        <f>SUM(G73:G73)</f>
        <v>1396024.1333333333</v>
      </c>
    </row>
    <row r="76" spans="2:13" x14ac:dyDescent="0.25">
      <c r="C76" s="2" t="s">
        <v>0</v>
      </c>
      <c r="D76" s="2" t="s">
        <v>1</v>
      </c>
      <c r="E76" s="2" t="s">
        <v>12</v>
      </c>
      <c r="F76" s="2" t="s">
        <v>3</v>
      </c>
      <c r="G76" s="5" t="s">
        <v>13</v>
      </c>
    </row>
    <row r="77" spans="2:13" x14ac:dyDescent="0.25">
      <c r="C77" s="12">
        <v>44974</v>
      </c>
      <c r="D77" s="12">
        <v>45265</v>
      </c>
      <c r="E77" s="16">
        <f>+G73</f>
        <v>1396024.1333333333</v>
      </c>
      <c r="F77" s="3">
        <f>DAYS360(C77,D77)+1</f>
        <v>289</v>
      </c>
      <c r="G77" s="3">
        <f>(E77*F77*0.12)/360</f>
        <v>134483.65817777775</v>
      </c>
    </row>
    <row r="78" spans="2:13" x14ac:dyDescent="0.25">
      <c r="C78" s="47" t="s">
        <v>7</v>
      </c>
      <c r="D78" s="48"/>
      <c r="E78" s="48"/>
      <c r="F78" s="49"/>
      <c r="G78" s="4">
        <f>SUM(G77:G77)</f>
        <v>134483.65817777775</v>
      </c>
    </row>
    <row r="81" spans="3:7" x14ac:dyDescent="0.25">
      <c r="C81" s="53" t="s">
        <v>16</v>
      </c>
      <c r="D81" s="54"/>
      <c r="E81" s="54"/>
      <c r="F81" s="54"/>
      <c r="G81" s="55"/>
    </row>
    <row r="82" spans="3:7" x14ac:dyDescent="0.25">
      <c r="C82" s="2" t="s">
        <v>0</v>
      </c>
      <c r="D82" s="2" t="s">
        <v>1</v>
      </c>
      <c r="E82" s="2" t="s">
        <v>2</v>
      </c>
      <c r="F82" s="2" t="s">
        <v>3</v>
      </c>
      <c r="G82" s="17" t="s">
        <v>17</v>
      </c>
    </row>
    <row r="83" spans="3:7" x14ac:dyDescent="0.25">
      <c r="C83" s="18">
        <v>41320</v>
      </c>
      <c r="D83" s="18">
        <v>41684</v>
      </c>
      <c r="E83" s="43">
        <v>634500</v>
      </c>
      <c r="F83" s="3">
        <f>DAYS360(C83,D83)+1</f>
        <v>360</v>
      </c>
      <c r="G83" s="3">
        <f>(E83/30)*F83</f>
        <v>7614000</v>
      </c>
    </row>
    <row r="84" spans="3:7" x14ac:dyDescent="0.25">
      <c r="C84" s="18">
        <v>41685</v>
      </c>
      <c r="D84" s="18">
        <v>42049</v>
      </c>
      <c r="E84" s="43">
        <v>660000</v>
      </c>
      <c r="F84" s="3">
        <f>DAYS360(C84,D84)+1</f>
        <v>360</v>
      </c>
      <c r="G84" s="3">
        <f>(E84/30)*F84</f>
        <v>7920000</v>
      </c>
    </row>
    <row r="85" spans="3:7" x14ac:dyDescent="0.25">
      <c r="C85" s="18">
        <v>42050</v>
      </c>
      <c r="D85" s="18">
        <v>42414</v>
      </c>
      <c r="E85" s="8">
        <v>772000</v>
      </c>
      <c r="F85" s="3">
        <f>DAYS360(C85,D85)+1</f>
        <v>360</v>
      </c>
      <c r="G85" s="3">
        <f>(E85/30)*F85</f>
        <v>9264000</v>
      </c>
    </row>
    <row r="86" spans="3:7" x14ac:dyDescent="0.25">
      <c r="C86" s="18">
        <v>42415</v>
      </c>
      <c r="D86" s="18">
        <v>42780</v>
      </c>
      <c r="E86" s="8">
        <v>774000</v>
      </c>
      <c r="F86" s="3">
        <f t="shared" ref="F86:F93" si="10">DAYS360(C86,D86)+1</f>
        <v>360</v>
      </c>
      <c r="G86" s="3">
        <f t="shared" ref="G86:G93" si="11">(E86/30)*F86</f>
        <v>9288000</v>
      </c>
    </row>
    <row r="87" spans="3:7" x14ac:dyDescent="0.25">
      <c r="C87" s="18">
        <v>42781</v>
      </c>
      <c r="D87" s="18">
        <v>43145</v>
      </c>
      <c r="E87" s="8">
        <v>777000</v>
      </c>
      <c r="F87" s="3">
        <f t="shared" si="10"/>
        <v>360</v>
      </c>
      <c r="G87" s="3">
        <f t="shared" si="11"/>
        <v>9324000</v>
      </c>
    </row>
    <row r="88" spans="3:7" x14ac:dyDescent="0.25">
      <c r="C88" s="18">
        <v>43146</v>
      </c>
      <c r="D88" s="18">
        <v>43510</v>
      </c>
      <c r="E88" s="8">
        <v>820857</v>
      </c>
      <c r="F88" s="3">
        <f t="shared" si="10"/>
        <v>360</v>
      </c>
      <c r="G88" s="3">
        <f t="shared" si="11"/>
        <v>9850284</v>
      </c>
    </row>
    <row r="89" spans="3:7" x14ac:dyDescent="0.25">
      <c r="C89" s="18">
        <v>43511</v>
      </c>
      <c r="D89" s="18">
        <v>43875</v>
      </c>
      <c r="E89" s="8">
        <v>869453</v>
      </c>
      <c r="F89" s="3">
        <f t="shared" si="10"/>
        <v>360</v>
      </c>
      <c r="G89" s="3">
        <f t="shared" si="11"/>
        <v>10433436</v>
      </c>
    </row>
    <row r="90" spans="3:7" x14ac:dyDescent="0.25">
      <c r="C90" s="18">
        <v>43876</v>
      </c>
      <c r="D90" s="18">
        <v>44241</v>
      </c>
      <c r="E90" s="8">
        <v>925148</v>
      </c>
      <c r="F90" s="3">
        <f t="shared" si="10"/>
        <v>360</v>
      </c>
      <c r="G90" s="3">
        <f t="shared" si="11"/>
        <v>11101776</v>
      </c>
    </row>
    <row r="91" spans="3:7" x14ac:dyDescent="0.25">
      <c r="C91" s="18">
        <v>44242</v>
      </c>
      <c r="D91" s="18">
        <v>44606</v>
      </c>
      <c r="E91" s="10">
        <v>1515854</v>
      </c>
      <c r="F91" s="3">
        <f t="shared" si="10"/>
        <v>360</v>
      </c>
      <c r="G91" s="3">
        <f t="shared" si="11"/>
        <v>18190248</v>
      </c>
    </row>
    <row r="92" spans="3:7" x14ac:dyDescent="0.25">
      <c r="C92" s="18">
        <v>44607</v>
      </c>
      <c r="D92" s="18">
        <v>44971</v>
      </c>
      <c r="E92" s="10">
        <v>1519454</v>
      </c>
      <c r="F92" s="3">
        <f t="shared" si="10"/>
        <v>360</v>
      </c>
      <c r="G92" s="3">
        <f t="shared" si="11"/>
        <v>18233448</v>
      </c>
    </row>
    <row r="93" spans="3:7" x14ac:dyDescent="0.25">
      <c r="C93" s="18">
        <v>44972</v>
      </c>
      <c r="D93" s="18">
        <v>44973</v>
      </c>
      <c r="E93" s="10">
        <f>+D49</f>
        <v>1530172</v>
      </c>
      <c r="F93" s="3">
        <f t="shared" si="10"/>
        <v>2</v>
      </c>
      <c r="G93" s="3">
        <f t="shared" si="11"/>
        <v>102011.46666666666</v>
      </c>
    </row>
    <row r="94" spans="3:7" x14ac:dyDescent="0.25">
      <c r="C94" s="47" t="s">
        <v>7</v>
      </c>
      <c r="D94" s="48"/>
      <c r="E94" s="48"/>
      <c r="F94" s="49"/>
      <c r="G94" s="4">
        <f>SUM(G83:G93)</f>
        <v>111321203.46666667</v>
      </c>
    </row>
    <row r="95" spans="3:7" x14ac:dyDescent="0.25">
      <c r="C95" s="19"/>
      <c r="D95" s="19"/>
      <c r="E95" s="19"/>
      <c r="F95" s="19"/>
      <c r="G95" s="21"/>
    </row>
    <row r="96" spans="3:7" x14ac:dyDescent="0.25">
      <c r="C96" s="19"/>
      <c r="D96" s="19"/>
      <c r="E96" s="19"/>
      <c r="F96" s="19"/>
      <c r="G96" s="21"/>
    </row>
    <row r="97" spans="2:8" x14ac:dyDescent="0.25">
      <c r="B97" s="84" t="s">
        <v>28</v>
      </c>
      <c r="C97" s="85"/>
      <c r="D97" s="85"/>
      <c r="E97" s="85"/>
      <c r="F97" s="85"/>
      <c r="G97" s="85"/>
      <c r="H97" s="86"/>
    </row>
    <row r="98" spans="2:8" x14ac:dyDescent="0.25">
      <c r="B98" s="63"/>
      <c r="C98" s="64"/>
      <c r="D98" s="27" t="s">
        <v>29</v>
      </c>
      <c r="E98" s="27" t="s">
        <v>30</v>
      </c>
      <c r="F98" s="27" t="s">
        <v>31</v>
      </c>
      <c r="G98" s="67" t="s">
        <v>32</v>
      </c>
      <c r="H98" s="67"/>
    </row>
    <row r="99" spans="2:8" x14ac:dyDescent="0.25">
      <c r="B99" s="63" t="s">
        <v>33</v>
      </c>
      <c r="C99" s="64"/>
      <c r="D99" s="28">
        <v>2023</v>
      </c>
      <c r="E99" s="28">
        <v>2</v>
      </c>
      <c r="F99" s="29">
        <v>16</v>
      </c>
      <c r="G99" s="30" t="s">
        <v>34</v>
      </c>
      <c r="H99" s="31" t="s">
        <v>35</v>
      </c>
    </row>
    <row r="100" spans="2:8" x14ac:dyDescent="0.25">
      <c r="B100" s="63" t="s">
        <v>36</v>
      </c>
      <c r="C100" s="64"/>
      <c r="D100" s="32">
        <v>2012</v>
      </c>
      <c r="E100" s="32">
        <v>6</v>
      </c>
      <c r="F100" s="33">
        <v>1</v>
      </c>
      <c r="G100" s="34">
        <f>(D99-D100)*360+(E99-E100)*30+(F99-F100+1)</f>
        <v>3856</v>
      </c>
      <c r="H100" s="35">
        <f>G100/360</f>
        <v>10.71111111111111</v>
      </c>
    </row>
    <row r="101" spans="2:8" x14ac:dyDescent="0.25">
      <c r="B101" s="63" t="s">
        <v>37</v>
      </c>
      <c r="C101" s="64"/>
      <c r="D101" s="68">
        <v>1413000</v>
      </c>
      <c r="E101" s="68"/>
      <c r="F101" s="68"/>
      <c r="G101" s="68"/>
      <c r="H101" s="68"/>
    </row>
    <row r="102" spans="2:8" x14ac:dyDescent="0.25">
      <c r="B102" s="63" t="s">
        <v>38</v>
      </c>
      <c r="C102" s="64"/>
      <c r="D102" s="69">
        <f>D101/30</f>
        <v>47100</v>
      </c>
      <c r="E102" s="69"/>
      <c r="F102" s="69"/>
      <c r="G102" s="69"/>
      <c r="H102" s="69"/>
    </row>
    <row r="103" spans="2:8" x14ac:dyDescent="0.25">
      <c r="B103" s="63" t="s">
        <v>39</v>
      </c>
      <c r="C103" s="64"/>
      <c r="D103" s="69">
        <f>D101</f>
        <v>1413000</v>
      </c>
      <c r="E103" s="69"/>
      <c r="F103" s="69"/>
      <c r="G103" s="69"/>
      <c r="H103" s="69"/>
    </row>
    <row r="104" spans="2:8" x14ac:dyDescent="0.25">
      <c r="B104" s="63" t="s">
        <v>40</v>
      </c>
      <c r="C104" s="64"/>
      <c r="D104" s="36">
        <f>H100-1</f>
        <v>9.7111111111111104</v>
      </c>
      <c r="E104" s="69">
        <f>D104*20*D102</f>
        <v>9147866.666666666</v>
      </c>
      <c r="F104" s="69"/>
      <c r="G104" s="69"/>
      <c r="H104" s="69"/>
    </row>
    <row r="105" spans="2:8" x14ac:dyDescent="0.25">
      <c r="B105" s="65" t="s">
        <v>41</v>
      </c>
      <c r="C105" s="66"/>
      <c r="D105" s="37"/>
      <c r="E105" s="83">
        <f>SUM(E104+D103)</f>
        <v>10560866.666666666</v>
      </c>
      <c r="F105" s="83"/>
      <c r="G105" s="83"/>
      <c r="H105" s="83"/>
    </row>
    <row r="106" spans="2:8" x14ac:dyDescent="0.25">
      <c r="C106" s="19"/>
      <c r="D106" s="19"/>
      <c r="E106" s="19"/>
      <c r="F106" s="19"/>
      <c r="G106" s="21"/>
    </row>
    <row r="107" spans="2:8" x14ac:dyDescent="0.25">
      <c r="C107" s="81" t="s">
        <v>46</v>
      </c>
      <c r="D107" s="82"/>
      <c r="E107" s="82"/>
      <c r="F107" s="82"/>
      <c r="G107" s="82"/>
    </row>
    <row r="108" spans="2:8" x14ac:dyDescent="0.25">
      <c r="C108" s="75" t="s">
        <v>43</v>
      </c>
      <c r="D108" s="76"/>
      <c r="E108" s="75" t="s">
        <v>47</v>
      </c>
      <c r="F108" s="76"/>
      <c r="G108" s="40" t="s">
        <v>45</v>
      </c>
    </row>
    <row r="109" spans="2:8" x14ac:dyDescent="0.25">
      <c r="C109" s="77">
        <f>+D102</f>
        <v>47100</v>
      </c>
      <c r="D109" s="78"/>
      <c r="E109" s="79">
        <v>180</v>
      </c>
      <c r="F109" s="80"/>
      <c r="G109" s="41">
        <f>C109*E109</f>
        <v>8478000</v>
      </c>
    </row>
    <row r="110" spans="2:8" x14ac:dyDescent="0.25">
      <c r="C110" s="19"/>
      <c r="D110" s="19"/>
      <c r="E110" s="19"/>
      <c r="F110" s="19"/>
      <c r="G110" s="21"/>
    </row>
    <row r="111" spans="2:8" x14ac:dyDescent="0.25">
      <c r="C111" s="19"/>
      <c r="D111" s="19"/>
      <c r="E111" s="19"/>
      <c r="F111" s="19"/>
      <c r="G111" s="21"/>
    </row>
    <row r="112" spans="2:8" x14ac:dyDescent="0.25">
      <c r="C112" s="70" t="s">
        <v>42</v>
      </c>
      <c r="D112" s="70"/>
      <c r="E112" s="70"/>
      <c r="F112" s="70"/>
      <c r="G112" s="70"/>
    </row>
    <row r="113" spans="3:7" x14ac:dyDescent="0.25">
      <c r="C113" s="71" t="s">
        <v>43</v>
      </c>
      <c r="D113" s="71"/>
      <c r="E113" s="71" t="s">
        <v>44</v>
      </c>
      <c r="F113" s="71"/>
      <c r="G113" s="38" t="s">
        <v>45</v>
      </c>
    </row>
    <row r="114" spans="3:7" x14ac:dyDescent="0.25">
      <c r="C114" s="72">
        <f>+D102</f>
        <v>47100</v>
      </c>
      <c r="D114" s="73"/>
      <c r="E114" s="74">
        <v>720</v>
      </c>
      <c r="F114" s="74"/>
      <c r="G114" s="39">
        <f>C114*E114</f>
        <v>33912000</v>
      </c>
    </row>
    <row r="115" spans="3:7" x14ac:dyDescent="0.25">
      <c r="C115" s="19"/>
      <c r="D115" s="19"/>
      <c r="E115" s="19"/>
      <c r="F115" s="19"/>
      <c r="G115" s="21"/>
    </row>
    <row r="116" spans="3:7" x14ac:dyDescent="0.25">
      <c r="C116" s="19"/>
      <c r="D116" s="19"/>
      <c r="E116" s="19"/>
      <c r="F116" s="19"/>
      <c r="G116" s="19"/>
    </row>
    <row r="117" spans="3:7" x14ac:dyDescent="0.25">
      <c r="C117" s="50" t="s">
        <v>18</v>
      </c>
      <c r="D117" s="51"/>
      <c r="E117" s="51"/>
      <c r="F117" s="52"/>
      <c r="G117" s="20">
        <f>G114+G109+E105+G94+G78+G74+G70+G66+F55+F51+F35+F20</f>
        <v>213246090.14609438</v>
      </c>
    </row>
  </sheetData>
  <mergeCells count="43">
    <mergeCell ref="C108:D108"/>
    <mergeCell ref="E108:F108"/>
    <mergeCell ref="C109:D109"/>
    <mergeCell ref="E109:F109"/>
    <mergeCell ref="I13:M25"/>
    <mergeCell ref="C107:G107"/>
    <mergeCell ref="E104:H104"/>
    <mergeCell ref="E105:H105"/>
    <mergeCell ref="B97:H97"/>
    <mergeCell ref="B98:C98"/>
    <mergeCell ref="B99:C99"/>
    <mergeCell ref="B100:C100"/>
    <mergeCell ref="B101:C101"/>
    <mergeCell ref="B102:C102"/>
    <mergeCell ref="B103:C103"/>
    <mergeCell ref="B20:E20"/>
    <mergeCell ref="C58:G58"/>
    <mergeCell ref="I68:K73"/>
    <mergeCell ref="K10:M11"/>
    <mergeCell ref="C66:F66"/>
    <mergeCell ref="B35:E35"/>
    <mergeCell ref="C70:F70"/>
    <mergeCell ref="C63:G63"/>
    <mergeCell ref="B51:E51"/>
    <mergeCell ref="B55:E55"/>
    <mergeCell ref="J30:L36"/>
    <mergeCell ref="B5:F5"/>
    <mergeCell ref="C78:F78"/>
    <mergeCell ref="C117:F117"/>
    <mergeCell ref="C94:F94"/>
    <mergeCell ref="C81:G81"/>
    <mergeCell ref="C74:F74"/>
    <mergeCell ref="B104:C104"/>
    <mergeCell ref="B105:C105"/>
    <mergeCell ref="G98:H98"/>
    <mergeCell ref="D101:H101"/>
    <mergeCell ref="D102:H102"/>
    <mergeCell ref="D103:H103"/>
    <mergeCell ref="C112:G112"/>
    <mergeCell ref="C113:D113"/>
    <mergeCell ref="E113:F113"/>
    <mergeCell ref="C114:D114"/>
    <mergeCell ref="E114:F114"/>
  </mergeCells>
  <phoneticPr fontId="7"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BE4F0-089A-43A0-A8DC-61ADCFF6925A}">
  <dimension ref="B1:O66"/>
  <sheetViews>
    <sheetView topLeftCell="B43" workbookViewId="0">
      <selection activeCell="I55" sqref="I55"/>
    </sheetView>
  </sheetViews>
  <sheetFormatPr baseColWidth="10" defaultRowHeight="15" x14ac:dyDescent="0.25"/>
  <cols>
    <col min="1" max="1" width="10.28515625" customWidth="1"/>
    <col min="2" max="2" width="6.7109375" customWidth="1"/>
    <col min="4" max="4" width="15" customWidth="1"/>
    <col min="5" max="5" width="20.28515625" customWidth="1"/>
    <col min="6" max="6" width="18.85546875" customWidth="1"/>
    <col min="7" max="7" width="17.85546875" customWidth="1"/>
    <col min="8" max="8" width="16.5703125" customWidth="1"/>
  </cols>
  <sheetData>
    <row r="1" spans="2:13" x14ac:dyDescent="0.25">
      <c r="C1" s="56" t="s">
        <v>50</v>
      </c>
      <c r="D1" s="56"/>
      <c r="E1" s="56"/>
      <c r="F1" s="56"/>
      <c r="G1" s="56"/>
    </row>
    <row r="2" spans="2:13" x14ac:dyDescent="0.25">
      <c r="B2" s="25"/>
      <c r="C2" s="25"/>
      <c r="D2" s="25"/>
      <c r="E2" s="25"/>
      <c r="F2" s="25"/>
    </row>
    <row r="3" spans="2:13" x14ac:dyDescent="0.25">
      <c r="M3" s="42"/>
    </row>
    <row r="4" spans="2:13" x14ac:dyDescent="0.25">
      <c r="C4" s="2" t="s">
        <v>0</v>
      </c>
      <c r="D4" s="2" t="s">
        <v>1</v>
      </c>
      <c r="E4" s="2" t="s">
        <v>2</v>
      </c>
      <c r="F4" s="2" t="s">
        <v>3</v>
      </c>
      <c r="G4" s="5" t="s">
        <v>9</v>
      </c>
    </row>
    <row r="5" spans="2:13" ht="15" customHeight="1" x14ac:dyDescent="0.25">
      <c r="C5" s="9">
        <v>43525</v>
      </c>
      <c r="D5" s="6" t="s">
        <v>21</v>
      </c>
      <c r="E5" s="8">
        <v>925148</v>
      </c>
      <c r="F5" s="3">
        <f>DAYS360(C5,D5)</f>
        <v>300</v>
      </c>
      <c r="G5" s="11">
        <f t="shared" ref="G5:G9" si="0">(E5*F5)/360</f>
        <v>770956.66666666663</v>
      </c>
      <c r="J5" s="87" t="s">
        <v>26</v>
      </c>
      <c r="K5" s="87"/>
      <c r="L5" s="87"/>
      <c r="M5" s="87"/>
    </row>
    <row r="6" spans="2:13" x14ac:dyDescent="0.25">
      <c r="C6" s="9">
        <v>43831</v>
      </c>
      <c r="D6" s="6" t="s">
        <v>22</v>
      </c>
      <c r="E6" s="10">
        <v>1515854</v>
      </c>
      <c r="F6" s="3">
        <f t="shared" ref="F6:F8" si="1">DAYS360(C6,D6)</f>
        <v>360</v>
      </c>
      <c r="G6" s="11">
        <f t="shared" si="0"/>
        <v>1515854</v>
      </c>
      <c r="J6" s="87"/>
      <c r="K6" s="87"/>
      <c r="L6" s="87"/>
      <c r="M6" s="87"/>
    </row>
    <row r="7" spans="2:13" x14ac:dyDescent="0.25">
      <c r="C7" s="9">
        <v>44197</v>
      </c>
      <c r="D7" s="6" t="s">
        <v>23</v>
      </c>
      <c r="E7" s="10">
        <v>1519454</v>
      </c>
      <c r="F7" s="3">
        <f t="shared" si="1"/>
        <v>360</v>
      </c>
      <c r="G7" s="11">
        <f t="shared" si="0"/>
        <v>1519454</v>
      </c>
      <c r="J7" s="87"/>
      <c r="K7" s="87"/>
      <c r="L7" s="87"/>
      <c r="M7" s="87"/>
    </row>
    <row r="8" spans="2:13" x14ac:dyDescent="0.25">
      <c r="C8" s="9">
        <v>44562</v>
      </c>
      <c r="D8" s="6" t="s">
        <v>24</v>
      </c>
      <c r="E8" s="10">
        <v>1530172</v>
      </c>
      <c r="F8" s="3">
        <f t="shared" si="1"/>
        <v>360</v>
      </c>
      <c r="G8" s="11">
        <f t="shared" si="0"/>
        <v>1530172</v>
      </c>
      <c r="J8" s="26"/>
      <c r="K8" s="26"/>
      <c r="L8" s="26"/>
      <c r="M8" s="26"/>
    </row>
    <row r="9" spans="2:13" x14ac:dyDescent="0.25">
      <c r="C9" s="9">
        <v>44927</v>
      </c>
      <c r="D9" s="9">
        <v>44973</v>
      </c>
      <c r="E9" s="10">
        <v>1553606</v>
      </c>
      <c r="F9" s="3">
        <f t="shared" ref="F9" si="2">DAYS360(C9,D9)+1</f>
        <v>46</v>
      </c>
      <c r="G9" s="11">
        <f t="shared" si="0"/>
        <v>198516.32222222222</v>
      </c>
      <c r="J9" s="26"/>
      <c r="K9" s="26"/>
      <c r="L9" s="26"/>
      <c r="M9" s="26"/>
    </row>
    <row r="10" spans="2:13" x14ac:dyDescent="0.25">
      <c r="C10" s="57" t="s">
        <v>7</v>
      </c>
      <c r="D10" s="57"/>
      <c r="E10" s="57"/>
      <c r="F10" s="57"/>
      <c r="G10" s="4">
        <f>SUM(G5:G9)</f>
        <v>5534952.9888888886</v>
      </c>
      <c r="J10" s="26"/>
      <c r="K10" s="26"/>
      <c r="L10" s="26"/>
      <c r="M10" s="26"/>
    </row>
    <row r="12" spans="2:13" ht="15" customHeight="1" x14ac:dyDescent="0.25">
      <c r="C12" s="2" t="s">
        <v>0</v>
      </c>
      <c r="D12" s="2" t="s">
        <v>1</v>
      </c>
      <c r="E12" s="2" t="s">
        <v>2</v>
      </c>
      <c r="F12" s="2" t="s">
        <v>3</v>
      </c>
      <c r="G12" s="5" t="s">
        <v>12</v>
      </c>
      <c r="J12" s="88" t="s">
        <v>52</v>
      </c>
      <c r="K12" s="88"/>
      <c r="L12" s="88"/>
      <c r="M12" s="88"/>
    </row>
    <row r="13" spans="2:13" x14ac:dyDescent="0.25">
      <c r="C13" s="9">
        <v>43525</v>
      </c>
      <c r="D13" s="6" t="s">
        <v>21</v>
      </c>
      <c r="E13" s="8">
        <v>925148</v>
      </c>
      <c r="F13" s="3">
        <f>DAYS360(C13,D13)</f>
        <v>300</v>
      </c>
      <c r="G13" s="11">
        <f>(E13*F13)/360</f>
        <v>770956.66666666663</v>
      </c>
      <c r="J13" s="88"/>
      <c r="K13" s="88"/>
      <c r="L13" s="88"/>
      <c r="M13" s="88"/>
    </row>
    <row r="14" spans="2:13" x14ac:dyDescent="0.25">
      <c r="C14" s="9">
        <v>43831</v>
      </c>
      <c r="D14" s="6" t="s">
        <v>22</v>
      </c>
      <c r="E14" s="10">
        <v>1515854</v>
      </c>
      <c r="F14" s="3">
        <f t="shared" ref="F14:F17" si="3">DAYS360(C14,D14)</f>
        <v>360</v>
      </c>
      <c r="G14" s="11">
        <f>(E14*F14)/360</f>
        <v>1515854</v>
      </c>
      <c r="J14" s="88"/>
      <c r="K14" s="88"/>
      <c r="L14" s="88"/>
      <c r="M14" s="88"/>
    </row>
    <row r="15" spans="2:13" x14ac:dyDescent="0.25">
      <c r="C15" s="9">
        <v>44197</v>
      </c>
      <c r="D15" s="6" t="s">
        <v>23</v>
      </c>
      <c r="E15" s="10">
        <v>1519454</v>
      </c>
      <c r="F15" s="3">
        <f t="shared" si="3"/>
        <v>360</v>
      </c>
      <c r="G15" s="11">
        <f>(E15*F15)/360</f>
        <v>1519454</v>
      </c>
      <c r="J15" s="88"/>
      <c r="K15" s="88"/>
      <c r="L15" s="88"/>
      <c r="M15" s="88"/>
    </row>
    <row r="16" spans="2:13" x14ac:dyDescent="0.25">
      <c r="C16" s="9">
        <v>44562</v>
      </c>
      <c r="D16" s="6" t="s">
        <v>24</v>
      </c>
      <c r="E16" s="10">
        <v>1530172</v>
      </c>
      <c r="F16" s="3">
        <f t="shared" si="3"/>
        <v>360</v>
      </c>
      <c r="G16" s="11">
        <f>(E16*F16)/360</f>
        <v>1530172</v>
      </c>
      <c r="J16" s="88"/>
      <c r="K16" s="88"/>
      <c r="L16" s="88"/>
      <c r="M16" s="88"/>
    </row>
    <row r="17" spans="3:15" x14ac:dyDescent="0.25">
      <c r="C17" s="9">
        <v>44927</v>
      </c>
      <c r="D17" s="9">
        <v>44973</v>
      </c>
      <c r="E17" s="10">
        <v>1553606</v>
      </c>
      <c r="F17" s="3">
        <f t="shared" si="3"/>
        <v>45</v>
      </c>
      <c r="G17" s="11">
        <f>(E17*F17)/360</f>
        <v>194200.75</v>
      </c>
      <c r="J17" s="24"/>
      <c r="K17" s="24"/>
      <c r="L17" s="24"/>
      <c r="M17" s="24"/>
    </row>
    <row r="18" spans="3:15" x14ac:dyDescent="0.25">
      <c r="C18" s="57" t="s">
        <v>7</v>
      </c>
      <c r="D18" s="57"/>
      <c r="E18" s="57"/>
      <c r="F18" s="57"/>
      <c r="G18" s="4">
        <f>SUM(G13:G17)</f>
        <v>5530637.416666666</v>
      </c>
      <c r="J18" s="24"/>
      <c r="K18" s="24"/>
      <c r="L18" s="24"/>
      <c r="M18" s="24"/>
    </row>
    <row r="19" spans="3:15" x14ac:dyDescent="0.25">
      <c r="J19" s="88" t="s">
        <v>25</v>
      </c>
      <c r="K19" s="88"/>
      <c r="L19" s="88"/>
      <c r="M19" s="88"/>
    </row>
    <row r="20" spans="3:15" x14ac:dyDescent="0.25">
      <c r="C20" s="2" t="s">
        <v>0</v>
      </c>
      <c r="D20" s="2" t="s">
        <v>1</v>
      </c>
      <c r="E20" s="2" t="s">
        <v>12</v>
      </c>
      <c r="F20" s="2" t="s">
        <v>3</v>
      </c>
      <c r="G20" s="5" t="s">
        <v>13</v>
      </c>
      <c r="J20" s="88"/>
      <c r="K20" s="88"/>
      <c r="L20" s="88"/>
      <c r="M20" s="88"/>
    </row>
    <row r="21" spans="3:15" x14ac:dyDescent="0.25">
      <c r="C21" s="9">
        <v>43525</v>
      </c>
      <c r="D21" s="6" t="s">
        <v>21</v>
      </c>
      <c r="E21" s="11">
        <f>+G13</f>
        <v>770956.66666666663</v>
      </c>
      <c r="F21" s="3">
        <f>DAYS360(C21,D21)</f>
        <v>300</v>
      </c>
      <c r="G21" s="3">
        <f t="shared" ref="G21:G25" si="4">(E21*F21*0.12)/360</f>
        <v>77095.666666666672</v>
      </c>
      <c r="J21" s="88"/>
      <c r="K21" s="88"/>
      <c r="L21" s="88"/>
      <c r="M21" s="88"/>
    </row>
    <row r="22" spans="3:15" x14ac:dyDescent="0.25">
      <c r="C22" s="9">
        <v>43831</v>
      </c>
      <c r="D22" s="6" t="s">
        <v>22</v>
      </c>
      <c r="E22" s="11">
        <f t="shared" ref="E22:E25" si="5">+G14</f>
        <v>1515854</v>
      </c>
      <c r="F22" s="3">
        <f t="shared" ref="F22:F25" si="6">DAYS360(C22,D22)</f>
        <v>360</v>
      </c>
      <c r="G22" s="3">
        <f t="shared" si="4"/>
        <v>181902.47999999998</v>
      </c>
      <c r="J22" s="88"/>
      <c r="K22" s="88"/>
      <c r="L22" s="88"/>
      <c r="M22" s="88"/>
    </row>
    <row r="23" spans="3:15" x14ac:dyDescent="0.25">
      <c r="C23" s="9">
        <v>44197</v>
      </c>
      <c r="D23" s="6" t="s">
        <v>23</v>
      </c>
      <c r="E23" s="11">
        <f t="shared" si="5"/>
        <v>1519454</v>
      </c>
      <c r="F23" s="3">
        <f t="shared" si="6"/>
        <v>360</v>
      </c>
      <c r="G23" s="3">
        <f t="shared" si="4"/>
        <v>182334.47999999998</v>
      </c>
      <c r="J23" s="88"/>
      <c r="K23" s="88"/>
      <c r="L23" s="88"/>
      <c r="M23" s="88"/>
    </row>
    <row r="24" spans="3:15" x14ac:dyDescent="0.25">
      <c r="C24" s="9">
        <v>44562</v>
      </c>
      <c r="D24" s="6" t="s">
        <v>24</v>
      </c>
      <c r="E24" s="11">
        <f t="shared" si="5"/>
        <v>1530172</v>
      </c>
      <c r="F24" s="3">
        <f t="shared" si="6"/>
        <v>360</v>
      </c>
      <c r="G24" s="3">
        <f t="shared" si="4"/>
        <v>183620.63999999998</v>
      </c>
    </row>
    <row r="25" spans="3:15" x14ac:dyDescent="0.25">
      <c r="C25" s="9">
        <v>44927</v>
      </c>
      <c r="D25" s="9">
        <v>44973</v>
      </c>
      <c r="E25" s="11">
        <f t="shared" si="5"/>
        <v>194200.75</v>
      </c>
      <c r="F25" s="3">
        <f t="shared" si="6"/>
        <v>45</v>
      </c>
      <c r="G25" s="3">
        <f t="shared" si="4"/>
        <v>2913.01125</v>
      </c>
    </row>
    <row r="26" spans="3:15" ht="15" customHeight="1" x14ac:dyDescent="0.25">
      <c r="C26" s="57" t="s">
        <v>7</v>
      </c>
      <c r="D26" s="57"/>
      <c r="E26" s="57"/>
      <c r="F26" s="57"/>
      <c r="G26" s="4">
        <f>SUM(G21:G25)</f>
        <v>627866.27791666659</v>
      </c>
      <c r="J26" s="58" t="s">
        <v>57</v>
      </c>
      <c r="K26" s="58"/>
      <c r="L26" s="58"/>
      <c r="M26" s="58"/>
      <c r="N26" s="23"/>
      <c r="O26" s="23"/>
    </row>
    <row r="27" spans="3:15" x14ac:dyDescent="0.25">
      <c r="J27" s="58"/>
      <c r="K27" s="58"/>
      <c r="L27" s="58"/>
      <c r="M27" s="58"/>
      <c r="N27" s="23"/>
      <c r="O27" s="23"/>
    </row>
    <row r="28" spans="3:15" x14ac:dyDescent="0.25">
      <c r="C28" s="2" t="s">
        <v>0</v>
      </c>
      <c r="D28" s="2" t="s">
        <v>1</v>
      </c>
      <c r="E28" s="2" t="s">
        <v>2</v>
      </c>
      <c r="F28" s="2" t="s">
        <v>3</v>
      </c>
      <c r="G28" s="5" t="s">
        <v>14</v>
      </c>
      <c r="J28" s="23"/>
      <c r="K28" s="23"/>
      <c r="L28" s="23"/>
      <c r="M28" s="23"/>
      <c r="N28" s="23"/>
      <c r="O28" s="23"/>
    </row>
    <row r="29" spans="3:15" x14ac:dyDescent="0.25">
      <c r="C29" s="12">
        <v>43525</v>
      </c>
      <c r="D29" s="12">
        <v>44973</v>
      </c>
      <c r="E29" s="11">
        <v>1413000</v>
      </c>
      <c r="F29" s="3">
        <f>DAYS360(C29,D29)+1</f>
        <v>1426</v>
      </c>
      <c r="G29" s="3">
        <f>(E29*F29)/720</f>
        <v>2798525</v>
      </c>
      <c r="J29" s="23"/>
      <c r="K29" s="23"/>
      <c r="L29" s="23"/>
      <c r="M29" s="23"/>
      <c r="N29" s="23"/>
      <c r="O29" s="23"/>
    </row>
    <row r="30" spans="3:15" x14ac:dyDescent="0.25">
      <c r="C30" s="57" t="s">
        <v>7</v>
      </c>
      <c r="D30" s="57"/>
      <c r="E30" s="57"/>
      <c r="F30" s="57"/>
      <c r="G30" s="4">
        <f>SUM(G29:G29)</f>
        <v>2798525</v>
      </c>
      <c r="J30" s="23"/>
      <c r="K30" s="23"/>
      <c r="L30" s="23"/>
      <c r="M30" s="23"/>
      <c r="N30" s="23"/>
      <c r="O30" s="23"/>
    </row>
    <row r="31" spans="3:15" ht="15.75" thickBot="1" x14ac:dyDescent="0.3">
      <c r="C31" s="13"/>
      <c r="D31" s="13"/>
      <c r="E31" s="13"/>
      <c r="F31" s="13"/>
      <c r="G31" s="13"/>
      <c r="J31" s="23"/>
      <c r="K31" s="23"/>
      <c r="L31" s="23"/>
      <c r="M31" s="23"/>
      <c r="N31" s="23"/>
      <c r="O31" s="23"/>
    </row>
    <row r="33" spans="3:11" x14ac:dyDescent="0.25">
      <c r="C33" s="84" t="s">
        <v>28</v>
      </c>
      <c r="D33" s="85"/>
      <c r="E33" s="85"/>
      <c r="F33" s="85"/>
      <c r="G33" s="85"/>
      <c r="H33" s="85"/>
      <c r="I33" s="86"/>
    </row>
    <row r="34" spans="3:11" x14ac:dyDescent="0.25">
      <c r="C34" s="63"/>
      <c r="D34" s="64"/>
      <c r="E34" s="27" t="s">
        <v>29</v>
      </c>
      <c r="F34" s="27" t="s">
        <v>30</v>
      </c>
      <c r="G34" s="27" t="s">
        <v>31</v>
      </c>
      <c r="H34" s="67" t="s">
        <v>32</v>
      </c>
      <c r="I34" s="67"/>
    </row>
    <row r="35" spans="3:11" x14ac:dyDescent="0.25">
      <c r="C35" s="63" t="s">
        <v>33</v>
      </c>
      <c r="D35" s="64"/>
      <c r="E35" s="28">
        <v>2023</v>
      </c>
      <c r="F35" s="28">
        <v>2</v>
      </c>
      <c r="G35" s="29">
        <v>16</v>
      </c>
      <c r="H35" s="30" t="s">
        <v>34</v>
      </c>
      <c r="I35" s="31" t="s">
        <v>35</v>
      </c>
    </row>
    <row r="36" spans="3:11" x14ac:dyDescent="0.25">
      <c r="C36" s="63" t="s">
        <v>36</v>
      </c>
      <c r="D36" s="64"/>
      <c r="E36" s="32">
        <v>2019</v>
      </c>
      <c r="F36" s="32">
        <v>3</v>
      </c>
      <c r="G36" s="33">
        <v>1</v>
      </c>
      <c r="H36" s="34">
        <f>(E35-E36)*360+(F35-F36)*30+(G35-G36+1)</f>
        <v>1426</v>
      </c>
      <c r="I36" s="35">
        <f>H36/360</f>
        <v>3.9611111111111112</v>
      </c>
    </row>
    <row r="37" spans="3:11" x14ac:dyDescent="0.25">
      <c r="C37" s="63" t="s">
        <v>37</v>
      </c>
      <c r="D37" s="64"/>
      <c r="E37" s="68">
        <v>1413000</v>
      </c>
      <c r="F37" s="68"/>
      <c r="G37" s="68"/>
      <c r="H37" s="68"/>
      <c r="I37" s="68"/>
    </row>
    <row r="38" spans="3:11" x14ac:dyDescent="0.25">
      <c r="C38" s="63" t="s">
        <v>38</v>
      </c>
      <c r="D38" s="64"/>
      <c r="E38" s="69">
        <f>E37/30</f>
        <v>47100</v>
      </c>
      <c r="F38" s="69"/>
      <c r="G38" s="69"/>
      <c r="H38" s="69"/>
      <c r="I38" s="69"/>
    </row>
    <row r="39" spans="3:11" x14ac:dyDescent="0.25">
      <c r="C39" s="63" t="s">
        <v>39</v>
      </c>
      <c r="D39" s="64"/>
      <c r="E39" s="69">
        <f>E37</f>
        <v>1413000</v>
      </c>
      <c r="F39" s="69"/>
      <c r="G39" s="69"/>
      <c r="H39" s="69"/>
      <c r="I39" s="69"/>
    </row>
    <row r="40" spans="3:11" x14ac:dyDescent="0.25">
      <c r="C40" s="63" t="s">
        <v>40</v>
      </c>
      <c r="D40" s="64"/>
      <c r="E40" s="36">
        <f>I36-1</f>
        <v>2.9611111111111112</v>
      </c>
      <c r="F40" s="69">
        <f>E40*20*E38</f>
        <v>2789366.666666667</v>
      </c>
      <c r="G40" s="69"/>
      <c r="H40" s="69"/>
      <c r="I40" s="69"/>
    </row>
    <row r="41" spans="3:11" x14ac:dyDescent="0.25">
      <c r="C41" s="65" t="s">
        <v>41</v>
      </c>
      <c r="D41" s="66"/>
      <c r="E41" s="37"/>
      <c r="F41" s="83">
        <f>SUM(F40+E39)</f>
        <v>4202366.666666667</v>
      </c>
      <c r="G41" s="83"/>
      <c r="H41" s="83"/>
      <c r="I41" s="83"/>
    </row>
    <row r="42" spans="3:11" x14ac:dyDescent="0.25">
      <c r="C42" s="44"/>
      <c r="D42" s="44"/>
      <c r="E42" s="45"/>
      <c r="F42" s="46"/>
      <c r="G42" s="46"/>
      <c r="H42" s="46"/>
      <c r="I42" s="46"/>
    </row>
    <row r="43" spans="3:11" x14ac:dyDescent="0.25">
      <c r="C43" s="44"/>
      <c r="D43" s="44"/>
      <c r="E43" s="45"/>
      <c r="F43" s="46"/>
      <c r="G43" s="46"/>
      <c r="H43" s="46"/>
      <c r="I43" s="46"/>
    </row>
    <row r="44" spans="3:11" x14ac:dyDescent="0.25">
      <c r="C44" s="53" t="s">
        <v>27</v>
      </c>
      <c r="D44" s="54"/>
      <c r="E44" s="54"/>
      <c r="F44" s="54"/>
      <c r="G44" s="54"/>
      <c r="H44" s="46"/>
      <c r="I44" s="46"/>
    </row>
    <row r="45" spans="3:11" x14ac:dyDescent="0.25">
      <c r="C45" s="6" t="s">
        <v>0</v>
      </c>
      <c r="D45" s="6" t="s">
        <v>1</v>
      </c>
      <c r="E45" s="6" t="s">
        <v>49</v>
      </c>
      <c r="F45" s="6" t="s">
        <v>51</v>
      </c>
      <c r="G45" s="6" t="s">
        <v>5</v>
      </c>
      <c r="H45" s="46"/>
      <c r="I45" s="46"/>
    </row>
    <row r="46" spans="3:11" x14ac:dyDescent="0.25">
      <c r="C46" s="9">
        <v>44927</v>
      </c>
      <c r="D46" s="9">
        <v>44973</v>
      </c>
      <c r="E46" s="1">
        <v>1413000</v>
      </c>
      <c r="F46" s="7">
        <f>+E46*13.12%+E46</f>
        <v>1598385.6</v>
      </c>
      <c r="G46" s="8">
        <f>F46-E46</f>
        <v>185385.60000000009</v>
      </c>
      <c r="H46" s="46"/>
      <c r="I46" s="46"/>
    </row>
    <row r="47" spans="3:11" x14ac:dyDescent="0.25">
      <c r="C47" s="44"/>
      <c r="D47" s="44"/>
      <c r="E47" s="45"/>
      <c r="F47" s="46"/>
      <c r="G47" s="46"/>
      <c r="H47" s="46"/>
      <c r="I47" s="46"/>
    </row>
    <row r="48" spans="3:11" ht="15" customHeight="1" x14ac:dyDescent="0.25">
      <c r="C48" s="60" t="s">
        <v>55</v>
      </c>
      <c r="D48" s="61"/>
      <c r="E48" s="61"/>
      <c r="F48" s="61"/>
      <c r="G48" s="62"/>
      <c r="H48" s="46"/>
      <c r="I48" s="58" t="s">
        <v>58</v>
      </c>
      <c r="J48" s="58"/>
      <c r="K48" s="58"/>
    </row>
    <row r="49" spans="3:11" x14ac:dyDescent="0.25">
      <c r="C49" s="2" t="s">
        <v>0</v>
      </c>
      <c r="D49" s="2" t="s">
        <v>1</v>
      </c>
      <c r="E49" s="2" t="s">
        <v>2</v>
      </c>
      <c r="F49" s="2" t="s">
        <v>3</v>
      </c>
      <c r="G49" s="14" t="s">
        <v>4</v>
      </c>
      <c r="H49" s="46"/>
      <c r="I49" s="58"/>
      <c r="J49" s="58"/>
      <c r="K49" s="58"/>
    </row>
    <row r="50" spans="3:11" x14ac:dyDescent="0.25">
      <c r="C50" s="12">
        <v>44974</v>
      </c>
      <c r="D50" s="12">
        <v>45138</v>
      </c>
      <c r="E50" s="7">
        <v>1738992</v>
      </c>
      <c r="F50" s="3">
        <f>DAYS360(C50,D50)+1</f>
        <v>165</v>
      </c>
      <c r="G50" s="11">
        <f>(E50/30)*F50</f>
        <v>9564456</v>
      </c>
      <c r="H50" s="46"/>
      <c r="I50" s="58"/>
      <c r="J50" s="58"/>
      <c r="K50" s="58"/>
    </row>
    <row r="51" spans="3:11" x14ac:dyDescent="0.25">
      <c r="C51" s="47" t="s">
        <v>7</v>
      </c>
      <c r="D51" s="48"/>
      <c r="E51" s="48"/>
      <c r="F51" s="49"/>
      <c r="G51" s="15">
        <f>SUM(G50:G50)</f>
        <v>9564456</v>
      </c>
      <c r="H51" s="46"/>
      <c r="I51" s="58"/>
      <c r="J51" s="58"/>
      <c r="K51" s="58"/>
    </row>
    <row r="52" spans="3:11" x14ac:dyDescent="0.25">
      <c r="H52" s="46"/>
      <c r="I52" s="58"/>
      <c r="J52" s="58"/>
      <c r="K52" s="58"/>
    </row>
    <row r="53" spans="3:11" x14ac:dyDescent="0.25">
      <c r="C53" s="2" t="s">
        <v>0</v>
      </c>
      <c r="D53" s="2" t="s">
        <v>1</v>
      </c>
      <c r="E53" s="2" t="s">
        <v>2</v>
      </c>
      <c r="F53" s="2" t="s">
        <v>3</v>
      </c>
      <c r="G53" s="5" t="s">
        <v>9</v>
      </c>
      <c r="H53" s="46"/>
      <c r="I53" s="58"/>
      <c r="J53" s="58"/>
      <c r="K53" s="58"/>
    </row>
    <row r="54" spans="3:11" x14ac:dyDescent="0.25">
      <c r="C54" s="12">
        <v>44974</v>
      </c>
      <c r="D54" s="12">
        <v>45138</v>
      </c>
      <c r="E54" s="7">
        <f>+E50</f>
        <v>1738992</v>
      </c>
      <c r="F54" s="3">
        <f>DAYS360(C54,D54)+1</f>
        <v>165</v>
      </c>
      <c r="G54" s="11">
        <f>(E54*F54)/360</f>
        <v>797038</v>
      </c>
      <c r="H54" s="46"/>
      <c r="I54" s="58"/>
      <c r="J54" s="58"/>
      <c r="K54" s="58"/>
    </row>
    <row r="55" spans="3:11" x14ac:dyDescent="0.25">
      <c r="C55" s="47" t="s">
        <v>7</v>
      </c>
      <c r="D55" s="48"/>
      <c r="E55" s="48"/>
      <c r="F55" s="49"/>
      <c r="G55" s="4">
        <f>SUM(G54:G54)</f>
        <v>797038</v>
      </c>
      <c r="H55" s="46"/>
      <c r="I55" s="46"/>
    </row>
    <row r="56" spans="3:11" x14ac:dyDescent="0.25">
      <c r="H56" s="46"/>
      <c r="I56" s="46"/>
    </row>
    <row r="57" spans="3:11" x14ac:dyDescent="0.25">
      <c r="C57" s="2" t="s">
        <v>0</v>
      </c>
      <c r="D57" s="2" t="s">
        <v>1</v>
      </c>
      <c r="E57" s="2" t="s">
        <v>2</v>
      </c>
      <c r="F57" s="2" t="s">
        <v>3</v>
      </c>
      <c r="G57" s="5" t="s">
        <v>12</v>
      </c>
      <c r="H57" s="46"/>
      <c r="I57" s="46"/>
    </row>
    <row r="58" spans="3:11" x14ac:dyDescent="0.25">
      <c r="C58" s="12">
        <v>44974</v>
      </c>
      <c r="D58" s="12">
        <v>45138</v>
      </c>
      <c r="E58" s="7">
        <f>+E54</f>
        <v>1738992</v>
      </c>
      <c r="F58" s="3">
        <f>DAYS360(C58,D58)+1</f>
        <v>165</v>
      </c>
      <c r="G58" s="11">
        <f>(E58*F58)/360</f>
        <v>797038</v>
      </c>
      <c r="H58" s="46"/>
      <c r="I58" s="46"/>
    </row>
    <row r="59" spans="3:11" x14ac:dyDescent="0.25">
      <c r="C59" s="47" t="s">
        <v>7</v>
      </c>
      <c r="D59" s="48"/>
      <c r="E59" s="48"/>
      <c r="F59" s="49"/>
      <c r="G59" s="4">
        <f>SUM(G58:G58)</f>
        <v>797038</v>
      </c>
      <c r="H59" s="46"/>
      <c r="I59" s="46"/>
    </row>
    <row r="61" spans="3:11" x14ac:dyDescent="0.25">
      <c r="C61" s="2" t="s">
        <v>0</v>
      </c>
      <c r="D61" s="2" t="s">
        <v>1</v>
      </c>
      <c r="E61" s="2" t="s">
        <v>12</v>
      </c>
      <c r="F61" s="2" t="s">
        <v>3</v>
      </c>
      <c r="G61" s="5" t="s">
        <v>13</v>
      </c>
    </row>
    <row r="62" spans="3:11" x14ac:dyDescent="0.25">
      <c r="C62" s="12">
        <v>44974</v>
      </c>
      <c r="D62" s="12">
        <v>45138</v>
      </c>
      <c r="E62" s="16">
        <f>+G58</f>
        <v>797038</v>
      </c>
      <c r="F62" s="3">
        <f>DAYS360(C62,D62)+1</f>
        <v>165</v>
      </c>
      <c r="G62" s="3">
        <f>(E62*F62*0.12)/360</f>
        <v>43837.09</v>
      </c>
    </row>
    <row r="63" spans="3:11" x14ac:dyDescent="0.25">
      <c r="C63" s="47" t="s">
        <v>7</v>
      </c>
      <c r="D63" s="48"/>
      <c r="E63" s="48"/>
      <c r="F63" s="49"/>
      <c r="G63" s="4">
        <f>SUM(G62:G62)</f>
        <v>43837.09</v>
      </c>
    </row>
    <row r="66" spans="3:7" x14ac:dyDescent="0.25">
      <c r="C66" s="50" t="s">
        <v>18</v>
      </c>
      <c r="D66" s="51"/>
      <c r="E66" s="51"/>
      <c r="F66" s="52"/>
      <c r="G66" s="20">
        <f>G63+G59+G55+G51+F41+G30+G26+G18+G10</f>
        <v>29896717.440138891</v>
      </c>
    </row>
  </sheetData>
  <mergeCells count="32">
    <mergeCell ref="C1:G1"/>
    <mergeCell ref="C10:F10"/>
    <mergeCell ref="C18:F18"/>
    <mergeCell ref="C26:F26"/>
    <mergeCell ref="C30:F30"/>
    <mergeCell ref="J5:M7"/>
    <mergeCell ref="J19:M23"/>
    <mergeCell ref="C35:D35"/>
    <mergeCell ref="C36:D36"/>
    <mergeCell ref="C44:G44"/>
    <mergeCell ref="C41:D41"/>
    <mergeCell ref="F41:I41"/>
    <mergeCell ref="J12:M16"/>
    <mergeCell ref="C40:D40"/>
    <mergeCell ref="F40:I40"/>
    <mergeCell ref="C33:I33"/>
    <mergeCell ref="C34:D34"/>
    <mergeCell ref="H34:I34"/>
    <mergeCell ref="E39:I39"/>
    <mergeCell ref="C37:D37"/>
    <mergeCell ref="E37:I37"/>
    <mergeCell ref="C59:F59"/>
    <mergeCell ref="C63:F63"/>
    <mergeCell ref="C66:F66"/>
    <mergeCell ref="J26:M27"/>
    <mergeCell ref="I48:K54"/>
    <mergeCell ref="C48:G48"/>
    <mergeCell ref="C51:F51"/>
    <mergeCell ref="C55:F55"/>
    <mergeCell ref="C38:D38"/>
    <mergeCell ref="E38:I38"/>
    <mergeCell ref="C39:D3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LIQ. PRETENSIONES DEMANDA</vt:lpstr>
      <vt:lpstr>PML-</vt:lpstr>
    </vt:vector>
  </TitlesOfParts>
  <Manager/>
  <Company>Rama Judicial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Valentina Orozco</cp:lastModifiedBy>
  <cp:revision/>
  <dcterms:created xsi:type="dcterms:W3CDTF">2023-05-23T18:21:31Z</dcterms:created>
  <dcterms:modified xsi:type="dcterms:W3CDTF">2023-12-06T23:15:17Z</dcterms:modified>
  <cp:category/>
  <cp:contentStatus/>
</cp:coreProperties>
</file>