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\Downloads\"/>
    </mc:Choice>
  </mc:AlternateContent>
  <xr:revisionPtr revIDLastSave="0" documentId="13_ncr:1_{06DAE6CA-2514-4D28-BB3D-BB71961C5DAE}" xr6:coauthVersionLast="47" xr6:coauthVersionMax="47" xr10:uidLastSave="{00000000-0000-0000-0000-000000000000}"/>
  <bookViews>
    <workbookView xWindow="-120" yWindow="-120" windowWidth="20730" windowHeight="11040" activeTab="1" xr2:uid="{69AAD36E-CAFA-43EB-832F-400E58192986}"/>
  </bookViews>
  <sheets>
    <sheet name="LIQ. PRETENSIONES DEMANDA" sheetId="12" r:id="rId1"/>
    <sheet name="PML-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5" l="1"/>
  <c r="G35" i="15"/>
  <c r="G28" i="15"/>
  <c r="G21" i="15"/>
  <c r="G42" i="15" l="1"/>
  <c r="F89" i="12"/>
  <c r="F39" i="15"/>
  <c r="G39" i="15" s="1"/>
  <c r="F38" i="15"/>
  <c r="G38" i="15" s="1"/>
  <c r="F64" i="12"/>
  <c r="G64" i="12" s="1"/>
  <c r="F33" i="15" l="1"/>
  <c r="F34" i="15"/>
  <c r="F26" i="15"/>
  <c r="F27" i="15"/>
  <c r="F20" i="15"/>
  <c r="E13" i="15"/>
  <c r="G7" i="15"/>
  <c r="H7" i="15" s="1"/>
  <c r="G6" i="15"/>
  <c r="H6" i="15" s="1"/>
  <c r="G5" i="15"/>
  <c r="H5" i="15" s="1"/>
  <c r="G4" i="15"/>
  <c r="H4" i="15" s="1"/>
  <c r="F32" i="15"/>
  <c r="F31" i="15"/>
  <c r="F25" i="15"/>
  <c r="F24" i="15"/>
  <c r="F19" i="15"/>
  <c r="F18" i="15"/>
  <c r="F17" i="15"/>
  <c r="E12" i="15"/>
  <c r="E11" i="15"/>
  <c r="E10" i="15"/>
  <c r="F13" i="15" l="1"/>
  <c r="F12" i="15"/>
  <c r="F10" i="15"/>
  <c r="F11" i="15"/>
  <c r="F14" i="15" l="1"/>
  <c r="E18" i="15"/>
  <c r="G18" i="15" s="1"/>
  <c r="E25" i="15"/>
  <c r="G25" i="15" s="1"/>
  <c r="E32" i="15" s="1"/>
  <c r="G32" i="15" s="1"/>
  <c r="E20" i="15"/>
  <c r="G20" i="15" s="1"/>
  <c r="E27" i="15"/>
  <c r="G27" i="15" s="1"/>
  <c r="E34" i="15" s="1"/>
  <c r="G34" i="15" s="1"/>
  <c r="E19" i="15"/>
  <c r="G19" i="15" s="1"/>
  <c r="E26" i="15"/>
  <c r="G26" i="15" s="1"/>
  <c r="E33" i="15" s="1"/>
  <c r="G33" i="15" s="1"/>
  <c r="E17" i="15"/>
  <c r="G17" i="15" s="1"/>
  <c r="E24" i="15"/>
  <c r="G24" i="15" s="1"/>
  <c r="E31" i="15" s="1"/>
  <c r="G31" i="15" s="1"/>
  <c r="F73" i="12" l="1"/>
  <c r="E73" i="12"/>
  <c r="E72" i="12"/>
  <c r="E71" i="12"/>
  <c r="E70" i="12"/>
  <c r="F72" i="12"/>
  <c r="E82" i="12"/>
  <c r="E81" i="12"/>
  <c r="H79" i="12"/>
  <c r="I79" i="12" s="1"/>
  <c r="E83" i="12" s="1"/>
  <c r="G72" i="12" l="1"/>
  <c r="G73" i="12"/>
  <c r="F83" i="12"/>
  <c r="F84" i="12" s="1"/>
  <c r="F58" i="12" l="1"/>
  <c r="F47" i="12"/>
  <c r="F36" i="12"/>
  <c r="E25" i="12"/>
  <c r="G12" i="12"/>
  <c r="H12" i="12" s="1"/>
  <c r="F71" i="12" l="1"/>
  <c r="G71" i="12" s="1"/>
  <c r="F70" i="12"/>
  <c r="G70" i="12" s="1"/>
  <c r="G74" i="12" s="1"/>
  <c r="E26" i="12" l="1"/>
  <c r="E24" i="12"/>
  <c r="E23" i="12"/>
  <c r="E22" i="12"/>
  <c r="F22" i="12" s="1"/>
  <c r="E21" i="12"/>
  <c r="E20" i="12"/>
  <c r="E19" i="12"/>
  <c r="G13" i="12"/>
  <c r="F59" i="12" l="1"/>
  <c r="F57" i="12"/>
  <c r="F56" i="12"/>
  <c r="F55" i="12"/>
  <c r="F54" i="12"/>
  <c r="F53" i="12"/>
  <c r="F52" i="12"/>
  <c r="F48" i="12"/>
  <c r="F46" i="12"/>
  <c r="F45" i="12"/>
  <c r="F44" i="12"/>
  <c r="F43" i="12"/>
  <c r="F42" i="12"/>
  <c r="F41" i="12"/>
  <c r="F35" i="12"/>
  <c r="F34" i="12"/>
  <c r="F33" i="12"/>
  <c r="F32" i="12"/>
  <c r="F31" i="12"/>
  <c r="F30" i="12"/>
  <c r="F63" i="12"/>
  <c r="G63" i="12" s="1"/>
  <c r="G65" i="12" s="1"/>
  <c r="F37" i="12"/>
  <c r="G10" i="12"/>
  <c r="H10" i="12" s="1"/>
  <c r="F20" i="12" s="1"/>
  <c r="E31" i="12" s="1"/>
  <c r="E42" i="12" s="1"/>
  <c r="H13" i="12"/>
  <c r="F23" i="12" s="1"/>
  <c r="G11" i="12"/>
  <c r="H11" i="12" s="1"/>
  <c r="F21" i="12" s="1"/>
  <c r="E32" i="12" s="1"/>
  <c r="E43" i="12" s="1"/>
  <c r="G9" i="12"/>
  <c r="H9" i="12" s="1"/>
  <c r="F19" i="12" s="1"/>
  <c r="E30" i="12" l="1"/>
  <c r="G30" i="12" s="1"/>
  <c r="E41" i="12"/>
  <c r="G41" i="12" s="1"/>
  <c r="G32" i="12"/>
  <c r="G42" i="12"/>
  <c r="E53" i="12" s="1"/>
  <c r="G53" i="12" s="1"/>
  <c r="G43" i="12"/>
  <c r="E54" i="12" s="1"/>
  <c r="G54" i="12" s="1"/>
  <c r="G31" i="12"/>
  <c r="E33" i="12"/>
  <c r="G16" i="12"/>
  <c r="G15" i="12"/>
  <c r="G14" i="12"/>
  <c r="E52" i="12" l="1"/>
  <c r="G52" i="12" s="1"/>
  <c r="G33" i="12"/>
  <c r="E44" i="12"/>
  <c r="G44" i="12" s="1"/>
  <c r="E55" i="12" s="1"/>
  <c r="G55" i="12" s="1"/>
  <c r="H14" i="12"/>
  <c r="F24" i="12" s="1"/>
  <c r="H15" i="12"/>
  <c r="F25" i="12" s="1"/>
  <c r="H16" i="12"/>
  <c r="E36" i="12" l="1"/>
  <c r="E47" i="12" s="1"/>
  <c r="G47" i="12" s="1"/>
  <c r="E58" i="12" s="1"/>
  <c r="G58" i="12" s="1"/>
  <c r="F26" i="12"/>
  <c r="E37" i="12" s="1"/>
  <c r="E35" i="12"/>
  <c r="E34" i="12"/>
  <c r="F27" i="12" l="1"/>
  <c r="G36" i="12"/>
  <c r="G37" i="12"/>
  <c r="E48" i="12"/>
  <c r="G48" i="12" s="1"/>
  <c r="E59" i="12" s="1"/>
  <c r="G59" i="12" s="1"/>
  <c r="G34" i="12"/>
  <c r="E45" i="12"/>
  <c r="G45" i="12" s="1"/>
  <c r="G35" i="12"/>
  <c r="E46" i="12"/>
  <c r="G46" i="12" s="1"/>
  <c r="E57" i="12" s="1"/>
  <c r="G57" i="12" s="1"/>
  <c r="G49" i="12" l="1"/>
  <c r="G38" i="12"/>
  <c r="G91" i="12" s="1"/>
  <c r="E56" i="12"/>
  <c r="G56" i="12" s="1"/>
  <c r="G60" i="12" s="1"/>
  <c r="C89" i="12" l="1"/>
</calcChain>
</file>

<file path=xl/sharedStrings.xml><?xml version="1.0" encoding="utf-8"?>
<sst xmlns="http://schemas.openxmlformats.org/spreadsheetml/2006/main" count="179" uniqueCount="46">
  <si>
    <t>DESDE</t>
  </si>
  <si>
    <t>HASTA</t>
  </si>
  <si>
    <t>SALARIO</t>
  </si>
  <si>
    <t>DÍAS</t>
  </si>
  <si>
    <t>DIFERENCIAS SALARIALES AÑOS</t>
  </si>
  <si>
    <t>CARGO</t>
  </si>
  <si>
    <t>SALARIOS DEVENGADOS</t>
  </si>
  <si>
    <t>SALARIOS PRETENDIDOS (CONFORME AL ESCALAFON DEL FNA)</t>
  </si>
  <si>
    <t>DIFERENCIA</t>
  </si>
  <si>
    <t>DIFERENCIA VLR DIA</t>
  </si>
  <si>
    <t>PROFESIONAL 3</t>
  </si>
  <si>
    <t>TOTAL ADEUDADO</t>
  </si>
  <si>
    <t>PRIMAS</t>
  </si>
  <si>
    <t>CESANTÍAS</t>
  </si>
  <si>
    <t>INTERESES</t>
  </si>
  <si>
    <t>VACACIONES</t>
  </si>
  <si>
    <t>SANCIÓN POR NO CONSIGNACIÓN DE CESANTÍAS</t>
  </si>
  <si>
    <t>SANCIÓN</t>
  </si>
  <si>
    <t>Total Liquidación:</t>
  </si>
  <si>
    <t>*Nota: Conforme al clausulado que nos envió la compañía, las pólizas amparan el pago de salarios y prestaciones sociales. Sin embargo, por instrucción de la cía se incluyen las vacaciones para el calculo del PML</t>
  </si>
  <si>
    <t>LIQUIDACIÓN DE LAS PRETENSIONES DE LA DEMANDA (DESDE EL 16/11/2015 AL 11/11/2019)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</si>
  <si>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</si>
  <si>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</si>
  <si>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</si>
  <si>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</si>
  <si>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</si>
  <si>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</si>
  <si>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</si>
  <si>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</si>
  <si>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</si>
  <si>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</si>
  <si>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</si>
  <si>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</si>
  <si>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</si>
  <si>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</si>
  <si>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</si>
  <si>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 xml:space="preserve">*Nota:(i) Las pretensiones de la demanda están orientadas a solicitar la diferencia en el pago de salarios, prestaciones sociales y vacaciones, las indemnizaciones del art 99 de la ley 50 de 1990, art 64 y 65 C.S.T., (ii) adicionalmente la actora solicita el pago prestaciones de la convencion colectiva y extralegales, rubros los cuales no se liquidan </t>
  </si>
  <si>
    <t>TOTAL DIFERENCIA SALARIOS</t>
  </si>
  <si>
    <t>Total salarios + prestaciones</t>
  </si>
  <si>
    <t>TOTAL</t>
  </si>
  <si>
    <t>Vacaciones pagadas</t>
  </si>
  <si>
    <t xml:space="preserve">Vacaciones que debieron haber pagado </t>
  </si>
  <si>
    <t>Intereses moratorios  desde 12/11/19 hasta 20/11/23</t>
  </si>
  <si>
    <t>Se liquida la indemnización del artículo 65 del CST solamente con los intereses moratorios ya que la demandante devengaba más de dos salarios minimos y presentó la demanda por fuera de los dos años señalados en la Ley</t>
  </si>
  <si>
    <t xml:space="preserve">*Nota:  La vigencia de las pólizas No. GU 066585 inicia el 11/07/2016 y fenece el 21/08/2017 y la No. GU 071538  inicia el 16/08/2017 y fenece el 21/03/2018. La actora solicita el pago las diferencias salariales, asi como diferencias en el pago de prima, cesantías, intereses a las cesantías y vacaciones.
</t>
  </si>
  <si>
    <t>LIQUIDACIÓN DE LAS PRETENSIONES DE LA DEMANDA (DESDE EL 11/07/2016 AL 21/03/2018)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</si>
</sst>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&quot;$&quot;\ #,##0"/>
    <numFmt numFmtId="170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5" fontId="0" fillId="0" borderId="1" xfId="2" applyNumberFormat="1" applyFont="1" applyBorder="1"/>
    <xf numFmtId="0" fontId="5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5" fillId="3" borderId="1" xfId="7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64" fontId="5" fillId="0" borderId="0" xfId="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7" fillId="0" borderId="1" xfId="1" applyNumberFormat="1" applyFont="1" applyBorder="1"/>
    <xf numFmtId="164" fontId="7" fillId="0" borderId="1" xfId="1" applyNumberFormat="1" applyFont="1" applyFill="1" applyBorder="1"/>
    <xf numFmtId="164" fontId="6" fillId="3" borderId="1" xfId="1" applyNumberFormat="1" applyFont="1" applyFill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165" fontId="7" fillId="0" borderId="1" xfId="2" applyNumberFormat="1" applyFont="1" applyBorder="1"/>
    <xf numFmtId="3" fontId="7" fillId="0" borderId="1" xfId="0" applyNumberFormat="1" applyFont="1" applyBorder="1"/>
    <xf numFmtId="165" fontId="7" fillId="0" borderId="1" xfId="0" applyNumberFormat="1" applyFont="1" applyBorder="1"/>
    <xf numFmtId="165" fontId="7" fillId="0" borderId="1" xfId="0" applyNumberFormat="1" applyFont="1" applyBorder="1" applyAlignment="1">
      <alignment horizontal="center" vertical="center"/>
    </xf>
    <xf numFmtId="164" fontId="6" fillId="3" borderId="1" xfId="7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165" fontId="0" fillId="0" borderId="1" xfId="0" applyNumberFormat="1" applyBorder="1"/>
    <xf numFmtId="169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164" fontId="5" fillId="2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164" fontId="5" fillId="3" borderId="1" xfId="1" applyNumberFormat="1" applyFont="1" applyFill="1" applyBorder="1"/>
    <xf numFmtId="164" fontId="5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/>
    <xf numFmtId="0" fontId="14" fillId="0" borderId="2" xfId="0" applyFont="1" applyBorder="1"/>
    <xf numFmtId="0" fontId="14" fillId="0" borderId="4" xfId="0" applyFont="1" applyBorder="1"/>
    <xf numFmtId="0" fontId="15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70" fontId="15" fillId="2" borderId="1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12" fillId="4" borderId="1" xfId="0" applyNumberFormat="1" applyFont="1" applyFill="1" applyBorder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4" fontId="7" fillId="0" borderId="1" xfId="0" applyNumberFormat="1" applyFont="1" applyBorder="1"/>
    <xf numFmtId="164" fontId="0" fillId="0" borderId="1" xfId="2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8" fontId="15" fillId="0" borderId="1" xfId="0" applyNumberFormat="1" applyFont="1" applyBorder="1" applyAlignment="1">
      <alignment horizontal="center"/>
    </xf>
    <xf numFmtId="8" fontId="15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0" fillId="0" borderId="2" xfId="2" applyNumberFormat="1" applyFont="1" applyFill="1" applyBorder="1" applyAlignment="1">
      <alignment horizontal="left" vertical="center"/>
    </xf>
    <xf numFmtId="165" fontId="0" fillId="0" borderId="5" xfId="2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8" fontId="14" fillId="0" borderId="1" xfId="0" applyNumberFormat="1" applyFont="1" applyBorder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196929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O93"/>
  <sheetViews>
    <sheetView zoomScaleNormal="100" workbookViewId="0">
      <selection activeCell="E95" sqref="E95"/>
    </sheetView>
  </sheetViews>
  <sheetFormatPr baseColWidth="10" defaultColWidth="11.42578125" defaultRowHeight="15" x14ac:dyDescent="0.25"/>
  <cols>
    <col min="1" max="1" width="4.140625" customWidth="1"/>
    <col min="2" max="2" width="19.85546875" customWidth="1"/>
    <col min="3" max="3" width="21.5703125" style="1" customWidth="1"/>
    <col min="4" max="4" width="18.5703125" style="1" customWidth="1"/>
    <col min="5" max="5" width="23.140625" style="1" customWidth="1"/>
    <col min="6" max="6" width="22" style="1" customWidth="1"/>
    <col min="7" max="7" width="16.42578125" style="1" customWidth="1"/>
    <col min="8" max="8" width="20.28515625" style="1" bestFit="1" customWidth="1"/>
    <col min="9" max="9" width="18.42578125" customWidth="1"/>
    <col min="10" max="10" width="11.5703125" customWidth="1"/>
    <col min="11" max="11" width="19.140625" bestFit="1" customWidth="1"/>
    <col min="12" max="12" width="22.5703125" bestFit="1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2" s="1" customFormat="1" ht="15" customHeight="1" x14ac:dyDescent="0.25">
      <c r="B5"/>
      <c r="C5" s="65" t="s">
        <v>20</v>
      </c>
      <c r="D5" s="65"/>
      <c r="E5" s="65"/>
      <c r="F5" s="65"/>
      <c r="G5" s="65"/>
      <c r="H5"/>
      <c r="I5"/>
      <c r="J5"/>
      <c r="K5"/>
      <c r="L5"/>
    </row>
    <row r="6" spans="2:12" x14ac:dyDescent="0.25">
      <c r="C6"/>
      <c r="D6"/>
      <c r="E6"/>
      <c r="F6"/>
      <c r="G6"/>
      <c r="H6"/>
    </row>
    <row r="7" spans="2:12" ht="15" customHeight="1" x14ac:dyDescent="0.25">
      <c r="B7" s="64" t="s">
        <v>4</v>
      </c>
      <c r="C7" s="64"/>
      <c r="D7" s="64"/>
      <c r="E7" s="64"/>
      <c r="F7" s="64"/>
      <c r="G7" s="64"/>
      <c r="H7" s="64"/>
    </row>
    <row r="8" spans="2:12" x14ac:dyDescent="0.25">
      <c r="B8" s="26" t="s">
        <v>0</v>
      </c>
      <c r="C8" s="26" t="s">
        <v>1</v>
      </c>
      <c r="D8" s="26" t="s">
        <v>5</v>
      </c>
      <c r="E8" s="27" t="s">
        <v>6</v>
      </c>
      <c r="F8" s="27" t="s">
        <v>7</v>
      </c>
      <c r="G8" s="27" t="s">
        <v>8</v>
      </c>
      <c r="H8" s="27" t="s">
        <v>9</v>
      </c>
    </row>
    <row r="9" spans="2:12" x14ac:dyDescent="0.25">
      <c r="B9" s="28">
        <v>42324</v>
      </c>
      <c r="C9" s="28">
        <v>42369</v>
      </c>
      <c r="D9" s="26" t="s">
        <v>10</v>
      </c>
      <c r="E9" s="2">
        <v>3200000</v>
      </c>
      <c r="F9" s="29">
        <v>3521856</v>
      </c>
      <c r="G9" s="30">
        <f t="shared" ref="G9:G13" si="0">F9-E9</f>
        <v>321856</v>
      </c>
      <c r="H9" s="30">
        <f t="shared" ref="H9:H13" si="1">G9/30</f>
        <v>10728.533333333333</v>
      </c>
    </row>
    <row r="10" spans="2:12" x14ac:dyDescent="0.25">
      <c r="B10" s="28">
        <v>42370</v>
      </c>
      <c r="C10" s="28">
        <v>42561</v>
      </c>
      <c r="D10" s="26" t="s">
        <v>10</v>
      </c>
      <c r="E10" s="2">
        <v>3200000</v>
      </c>
      <c r="F10" s="29">
        <v>3795517</v>
      </c>
      <c r="G10" s="30">
        <f t="shared" si="0"/>
        <v>595517</v>
      </c>
      <c r="H10" s="30">
        <f t="shared" si="1"/>
        <v>19850.566666666666</v>
      </c>
    </row>
    <row r="11" spans="2:12" x14ac:dyDescent="0.25">
      <c r="B11" s="28">
        <v>42562</v>
      </c>
      <c r="C11" s="28">
        <v>42735</v>
      </c>
      <c r="D11" s="26" t="s">
        <v>10</v>
      </c>
      <c r="E11" s="2">
        <v>3250000</v>
      </c>
      <c r="F11" s="29">
        <v>3795517</v>
      </c>
      <c r="G11" s="30">
        <f t="shared" si="0"/>
        <v>545517</v>
      </c>
      <c r="H11" s="30">
        <f t="shared" si="1"/>
        <v>18183.900000000001</v>
      </c>
    </row>
    <row r="12" spans="2:12" x14ac:dyDescent="0.25">
      <c r="B12" s="28">
        <v>42736</v>
      </c>
      <c r="C12" s="28">
        <v>42968</v>
      </c>
      <c r="D12" s="26" t="s">
        <v>10</v>
      </c>
      <c r="E12" s="2">
        <v>3250000</v>
      </c>
      <c r="F12" s="29">
        <v>4051714</v>
      </c>
      <c r="G12" s="30">
        <f t="shared" si="0"/>
        <v>801714</v>
      </c>
      <c r="H12" s="30">
        <f t="shared" si="1"/>
        <v>26723.8</v>
      </c>
    </row>
    <row r="13" spans="2:12" x14ac:dyDescent="0.25">
      <c r="B13" s="28">
        <v>42969</v>
      </c>
      <c r="C13" s="28">
        <v>43100</v>
      </c>
      <c r="D13" s="26" t="s">
        <v>10</v>
      </c>
      <c r="E13" s="2">
        <v>3430000</v>
      </c>
      <c r="F13" s="29">
        <v>4051714</v>
      </c>
      <c r="G13" s="30">
        <f t="shared" si="0"/>
        <v>621714</v>
      </c>
      <c r="H13" s="30">
        <f t="shared" si="1"/>
        <v>20723.8</v>
      </c>
    </row>
    <row r="14" spans="2:12" x14ac:dyDescent="0.25">
      <c r="B14" s="28">
        <v>43101</v>
      </c>
      <c r="C14" s="28">
        <v>43180</v>
      </c>
      <c r="D14" s="26" t="s">
        <v>10</v>
      </c>
      <c r="E14" s="2">
        <v>3430000</v>
      </c>
      <c r="F14" s="29">
        <v>4257948</v>
      </c>
      <c r="G14" s="30">
        <f>F14-E14</f>
        <v>827948</v>
      </c>
      <c r="H14" s="30">
        <f>G14/30</f>
        <v>27598.266666666666</v>
      </c>
    </row>
    <row r="15" spans="2:12" x14ac:dyDescent="0.25">
      <c r="B15" s="28">
        <v>43181</v>
      </c>
      <c r="C15" s="28">
        <v>43465</v>
      </c>
      <c r="D15" s="26" t="s">
        <v>10</v>
      </c>
      <c r="E15" s="2">
        <v>3430000</v>
      </c>
      <c r="F15" s="29">
        <v>4257948</v>
      </c>
      <c r="G15" s="30">
        <f>F15-E15</f>
        <v>827948</v>
      </c>
      <c r="H15" s="30">
        <f>G15/30</f>
        <v>27598.266666666666</v>
      </c>
    </row>
    <row r="16" spans="2:12" x14ac:dyDescent="0.25">
      <c r="B16" s="28">
        <v>43466</v>
      </c>
      <c r="C16" s="28">
        <v>43780</v>
      </c>
      <c r="D16" s="26" t="s">
        <v>10</v>
      </c>
      <c r="E16" s="2">
        <v>3430000</v>
      </c>
      <c r="F16" s="29">
        <v>4450000</v>
      </c>
      <c r="G16" s="30">
        <f>F16-E16</f>
        <v>1020000</v>
      </c>
      <c r="H16" s="30">
        <f>G16/30</f>
        <v>34000</v>
      </c>
    </row>
    <row r="17" spans="2:15" x14ac:dyDescent="0.25">
      <c r="C17"/>
      <c r="D17"/>
      <c r="E17"/>
      <c r="F17"/>
      <c r="G17"/>
      <c r="H17"/>
    </row>
    <row r="18" spans="2:15" x14ac:dyDescent="0.25">
      <c r="B18" s="3" t="s">
        <v>0</v>
      </c>
      <c r="C18" s="6" t="s">
        <v>1</v>
      </c>
      <c r="D18" s="6" t="s">
        <v>5</v>
      </c>
      <c r="E18" s="3" t="s">
        <v>3</v>
      </c>
      <c r="F18" s="3" t="s">
        <v>37</v>
      </c>
      <c r="G18" s="7"/>
      <c r="H18"/>
    </row>
    <row r="19" spans="2:15" x14ac:dyDescent="0.25">
      <c r="B19" s="28">
        <v>42324</v>
      </c>
      <c r="C19" s="28">
        <v>42369</v>
      </c>
      <c r="D19" s="26" t="s">
        <v>10</v>
      </c>
      <c r="E19" s="4">
        <f>DAYS360(B19,C19)+1</f>
        <v>46</v>
      </c>
      <c r="F19" s="30">
        <f>H9*E19</f>
        <v>493512.53333333333</v>
      </c>
      <c r="G19" s="31"/>
      <c r="H19"/>
      <c r="I19" s="10"/>
      <c r="J19" s="10"/>
      <c r="K19" s="10"/>
      <c r="L19" s="10"/>
      <c r="M19" s="10"/>
      <c r="N19" s="10"/>
    </row>
    <row r="20" spans="2:15" x14ac:dyDescent="0.25">
      <c r="B20" s="28">
        <v>42370</v>
      </c>
      <c r="C20" s="28">
        <v>42561</v>
      </c>
      <c r="D20" s="26" t="s">
        <v>10</v>
      </c>
      <c r="E20" s="4">
        <f t="shared" ref="E20:E26" si="2">DAYS360(B20,C20)+1</f>
        <v>190</v>
      </c>
      <c r="F20" s="30">
        <f t="shared" ref="F20" si="3">H10*E20</f>
        <v>3771607.6666666665</v>
      </c>
      <c r="G20" s="31"/>
      <c r="H20"/>
      <c r="I20" s="10"/>
      <c r="J20" s="10"/>
      <c r="K20" s="10"/>
      <c r="L20" s="10"/>
      <c r="M20" s="10"/>
      <c r="N20" s="10"/>
    </row>
    <row r="21" spans="2:15" x14ac:dyDescent="0.25">
      <c r="B21" s="28">
        <v>42562</v>
      </c>
      <c r="C21" s="28">
        <v>42735</v>
      </c>
      <c r="D21" s="26" t="s">
        <v>10</v>
      </c>
      <c r="E21" s="4">
        <f t="shared" si="2"/>
        <v>171</v>
      </c>
      <c r="F21" s="30">
        <f t="shared" ref="F21:F26" si="4">H11*E21</f>
        <v>3109446.9000000004</v>
      </c>
      <c r="G21" s="31"/>
      <c r="H21"/>
      <c r="I21" s="10"/>
      <c r="J21" s="10"/>
      <c r="K21" s="10"/>
      <c r="L21" s="10"/>
      <c r="M21" s="10"/>
      <c r="N21" s="10"/>
    </row>
    <row r="22" spans="2:15" ht="15.75" customHeight="1" x14ac:dyDescent="0.25">
      <c r="B22" s="28">
        <v>42736</v>
      </c>
      <c r="C22" s="28">
        <v>42968</v>
      </c>
      <c r="D22" s="26" t="s">
        <v>10</v>
      </c>
      <c r="E22" s="4">
        <f t="shared" si="2"/>
        <v>231</v>
      </c>
      <c r="F22" s="30">
        <f t="shared" si="4"/>
        <v>6173197.7999999998</v>
      </c>
      <c r="G22" s="31"/>
      <c r="H22"/>
    </row>
    <row r="23" spans="2:15" ht="15.75" customHeight="1" x14ac:dyDescent="0.25">
      <c r="B23" s="28">
        <v>42969</v>
      </c>
      <c r="C23" s="28">
        <v>43100</v>
      </c>
      <c r="D23" s="26" t="s">
        <v>10</v>
      </c>
      <c r="E23" s="4">
        <f t="shared" si="2"/>
        <v>130</v>
      </c>
      <c r="F23" s="30">
        <f t="shared" si="4"/>
        <v>2694094</v>
      </c>
      <c r="G23" s="31"/>
      <c r="H23"/>
      <c r="I23" s="83" t="s">
        <v>36</v>
      </c>
      <c r="J23" s="83"/>
      <c r="K23" s="83"/>
      <c r="L23" s="10"/>
      <c r="M23" s="10"/>
      <c r="N23" s="10"/>
    </row>
    <row r="24" spans="2:15" ht="15.75" customHeight="1" x14ac:dyDescent="0.25">
      <c r="B24" s="28">
        <v>43101</v>
      </c>
      <c r="C24" s="28">
        <v>43180</v>
      </c>
      <c r="D24" s="26" t="s">
        <v>10</v>
      </c>
      <c r="E24" s="4">
        <f t="shared" si="2"/>
        <v>81</v>
      </c>
      <c r="F24" s="32">
        <f t="shared" si="4"/>
        <v>2235459.6</v>
      </c>
      <c r="G24" s="31"/>
      <c r="H24"/>
      <c r="I24" s="83"/>
      <c r="J24" s="83"/>
      <c r="K24" s="83"/>
      <c r="L24" s="10"/>
      <c r="M24" s="10"/>
      <c r="N24" s="10"/>
    </row>
    <row r="25" spans="2:15" ht="15.75" customHeight="1" x14ac:dyDescent="0.25">
      <c r="B25" s="28">
        <v>43181</v>
      </c>
      <c r="C25" s="28">
        <v>43465</v>
      </c>
      <c r="D25" s="26" t="s">
        <v>10</v>
      </c>
      <c r="E25" s="4">
        <f t="shared" si="2"/>
        <v>280</v>
      </c>
      <c r="F25" s="32">
        <f t="shared" si="4"/>
        <v>7727514.666666667</v>
      </c>
      <c r="G25" s="31"/>
      <c r="H25"/>
      <c r="I25" s="83"/>
      <c r="J25" s="83"/>
      <c r="K25" s="83"/>
      <c r="L25" s="10"/>
      <c r="M25" s="10"/>
      <c r="N25" s="10"/>
    </row>
    <row r="26" spans="2:15" ht="15.75" customHeight="1" x14ac:dyDescent="0.25">
      <c r="B26" s="28">
        <v>43466</v>
      </c>
      <c r="C26" s="28">
        <v>43780</v>
      </c>
      <c r="D26" s="26" t="s">
        <v>10</v>
      </c>
      <c r="E26" s="4">
        <f t="shared" si="2"/>
        <v>311</v>
      </c>
      <c r="F26" s="32">
        <f t="shared" si="4"/>
        <v>10574000</v>
      </c>
      <c r="G26" s="31"/>
      <c r="H26"/>
      <c r="I26" s="83"/>
      <c r="J26" s="83"/>
      <c r="K26" s="83"/>
      <c r="L26" s="10"/>
      <c r="M26" s="10"/>
      <c r="N26" s="10"/>
    </row>
    <row r="27" spans="2:15" ht="15.75" customHeight="1" x14ac:dyDescent="0.25">
      <c r="B27" s="67" t="s">
        <v>11</v>
      </c>
      <c r="C27" s="68"/>
      <c r="D27" s="68"/>
      <c r="E27" s="68"/>
      <c r="F27" s="5">
        <f>SUM(F19:F26)</f>
        <v>36778833.166666672</v>
      </c>
      <c r="G27" s="8"/>
      <c r="H27"/>
      <c r="I27" s="83"/>
      <c r="J27" s="83"/>
      <c r="K27" s="83"/>
      <c r="L27" s="10"/>
      <c r="M27" s="10"/>
      <c r="N27" s="10"/>
    </row>
    <row r="28" spans="2:15" ht="15.75" customHeight="1" x14ac:dyDescent="0.25">
      <c r="C28"/>
      <c r="D28"/>
      <c r="E28"/>
      <c r="F28"/>
      <c r="G28"/>
      <c r="H28"/>
      <c r="I28" s="83"/>
      <c r="J28" s="83"/>
      <c r="K28" s="83"/>
      <c r="L28" s="10"/>
      <c r="M28" s="10"/>
      <c r="N28" s="10"/>
      <c r="O28" s="1"/>
    </row>
    <row r="29" spans="2:15" ht="15.75" customHeight="1" x14ac:dyDescent="0.25">
      <c r="B29" s="6" t="s">
        <v>5</v>
      </c>
      <c r="C29" s="3" t="s">
        <v>0</v>
      </c>
      <c r="D29" s="3" t="s">
        <v>1</v>
      </c>
      <c r="E29" s="3" t="s">
        <v>9</v>
      </c>
      <c r="F29" s="3" t="s">
        <v>3</v>
      </c>
      <c r="G29" s="36" t="s">
        <v>12</v>
      </c>
      <c r="H29"/>
      <c r="I29" s="83"/>
      <c r="J29" s="83"/>
      <c r="K29" s="83"/>
      <c r="L29" s="10"/>
      <c r="M29" s="10"/>
      <c r="N29" s="10"/>
    </row>
    <row r="30" spans="2:15" ht="15.75" customHeight="1" x14ac:dyDescent="0.25">
      <c r="B30" s="26" t="s">
        <v>10</v>
      </c>
      <c r="C30" s="28">
        <v>42324</v>
      </c>
      <c r="D30" s="28">
        <v>42369</v>
      </c>
      <c r="E30" s="30">
        <f>+F19</f>
        <v>493512.53333333333</v>
      </c>
      <c r="F30" s="4">
        <f t="shared" ref="F30:F36" si="5">DAYS360(C30,D30)+1</f>
        <v>46</v>
      </c>
      <c r="G30" s="37">
        <f t="shared" ref="G30:G36" si="6">(E30*F30)/360</f>
        <v>63059.934814814813</v>
      </c>
      <c r="H30"/>
      <c r="I30" s="83"/>
      <c r="J30" s="83"/>
      <c r="K30" s="83"/>
      <c r="L30" s="10"/>
      <c r="M30" s="10"/>
      <c r="N30" s="10"/>
    </row>
    <row r="31" spans="2:15" ht="15.75" customHeight="1" x14ac:dyDescent="0.25">
      <c r="B31" s="26" t="s">
        <v>10</v>
      </c>
      <c r="C31" s="28">
        <v>42370</v>
      </c>
      <c r="D31" s="28">
        <v>42561</v>
      </c>
      <c r="E31" s="30">
        <f t="shared" ref="E31:E37" si="7">+F20</f>
        <v>3771607.6666666665</v>
      </c>
      <c r="F31" s="4">
        <f t="shared" si="5"/>
        <v>190</v>
      </c>
      <c r="G31" s="37">
        <f t="shared" si="6"/>
        <v>1990570.7129629629</v>
      </c>
      <c r="H31"/>
      <c r="I31" s="83"/>
      <c r="J31" s="83"/>
      <c r="K31" s="83"/>
      <c r="L31" s="10"/>
      <c r="M31" s="10"/>
      <c r="N31" s="10"/>
    </row>
    <row r="32" spans="2:15" ht="15.75" customHeight="1" x14ac:dyDescent="0.25">
      <c r="B32" s="26" t="s">
        <v>10</v>
      </c>
      <c r="C32" s="28">
        <v>42562</v>
      </c>
      <c r="D32" s="28">
        <v>42735</v>
      </c>
      <c r="E32" s="30">
        <f t="shared" si="7"/>
        <v>3109446.9000000004</v>
      </c>
      <c r="F32" s="4">
        <f t="shared" si="5"/>
        <v>171</v>
      </c>
      <c r="G32" s="37">
        <f t="shared" si="6"/>
        <v>1476987.2775000001</v>
      </c>
      <c r="H32"/>
      <c r="I32" s="83"/>
      <c r="J32" s="83"/>
      <c r="K32" s="83"/>
      <c r="L32" s="10"/>
      <c r="M32" s="10"/>
      <c r="N32" s="10"/>
    </row>
    <row r="33" spans="2:14" ht="15.75" customHeight="1" x14ac:dyDescent="0.25">
      <c r="B33" s="26" t="s">
        <v>10</v>
      </c>
      <c r="C33" s="28">
        <v>42736</v>
      </c>
      <c r="D33" s="28">
        <v>42968</v>
      </c>
      <c r="E33" s="30">
        <f t="shared" si="7"/>
        <v>6173197.7999999998</v>
      </c>
      <c r="F33" s="4">
        <f t="shared" si="5"/>
        <v>231</v>
      </c>
      <c r="G33" s="37">
        <f t="shared" si="6"/>
        <v>3961135.2549999999</v>
      </c>
      <c r="H33"/>
      <c r="I33" s="83"/>
      <c r="J33" s="83"/>
      <c r="K33" s="83"/>
      <c r="L33" s="10"/>
      <c r="M33" s="10"/>
      <c r="N33" s="10"/>
    </row>
    <row r="34" spans="2:14" ht="15.75" customHeight="1" x14ac:dyDescent="0.25">
      <c r="B34" s="26" t="s">
        <v>10</v>
      </c>
      <c r="C34" s="28">
        <v>42969</v>
      </c>
      <c r="D34" s="28">
        <v>43100</v>
      </c>
      <c r="E34" s="30">
        <f t="shared" si="7"/>
        <v>2694094</v>
      </c>
      <c r="F34" s="4">
        <f t="shared" si="5"/>
        <v>130</v>
      </c>
      <c r="G34" s="37">
        <f t="shared" si="6"/>
        <v>972867.27777777775</v>
      </c>
      <c r="H34"/>
      <c r="I34" s="83"/>
      <c r="J34" s="83"/>
      <c r="K34" s="83"/>
      <c r="L34" s="10"/>
      <c r="M34" s="10"/>
      <c r="N34" s="10"/>
    </row>
    <row r="35" spans="2:14" ht="15.75" customHeight="1" x14ac:dyDescent="0.25">
      <c r="B35" s="26" t="s">
        <v>10</v>
      </c>
      <c r="C35" s="28">
        <v>43101</v>
      </c>
      <c r="D35" s="28">
        <v>43180</v>
      </c>
      <c r="E35" s="32">
        <f t="shared" si="7"/>
        <v>2235459.6</v>
      </c>
      <c r="F35" s="4">
        <f t="shared" si="5"/>
        <v>81</v>
      </c>
      <c r="G35" s="37">
        <f t="shared" si="6"/>
        <v>502978.41</v>
      </c>
      <c r="H35"/>
    </row>
    <row r="36" spans="2:14" ht="15.75" customHeight="1" x14ac:dyDescent="0.25">
      <c r="B36" s="26" t="s">
        <v>10</v>
      </c>
      <c r="C36" s="28">
        <v>43181</v>
      </c>
      <c r="D36" s="28">
        <v>43465</v>
      </c>
      <c r="E36" s="32">
        <f t="shared" si="7"/>
        <v>7727514.666666667</v>
      </c>
      <c r="F36" s="4">
        <f t="shared" si="5"/>
        <v>280</v>
      </c>
      <c r="G36" s="37">
        <f t="shared" si="6"/>
        <v>6010289.1851851856</v>
      </c>
      <c r="H36"/>
    </row>
    <row r="37" spans="2:14" ht="15.75" customHeight="1" x14ac:dyDescent="0.25">
      <c r="B37" s="26" t="s">
        <v>10</v>
      </c>
      <c r="C37" s="28">
        <v>43466</v>
      </c>
      <c r="D37" s="28">
        <v>43780</v>
      </c>
      <c r="E37" s="32">
        <f t="shared" si="7"/>
        <v>10574000</v>
      </c>
      <c r="F37" s="4">
        <f>DAYS360(C37,D37)+1</f>
        <v>311</v>
      </c>
      <c r="G37" s="37">
        <f>(E37*F37)/360</f>
        <v>9134761.1111111119</v>
      </c>
      <c r="H37"/>
    </row>
    <row r="38" spans="2:14" ht="15.75" customHeight="1" x14ac:dyDescent="0.25">
      <c r="C38" s="66" t="s">
        <v>11</v>
      </c>
      <c r="D38" s="66"/>
      <c r="E38" s="66"/>
      <c r="F38" s="66"/>
      <c r="G38" s="38">
        <f>SUM(G30:G37)</f>
        <v>24112649.164351854</v>
      </c>
      <c r="H38"/>
    </row>
    <row r="39" spans="2:14" ht="15.75" customHeight="1" x14ac:dyDescent="0.25">
      <c r="C39"/>
      <c r="D39"/>
      <c r="E39"/>
      <c r="F39"/>
      <c r="G39"/>
      <c r="H39"/>
      <c r="J39" s="33"/>
    </row>
    <row r="40" spans="2:14" ht="15.75" customHeight="1" x14ac:dyDescent="0.25">
      <c r="B40" s="6" t="s">
        <v>5</v>
      </c>
      <c r="C40" s="3" t="s">
        <v>0</v>
      </c>
      <c r="D40" s="3" t="s">
        <v>1</v>
      </c>
      <c r="E40" s="3" t="s">
        <v>9</v>
      </c>
      <c r="F40" s="3" t="s">
        <v>3</v>
      </c>
      <c r="G40" s="36" t="s">
        <v>13</v>
      </c>
      <c r="H40"/>
    </row>
    <row r="41" spans="2:14" ht="15.75" customHeight="1" x14ac:dyDescent="0.25">
      <c r="B41" s="26" t="s">
        <v>10</v>
      </c>
      <c r="C41" s="28">
        <v>42324</v>
      </c>
      <c r="D41" s="28">
        <v>42369</v>
      </c>
      <c r="E41" s="30">
        <f>+F19</f>
        <v>493512.53333333333</v>
      </c>
      <c r="F41" s="4">
        <f t="shared" ref="F41:F48" si="8">DAYS360(C41,D41)+1</f>
        <v>46</v>
      </c>
      <c r="G41" s="37">
        <f t="shared" ref="G41:G48" si="9">(E41*F41)/360</f>
        <v>63059.934814814813</v>
      </c>
      <c r="H41"/>
    </row>
    <row r="42" spans="2:14" ht="15.75" customHeight="1" x14ac:dyDescent="0.25">
      <c r="B42" s="26" t="s">
        <v>10</v>
      </c>
      <c r="C42" s="28">
        <v>42370</v>
      </c>
      <c r="D42" s="28">
        <v>42561</v>
      </c>
      <c r="E42" s="30">
        <f t="shared" ref="E42:E48" si="10">+E31</f>
        <v>3771607.6666666665</v>
      </c>
      <c r="F42" s="4">
        <f t="shared" si="8"/>
        <v>190</v>
      </c>
      <c r="G42" s="37">
        <f t="shared" si="9"/>
        <v>1990570.7129629629</v>
      </c>
      <c r="H42"/>
    </row>
    <row r="43" spans="2:14" ht="15.75" customHeight="1" x14ac:dyDescent="0.25">
      <c r="B43" s="26" t="s">
        <v>10</v>
      </c>
      <c r="C43" s="28">
        <v>42562</v>
      </c>
      <c r="D43" s="28">
        <v>42735</v>
      </c>
      <c r="E43" s="30">
        <f t="shared" si="10"/>
        <v>3109446.9000000004</v>
      </c>
      <c r="F43" s="4">
        <f t="shared" si="8"/>
        <v>171</v>
      </c>
      <c r="G43" s="37">
        <f t="shared" si="9"/>
        <v>1476987.2775000001</v>
      </c>
      <c r="H43"/>
    </row>
    <row r="44" spans="2:14" ht="15.75" customHeight="1" x14ac:dyDescent="0.25">
      <c r="B44" s="26" t="s">
        <v>10</v>
      </c>
      <c r="C44" s="28">
        <v>42736</v>
      </c>
      <c r="D44" s="28">
        <v>42968</v>
      </c>
      <c r="E44" s="30">
        <f t="shared" si="10"/>
        <v>6173197.7999999998</v>
      </c>
      <c r="F44" s="4">
        <f t="shared" si="8"/>
        <v>231</v>
      </c>
      <c r="G44" s="37">
        <f t="shared" si="9"/>
        <v>3961135.2549999999</v>
      </c>
      <c r="H44"/>
    </row>
    <row r="45" spans="2:14" ht="15.75" customHeight="1" x14ac:dyDescent="0.25">
      <c r="B45" s="26" t="s">
        <v>10</v>
      </c>
      <c r="C45" s="28">
        <v>42969</v>
      </c>
      <c r="D45" s="28">
        <v>43100</v>
      </c>
      <c r="E45" s="30">
        <f t="shared" si="10"/>
        <v>2694094</v>
      </c>
      <c r="F45" s="4">
        <f t="shared" si="8"/>
        <v>130</v>
      </c>
      <c r="G45" s="37">
        <f t="shared" si="9"/>
        <v>972867.27777777775</v>
      </c>
      <c r="H45"/>
    </row>
    <row r="46" spans="2:14" ht="15.75" customHeight="1" x14ac:dyDescent="0.25">
      <c r="B46" s="26" t="s">
        <v>10</v>
      </c>
      <c r="C46" s="28">
        <v>43101</v>
      </c>
      <c r="D46" s="28">
        <v>43180</v>
      </c>
      <c r="E46" s="32">
        <f t="shared" si="10"/>
        <v>2235459.6</v>
      </c>
      <c r="F46" s="4">
        <f t="shared" si="8"/>
        <v>81</v>
      </c>
      <c r="G46" s="37">
        <f t="shared" si="9"/>
        <v>502978.41</v>
      </c>
      <c r="H46"/>
    </row>
    <row r="47" spans="2:14" ht="15.75" customHeight="1" x14ac:dyDescent="0.25">
      <c r="B47" s="26" t="s">
        <v>10</v>
      </c>
      <c r="C47" s="28">
        <v>43181</v>
      </c>
      <c r="D47" s="28">
        <v>43465</v>
      </c>
      <c r="E47" s="32">
        <f t="shared" si="10"/>
        <v>7727514.666666667</v>
      </c>
      <c r="F47" s="4">
        <f t="shared" si="8"/>
        <v>280</v>
      </c>
      <c r="G47" s="37">
        <f t="shared" si="9"/>
        <v>6010289.1851851856</v>
      </c>
      <c r="H47"/>
      <c r="K47" s="33"/>
    </row>
    <row r="48" spans="2:14" ht="15.75" customHeight="1" x14ac:dyDescent="0.25">
      <c r="B48" s="26" t="s">
        <v>10</v>
      </c>
      <c r="C48" s="28">
        <v>43466</v>
      </c>
      <c r="D48" s="28">
        <v>43780</v>
      </c>
      <c r="E48" s="32">
        <f t="shared" si="10"/>
        <v>10574000</v>
      </c>
      <c r="F48" s="4">
        <f t="shared" si="8"/>
        <v>311</v>
      </c>
      <c r="G48" s="37">
        <f t="shared" si="9"/>
        <v>9134761.1111111119</v>
      </c>
      <c r="H48"/>
    </row>
    <row r="49" spans="2:8" ht="15.75" customHeight="1" x14ac:dyDescent="0.25">
      <c r="C49" s="66" t="s">
        <v>11</v>
      </c>
      <c r="D49" s="66"/>
      <c r="E49" s="66"/>
      <c r="F49" s="66"/>
      <c r="G49" s="38">
        <f>SUM(G41:G48)</f>
        <v>24112649.164351854</v>
      </c>
      <c r="H49"/>
    </row>
    <row r="50" spans="2:8" ht="15.75" customHeight="1" x14ac:dyDescent="0.25">
      <c r="C50"/>
      <c r="D50"/>
      <c r="E50"/>
      <c r="F50"/>
      <c r="G50"/>
      <c r="H50"/>
    </row>
    <row r="51" spans="2:8" ht="15.75" customHeight="1" x14ac:dyDescent="0.25">
      <c r="B51" s="6" t="s">
        <v>5</v>
      </c>
      <c r="C51" s="3" t="s">
        <v>0</v>
      </c>
      <c r="D51" s="3" t="s">
        <v>1</v>
      </c>
      <c r="E51" s="3" t="s">
        <v>13</v>
      </c>
      <c r="F51" s="3" t="s">
        <v>3</v>
      </c>
      <c r="G51" s="36" t="s">
        <v>14</v>
      </c>
      <c r="H51"/>
    </row>
    <row r="52" spans="2:8" x14ac:dyDescent="0.25">
      <c r="B52" s="26" t="s">
        <v>10</v>
      </c>
      <c r="C52" s="28">
        <v>42324</v>
      </c>
      <c r="D52" s="28">
        <v>42369</v>
      </c>
      <c r="E52" s="37">
        <f t="shared" ref="E52:E59" si="11">+G41</f>
        <v>63059.934814814813</v>
      </c>
      <c r="F52" s="4">
        <f t="shared" ref="F52:F59" si="12">DAYS360(C52,D52)+1</f>
        <v>46</v>
      </c>
      <c r="G52" s="4">
        <f t="shared" ref="G52:G59" si="13">(E52*F52*0.12)/360</f>
        <v>966.91900049382707</v>
      </c>
      <c r="H52"/>
    </row>
    <row r="53" spans="2:8" x14ac:dyDescent="0.25">
      <c r="B53" s="26" t="s">
        <v>10</v>
      </c>
      <c r="C53" s="28">
        <v>42370</v>
      </c>
      <c r="D53" s="28">
        <v>42561</v>
      </c>
      <c r="E53" s="37">
        <f t="shared" si="11"/>
        <v>1990570.7129629629</v>
      </c>
      <c r="F53" s="4">
        <f t="shared" si="12"/>
        <v>190</v>
      </c>
      <c r="G53" s="4">
        <f t="shared" si="13"/>
        <v>126069.4784876543</v>
      </c>
      <c r="H53"/>
    </row>
    <row r="54" spans="2:8" x14ac:dyDescent="0.25">
      <c r="B54" s="26" t="s">
        <v>10</v>
      </c>
      <c r="C54" s="28">
        <v>42562</v>
      </c>
      <c r="D54" s="28">
        <v>42735</v>
      </c>
      <c r="E54" s="37">
        <f t="shared" si="11"/>
        <v>1476987.2775000001</v>
      </c>
      <c r="F54" s="4">
        <f t="shared" si="12"/>
        <v>171</v>
      </c>
      <c r="G54" s="4">
        <f t="shared" si="13"/>
        <v>84188.274817500002</v>
      </c>
      <c r="H54"/>
    </row>
    <row r="55" spans="2:8" x14ac:dyDescent="0.25">
      <c r="B55" s="26" t="s">
        <v>10</v>
      </c>
      <c r="C55" s="28">
        <v>42736</v>
      </c>
      <c r="D55" s="28">
        <v>42968</v>
      </c>
      <c r="E55" s="37">
        <f t="shared" si="11"/>
        <v>3961135.2549999999</v>
      </c>
      <c r="F55" s="4">
        <f t="shared" si="12"/>
        <v>231</v>
      </c>
      <c r="G55" s="4">
        <f t="shared" si="13"/>
        <v>305007.41463499994</v>
      </c>
      <c r="H55"/>
    </row>
    <row r="56" spans="2:8" x14ac:dyDescent="0.25">
      <c r="B56" s="26" t="s">
        <v>10</v>
      </c>
      <c r="C56" s="28">
        <v>42969</v>
      </c>
      <c r="D56" s="28">
        <v>43100</v>
      </c>
      <c r="E56" s="37">
        <f t="shared" si="11"/>
        <v>972867.27777777775</v>
      </c>
      <c r="F56" s="4">
        <f t="shared" si="12"/>
        <v>130</v>
      </c>
      <c r="G56" s="4">
        <f t="shared" si="13"/>
        <v>42157.582037037035</v>
      </c>
      <c r="H56"/>
    </row>
    <row r="57" spans="2:8" x14ac:dyDescent="0.25">
      <c r="B57" s="26" t="s">
        <v>10</v>
      </c>
      <c r="C57" s="28">
        <v>43101</v>
      </c>
      <c r="D57" s="28">
        <v>43180</v>
      </c>
      <c r="E57" s="37">
        <f t="shared" si="11"/>
        <v>502978.41</v>
      </c>
      <c r="F57" s="4">
        <f t="shared" si="12"/>
        <v>81</v>
      </c>
      <c r="G57" s="4">
        <f t="shared" si="13"/>
        <v>13580.41707</v>
      </c>
      <c r="H57"/>
    </row>
    <row r="58" spans="2:8" x14ac:dyDescent="0.25">
      <c r="B58" s="26" t="s">
        <v>10</v>
      </c>
      <c r="C58" s="28">
        <v>43181</v>
      </c>
      <c r="D58" s="28">
        <v>43465</v>
      </c>
      <c r="E58" s="37">
        <f t="shared" si="11"/>
        <v>6010289.1851851856</v>
      </c>
      <c r="F58" s="4">
        <f t="shared" si="12"/>
        <v>280</v>
      </c>
      <c r="G58" s="4">
        <f t="shared" si="13"/>
        <v>560960.32395061722</v>
      </c>
      <c r="H58"/>
    </row>
    <row r="59" spans="2:8" x14ac:dyDescent="0.25">
      <c r="B59" s="26" t="s">
        <v>10</v>
      </c>
      <c r="C59" s="28">
        <v>43466</v>
      </c>
      <c r="D59" s="28">
        <v>43780</v>
      </c>
      <c r="E59" s="37">
        <f t="shared" si="11"/>
        <v>9134761.1111111119</v>
      </c>
      <c r="F59" s="4">
        <f t="shared" si="12"/>
        <v>311</v>
      </c>
      <c r="G59" s="4">
        <f t="shared" si="13"/>
        <v>946970.23518518521</v>
      </c>
      <c r="H59"/>
    </row>
    <row r="60" spans="2:8" x14ac:dyDescent="0.25">
      <c r="C60" s="66" t="s">
        <v>11</v>
      </c>
      <c r="D60" s="66"/>
      <c r="E60" s="66"/>
      <c r="F60" s="66"/>
      <c r="G60" s="38">
        <f>SUM(G52:G59)</f>
        <v>2079900.6451834876</v>
      </c>
      <c r="H60"/>
    </row>
    <row r="61" spans="2:8" x14ac:dyDescent="0.25">
      <c r="C61"/>
      <c r="D61"/>
      <c r="E61"/>
      <c r="F61"/>
      <c r="G61"/>
      <c r="H61"/>
    </row>
    <row r="62" spans="2:8" x14ac:dyDescent="0.25">
      <c r="C62" s="3" t="s">
        <v>0</v>
      </c>
      <c r="D62" s="3" t="s">
        <v>1</v>
      </c>
      <c r="E62" s="3" t="s">
        <v>2</v>
      </c>
      <c r="F62" s="3" t="s">
        <v>3</v>
      </c>
      <c r="G62" s="36" t="s">
        <v>15</v>
      </c>
      <c r="H62"/>
    </row>
    <row r="63" spans="2:8" x14ac:dyDescent="0.25">
      <c r="C63" s="34">
        <v>42324</v>
      </c>
      <c r="D63" s="34">
        <v>43780</v>
      </c>
      <c r="E63" s="32">
        <v>3430000</v>
      </c>
      <c r="F63" s="4">
        <f>DAYS360(C63,D63)+1</f>
        <v>1436</v>
      </c>
      <c r="G63" s="4">
        <f>(E63*F63)/720</f>
        <v>6840944.444444444</v>
      </c>
      <c r="H63" t="s">
        <v>40</v>
      </c>
    </row>
    <row r="64" spans="2:8" x14ac:dyDescent="0.25">
      <c r="C64" s="34">
        <v>42324</v>
      </c>
      <c r="D64" s="34">
        <v>43780</v>
      </c>
      <c r="E64" s="32">
        <v>4450000</v>
      </c>
      <c r="F64" s="4">
        <f>DAYS360(C64,D64)+1</f>
        <v>1436</v>
      </c>
      <c r="G64" s="4">
        <f>(E64*F64)/720</f>
        <v>8875277.777777778</v>
      </c>
      <c r="H64" t="s">
        <v>41</v>
      </c>
    </row>
    <row r="65" spans="3:9" x14ac:dyDescent="0.25">
      <c r="C65" s="66" t="s">
        <v>11</v>
      </c>
      <c r="D65" s="66"/>
      <c r="E65" s="66"/>
      <c r="F65" s="66"/>
      <c r="G65" s="38">
        <f>G64-G63</f>
        <v>2034333.333333334</v>
      </c>
      <c r="H65"/>
    </row>
    <row r="66" spans="3:9" x14ac:dyDescent="0.25">
      <c r="C66"/>
      <c r="D66"/>
      <c r="E66"/>
      <c r="F66"/>
      <c r="G66"/>
      <c r="H66"/>
    </row>
    <row r="67" spans="3:9" ht="12.75" customHeight="1" x14ac:dyDescent="0.25">
      <c r="C67"/>
      <c r="D67"/>
      <c r="E67"/>
      <c r="F67"/>
      <c r="G67"/>
      <c r="H67"/>
    </row>
    <row r="68" spans="3:9" x14ac:dyDescent="0.25">
      <c r="C68" s="64" t="s">
        <v>16</v>
      </c>
      <c r="D68" s="64"/>
      <c r="E68" s="64"/>
      <c r="F68" s="64"/>
      <c r="G68" s="64"/>
      <c r="H68"/>
    </row>
    <row r="69" spans="3:9" x14ac:dyDescent="0.25">
      <c r="C69" s="3" t="s">
        <v>0</v>
      </c>
      <c r="D69" s="3" t="s">
        <v>1</v>
      </c>
      <c r="E69" s="3" t="s">
        <v>2</v>
      </c>
      <c r="F69" s="3" t="s">
        <v>3</v>
      </c>
      <c r="G69" s="39" t="s">
        <v>17</v>
      </c>
      <c r="H69"/>
    </row>
    <row r="70" spans="3:9" x14ac:dyDescent="0.25">
      <c r="C70" s="40">
        <v>42415</v>
      </c>
      <c r="D70" s="40">
        <v>42780</v>
      </c>
      <c r="E70" s="29">
        <f>+F9</f>
        <v>3521856</v>
      </c>
      <c r="F70" s="4">
        <f t="shared" ref="F70:F73" si="14">DAYS360(C70,D70)+1</f>
        <v>360</v>
      </c>
      <c r="G70" s="4">
        <f t="shared" ref="G70:G73" si="15">(E70/30)*F70</f>
        <v>42262272</v>
      </c>
      <c r="H70"/>
    </row>
    <row r="71" spans="3:9" x14ac:dyDescent="0.25">
      <c r="C71" s="40">
        <v>42781</v>
      </c>
      <c r="D71" s="40">
        <v>43145</v>
      </c>
      <c r="E71" s="29">
        <f>+F10</f>
        <v>3795517</v>
      </c>
      <c r="F71" s="4">
        <f t="shared" si="14"/>
        <v>360</v>
      </c>
      <c r="G71" s="4">
        <f t="shared" si="15"/>
        <v>45546204</v>
      </c>
      <c r="H71"/>
    </row>
    <row r="72" spans="3:9" x14ac:dyDescent="0.25">
      <c r="C72" s="40">
        <v>43146</v>
      </c>
      <c r="D72" s="40">
        <v>43510</v>
      </c>
      <c r="E72" s="29">
        <f>+F12</f>
        <v>4051714</v>
      </c>
      <c r="F72" s="4">
        <f t="shared" si="14"/>
        <v>360</v>
      </c>
      <c r="G72" s="4">
        <f t="shared" si="15"/>
        <v>48620568</v>
      </c>
      <c r="H72"/>
    </row>
    <row r="73" spans="3:9" x14ac:dyDescent="0.25">
      <c r="C73" s="40">
        <v>43511</v>
      </c>
      <c r="D73" s="40">
        <v>43780</v>
      </c>
      <c r="E73" s="29">
        <f>+F15</f>
        <v>4257948</v>
      </c>
      <c r="F73" s="4">
        <f t="shared" si="14"/>
        <v>267</v>
      </c>
      <c r="G73" s="4">
        <f t="shared" si="15"/>
        <v>37895737.200000003</v>
      </c>
      <c r="H73"/>
    </row>
    <row r="74" spans="3:9" x14ac:dyDescent="0.25">
      <c r="C74" s="66" t="s">
        <v>11</v>
      </c>
      <c r="D74" s="66"/>
      <c r="E74" s="66"/>
      <c r="F74" s="66"/>
      <c r="G74" s="38">
        <f>SUM(G70:G73)</f>
        <v>174324781.19999999</v>
      </c>
      <c r="H74"/>
    </row>
    <row r="75" spans="3:9" x14ac:dyDescent="0.25">
      <c r="C75" s="41"/>
      <c r="D75" s="41"/>
      <c r="E75" s="41"/>
      <c r="F75" s="41"/>
      <c r="G75" s="42"/>
      <c r="H75"/>
    </row>
    <row r="76" spans="3:9" x14ac:dyDescent="0.25">
      <c r="C76" s="78" t="s">
        <v>21</v>
      </c>
      <c r="D76" s="79"/>
      <c r="E76" s="79"/>
      <c r="F76" s="79"/>
      <c r="G76" s="79"/>
      <c r="H76" s="79"/>
      <c r="I76" s="80"/>
    </row>
    <row r="77" spans="3:9" x14ac:dyDescent="0.25">
      <c r="C77" s="43"/>
      <c r="D77" s="44"/>
      <c r="E77" s="45" t="s">
        <v>22</v>
      </c>
      <c r="F77" s="45" t="s">
        <v>23</v>
      </c>
      <c r="G77" s="45" t="s">
        <v>24</v>
      </c>
      <c r="H77" s="87" t="s">
        <v>25</v>
      </c>
      <c r="I77" s="87"/>
    </row>
    <row r="78" spans="3:9" x14ac:dyDescent="0.25">
      <c r="C78" s="72" t="s">
        <v>26</v>
      </c>
      <c r="D78" s="73"/>
      <c r="E78" s="47">
        <v>2019</v>
      </c>
      <c r="F78" s="47">
        <v>11</v>
      </c>
      <c r="G78" s="46">
        <v>11</v>
      </c>
      <c r="H78" s="48" t="s">
        <v>27</v>
      </c>
      <c r="I78" s="49" t="s">
        <v>28</v>
      </c>
    </row>
    <row r="79" spans="3:9" x14ac:dyDescent="0.25">
      <c r="C79" s="72" t="s">
        <v>29</v>
      </c>
      <c r="D79" s="73"/>
      <c r="E79" s="50">
        <v>2015</v>
      </c>
      <c r="F79" s="50">
        <v>11</v>
      </c>
      <c r="G79" s="51">
        <v>16</v>
      </c>
      <c r="H79" s="52">
        <f>(E78-E79)*360+(F78-F79)*30+(G78-G79+1)</f>
        <v>1436</v>
      </c>
      <c r="I79" s="53">
        <f>H79/360</f>
        <v>3.9888888888888889</v>
      </c>
    </row>
    <row r="80" spans="3:9" x14ac:dyDescent="0.25">
      <c r="C80" s="72" t="s">
        <v>30</v>
      </c>
      <c r="D80" s="73"/>
      <c r="E80" s="88">
        <v>4450000</v>
      </c>
      <c r="F80" s="88"/>
      <c r="G80" s="88"/>
      <c r="H80" s="88"/>
      <c r="I80" s="88"/>
    </row>
    <row r="81" spans="3:12" x14ac:dyDescent="0.25">
      <c r="C81" s="72" t="s">
        <v>31</v>
      </c>
      <c r="D81" s="73"/>
      <c r="E81" s="76">
        <f>E80/30</f>
        <v>148333.33333333334</v>
      </c>
      <c r="F81" s="76"/>
      <c r="G81" s="76"/>
      <c r="H81" s="76"/>
      <c r="I81" s="76"/>
    </row>
    <row r="82" spans="3:12" x14ac:dyDescent="0.25">
      <c r="C82" s="72" t="s">
        <v>32</v>
      </c>
      <c r="D82" s="73"/>
      <c r="E82" s="76">
        <f>E80</f>
        <v>4450000</v>
      </c>
      <c r="F82" s="76"/>
      <c r="G82" s="76"/>
      <c r="H82" s="76"/>
      <c r="I82" s="76"/>
    </row>
    <row r="83" spans="3:12" x14ac:dyDescent="0.25">
      <c r="C83" s="72" t="s">
        <v>33</v>
      </c>
      <c r="D83" s="73"/>
      <c r="E83" s="54">
        <f>I79-1</f>
        <v>2.9888888888888889</v>
      </c>
      <c r="F83" s="76">
        <f>E83*20*E81</f>
        <v>8867037.0370370373</v>
      </c>
      <c r="G83" s="76"/>
      <c r="H83" s="76"/>
      <c r="I83" s="76"/>
    </row>
    <row r="84" spans="3:12" x14ac:dyDescent="0.25">
      <c r="C84" s="74" t="s">
        <v>34</v>
      </c>
      <c r="D84" s="75"/>
      <c r="E84" s="55"/>
      <c r="F84" s="77">
        <f>F83+E82</f>
        <v>13317037.037037037</v>
      </c>
      <c r="G84" s="77"/>
      <c r="H84" s="77"/>
      <c r="I84" s="77"/>
    </row>
    <row r="85" spans="3:12" x14ac:dyDescent="0.25">
      <c r="C85" s="41"/>
      <c r="D85" s="41"/>
      <c r="E85" s="41"/>
      <c r="F85" s="41"/>
      <c r="G85" s="42"/>
      <c r="H85"/>
    </row>
    <row r="86" spans="3:12" x14ac:dyDescent="0.25">
      <c r="C86" s="41"/>
      <c r="D86" s="41"/>
      <c r="E86" s="41"/>
      <c r="F86" s="41"/>
      <c r="G86" s="42"/>
      <c r="H86"/>
      <c r="J86" s="84" t="s">
        <v>43</v>
      </c>
      <c r="K86" s="84"/>
      <c r="L86" s="84"/>
    </row>
    <row r="87" spans="3:12" x14ac:dyDescent="0.25">
      <c r="C87" s="64" t="s">
        <v>35</v>
      </c>
      <c r="D87" s="64"/>
      <c r="E87" s="64"/>
      <c r="F87" s="64"/>
      <c r="G87" s="7"/>
      <c r="H87" s="7"/>
      <c r="J87" s="84"/>
      <c r="K87" s="84"/>
      <c r="L87" s="84"/>
    </row>
    <row r="88" spans="3:12" ht="29.25" customHeight="1" x14ac:dyDescent="0.25">
      <c r="C88" s="56" t="s">
        <v>38</v>
      </c>
      <c r="D88" s="85" t="s">
        <v>42</v>
      </c>
      <c r="E88" s="86"/>
      <c r="F88" s="56" t="s">
        <v>39</v>
      </c>
      <c r="G88"/>
      <c r="H88"/>
      <c r="I88" s="57"/>
      <c r="J88" s="84"/>
      <c r="K88" s="84"/>
      <c r="L88" s="84"/>
    </row>
    <row r="89" spans="3:12" x14ac:dyDescent="0.25">
      <c r="C89" s="63">
        <f>F27+G38+G49+G60</f>
        <v>87084032.140553862</v>
      </c>
      <c r="D89" s="81">
        <v>87990171</v>
      </c>
      <c r="E89" s="82"/>
      <c r="F89" s="35">
        <f>+D89</f>
        <v>87990171</v>
      </c>
      <c r="G89"/>
      <c r="H89"/>
      <c r="J89" s="84"/>
      <c r="K89" s="84"/>
      <c r="L89" s="84"/>
    </row>
    <row r="90" spans="3:12" x14ac:dyDescent="0.25">
      <c r="C90" s="41"/>
      <c r="D90" s="41"/>
      <c r="E90" s="41"/>
      <c r="F90" s="42"/>
      <c r="G90"/>
      <c r="H90"/>
      <c r="J90" s="84"/>
      <c r="K90" s="84"/>
      <c r="L90" s="84"/>
    </row>
    <row r="91" spans="3:12" x14ac:dyDescent="0.25">
      <c r="C91" s="69" t="s">
        <v>18</v>
      </c>
      <c r="D91" s="70"/>
      <c r="E91" s="70"/>
      <c r="F91" s="71"/>
      <c r="G91" s="58">
        <f>F27+G38+G49+G60+G65+G74+F84+F89</f>
        <v>364750354.71092421</v>
      </c>
      <c r="H91"/>
    </row>
    <row r="92" spans="3:12" x14ac:dyDescent="0.25">
      <c r="C92"/>
      <c r="D92"/>
      <c r="E92"/>
      <c r="F92"/>
      <c r="G92"/>
      <c r="H92"/>
    </row>
    <row r="93" spans="3:12" x14ac:dyDescent="0.25">
      <c r="C93"/>
      <c r="D93"/>
      <c r="E93"/>
      <c r="F93"/>
      <c r="G93"/>
      <c r="H93"/>
    </row>
  </sheetData>
  <mergeCells count="29">
    <mergeCell ref="I23:K34"/>
    <mergeCell ref="J86:L90"/>
    <mergeCell ref="D88:E88"/>
    <mergeCell ref="C78:D78"/>
    <mergeCell ref="C79:D79"/>
    <mergeCell ref="H77:I77"/>
    <mergeCell ref="E80:I80"/>
    <mergeCell ref="E81:I81"/>
    <mergeCell ref="C91:F91"/>
    <mergeCell ref="C74:F74"/>
    <mergeCell ref="C65:F65"/>
    <mergeCell ref="C60:F60"/>
    <mergeCell ref="C80:D80"/>
    <mergeCell ref="C81:D81"/>
    <mergeCell ref="C82:D82"/>
    <mergeCell ref="C83:D83"/>
    <mergeCell ref="C84:D84"/>
    <mergeCell ref="C68:G68"/>
    <mergeCell ref="E82:I82"/>
    <mergeCell ref="F83:I83"/>
    <mergeCell ref="F84:I84"/>
    <mergeCell ref="C76:I76"/>
    <mergeCell ref="C87:F87"/>
    <mergeCell ref="D89:E89"/>
    <mergeCell ref="B7:H7"/>
    <mergeCell ref="C5:G5"/>
    <mergeCell ref="C38:F38"/>
    <mergeCell ref="B27:E27"/>
    <mergeCell ref="C49:F49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A1:N46"/>
  <sheetViews>
    <sheetView tabSelected="1" workbookViewId="0">
      <selection activeCell="I32" sqref="I32"/>
    </sheetView>
  </sheetViews>
  <sheetFormatPr baseColWidth="10" defaultRowHeight="15" x14ac:dyDescent="0.25"/>
  <cols>
    <col min="2" max="2" width="14.140625" customWidth="1"/>
    <col min="4" max="4" width="15.5703125" customWidth="1"/>
    <col min="5" max="5" width="21.5703125" customWidth="1"/>
    <col min="6" max="6" width="25.28515625" customWidth="1"/>
    <col min="7" max="7" width="17.85546875" customWidth="1"/>
    <col min="8" max="8" width="19.140625" customWidth="1"/>
    <col min="9" max="9" width="11.42578125" customWidth="1"/>
  </cols>
  <sheetData>
    <row r="1" spans="1:14" x14ac:dyDescent="0.25">
      <c r="A1" s="16"/>
      <c r="B1" s="94" t="s">
        <v>45</v>
      </c>
      <c r="C1" s="94"/>
      <c r="D1" s="94"/>
      <c r="E1" s="94"/>
      <c r="F1" s="94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95" t="s">
        <v>4</v>
      </c>
      <c r="C2" s="95"/>
      <c r="D2" s="95"/>
      <c r="E2" s="95"/>
      <c r="F2" s="95"/>
      <c r="G2" s="95"/>
      <c r="H2" s="95"/>
      <c r="I2" s="16"/>
      <c r="J2" s="16"/>
      <c r="K2" s="16"/>
      <c r="L2" s="16"/>
      <c r="M2" s="16"/>
      <c r="N2" s="16"/>
    </row>
    <row r="3" spans="1:14" x14ac:dyDescent="0.25">
      <c r="A3" s="16"/>
      <c r="B3" s="17" t="s">
        <v>0</v>
      </c>
      <c r="C3" s="17" t="s">
        <v>1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6"/>
      <c r="J3" s="16"/>
      <c r="K3" s="16"/>
      <c r="L3" s="16"/>
      <c r="M3" s="16"/>
      <c r="N3" s="16"/>
    </row>
    <row r="4" spans="1:14" x14ac:dyDescent="0.25">
      <c r="A4" s="16"/>
      <c r="B4" s="19">
        <v>42562</v>
      </c>
      <c r="C4" s="19">
        <v>42735</v>
      </c>
      <c r="D4" s="17" t="s">
        <v>10</v>
      </c>
      <c r="E4" s="20">
        <v>3250000</v>
      </c>
      <c r="F4" s="21">
        <v>3795517</v>
      </c>
      <c r="G4" s="22">
        <f t="shared" ref="G4:G6" si="0">F4-E4</f>
        <v>545517</v>
      </c>
      <c r="H4" s="22">
        <f t="shared" ref="H4:H6" si="1">G4/30</f>
        <v>18183.900000000001</v>
      </c>
      <c r="I4" s="16"/>
      <c r="J4" s="16"/>
      <c r="K4" s="16"/>
      <c r="L4" s="16"/>
      <c r="M4" s="16"/>
      <c r="N4" s="16"/>
    </row>
    <row r="5" spans="1:14" x14ac:dyDescent="0.25">
      <c r="A5" s="16"/>
      <c r="B5" s="19">
        <v>42736</v>
      </c>
      <c r="C5" s="19">
        <v>42968</v>
      </c>
      <c r="D5" s="17" t="s">
        <v>10</v>
      </c>
      <c r="E5" s="20">
        <v>3250000</v>
      </c>
      <c r="F5" s="21">
        <v>4051714</v>
      </c>
      <c r="G5" s="22">
        <f t="shared" si="0"/>
        <v>801714</v>
      </c>
      <c r="H5" s="22">
        <f t="shared" si="1"/>
        <v>26723.8</v>
      </c>
      <c r="I5" s="16"/>
      <c r="J5" s="16"/>
      <c r="K5" s="16"/>
      <c r="L5" s="16"/>
      <c r="M5" s="16"/>
      <c r="N5" s="16"/>
    </row>
    <row r="6" spans="1:14" x14ac:dyDescent="0.25">
      <c r="A6" s="16"/>
      <c r="B6" s="19">
        <v>42969</v>
      </c>
      <c r="C6" s="19">
        <v>43100</v>
      </c>
      <c r="D6" s="17" t="s">
        <v>10</v>
      </c>
      <c r="E6" s="20">
        <v>3430000</v>
      </c>
      <c r="F6" s="21">
        <v>4051714</v>
      </c>
      <c r="G6" s="22">
        <f t="shared" si="0"/>
        <v>621714</v>
      </c>
      <c r="H6" s="22">
        <f t="shared" si="1"/>
        <v>20723.8</v>
      </c>
      <c r="I6" s="16"/>
      <c r="J6" s="16"/>
      <c r="K6" s="16"/>
      <c r="L6" s="16"/>
      <c r="M6" s="16"/>
      <c r="N6" s="16"/>
    </row>
    <row r="7" spans="1:14" x14ac:dyDescent="0.25">
      <c r="A7" s="16"/>
      <c r="B7" s="19">
        <v>43101</v>
      </c>
      <c r="C7" s="19">
        <v>43180</v>
      </c>
      <c r="D7" s="17" t="s">
        <v>10</v>
      </c>
      <c r="E7" s="20">
        <v>3430000</v>
      </c>
      <c r="F7" s="21">
        <v>4257948</v>
      </c>
      <c r="G7" s="22">
        <f>F7-E7</f>
        <v>827948</v>
      </c>
      <c r="H7" s="22">
        <f>G7/30</f>
        <v>27598.266666666666</v>
      </c>
      <c r="I7" s="16"/>
      <c r="J7" s="16"/>
      <c r="K7" s="16"/>
      <c r="L7" s="16"/>
      <c r="M7" s="16"/>
      <c r="N7" s="16"/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25">
      <c r="A9" s="16"/>
      <c r="B9" s="11" t="s">
        <v>0</v>
      </c>
      <c r="C9" s="9" t="s">
        <v>1</v>
      </c>
      <c r="D9" s="9" t="s">
        <v>5</v>
      </c>
      <c r="E9" s="11" t="s">
        <v>3</v>
      </c>
      <c r="F9" s="11" t="s">
        <v>37</v>
      </c>
      <c r="G9" s="16"/>
      <c r="H9" s="16"/>
      <c r="I9" s="16"/>
      <c r="J9" s="16"/>
      <c r="K9" s="16"/>
      <c r="L9" s="16"/>
      <c r="M9" s="16"/>
      <c r="N9" s="16"/>
    </row>
    <row r="10" spans="1:14" x14ac:dyDescent="0.25">
      <c r="A10" s="16"/>
      <c r="B10" s="19">
        <v>42562</v>
      </c>
      <c r="C10" s="19">
        <v>42735</v>
      </c>
      <c r="D10" s="17" t="s">
        <v>10</v>
      </c>
      <c r="E10" s="13">
        <f t="shared" ref="E10:E13" si="2">DAYS360(B10,C10)+1</f>
        <v>171</v>
      </c>
      <c r="F10" s="22">
        <f>H4*E10</f>
        <v>3109446.9000000004</v>
      </c>
      <c r="G10" s="16"/>
      <c r="H10" s="16"/>
      <c r="I10" s="16"/>
      <c r="J10" s="16"/>
      <c r="K10" s="89" t="s">
        <v>19</v>
      </c>
      <c r="L10" s="89"/>
      <c r="M10" s="89"/>
      <c r="N10" s="89"/>
    </row>
    <row r="11" spans="1:14" x14ac:dyDescent="0.25">
      <c r="A11" s="16"/>
      <c r="B11" s="19">
        <v>42736</v>
      </c>
      <c r="C11" s="19">
        <v>42968</v>
      </c>
      <c r="D11" s="17" t="s">
        <v>10</v>
      </c>
      <c r="E11" s="13">
        <f t="shared" si="2"/>
        <v>231</v>
      </c>
      <c r="F11" s="23">
        <f>H5*E11</f>
        <v>6173197.7999999998</v>
      </c>
      <c r="G11" s="16"/>
      <c r="H11" s="16"/>
      <c r="I11" s="16"/>
      <c r="J11" s="16"/>
      <c r="K11" s="89"/>
      <c r="L11" s="89"/>
      <c r="M11" s="89"/>
      <c r="N11" s="89"/>
    </row>
    <row r="12" spans="1:14" x14ac:dyDescent="0.25">
      <c r="A12" s="16"/>
      <c r="B12" s="19">
        <v>42969</v>
      </c>
      <c r="C12" s="19">
        <v>43100</v>
      </c>
      <c r="D12" s="17" t="s">
        <v>10</v>
      </c>
      <c r="E12" s="13">
        <f t="shared" si="2"/>
        <v>130</v>
      </c>
      <c r="F12" s="23">
        <f>H6*E12</f>
        <v>2694094</v>
      </c>
      <c r="G12" s="16"/>
      <c r="H12" s="16"/>
      <c r="I12" s="16"/>
      <c r="J12" s="16"/>
      <c r="K12" s="89"/>
      <c r="L12" s="89"/>
      <c r="M12" s="89"/>
      <c r="N12" s="89"/>
    </row>
    <row r="13" spans="1:14" x14ac:dyDescent="0.25">
      <c r="A13" s="16"/>
      <c r="B13" s="19">
        <v>43101</v>
      </c>
      <c r="C13" s="19">
        <v>43180</v>
      </c>
      <c r="D13" s="17" t="s">
        <v>10</v>
      </c>
      <c r="E13" s="13">
        <f t="shared" si="2"/>
        <v>81</v>
      </c>
      <c r="F13" s="23">
        <f>H7*E13</f>
        <v>2235459.6</v>
      </c>
      <c r="G13" s="16"/>
      <c r="H13" s="16"/>
      <c r="I13" s="16"/>
      <c r="J13" s="16"/>
      <c r="K13" s="89"/>
      <c r="L13" s="89"/>
      <c r="M13" s="89"/>
      <c r="N13" s="89"/>
    </row>
    <row r="14" spans="1:14" x14ac:dyDescent="0.25">
      <c r="A14" s="16"/>
      <c r="B14" s="96" t="s">
        <v>11</v>
      </c>
      <c r="C14" s="97"/>
      <c r="D14" s="97"/>
      <c r="E14" s="97"/>
      <c r="F14" s="24">
        <f>SUM(F10:F13)</f>
        <v>14212198.299999999</v>
      </c>
      <c r="G14" s="16"/>
      <c r="H14" s="16"/>
      <c r="I14" s="16"/>
      <c r="J14" s="16"/>
      <c r="K14" s="61"/>
      <c r="L14" s="61"/>
      <c r="M14" s="61"/>
      <c r="N14" s="61"/>
    </row>
    <row r="15" spans="1:14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61"/>
      <c r="L15" s="61"/>
      <c r="M15" s="61"/>
      <c r="N15" s="61"/>
    </row>
    <row r="16" spans="1:14" x14ac:dyDescent="0.25">
      <c r="A16" s="16"/>
      <c r="B16" s="9" t="s">
        <v>5</v>
      </c>
      <c r="C16" s="11" t="s">
        <v>0</v>
      </c>
      <c r="D16" s="11" t="s">
        <v>1</v>
      </c>
      <c r="E16" s="11" t="s">
        <v>9</v>
      </c>
      <c r="F16" s="11" t="s">
        <v>3</v>
      </c>
      <c r="G16" s="12" t="s">
        <v>12</v>
      </c>
      <c r="H16" s="16"/>
      <c r="I16" s="16"/>
      <c r="J16" s="16"/>
      <c r="K16" s="90" t="s">
        <v>44</v>
      </c>
      <c r="L16" s="90"/>
      <c r="M16" s="90"/>
      <c r="N16" s="90"/>
    </row>
    <row r="17" spans="1:14" ht="15" customHeight="1" x14ac:dyDescent="0.25">
      <c r="A17" s="16"/>
      <c r="B17" s="17" t="s">
        <v>10</v>
      </c>
      <c r="C17" s="19">
        <v>42562</v>
      </c>
      <c r="D17" s="19">
        <v>42735</v>
      </c>
      <c r="E17" s="22">
        <f>+F10</f>
        <v>3109446.9000000004</v>
      </c>
      <c r="F17" s="13">
        <f t="shared" ref="F17:F18" si="3">DAYS360(C17,D17)+1</f>
        <v>171</v>
      </c>
      <c r="G17" s="14">
        <f t="shared" ref="G17:G18" si="4">(E17*F17)/360</f>
        <v>1476987.2775000001</v>
      </c>
      <c r="H17" s="16"/>
      <c r="I17" s="16"/>
      <c r="J17" s="16"/>
      <c r="K17" s="90"/>
      <c r="L17" s="90"/>
      <c r="M17" s="90"/>
      <c r="N17" s="90"/>
    </row>
    <row r="18" spans="1:14" x14ac:dyDescent="0.25">
      <c r="A18" s="16"/>
      <c r="B18" s="17" t="s">
        <v>10</v>
      </c>
      <c r="C18" s="19">
        <v>42736</v>
      </c>
      <c r="D18" s="19">
        <v>42968</v>
      </c>
      <c r="E18" s="23">
        <f>+F11</f>
        <v>6173197.7999999998</v>
      </c>
      <c r="F18" s="13">
        <f t="shared" si="3"/>
        <v>231</v>
      </c>
      <c r="G18" s="14">
        <f t="shared" si="4"/>
        <v>3961135.2549999999</v>
      </c>
      <c r="H18" s="16"/>
      <c r="I18" s="16"/>
      <c r="J18" s="16"/>
      <c r="K18" s="90"/>
      <c r="L18" s="90"/>
      <c r="M18" s="90"/>
      <c r="N18" s="90"/>
    </row>
    <row r="19" spans="1:14" x14ac:dyDescent="0.25">
      <c r="A19" s="16"/>
      <c r="B19" s="17" t="s">
        <v>10</v>
      </c>
      <c r="C19" s="19">
        <v>42969</v>
      </c>
      <c r="D19" s="19">
        <v>43100</v>
      </c>
      <c r="E19" s="23">
        <f>+F12</f>
        <v>2694094</v>
      </c>
      <c r="F19" s="13">
        <f>DAYS360(C19,D19)+1</f>
        <v>130</v>
      </c>
      <c r="G19" s="14">
        <f>(E19*F19)/360</f>
        <v>972867.27777777775</v>
      </c>
      <c r="H19" s="16"/>
      <c r="I19" s="16"/>
      <c r="J19" s="16"/>
      <c r="K19" s="90"/>
      <c r="L19" s="90"/>
      <c r="M19" s="90"/>
      <c r="N19" s="90"/>
    </row>
    <row r="20" spans="1:14" x14ac:dyDescent="0.25">
      <c r="A20" s="16"/>
      <c r="B20" s="17" t="s">
        <v>10</v>
      </c>
      <c r="C20" s="19">
        <v>43101</v>
      </c>
      <c r="D20" s="19">
        <v>43180</v>
      </c>
      <c r="E20" s="23">
        <f>+F13</f>
        <v>2235459.6</v>
      </c>
      <c r="F20" s="13">
        <f t="shared" ref="F20" si="5">DAYS360(C20,D20)+1</f>
        <v>81</v>
      </c>
      <c r="G20" s="14">
        <f t="shared" ref="G20" si="6">(E20*F20)/360</f>
        <v>502978.41</v>
      </c>
      <c r="H20" s="16"/>
      <c r="I20" s="16"/>
      <c r="J20" s="16"/>
      <c r="K20" s="90"/>
      <c r="L20" s="90"/>
      <c r="M20" s="90"/>
      <c r="N20" s="90"/>
    </row>
    <row r="21" spans="1:14" x14ac:dyDescent="0.25">
      <c r="A21" s="16"/>
      <c r="B21" s="16"/>
      <c r="C21" s="98" t="s">
        <v>11</v>
      </c>
      <c r="D21" s="98"/>
      <c r="E21" s="98"/>
      <c r="F21" s="98"/>
      <c r="G21" s="15">
        <f>SUM(G17:G20)</f>
        <v>6913968.2202777779</v>
      </c>
      <c r="H21" s="16"/>
      <c r="I21" s="16"/>
      <c r="J21" s="16"/>
      <c r="K21" s="90"/>
      <c r="L21" s="90"/>
      <c r="M21" s="90"/>
      <c r="N21" s="90"/>
    </row>
    <row r="22" spans="1:14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60"/>
      <c r="L22" s="60"/>
      <c r="M22" s="60"/>
      <c r="N22" s="60"/>
    </row>
    <row r="23" spans="1:14" x14ac:dyDescent="0.25">
      <c r="A23" s="16"/>
      <c r="B23" s="9" t="s">
        <v>5</v>
      </c>
      <c r="C23" s="11" t="s">
        <v>0</v>
      </c>
      <c r="D23" s="11" t="s">
        <v>1</v>
      </c>
      <c r="E23" s="11" t="s">
        <v>9</v>
      </c>
      <c r="F23" s="11" t="s">
        <v>3</v>
      </c>
      <c r="G23" s="12" t="s">
        <v>13</v>
      </c>
      <c r="H23" s="16"/>
      <c r="I23" s="16"/>
      <c r="J23" s="16"/>
      <c r="K23" s="60"/>
      <c r="L23" s="60"/>
      <c r="M23" s="60"/>
      <c r="N23" s="60"/>
    </row>
    <row r="24" spans="1:14" x14ac:dyDescent="0.25">
      <c r="A24" s="16"/>
      <c r="B24" s="17" t="s">
        <v>10</v>
      </c>
      <c r="C24" s="19">
        <v>42562</v>
      </c>
      <c r="D24" s="19">
        <v>42735</v>
      </c>
      <c r="E24" s="22">
        <f>+F10</f>
        <v>3109446.9000000004</v>
      </c>
      <c r="F24" s="13">
        <f t="shared" ref="F24:F27" si="7">DAYS360(C24,D24)+1</f>
        <v>171</v>
      </c>
      <c r="G24" s="14">
        <f t="shared" ref="G24:G27" si="8">(E24*F24)/360</f>
        <v>1476987.2775000001</v>
      </c>
      <c r="H24" s="16"/>
      <c r="I24" s="16"/>
      <c r="J24" s="16"/>
      <c r="K24" s="60"/>
      <c r="L24" s="60"/>
      <c r="M24" s="60"/>
      <c r="N24" s="60"/>
    </row>
    <row r="25" spans="1:14" x14ac:dyDescent="0.25">
      <c r="A25" s="16"/>
      <c r="B25" s="17" t="s">
        <v>10</v>
      </c>
      <c r="C25" s="19">
        <v>42736</v>
      </c>
      <c r="D25" s="19">
        <v>42968</v>
      </c>
      <c r="E25" s="23">
        <f>+F11</f>
        <v>6173197.7999999998</v>
      </c>
      <c r="F25" s="13">
        <f t="shared" si="7"/>
        <v>231</v>
      </c>
      <c r="G25" s="14">
        <f t="shared" si="8"/>
        <v>3961135.2549999999</v>
      </c>
      <c r="H25" s="16"/>
      <c r="I25" s="16"/>
      <c r="J25" s="16"/>
      <c r="K25" s="59"/>
      <c r="L25" s="59"/>
      <c r="M25" s="59"/>
      <c r="N25" s="59"/>
    </row>
    <row r="26" spans="1:14" x14ac:dyDescent="0.25">
      <c r="A26" s="16"/>
      <c r="B26" s="17" t="s">
        <v>10</v>
      </c>
      <c r="C26" s="19">
        <v>42969</v>
      </c>
      <c r="D26" s="19">
        <v>43100</v>
      </c>
      <c r="E26" s="23">
        <f>+F12</f>
        <v>2694094</v>
      </c>
      <c r="F26" s="13">
        <f t="shared" si="7"/>
        <v>130</v>
      </c>
      <c r="G26" s="14">
        <f t="shared" si="8"/>
        <v>972867.27777777775</v>
      </c>
      <c r="H26" s="16"/>
      <c r="I26" s="16"/>
      <c r="J26" s="16"/>
      <c r="K26" s="59"/>
      <c r="L26" s="59"/>
      <c r="M26" s="59"/>
      <c r="N26" s="59"/>
    </row>
    <row r="27" spans="1:14" x14ac:dyDescent="0.25">
      <c r="A27" s="16"/>
      <c r="B27" s="17" t="s">
        <v>10</v>
      </c>
      <c r="C27" s="19">
        <v>43101</v>
      </c>
      <c r="D27" s="19">
        <v>43180</v>
      </c>
      <c r="E27" s="23">
        <f>+F13</f>
        <v>2235459.6</v>
      </c>
      <c r="F27" s="13">
        <f t="shared" si="7"/>
        <v>81</v>
      </c>
      <c r="G27" s="14">
        <f t="shared" si="8"/>
        <v>502978.41</v>
      </c>
      <c r="H27" s="16"/>
      <c r="I27" s="16"/>
      <c r="J27" s="16"/>
      <c r="K27" s="59"/>
      <c r="L27" s="59"/>
      <c r="M27" s="59"/>
      <c r="N27" s="59"/>
    </row>
    <row r="28" spans="1:14" x14ac:dyDescent="0.25">
      <c r="A28" s="16"/>
      <c r="B28" s="16"/>
      <c r="C28" s="98" t="s">
        <v>11</v>
      </c>
      <c r="D28" s="98"/>
      <c r="E28" s="98"/>
      <c r="F28" s="98"/>
      <c r="G28" s="15">
        <f>SUM(G24:G27)</f>
        <v>6913968.2202777779</v>
      </c>
      <c r="H28" s="16"/>
      <c r="I28" s="16"/>
      <c r="J28" s="16"/>
      <c r="K28" s="16"/>
      <c r="L28" s="16"/>
      <c r="M28" s="16"/>
      <c r="N28" s="16"/>
    </row>
    <row r="29" spans="1:14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6"/>
      <c r="B30" s="9" t="s">
        <v>5</v>
      </c>
      <c r="C30" s="11" t="s">
        <v>0</v>
      </c>
      <c r="D30" s="11" t="s">
        <v>1</v>
      </c>
      <c r="E30" s="11" t="s">
        <v>13</v>
      </c>
      <c r="F30" s="11" t="s">
        <v>3</v>
      </c>
      <c r="G30" s="12" t="s">
        <v>14</v>
      </c>
      <c r="H30" s="16"/>
      <c r="I30" s="16"/>
      <c r="J30" s="16"/>
      <c r="K30" s="16"/>
      <c r="L30" s="16"/>
      <c r="M30" s="16"/>
      <c r="N30" s="16"/>
    </row>
    <row r="31" spans="1:14" x14ac:dyDescent="0.25">
      <c r="A31" s="16"/>
      <c r="B31" s="17" t="s">
        <v>10</v>
      </c>
      <c r="C31" s="19">
        <v>42562</v>
      </c>
      <c r="D31" s="19">
        <v>42735</v>
      </c>
      <c r="E31" s="14">
        <f>+G24</f>
        <v>1476987.2775000001</v>
      </c>
      <c r="F31" s="13">
        <f t="shared" ref="F31:F34" si="9">DAYS360(C31,D31)+1</f>
        <v>171</v>
      </c>
      <c r="G31" s="13">
        <f t="shared" ref="G31:G34" si="10">(E31*F31*0.12)/360</f>
        <v>84188.274817500002</v>
      </c>
      <c r="H31" s="16"/>
      <c r="I31" s="16"/>
      <c r="J31" s="16"/>
      <c r="K31" s="16"/>
      <c r="L31" s="16"/>
      <c r="M31" s="16"/>
      <c r="N31" s="16"/>
    </row>
    <row r="32" spans="1:14" x14ac:dyDescent="0.25">
      <c r="A32" s="16"/>
      <c r="B32" s="17" t="s">
        <v>10</v>
      </c>
      <c r="C32" s="19">
        <v>42736</v>
      </c>
      <c r="D32" s="19">
        <v>42968</v>
      </c>
      <c r="E32" s="14">
        <f>+G25</f>
        <v>3961135.2549999999</v>
      </c>
      <c r="F32" s="13">
        <f t="shared" si="9"/>
        <v>231</v>
      </c>
      <c r="G32" s="13">
        <f t="shared" si="10"/>
        <v>305007.41463499994</v>
      </c>
      <c r="H32" s="16"/>
      <c r="I32" s="16"/>
      <c r="J32" s="16"/>
      <c r="K32" s="16"/>
      <c r="L32" s="16"/>
      <c r="M32" s="16"/>
      <c r="N32" s="16"/>
    </row>
    <row r="33" spans="1:14" x14ac:dyDescent="0.25">
      <c r="A33" s="16"/>
      <c r="B33" s="17" t="s">
        <v>10</v>
      </c>
      <c r="C33" s="19">
        <v>42969</v>
      </c>
      <c r="D33" s="19">
        <v>43100</v>
      </c>
      <c r="E33" s="14">
        <f>+G26</f>
        <v>972867.27777777775</v>
      </c>
      <c r="F33" s="13">
        <f t="shared" si="9"/>
        <v>130</v>
      </c>
      <c r="G33" s="13">
        <f t="shared" si="10"/>
        <v>42157.582037037035</v>
      </c>
      <c r="H33" s="16"/>
      <c r="I33" s="16"/>
      <c r="J33" s="16"/>
      <c r="K33" s="16"/>
      <c r="L33" s="16"/>
      <c r="M33" s="16"/>
      <c r="N33" s="16"/>
    </row>
    <row r="34" spans="1:14" x14ac:dyDescent="0.25">
      <c r="A34" s="16"/>
      <c r="B34" s="17" t="s">
        <v>10</v>
      </c>
      <c r="C34" s="19">
        <v>43101</v>
      </c>
      <c r="D34" s="19">
        <v>43180</v>
      </c>
      <c r="E34" s="14">
        <f>+G27</f>
        <v>502978.41</v>
      </c>
      <c r="F34" s="13">
        <f t="shared" si="9"/>
        <v>81</v>
      </c>
      <c r="G34" s="13">
        <f t="shared" si="10"/>
        <v>13580.41707</v>
      </c>
      <c r="H34" s="16"/>
      <c r="I34" s="16"/>
      <c r="J34" s="16"/>
      <c r="K34" s="16"/>
      <c r="L34" s="16"/>
      <c r="M34" s="16"/>
      <c r="N34" s="16"/>
    </row>
    <row r="35" spans="1:14" x14ac:dyDescent="0.25">
      <c r="A35" s="16"/>
      <c r="B35" s="16"/>
      <c r="C35" s="98" t="s">
        <v>11</v>
      </c>
      <c r="D35" s="98"/>
      <c r="E35" s="98"/>
      <c r="F35" s="98"/>
      <c r="G35" s="15">
        <f>SUM(G31:G34)</f>
        <v>444933.688559537</v>
      </c>
      <c r="H35" s="16"/>
      <c r="I35" s="16"/>
      <c r="J35" s="16"/>
      <c r="K35" s="16"/>
      <c r="L35" s="16"/>
      <c r="M35" s="16"/>
      <c r="N35" s="16"/>
    </row>
    <row r="36" spans="1:1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5">
      <c r="A37" s="16"/>
      <c r="B37" s="16"/>
      <c r="C37" s="11" t="s">
        <v>0</v>
      </c>
      <c r="D37" s="11" t="s">
        <v>1</v>
      </c>
      <c r="E37" s="11" t="s">
        <v>2</v>
      </c>
      <c r="F37" s="11" t="s">
        <v>3</v>
      </c>
      <c r="G37" s="12" t="s">
        <v>15</v>
      </c>
      <c r="H37" s="16"/>
      <c r="I37" s="16"/>
      <c r="J37" s="16"/>
      <c r="K37" s="16"/>
      <c r="L37" s="16"/>
      <c r="M37" s="16"/>
      <c r="N37" s="16"/>
    </row>
    <row r="38" spans="1:14" x14ac:dyDescent="0.25">
      <c r="A38" s="16"/>
      <c r="B38" s="16"/>
      <c r="C38" s="62">
        <v>42324</v>
      </c>
      <c r="D38" s="62">
        <v>43780</v>
      </c>
      <c r="E38" s="23">
        <v>3430000</v>
      </c>
      <c r="F38" s="13">
        <f>DAYS360(C38,D38)+1</f>
        <v>1436</v>
      </c>
      <c r="G38" s="13">
        <f>(E38*F38)/720</f>
        <v>6840944.444444444</v>
      </c>
      <c r="H38" s="16" t="s">
        <v>40</v>
      </c>
      <c r="I38" s="16"/>
      <c r="J38" s="16"/>
      <c r="K38" s="16"/>
      <c r="L38" s="16"/>
      <c r="M38" s="16"/>
      <c r="N38" s="16"/>
    </row>
    <row r="39" spans="1:14" x14ac:dyDescent="0.25">
      <c r="A39" s="16"/>
      <c r="B39" s="16"/>
      <c r="C39" s="62">
        <v>42324</v>
      </c>
      <c r="D39" s="62">
        <v>43780</v>
      </c>
      <c r="E39" s="23">
        <v>4450000</v>
      </c>
      <c r="F39" s="13">
        <f>DAYS360(C39,D39)+1</f>
        <v>1436</v>
      </c>
      <c r="G39" s="13">
        <f>(E39*F39)/720</f>
        <v>8875277.777777778</v>
      </c>
      <c r="H39" s="16" t="s">
        <v>41</v>
      </c>
      <c r="I39" s="16"/>
      <c r="J39" s="16"/>
      <c r="K39" s="16"/>
      <c r="L39" s="16"/>
      <c r="M39" s="16"/>
      <c r="N39" s="16"/>
    </row>
    <row r="40" spans="1:14" x14ac:dyDescent="0.25">
      <c r="A40" s="16"/>
      <c r="B40" s="16"/>
      <c r="C40" s="98" t="s">
        <v>11</v>
      </c>
      <c r="D40" s="98"/>
      <c r="E40" s="98"/>
      <c r="F40" s="98"/>
      <c r="G40" s="15">
        <f>G39-G38</f>
        <v>2034333.333333334</v>
      </c>
      <c r="H40" s="16"/>
      <c r="I40" s="16"/>
      <c r="J40" s="16"/>
      <c r="K40" s="16"/>
      <c r="L40" s="16"/>
      <c r="M40" s="16"/>
      <c r="N40" s="16"/>
    </row>
    <row r="41" spans="1:1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16"/>
      <c r="B42" s="16"/>
      <c r="C42" s="91" t="s">
        <v>18</v>
      </c>
      <c r="D42" s="92"/>
      <c r="E42" s="92"/>
      <c r="F42" s="93"/>
      <c r="G42" s="25">
        <f>F14+G21+G28+G35+G40</f>
        <v>30519401.762448423</v>
      </c>
      <c r="H42" s="16"/>
      <c r="I42" s="16"/>
      <c r="J42" s="16"/>
      <c r="K42" s="16"/>
      <c r="L42" s="16"/>
      <c r="M42" s="16"/>
      <c r="N42" s="16"/>
    </row>
    <row r="43" spans="1:1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</sheetData>
  <mergeCells count="10">
    <mergeCell ref="K10:N13"/>
    <mergeCell ref="K16:N21"/>
    <mergeCell ref="C42:F42"/>
    <mergeCell ref="B1:F1"/>
    <mergeCell ref="B2:H2"/>
    <mergeCell ref="B14:E14"/>
    <mergeCell ref="C21:F21"/>
    <mergeCell ref="C28:F28"/>
    <mergeCell ref="C35:F35"/>
    <mergeCell ref="C40:F40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</cp:lastModifiedBy>
  <cp:revision/>
  <dcterms:created xsi:type="dcterms:W3CDTF">2023-05-23T18:21:31Z</dcterms:created>
  <dcterms:modified xsi:type="dcterms:W3CDTF">2023-11-28T22:36:19Z</dcterms:modified>
  <cp:category/>
  <cp:contentStatus/>
</cp:coreProperties>
</file>