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ha2-my.sharepoint.com/personal/kgarcia_gha_com_co/Documents/KGARCIA - ACTUALIZADO/KGARCIA/PENDIENTES/CONTESTACIONES/ADMINISTRATIVO/CALI/13. ANA GLADYS POTES/"/>
    </mc:Choice>
  </mc:AlternateContent>
  <xr:revisionPtr revIDLastSave="400" documentId="13_ncr:1_{1D91D500-E111-46AB-A7AD-587A5C35AE46}" xr6:coauthVersionLast="47" xr6:coauthVersionMax="47" xr10:uidLastSave="{070F887A-85AE-41DD-BB91-F332ED6F9B43}"/>
  <bookViews>
    <workbookView xWindow="-120" yWindow="-120" windowWidth="24240" windowHeight="13020" xr2:uid="{00000000-000D-0000-FFFF-FFFF00000000}"/>
  </bookViews>
  <sheets>
    <sheet name="LUCRO CESANTE MUER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2" l="1"/>
  <c r="E6" i="2"/>
  <c r="E9" i="2" s="1"/>
  <c r="E12" i="2"/>
  <c r="M6" i="2"/>
  <c r="M8" i="2" s="1"/>
  <c r="M9" i="2" s="1"/>
  <c r="K6" i="2"/>
  <c r="K8" i="2" s="1"/>
  <c r="K9" i="2" s="1"/>
  <c r="I6" i="2"/>
  <c r="I7" i="2" s="1"/>
  <c r="G6" i="2"/>
  <c r="G8" i="2" s="1"/>
  <c r="G9" i="2" s="1"/>
  <c r="C13" i="2"/>
  <c r="E10" i="2"/>
  <c r="C9" i="2"/>
  <c r="C12" i="2" s="1"/>
  <c r="F24" i="2"/>
  <c r="F23" i="2"/>
  <c r="C23" i="2"/>
  <c r="C24" i="2" s="1"/>
  <c r="C15" i="2"/>
  <c r="E7" i="2" l="1"/>
  <c r="E13" i="2" s="1"/>
  <c r="M7" i="2"/>
  <c r="K7" i="2"/>
  <c r="G7" i="2"/>
  <c r="C25" i="2"/>
  <c r="C26" i="2" s="1"/>
  <c r="F25" i="2" s="1"/>
  <c r="I8" i="2"/>
  <c r="I9" i="2" s="1"/>
  <c r="C10" i="2"/>
  <c r="C16" i="2" s="1"/>
  <c r="J23" i="2" l="1"/>
  <c r="B85" i="2"/>
  <c r="C88" i="2" s="1"/>
  <c r="H23" i="2"/>
  <c r="B30" i="2" l="1"/>
  <c r="B74" i="2"/>
  <c r="C77" i="2" s="1"/>
  <c r="B63" i="2"/>
  <c r="B52" i="2"/>
  <c r="B41" i="2"/>
  <c r="C33" i="2"/>
  <c r="C59" i="2" l="1"/>
  <c r="C58" i="2"/>
  <c r="C55" i="2"/>
  <c r="C70" i="2"/>
  <c r="C66" i="2"/>
  <c r="C48" i="2"/>
  <c r="C46" i="2"/>
  <c r="C47" i="2"/>
  <c r="C44" i="2"/>
  <c r="F30" i="2" s="1"/>
  <c r="C34" i="2"/>
  <c r="F31" i="2" s="1"/>
  <c r="C37" i="2"/>
  <c r="F34" i="2" s="1"/>
  <c r="C35" i="2"/>
  <c r="C36" i="2"/>
  <c r="F33" i="2" s="1"/>
  <c r="F3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Kennie Lorena Garcia</author>
  </authors>
  <commentList>
    <comment ref="B5" authorId="0" shapeId="0" xr:uid="{00000000-0006-0000-01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1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D8" authorId="0" shapeId="0" xr:uid="{00000000-0006-0000-0100-000003000000}">
      <text>
        <r>
          <rPr>
            <b/>
            <sz val="9"/>
            <color indexed="81"/>
            <rFont val="Tahoma"/>
            <family val="2"/>
          </rPr>
          <t>Alejandro Herrera:</t>
        </r>
        <r>
          <rPr>
            <sz val="9"/>
            <color indexed="81"/>
            <rFont val="Tahoma"/>
            <family val="2"/>
          </rPr>
          <t xml:space="preserve">
https://www.arlsura.com/images/stories/documentos/r1555_2010.pdf</t>
        </r>
      </text>
    </comment>
    <comment ref="D10" authorId="0" shapeId="0" xr:uid="{00000000-0006-0000-0100-000004000000}">
      <text>
        <r>
          <rPr>
            <b/>
            <sz val="9"/>
            <color indexed="81"/>
            <rFont val="Tahoma"/>
            <family val="2"/>
          </rPr>
          <t>Alejandro Herrera:</t>
        </r>
        <r>
          <rPr>
            <sz val="9"/>
            <color indexed="81"/>
            <rFont val="Tahoma"/>
            <family val="2"/>
          </rPr>
          <t xml:space="preserve">
Desde el momento de la muerte hasta la expectativa de vida probable</t>
        </r>
      </text>
    </comment>
    <comment ref="B11" authorId="0" shapeId="0" xr:uid="{00000000-0006-0000-0100-000005000000}">
      <text>
        <r>
          <rPr>
            <b/>
            <sz val="9"/>
            <color indexed="81"/>
            <rFont val="Tahoma"/>
            <charset val="1"/>
          </rPr>
          <t>Alejandro Herrera:</t>
        </r>
        <r>
          <rPr>
            <sz val="9"/>
            <color indexed="81"/>
            <rFont val="Tahoma"/>
            <charset val="1"/>
          </rPr>
          <t xml:space="preserve">
https://www.arlsura.com/images/stories/documentos/r1555_2010.pdf</t>
        </r>
      </text>
    </comment>
    <comment ref="D12" authorId="0" shapeId="0" xr:uid="{00000000-0006-0000-0100-000006000000}">
      <text>
        <r>
          <rPr>
            <b/>
            <sz val="9"/>
            <color indexed="81"/>
            <rFont val="Tahoma"/>
            <family val="2"/>
          </rPr>
          <t>Alejandro Herrera:</t>
        </r>
        <r>
          <rPr>
            <sz val="9"/>
            <color indexed="81"/>
            <rFont val="Tahoma"/>
            <family val="2"/>
          </rPr>
          <t xml:space="preserve">
Desde el momento del fallecimiento del cónyuge hasta el momento de la liquidación (sentencia). </t>
        </r>
      </text>
    </comment>
    <comment ref="B13" authorId="0" shapeId="0" xr:uid="{00000000-0006-0000-0100-000007000000}">
      <text>
        <r>
          <rPr>
            <b/>
            <sz val="9"/>
            <color indexed="81"/>
            <rFont val="Tahoma"/>
            <family val="2"/>
          </rPr>
          <t>Alejandro Herrera:</t>
        </r>
        <r>
          <rPr>
            <sz val="9"/>
            <color indexed="81"/>
            <rFont val="Tahoma"/>
            <family val="2"/>
          </rPr>
          <t xml:space="preserve">
Desde el momento de la muerte hasta la expectativa de vida probable</t>
        </r>
      </text>
    </comment>
    <comment ref="D13" authorId="0" shapeId="0" xr:uid="{00000000-0006-0000-0100-000008000000}">
      <text>
        <r>
          <rPr>
            <b/>
            <sz val="9"/>
            <color indexed="81"/>
            <rFont val="Tahoma"/>
            <family val="2"/>
          </rPr>
          <t>Alejandro Herrera:</t>
        </r>
        <r>
          <rPr>
            <sz val="9"/>
            <color indexed="81"/>
            <rFont val="Tahoma"/>
            <family val="2"/>
          </rPr>
          <t xml:space="preserve">
Desde el momento de la liquidación (sentencia), hasta la expectativa de vida del cónyuge, descontando los meses que constituyen la edad y los meses de la liquidación de lucro cesante consolidado.</t>
        </r>
      </text>
    </comment>
    <comment ref="B15" authorId="0" shapeId="0" xr:uid="{00000000-0006-0000-0100-000009000000}">
      <text>
        <r>
          <rPr>
            <b/>
            <sz val="9"/>
            <color indexed="81"/>
            <rFont val="Tahoma"/>
            <charset val="1"/>
          </rPr>
          <t>Alejandro Herrera:</t>
        </r>
        <r>
          <rPr>
            <sz val="9"/>
            <color indexed="81"/>
            <rFont val="Tahoma"/>
            <charset val="1"/>
          </rPr>
          <t xml:space="preserve">
Desde el momento del fallecimiento hasta el momento de la liquidación (sentencia). </t>
        </r>
      </text>
    </comment>
    <comment ref="B16" authorId="0" shapeId="0" xr:uid="{00000000-0006-0000-0100-00000A000000}">
      <text>
        <r>
          <rPr>
            <b/>
            <sz val="9"/>
            <color indexed="81"/>
            <rFont val="Tahoma"/>
            <family val="2"/>
          </rPr>
          <t>Alejandro Herrera:</t>
        </r>
        <r>
          <rPr>
            <sz val="9"/>
            <color indexed="81"/>
            <rFont val="Tahoma"/>
            <family val="2"/>
          </rPr>
          <t xml:space="preserve">
Desde el momento de la liquidación (sentencia), hasta la expectativa de vida del fallecido, descontando los meses que constituyen la edad y los meses de la liquidación de lucro cesante consolidado.</t>
        </r>
      </text>
    </comment>
    <comment ref="E22" authorId="0" shapeId="0" xr:uid="{00000000-0006-0000-0100-00000D000000}">
      <text>
        <r>
          <rPr>
            <b/>
            <sz val="9"/>
            <color indexed="81"/>
            <rFont val="Tahoma"/>
            <family val="2"/>
          </rPr>
          <t>Alejandro Herrera:</t>
        </r>
        <r>
          <rPr>
            <sz val="9"/>
            <color indexed="81"/>
            <rFont val="Tahoma"/>
            <family val="2"/>
          </rPr>
          <t xml:space="preserve">
Renta Actualizada = Renta histórica * (IPC FINAL / IPC INICIAL)</t>
        </r>
      </text>
    </comment>
    <comment ref="B24" authorId="0" shapeId="0" xr:uid="{00000000-0006-0000-0100-00000E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6" authorId="0" shapeId="0" xr:uid="{00000000-0006-0000-0100-00000F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 ref="B29" authorId="0" shapeId="0" xr:uid="{00000000-0006-0000-0100-000010000000}">
      <text>
        <r>
          <rPr>
            <b/>
            <sz val="9"/>
            <color indexed="81"/>
            <rFont val="Tahoma"/>
            <family val="2"/>
          </rPr>
          <t>Alejandro Herrera:</t>
        </r>
        <r>
          <rPr>
            <sz val="9"/>
            <color indexed="81"/>
            <rFont val="Tahoma"/>
            <family val="2"/>
          </rPr>
          <t xml:space="preserve">
Desde el momento del fallecimiento hasta que el primero de los hijos cumple los 25 años</t>
        </r>
      </text>
    </comment>
    <comment ref="B40" authorId="0" shapeId="0" xr:uid="{00000000-0006-0000-0100-000011000000}">
      <text>
        <r>
          <rPr>
            <b/>
            <sz val="9"/>
            <color indexed="81"/>
            <rFont val="Tahoma"/>
            <family val="2"/>
          </rPr>
          <t>Alejandro Herrera:</t>
        </r>
        <r>
          <rPr>
            <sz val="9"/>
            <color indexed="81"/>
            <rFont val="Tahoma"/>
            <family val="2"/>
          </rPr>
          <t xml:space="preserve">
Entre la fecha en que el primer hijo cumple los 25 años y la fecha en la que el segundo hijo cumple los 25 años</t>
        </r>
      </text>
    </comment>
    <comment ref="B45" authorId="1" shapeId="0" xr:uid="{7BDAAD44-0C5A-4800-B3E8-7EB317C31EDB}">
      <text>
        <r>
          <rPr>
            <b/>
            <sz val="9"/>
            <color indexed="81"/>
            <rFont val="Tahoma"/>
            <family val="2"/>
          </rPr>
          <t>Kennie Lorena Garcia:</t>
        </r>
        <r>
          <rPr>
            <sz val="9"/>
            <color indexed="81"/>
            <rFont val="Tahoma"/>
            <family val="2"/>
          </rPr>
          <t xml:space="preserve">
Como ya cumplió los 25, se debe acresentar su porción entre los demás beneficiarios.</t>
        </r>
      </text>
    </comment>
    <comment ref="B51" authorId="0" shapeId="0" xr:uid="{8CFE91AD-1C2F-448C-B4C8-258ADEF0A81D}">
      <text>
        <r>
          <rPr>
            <b/>
            <sz val="9"/>
            <color indexed="81"/>
            <rFont val="Tahoma"/>
            <family val="2"/>
          </rPr>
          <t>Alejandro Herrera:</t>
        </r>
        <r>
          <rPr>
            <sz val="9"/>
            <color indexed="81"/>
            <rFont val="Tahoma"/>
            <family val="2"/>
          </rPr>
          <t xml:space="preserve">
Entre la fecha en que el segundo hijo cumple los 25 años y la fecha en la que el tercer hijo cumple los 25 años.
</t>
        </r>
      </text>
    </comment>
    <comment ref="B56" authorId="1" shapeId="0" xr:uid="{E696E959-3A18-454F-AA4C-87A999871FE7}">
      <text>
        <r>
          <rPr>
            <b/>
            <sz val="9"/>
            <color indexed="81"/>
            <rFont val="Tahoma"/>
            <family val="2"/>
          </rPr>
          <t>Kennie Lorena Garcia:</t>
        </r>
        <r>
          <rPr>
            <sz val="9"/>
            <color indexed="81"/>
            <rFont val="Tahoma"/>
            <family val="2"/>
          </rPr>
          <t xml:space="preserve">
Como ya cumplió los 25, se debe acresentar su porción entre los demás beneficiarios.</t>
        </r>
      </text>
    </comment>
    <comment ref="B57" authorId="1" shapeId="0" xr:uid="{ABF0EBBA-C78B-4973-AB1B-EA0966E5AFB1}">
      <text>
        <r>
          <rPr>
            <b/>
            <sz val="9"/>
            <color indexed="81"/>
            <rFont val="Tahoma"/>
            <family val="2"/>
          </rPr>
          <t xml:space="preserve">Kennie Lorena Garcia:
</t>
        </r>
        <r>
          <rPr>
            <sz val="9"/>
            <color indexed="81"/>
            <rFont val="Tahoma"/>
            <family val="2"/>
          </rPr>
          <t>Como ya cumplió los 25, se debe acresentar su porción entre los demás beneficiarios.</t>
        </r>
      </text>
    </comment>
    <comment ref="B62" authorId="0" shapeId="0" xr:uid="{39179B07-2E99-4B01-8CF7-78B12C8FA098}">
      <text>
        <r>
          <rPr>
            <b/>
            <sz val="9"/>
            <color indexed="81"/>
            <rFont val="Tahoma"/>
            <family val="2"/>
          </rPr>
          <t>Alejandro Herrera:</t>
        </r>
        <r>
          <rPr>
            <sz val="9"/>
            <color indexed="81"/>
            <rFont val="Tahoma"/>
            <family val="2"/>
          </rPr>
          <t xml:space="preserve">
Entre la fecha en que el tercer hijo cumple los 25 años y la fecha en la que el cuarto hijo cumple los 25 años.
</t>
        </r>
      </text>
    </comment>
    <comment ref="B67" authorId="1" shapeId="0" xr:uid="{3690095C-EBFA-4F8C-8F48-A29E506A1186}">
      <text>
        <r>
          <rPr>
            <b/>
            <sz val="9"/>
            <color indexed="81"/>
            <rFont val="Tahoma"/>
            <family val="2"/>
          </rPr>
          <t>Kennie Lorena Garcia:</t>
        </r>
        <r>
          <rPr>
            <sz val="9"/>
            <color indexed="81"/>
            <rFont val="Tahoma"/>
            <family val="2"/>
          </rPr>
          <t xml:space="preserve">
Como ya cumplió los 25, se debe acresentar su porción entre los demás beneficiarios.</t>
        </r>
      </text>
    </comment>
    <comment ref="B68" authorId="1" shapeId="0" xr:uid="{F395DBC6-0481-46EB-ACDC-0D6836E81982}">
      <text>
        <r>
          <rPr>
            <b/>
            <sz val="9"/>
            <color indexed="81"/>
            <rFont val="Tahoma"/>
            <family val="2"/>
          </rPr>
          <t xml:space="preserve">Kennie Lorena Garcia:
</t>
        </r>
        <r>
          <rPr>
            <sz val="9"/>
            <color indexed="81"/>
            <rFont val="Tahoma"/>
            <family val="2"/>
          </rPr>
          <t>Como ya cumplió los 25, se debe acresentar su porción entre los demás beneficiarios.</t>
        </r>
      </text>
    </comment>
    <comment ref="B69" authorId="1" shapeId="0" xr:uid="{447DF0AF-BECC-4743-A1DB-26BB9CF807AB}">
      <text>
        <r>
          <rPr>
            <b/>
            <sz val="9"/>
            <color indexed="81"/>
            <rFont val="Tahoma"/>
            <family val="2"/>
          </rPr>
          <t>Kennie Lorena Garcia:</t>
        </r>
        <r>
          <rPr>
            <sz val="9"/>
            <color indexed="81"/>
            <rFont val="Tahoma"/>
            <family val="2"/>
          </rPr>
          <t xml:space="preserve">
Como ya cumplió los 25, se debe acresentar su porción entre los demás beneficiarios.</t>
        </r>
      </text>
    </comment>
    <comment ref="B73" authorId="0" shapeId="0" xr:uid="{00000000-0006-0000-0100-000013000000}">
      <text>
        <r>
          <rPr>
            <b/>
            <sz val="9"/>
            <color indexed="81"/>
            <rFont val="Tahoma"/>
            <family val="2"/>
          </rPr>
          <t>Alejandro Herrera:</t>
        </r>
        <r>
          <rPr>
            <sz val="9"/>
            <color indexed="81"/>
            <rFont val="Tahoma"/>
            <family val="2"/>
          </rPr>
          <t xml:space="preserve">
Desde el momento en que el cuarto hijo cumple los 25 años hasta el tiempo de la liquidación. </t>
        </r>
      </text>
    </comment>
    <comment ref="B77" authorId="0" shapeId="0" xr:uid="{00000000-0006-0000-0100-000014000000}">
      <text>
        <r>
          <rPr>
            <b/>
            <sz val="9"/>
            <color indexed="81"/>
            <rFont val="Tahoma"/>
            <family val="2"/>
          </rPr>
          <t>Alejandro Herrera:</t>
        </r>
        <r>
          <rPr>
            <sz val="9"/>
            <color indexed="81"/>
            <rFont val="Tahoma"/>
            <family val="2"/>
          </rPr>
          <t xml:space="preserve">
Hay una posición jurisprudencial que indica que con la mayoría de independencia ecónomica de los hijos, el padre habiendo estado en vida hubiera tenido una liberación ecónomica, por lo que sus gastos personales no se van a tomar como del 25%, sino del 50%, negando así el acrecentamiento para la cónyuge. </t>
        </r>
      </text>
    </comment>
    <comment ref="B88" authorId="0" shapeId="0" xr:uid="{00000000-0006-0000-0100-000015000000}">
      <text>
        <r>
          <rPr>
            <b/>
            <sz val="9"/>
            <color indexed="81"/>
            <rFont val="Tahoma"/>
            <family val="2"/>
          </rPr>
          <t>Alejandro Herrera:</t>
        </r>
        <r>
          <rPr>
            <sz val="9"/>
            <color indexed="81"/>
            <rFont val="Tahoma"/>
            <family val="2"/>
          </rPr>
          <t xml:space="preserve">
Hay una posición jurisprudencial que indica que con la mayoría de independencia ecónomica de los hijos, el padre habiendo estado en vida hubiera tenido una liberación ecónomica, por lo que sus gastos personales no se van a tomar como del 25%, sino del 50%, negando así el acrecentamiento para la cónyuge. </t>
        </r>
      </text>
    </comment>
  </commentList>
</comments>
</file>

<file path=xl/sharedStrings.xml><?xml version="1.0" encoding="utf-8"?>
<sst xmlns="http://schemas.openxmlformats.org/spreadsheetml/2006/main" count="129" uniqueCount="63">
  <si>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</si>
  <si>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</si>
  <si>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</si>
  <si>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</si>
  <si>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</si>
  <si>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</si>
  <si>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</si>
  <si>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</si>
  <si>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</si>
  <si>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IPC Final</t>
  </si>
  <si>
    <t xml:space="preserve">IPC Inicial </t>
  </si>
  <si>
    <t>INFORMACIÓN DEL PROCESO</t>
  </si>
  <si>
    <t xml:space="preserve">Fecha nacimiento </t>
  </si>
  <si>
    <t>Expectativa vida probable</t>
  </si>
  <si>
    <t xml:space="preserve">Fecha de liquidación </t>
  </si>
  <si>
    <t>Constante (i)</t>
  </si>
  <si>
    <t>LUCRO CESANTE FUTURO</t>
  </si>
  <si>
    <t>Meses lucro consolidado</t>
  </si>
  <si>
    <t>Meses lucro futuro</t>
  </si>
  <si>
    <t>25% DE MANUTENCIÓN</t>
  </si>
  <si>
    <t>FALLECIDO</t>
  </si>
  <si>
    <t>Fecha fallecimiento</t>
  </si>
  <si>
    <t>Fecha nacimiento</t>
  </si>
  <si>
    <t>Fecha fallecimiento cónyuge</t>
  </si>
  <si>
    <t>Edad fecha fallec. Cónyuge</t>
  </si>
  <si>
    <t>Edad meses momento fallec. cónyuge</t>
  </si>
  <si>
    <t>Expectativa de vida probable</t>
  </si>
  <si>
    <t>Vida probable meses total</t>
  </si>
  <si>
    <t>Tiempo a liquidar Expectativa de vida</t>
  </si>
  <si>
    <t>Edad al momento del fallecimiento</t>
  </si>
  <si>
    <t>Edad meses al momento fallecimiento</t>
  </si>
  <si>
    <t xml:space="preserve">Fecha liquidación </t>
  </si>
  <si>
    <t>Fecha fallecimiento padre</t>
  </si>
  <si>
    <t>Edad al momento fallec. Padre</t>
  </si>
  <si>
    <t>Edad meses momento fallec. Padre</t>
  </si>
  <si>
    <t>Años restantes para cumplir 25</t>
  </si>
  <si>
    <t>Meses restantes para cumplir 25</t>
  </si>
  <si>
    <t>TOTAL LUCRO CESANTE CONSOLIDADO</t>
  </si>
  <si>
    <t>PRIMERA LIQUIDACIÓN: RENTA CONSOLIDADA</t>
  </si>
  <si>
    <t>VALOR PARA CADA UNO PRIMERA LIQUIDACIÓN</t>
  </si>
  <si>
    <t>Cónyuge</t>
  </si>
  <si>
    <t>Primer hijo</t>
  </si>
  <si>
    <t>Segundo hijo</t>
  </si>
  <si>
    <t>SEGUNDA LIQUIDACIÓN: RENTA CONSOLIDADA</t>
  </si>
  <si>
    <t>VALOR PARA CADA UNO SEGUNDA LIQUIDACIÓN</t>
  </si>
  <si>
    <t>YA CUMPLIÓ 25</t>
  </si>
  <si>
    <t>TERCERA LIQUIDACIÓN: RENTA CONSOLIDADA</t>
  </si>
  <si>
    <t>TOTAL A PAGAR POR LUCRO CESANTE A CADA UNO</t>
  </si>
  <si>
    <t>CÓNYUGE - ANA GLADYS POTES LOJAS</t>
  </si>
  <si>
    <t xml:space="preserve">HIJO 1 - JUAN SEBASTIAN POTES LOJAS </t>
  </si>
  <si>
    <t xml:space="preserve">HIJO 2 - CELESTE VERGARA POTES </t>
  </si>
  <si>
    <t xml:space="preserve">HIJO 3 -  SAMARA VERGARA POTES </t>
  </si>
  <si>
    <t>HIJO 4 - FERNANDA VERGARA POTES</t>
  </si>
  <si>
    <t>Tercer hijo</t>
  </si>
  <si>
    <t>Cuarto hijo</t>
  </si>
  <si>
    <t>CUARTO LIQUIDACIÓN: RENTA CONSOLIDADA</t>
  </si>
  <si>
    <t>QUINTA LIQUIDACIÓN: RENTA CONSOLIDADA</t>
  </si>
  <si>
    <t>SEXTA LIQUIDACIÓN: RENTA FUTURA</t>
  </si>
  <si>
    <t>VALOR PARA CADA UNO TERCERA LIQUIDACIÓN</t>
  </si>
  <si>
    <t>VALOR PARA CADA UNO CUARTA LIQUIDACIÓN</t>
  </si>
  <si>
    <t xml:space="preserve">VALOR PARA CADA UNO QUINTA LIQUIDACIÓN </t>
  </si>
  <si>
    <t xml:space="preserve">VALOR PARA CADA UNO SEXTA LIQUIDACIÓN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</si>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</sst>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quot;$&quot;\ * #,##0.00_-;\-&quot;$&quot;\ * #,##0.00_-;_-&quot;$&quot;\ * &quot;-&quot;_-;_-@_-"/>
    <numFmt numFmtId="167" formatCode="0.0000"/>
    <numFmt numFmtId="168" formatCode="0.00000000"/>
    <numFmt numFmtId="169" formatCode="_-* #,##0.00_-;\-* #,##0.0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14"/>
      <color theme="1"/>
      <name val="Calibri"/>
      <family val="2"/>
      <scheme val="minor"/>
    </font>
    <font>
      <sz val="8"/>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9BE5FF"/>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3">
    <xf numFmtId="0" fontId="0" fillId="0" borderId="0" xfId="0"/>
    <xf numFmtId="164"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4" xfId="0"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0" fontId="2" fillId="0" borderId="1" xfId="0" applyFont="1" applyBorder="1"/>
    <xf numFmtId="14" fontId="0" fillId="0" borderId="1" xfId="2" applyNumberFormat="1" applyFont="1" applyBorder="1"/>
    <xf numFmtId="0" fontId="2" fillId="0" borderId="7" xfId="0" applyFont="1" applyBorder="1"/>
    <xf numFmtId="167" fontId="0" fillId="0" borderId="8" xfId="0" applyNumberFormat="1" applyBorder="1"/>
    <xf numFmtId="168" fontId="0" fillId="0" borderId="1" xfId="0" applyNumberFormat="1" applyBorder="1"/>
    <xf numFmtId="167" fontId="0" fillId="0" borderId="1" xfId="0" applyNumberFormat="1" applyBorder="1"/>
    <xf numFmtId="167" fontId="0" fillId="0" borderId="6" xfId="0" applyNumberFormat="1" applyBorder="1"/>
    <xf numFmtId="14" fontId="0" fillId="0" borderId="1" xfId="0" applyNumberFormat="1" applyBorder="1"/>
    <xf numFmtId="165" fontId="0" fillId="0" borderId="0" xfId="0" applyNumberFormat="1"/>
    <xf numFmtId="2" fontId="0" fillId="0" borderId="8" xfId="0" applyNumberFormat="1" applyBorder="1"/>
    <xf numFmtId="169" fontId="0" fillId="0" borderId="1" xfId="3" applyNumberFormat="1" applyFont="1" applyBorder="1"/>
    <xf numFmtId="169" fontId="0" fillId="0" borderId="1" xfId="0" applyNumberFormat="1" applyBorder="1"/>
    <xf numFmtId="0" fontId="5" fillId="2" borderId="1" xfId="0" applyFont="1" applyFill="1" applyBorder="1" applyAlignment="1">
      <alignment horizontal="center" vertical="center" wrapText="1"/>
    </xf>
    <xf numFmtId="167" fontId="0" fillId="0" borderId="0" xfId="0" applyNumberFormat="1"/>
    <xf numFmtId="2" fontId="0" fillId="0" borderId="0" xfId="0" applyNumberFormat="1"/>
    <xf numFmtId="14" fontId="0" fillId="0" borderId="3" xfId="0" applyNumberFormat="1" applyBorder="1"/>
    <xf numFmtId="0" fontId="2" fillId="0" borderId="9" xfId="0" applyFont="1" applyBorder="1"/>
    <xf numFmtId="2" fontId="0" fillId="0" borderId="4" xfId="0" applyNumberFormat="1" applyBorder="1"/>
    <xf numFmtId="2" fontId="0" fillId="0" borderId="1" xfId="0" applyNumberFormat="1" applyBorder="1"/>
    <xf numFmtId="2" fontId="0" fillId="5" borderId="1" xfId="0" applyNumberFormat="1" applyFill="1" applyBorder="1"/>
    <xf numFmtId="0" fontId="0" fillId="5" borderId="8" xfId="0" applyFill="1" applyBorder="1"/>
    <xf numFmtId="0" fontId="2" fillId="0" borderId="1" xfId="0" applyFont="1" applyBorder="1" applyAlignment="1">
      <alignment horizontal="left"/>
    </xf>
    <xf numFmtId="167" fontId="0" fillId="0" borderId="8" xfId="0" applyNumberFormat="1" applyBorder="1" applyAlignment="1">
      <alignment horizontal="right"/>
    </xf>
    <xf numFmtId="2" fontId="0" fillId="7" borderId="6" xfId="0" applyNumberFormat="1" applyFill="1" applyBorder="1"/>
    <xf numFmtId="2" fontId="0" fillId="7" borderId="1" xfId="0" applyNumberFormat="1" applyFill="1" applyBorder="1"/>
    <xf numFmtId="166" fontId="0" fillId="0" borderId="0" xfId="1" applyNumberFormat="1" applyFont="1" applyBorder="1" applyAlignment="1">
      <alignment horizontal="right" vertical="center"/>
    </xf>
    <xf numFmtId="0" fontId="2" fillId="8" borderId="0" xfId="0" applyFont="1" applyFill="1" applyAlignment="1">
      <alignment horizontal="center" vertical="center" wrapText="1"/>
    </xf>
    <xf numFmtId="0" fontId="0" fillId="8" borderId="0" xfId="0" applyFill="1"/>
    <xf numFmtId="0" fontId="0" fillId="0" borderId="0" xfId="1" applyNumberFormat="1" applyFont="1"/>
    <xf numFmtId="164" fontId="0" fillId="8" borderId="0" xfId="1" applyFont="1" applyFill="1" applyBorder="1"/>
    <xf numFmtId="0" fontId="0" fillId="2" borderId="1" xfId="0" applyFill="1" applyBorder="1"/>
    <xf numFmtId="0" fontId="0" fillId="2" borderId="1" xfId="0" applyFill="1" applyBorder="1" applyAlignment="1">
      <alignment horizontal="center" vertical="center"/>
    </xf>
    <xf numFmtId="164" fontId="0" fillId="2" borderId="1" xfId="0" applyNumberFormat="1" applyFill="1" applyBorder="1"/>
    <xf numFmtId="0" fontId="0" fillId="6" borderId="1" xfId="0" applyFill="1" applyBorder="1"/>
    <xf numFmtId="164" fontId="0" fillId="6" borderId="1" xfId="0" applyNumberFormat="1" applyFill="1" applyBorder="1"/>
    <xf numFmtId="0" fontId="0" fillId="8" borderId="1" xfId="0" applyFill="1" applyBorder="1"/>
    <xf numFmtId="164" fontId="0" fillId="8" borderId="1" xfId="0" applyNumberFormat="1" applyFill="1" applyBorder="1"/>
    <xf numFmtId="0" fontId="0" fillId="8" borderId="9" xfId="0" applyFill="1" applyBorder="1"/>
    <xf numFmtId="164" fontId="0" fillId="8" borderId="6" xfId="1" applyFont="1" applyFill="1" applyBorder="1"/>
    <xf numFmtId="0" fontId="0" fillId="5" borderId="1" xfId="0" applyFill="1" applyBorder="1"/>
    <xf numFmtId="165" fontId="0" fillId="5" borderId="1" xfId="0" applyNumberFormat="1" applyFill="1" applyBorder="1"/>
    <xf numFmtId="0" fontId="0" fillId="10" borderId="1" xfId="0" applyFill="1" applyBorder="1"/>
    <xf numFmtId="164" fontId="0" fillId="10" borderId="1" xfId="0" applyNumberFormat="1" applyFill="1" applyBorder="1"/>
    <xf numFmtId="164" fontId="0" fillId="6" borderId="1" xfId="1" applyFont="1" applyFill="1" applyBorder="1"/>
    <xf numFmtId="0" fontId="0" fillId="11" borderId="1" xfId="0" applyFill="1" applyBorder="1"/>
    <xf numFmtId="164" fontId="0" fillId="11" borderId="1" xfId="0" applyNumberFormat="1" applyFill="1" applyBorder="1"/>
    <xf numFmtId="0" fontId="0" fillId="11" borderId="1" xfId="0" applyFill="1" applyBorder="1" applyAlignment="1">
      <alignment horizontal="center"/>
    </xf>
    <xf numFmtId="164" fontId="0" fillId="11" borderId="1" xfId="1" applyFont="1" applyFill="1" applyBorder="1"/>
    <xf numFmtId="0" fontId="0" fillId="6" borderId="1" xfId="0" applyFill="1" applyBorder="1" applyAlignment="1">
      <alignment horizontal="right"/>
    </xf>
    <xf numFmtId="164" fontId="0" fillId="10" borderId="1" xfId="0" applyNumberFormat="1" applyFill="1" applyBorder="1" applyAlignment="1">
      <alignment horizontal="right"/>
    </xf>
    <xf numFmtId="43" fontId="0" fillId="11" borderId="1" xfId="1" applyNumberFormat="1" applyFont="1" applyFill="1" applyBorder="1" applyAlignment="1">
      <alignment horizontal="center"/>
    </xf>
    <xf numFmtId="0" fontId="0" fillId="12" borderId="1" xfId="0" applyFill="1" applyBorder="1"/>
    <xf numFmtId="164" fontId="0" fillId="12" borderId="1" xfId="0" applyNumberFormat="1" applyFill="1" applyBorder="1"/>
    <xf numFmtId="164" fontId="0" fillId="12" borderId="1" xfId="0" applyNumberFormat="1" applyFill="1" applyBorder="1" applyAlignment="1">
      <alignment horizontal="center"/>
    </xf>
    <xf numFmtId="0" fontId="0" fillId="12" borderId="1" xfId="0" applyFill="1" applyBorder="1" applyAlignment="1">
      <alignment horizontal="center" vertical="center"/>
    </xf>
    <xf numFmtId="164" fontId="0" fillId="8" borderId="1" xfId="0" applyNumberFormat="1" applyFill="1" applyBorder="1" applyAlignment="1">
      <alignment horizontal="center"/>
    </xf>
    <xf numFmtId="164" fontId="0" fillId="0" borderId="6" xfId="1" applyFont="1" applyBorder="1"/>
    <xf numFmtId="164" fontId="0" fillId="0" borderId="1" xfId="1" applyFont="1" applyBorder="1" applyAlignment="1">
      <alignment horizontal="right" vertical="center"/>
    </xf>
    <xf numFmtId="164" fontId="0" fillId="0" borderId="1" xfId="1" applyFont="1" applyBorder="1"/>
    <xf numFmtId="164" fontId="0" fillId="0" borderId="3" xfId="1" applyFont="1" applyBorder="1" applyAlignment="1">
      <alignment horizontal="right" vertical="center"/>
    </xf>
    <xf numFmtId="164" fontId="0" fillId="0" borderId="1" xfId="3" applyNumberFormat="1" applyFont="1" applyBorder="1" applyAlignment="1">
      <alignment horizontal="right" vertical="center"/>
    </xf>
    <xf numFmtId="0" fontId="2" fillId="11" borderId="1" xfId="0" applyFont="1" applyFill="1" applyBorder="1" applyAlignment="1">
      <alignment horizontal="center"/>
    </xf>
    <xf numFmtId="0" fontId="5" fillId="6" borderId="5" xfId="0" applyFont="1" applyFill="1" applyBorder="1" applyAlignment="1">
      <alignment horizontal="center" wrapText="1"/>
    </xf>
    <xf numFmtId="0" fontId="5" fillId="6" borderId="6" xfId="0" applyFont="1" applyFill="1" applyBorder="1" applyAlignment="1">
      <alignment horizontal="center" wrapText="1"/>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2" fillId="6" borderId="7" xfId="0" applyFont="1" applyFill="1" applyBorder="1" applyAlignment="1">
      <alignment horizontal="center"/>
    </xf>
    <xf numFmtId="0" fontId="2" fillId="6" borderId="8" xfId="0" applyFont="1" applyFill="1" applyBorder="1" applyAlignment="1">
      <alignment horizontal="center"/>
    </xf>
    <xf numFmtId="164" fontId="0" fillId="6" borderId="5" xfId="1" applyFont="1" applyFill="1" applyBorder="1" applyAlignment="1">
      <alignment horizontal="center"/>
    </xf>
    <xf numFmtId="164" fontId="0" fillId="6" borderId="6" xfId="1" applyFont="1" applyFill="1" applyBorder="1" applyAlignment="1">
      <alignment horizontal="center"/>
    </xf>
    <xf numFmtId="0" fontId="2" fillId="6" borderId="1" xfId="0" applyFont="1" applyFill="1" applyBorder="1" applyAlignment="1">
      <alignment horizontal="center"/>
    </xf>
    <xf numFmtId="0" fontId="2" fillId="12" borderId="2" xfId="0" applyFont="1" applyFill="1" applyBorder="1" applyAlignment="1">
      <alignment horizontal="center"/>
    </xf>
    <xf numFmtId="0" fontId="2" fillId="12" borderId="3" xfId="0" applyFont="1" applyFill="1" applyBorder="1" applyAlignment="1">
      <alignment horizontal="center"/>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164" fontId="0" fillId="2" borderId="7" xfId="1" applyFont="1" applyFill="1" applyBorder="1" applyAlignment="1">
      <alignment horizontal="center"/>
    </xf>
    <xf numFmtId="164" fontId="0" fillId="2" borderId="8" xfId="1"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164" fontId="0" fillId="12" borderId="7" xfId="1" applyFont="1" applyFill="1" applyBorder="1" applyAlignment="1">
      <alignment horizontal="center"/>
    </xf>
    <xf numFmtId="164" fontId="0" fillId="12" borderId="8" xfId="1" applyFont="1" applyFill="1" applyBorder="1" applyAlignment="1">
      <alignment horizontal="center"/>
    </xf>
    <xf numFmtId="0" fontId="2" fillId="10" borderId="7" xfId="0" applyFont="1" applyFill="1" applyBorder="1" applyAlignment="1">
      <alignment horizontal="center"/>
    </xf>
    <xf numFmtId="0" fontId="2" fillId="10" borderId="8" xfId="0" applyFont="1" applyFill="1" applyBorder="1" applyAlignment="1">
      <alignment horizontal="center"/>
    </xf>
    <xf numFmtId="164" fontId="0" fillId="10" borderId="5" xfId="1" applyFont="1" applyFill="1" applyBorder="1" applyAlignment="1">
      <alignment horizontal="center"/>
    </xf>
    <xf numFmtId="164" fontId="0" fillId="10" borderId="6" xfId="1" applyFont="1" applyFill="1" applyBorder="1" applyAlignment="1">
      <alignment horizontal="center"/>
    </xf>
    <xf numFmtId="0" fontId="2" fillId="10" borderId="1" xfId="0" applyFont="1" applyFill="1" applyBorder="1" applyAlignment="1">
      <alignment horizontal="center"/>
    </xf>
    <xf numFmtId="164" fontId="0" fillId="11" borderId="5" xfId="1" applyFont="1" applyFill="1" applyBorder="1" applyAlignment="1">
      <alignment horizontal="center"/>
    </xf>
    <xf numFmtId="164" fontId="0" fillId="11" borderId="6" xfId="1" applyFont="1" applyFill="1" applyBorder="1" applyAlignment="1">
      <alignment horizontal="center"/>
    </xf>
    <xf numFmtId="0" fontId="2" fillId="11" borderId="7" xfId="0" applyFont="1" applyFill="1" applyBorder="1" applyAlignment="1">
      <alignment horizontal="center"/>
    </xf>
    <xf numFmtId="0" fontId="2" fillId="11" borderId="8" xfId="0" applyFont="1" applyFill="1" applyBorder="1" applyAlignment="1">
      <alignment horizont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4" fontId="0" fillId="0" borderId="5" xfId="1" applyFont="1" applyBorder="1" applyAlignment="1">
      <alignment horizontal="center"/>
    </xf>
    <xf numFmtId="164" fontId="0" fillId="0" borderId="6" xfId="1" applyFont="1" applyBorder="1" applyAlignment="1">
      <alignment horizontal="center"/>
    </xf>
    <xf numFmtId="0" fontId="2" fillId="5" borderId="1" xfId="0" applyFont="1" applyFill="1" applyBorder="1" applyAlignment="1">
      <alignment horizontal="center"/>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166" fontId="0" fillId="5" borderId="5" xfId="1" applyNumberFormat="1" applyFont="1" applyFill="1" applyBorder="1" applyAlignment="1">
      <alignment horizontal="center"/>
    </xf>
    <xf numFmtId="166" fontId="0" fillId="5" borderId="6" xfId="1" applyNumberFormat="1" applyFont="1" applyFill="1" applyBorder="1" applyAlignment="1">
      <alignment horizontal="center"/>
    </xf>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2" fillId="6" borderId="5" xfId="0" applyFont="1" applyFill="1" applyBorder="1" applyAlignment="1">
      <alignment horizontal="center"/>
    </xf>
    <xf numFmtId="0" fontId="2" fillId="6" borderId="6" xfId="0" applyFont="1" applyFill="1" applyBorder="1" applyAlignment="1">
      <alignment horizontal="center"/>
    </xf>
    <xf numFmtId="0" fontId="0" fillId="8" borderId="11" xfId="0" applyFill="1" applyBorder="1"/>
    <xf numFmtId="164" fontId="0" fillId="8" borderId="4" xfId="1" applyFont="1" applyFill="1" applyBorder="1"/>
    <xf numFmtId="0" fontId="0" fillId="8" borderId="7" xfId="0" applyFill="1" applyBorder="1"/>
    <xf numFmtId="164" fontId="0" fillId="0" borderId="1" xfId="0" applyNumberFormat="1" applyBorder="1"/>
  </cellXfs>
  <cellStyles count="4">
    <cellStyle name="Millares [0]" xfId="3" builtinId="6"/>
    <cellStyle name="Moneda [0]" xfId="1" builtinId="7"/>
    <cellStyle name="Normal" xfId="0" builtinId="0"/>
    <cellStyle name="Porcentaje" xfId="2" builtinId="5"/>
  </cellStyles>
  <dxfs count="0"/>
  <tableStyles count="0" defaultTableStyle="TableStyleMedium2" defaultPivotStyle="PivotStyleLight16"/>
  <colors>
    <mruColors>
      <color rgb="FF9BE5FF"/>
      <color rgb="FF5DD5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92"/>
  <sheetViews>
    <sheetView tabSelected="1" topLeftCell="A22" zoomScale="95" zoomScaleNormal="95" workbookViewId="0">
      <selection activeCell="E29" sqref="E29:F35"/>
    </sheetView>
  </sheetViews>
  <sheetFormatPr baseColWidth="10" defaultRowHeight="15" x14ac:dyDescent="0.25"/>
  <cols>
    <col min="2" max="2" width="35.42578125" customWidth="1"/>
    <col min="3" max="3" width="21.5703125" customWidth="1"/>
    <col min="4" max="4" width="35.140625" customWidth="1"/>
    <col min="5" max="5" width="17.7109375" customWidth="1"/>
    <col min="6" max="6" width="32.5703125" customWidth="1"/>
    <col min="7" max="7" width="12.85546875" customWidth="1"/>
    <col min="8" max="8" width="32" customWidth="1"/>
    <col min="10" max="10" width="33.5703125" customWidth="1"/>
    <col min="11" max="11" width="20.42578125" customWidth="1"/>
    <col min="12" max="12" width="32.5703125" customWidth="1"/>
  </cols>
  <sheetData>
    <row r="1" spans="2:13" ht="15.75" thickBot="1" x14ac:dyDescent="0.3"/>
    <row r="2" spans="2:13" ht="42.75" customHeight="1" thickBot="1" x14ac:dyDescent="0.3">
      <c r="B2" s="72" t="s">
        <v>11</v>
      </c>
      <c r="C2" s="73"/>
      <c r="D2" s="73"/>
      <c r="E2" s="73"/>
      <c r="F2" s="73"/>
      <c r="G2" s="73"/>
      <c r="H2" s="73"/>
      <c r="I2" s="73"/>
      <c r="J2" s="73"/>
      <c r="K2" s="73"/>
      <c r="L2" s="73"/>
      <c r="M2" s="74"/>
    </row>
    <row r="3" spans="2:13" ht="16.5" thickBot="1" x14ac:dyDescent="0.3">
      <c r="B3" s="113" t="s">
        <v>20</v>
      </c>
      <c r="C3" s="114"/>
      <c r="D3" s="115" t="s">
        <v>48</v>
      </c>
      <c r="E3" s="116"/>
      <c r="F3" s="70" t="s">
        <v>49</v>
      </c>
      <c r="G3" s="71"/>
      <c r="H3" s="117" t="s">
        <v>50</v>
      </c>
      <c r="I3" s="118"/>
      <c r="J3" s="70" t="s">
        <v>51</v>
      </c>
      <c r="K3" s="71"/>
      <c r="L3" s="70" t="s">
        <v>52</v>
      </c>
      <c r="M3" s="71"/>
    </row>
    <row r="4" spans="2:13" ht="15.75" thickBot="1" x14ac:dyDescent="0.3">
      <c r="B4" s="8" t="s">
        <v>8</v>
      </c>
      <c r="C4" s="66">
        <v>1710863</v>
      </c>
      <c r="D4" s="8" t="s">
        <v>22</v>
      </c>
      <c r="E4" s="23">
        <v>32874</v>
      </c>
      <c r="F4" s="8" t="s">
        <v>22</v>
      </c>
      <c r="G4" s="15">
        <v>40234</v>
      </c>
      <c r="H4" s="10" t="s">
        <v>22</v>
      </c>
      <c r="I4" s="15">
        <v>42233</v>
      </c>
      <c r="J4" s="8" t="s">
        <v>22</v>
      </c>
      <c r="K4" s="15">
        <v>43176</v>
      </c>
      <c r="L4" s="8" t="s">
        <v>22</v>
      </c>
      <c r="M4" s="15">
        <v>44628</v>
      </c>
    </row>
    <row r="5" spans="2:13" ht="15.75" thickBot="1" x14ac:dyDescent="0.3">
      <c r="B5" s="8" t="s">
        <v>9</v>
      </c>
      <c r="C5" s="4">
        <v>143.66999999999999</v>
      </c>
      <c r="D5" s="24" t="s">
        <v>23</v>
      </c>
      <c r="E5" s="15">
        <v>44706</v>
      </c>
      <c r="F5" s="8" t="s">
        <v>32</v>
      </c>
      <c r="G5" s="15">
        <v>44706</v>
      </c>
      <c r="H5" s="8" t="s">
        <v>32</v>
      </c>
      <c r="I5" s="15">
        <v>44706</v>
      </c>
      <c r="J5" s="8" t="s">
        <v>32</v>
      </c>
      <c r="K5" s="15">
        <v>44706</v>
      </c>
      <c r="L5" s="8" t="s">
        <v>32</v>
      </c>
      <c r="M5" s="15">
        <v>44706</v>
      </c>
    </row>
    <row r="6" spans="2:13" ht="15.75" thickBot="1" x14ac:dyDescent="0.3">
      <c r="B6" s="8" t="s">
        <v>10</v>
      </c>
      <c r="C6" s="18">
        <v>118.7</v>
      </c>
      <c r="D6" s="8" t="s">
        <v>24</v>
      </c>
      <c r="E6" s="26">
        <f>YEARFRAC(E4,E5,1)</f>
        <v>32.394922425952046</v>
      </c>
      <c r="F6" s="8" t="s">
        <v>33</v>
      </c>
      <c r="G6" s="25">
        <f>YEARFRAC(G4,G5,1)</f>
        <v>12.244313395113732</v>
      </c>
      <c r="H6" s="8" t="s">
        <v>33</v>
      </c>
      <c r="I6" s="26">
        <f>YEARFRAC(I4,I5,1)</f>
        <v>6.7707049965776864</v>
      </c>
      <c r="J6" s="8" t="s">
        <v>33</v>
      </c>
      <c r="K6" s="25">
        <f>YEARFRAC(K4,K5,1)</f>
        <v>4.189485213581599</v>
      </c>
      <c r="L6" s="8" t="s">
        <v>33</v>
      </c>
      <c r="M6" s="25">
        <f>YEARFRAC(M4,M5,1)</f>
        <v>0.21369863013698631</v>
      </c>
    </row>
    <row r="7" spans="2:13" ht="15.75" thickBot="1" x14ac:dyDescent="0.3">
      <c r="B7" s="7" t="s">
        <v>12</v>
      </c>
      <c r="C7" s="9">
        <v>32313</v>
      </c>
      <c r="D7" s="8" t="s">
        <v>25</v>
      </c>
      <c r="E7" s="25">
        <f>E6*12</f>
        <v>388.73906911142456</v>
      </c>
      <c r="F7" s="24" t="s">
        <v>34</v>
      </c>
      <c r="G7" s="26">
        <f>G6*12</f>
        <v>146.93176074136477</v>
      </c>
      <c r="H7" s="8" t="s">
        <v>34</v>
      </c>
      <c r="I7" s="25">
        <f>I6*12</f>
        <v>81.248459958932244</v>
      </c>
      <c r="J7" s="24" t="s">
        <v>34</v>
      </c>
      <c r="K7" s="26">
        <f>K6*12</f>
        <v>50.273822562979191</v>
      </c>
      <c r="L7" s="24" t="s">
        <v>34</v>
      </c>
      <c r="M7" s="26">
        <f>M6*12</f>
        <v>2.5643835616438357</v>
      </c>
    </row>
    <row r="8" spans="2:13" ht="15.75" thickBot="1" x14ac:dyDescent="0.3">
      <c r="B8" s="8" t="s">
        <v>21</v>
      </c>
      <c r="C8" s="9">
        <v>44706</v>
      </c>
      <c r="D8" s="8" t="s">
        <v>26</v>
      </c>
      <c r="E8" s="5">
        <v>45.05</v>
      </c>
      <c r="F8" s="8" t="s">
        <v>35</v>
      </c>
      <c r="G8" s="26">
        <f>25-G6</f>
        <v>12.755686604886268</v>
      </c>
      <c r="H8" s="8" t="s">
        <v>35</v>
      </c>
      <c r="I8" s="26">
        <f>25-I6</f>
        <v>18.229295003422315</v>
      </c>
      <c r="J8" s="8" t="s">
        <v>35</v>
      </c>
      <c r="K8" s="26">
        <f>25-K6</f>
        <v>20.810514786418402</v>
      </c>
      <c r="L8" s="8" t="s">
        <v>35</v>
      </c>
      <c r="M8" s="26">
        <f>25-M6</f>
        <v>24.786301369863015</v>
      </c>
    </row>
    <row r="9" spans="2:13" ht="15.75" thickBot="1" x14ac:dyDescent="0.3">
      <c r="B9" s="8" t="s">
        <v>29</v>
      </c>
      <c r="C9" s="17">
        <f>YEARFRAC(C7,C8,1)</f>
        <v>33.929521276595743</v>
      </c>
      <c r="D9" s="8" t="s">
        <v>27</v>
      </c>
      <c r="E9" s="14">
        <f>(E6+E8)*12</f>
        <v>929.33906911142458</v>
      </c>
      <c r="F9" s="8" t="s">
        <v>36</v>
      </c>
      <c r="G9" s="31">
        <f>G8*12</f>
        <v>153.06823925863523</v>
      </c>
      <c r="H9" s="7" t="s">
        <v>36</v>
      </c>
      <c r="I9" s="32">
        <f>I8*12</f>
        <v>218.75154004106778</v>
      </c>
      <c r="J9" s="8" t="s">
        <v>36</v>
      </c>
      <c r="K9" s="31">
        <f>K8*12</f>
        <v>249.72617743702082</v>
      </c>
      <c r="L9" s="8" t="s">
        <v>36</v>
      </c>
      <c r="M9" s="31">
        <f>M8*12</f>
        <v>297.43561643835619</v>
      </c>
    </row>
    <row r="10" spans="2:13" ht="15.75" thickBot="1" x14ac:dyDescent="0.3">
      <c r="B10" s="8" t="s">
        <v>30</v>
      </c>
      <c r="C10" s="17">
        <f>C9*12</f>
        <v>407.15425531914889</v>
      </c>
      <c r="D10" s="8" t="s">
        <v>28</v>
      </c>
      <c r="E10" s="28">
        <f>E8*12</f>
        <v>540.59999999999991</v>
      </c>
    </row>
    <row r="11" spans="2:13" ht="15.75" thickBot="1" x14ac:dyDescent="0.3">
      <c r="B11" s="8" t="s">
        <v>13</v>
      </c>
      <c r="C11" s="17">
        <v>41.06</v>
      </c>
      <c r="D11" s="8" t="s">
        <v>31</v>
      </c>
      <c r="E11" s="15">
        <v>45608</v>
      </c>
      <c r="F11" s="22"/>
    </row>
    <row r="12" spans="2:13" ht="15.75" thickBot="1" x14ac:dyDescent="0.3">
      <c r="B12" s="10" t="s">
        <v>27</v>
      </c>
      <c r="C12" s="13">
        <f>(C11+C9)*12</f>
        <v>899.87425531914903</v>
      </c>
      <c r="D12" s="29" t="s">
        <v>17</v>
      </c>
      <c r="E12" s="30">
        <f>YEARFRAC(E5,E11,1)*12</f>
        <v>29.627737226277372</v>
      </c>
    </row>
    <row r="13" spans="2:13" ht="15.75" thickBot="1" x14ac:dyDescent="0.3">
      <c r="B13" s="10" t="s">
        <v>28</v>
      </c>
      <c r="C13" s="27">
        <f>C11*12</f>
        <v>492.72</v>
      </c>
      <c r="D13" s="8" t="s">
        <v>18</v>
      </c>
      <c r="E13" s="11">
        <f>E9-(E12+E7)</f>
        <v>510.97226277372266</v>
      </c>
    </row>
    <row r="14" spans="2:13" ht="15.75" thickBot="1" x14ac:dyDescent="0.3">
      <c r="B14" s="8" t="s">
        <v>14</v>
      </c>
      <c r="C14" s="15">
        <v>45608</v>
      </c>
    </row>
    <row r="15" spans="2:13" ht="15.75" thickBot="1" x14ac:dyDescent="0.3">
      <c r="B15" s="8" t="s">
        <v>17</v>
      </c>
      <c r="C15" s="14">
        <f>YEARFRAC(C8,C14,1)*12</f>
        <v>29.627737226277372</v>
      </c>
    </row>
    <row r="16" spans="2:13" ht="15.75" thickBot="1" x14ac:dyDescent="0.3">
      <c r="B16" s="8" t="s">
        <v>18</v>
      </c>
      <c r="C16" s="11">
        <f>C12-(C10+C15)</f>
        <v>463.09226277372278</v>
      </c>
      <c r="F16" s="21"/>
    </row>
    <row r="17" spans="2:11" ht="15.75" thickBot="1" x14ac:dyDescent="0.3">
      <c r="B17" s="8" t="s">
        <v>15</v>
      </c>
      <c r="C17" s="12">
        <v>4.86755E-3</v>
      </c>
    </row>
    <row r="21" spans="2:11" ht="15.75" thickBot="1" x14ac:dyDescent="0.3"/>
    <row r="22" spans="2:11" ht="33" customHeight="1" thickBot="1" x14ac:dyDescent="0.3">
      <c r="B22" s="110" t="s">
        <v>2</v>
      </c>
      <c r="C22" s="111"/>
      <c r="E22" s="110" t="s">
        <v>7</v>
      </c>
      <c r="F22" s="112"/>
      <c r="H22" s="20" t="s">
        <v>37</v>
      </c>
      <c r="J22" s="101" t="s">
        <v>16</v>
      </c>
      <c r="K22" s="102"/>
    </row>
    <row r="23" spans="2:11" ht="26.25" customHeight="1" thickBot="1" x14ac:dyDescent="0.3">
      <c r="B23" s="2" t="s">
        <v>1</v>
      </c>
      <c r="C23" s="67">
        <f>C4</f>
        <v>1710863</v>
      </c>
      <c r="E23" s="3" t="s">
        <v>5</v>
      </c>
      <c r="F23" s="5">
        <f>C5</f>
        <v>143.66999999999999</v>
      </c>
      <c r="H23" s="66">
        <f>F25*((1.00486755^C15)-1)/C17</f>
        <v>61710604.497858047</v>
      </c>
      <c r="J23" s="103">
        <f>F25*((1.00486755^C16)-1)/(C17*(1.004867)^C16)</f>
        <v>356830537.4600302</v>
      </c>
      <c r="K23" s="104"/>
    </row>
    <row r="24" spans="2:11" ht="30.75" thickBot="1" x14ac:dyDescent="0.3">
      <c r="B24" s="2" t="s">
        <v>0</v>
      </c>
      <c r="C24" s="65">
        <f>C23*1.25</f>
        <v>2138578.75</v>
      </c>
      <c r="E24" s="3" t="s">
        <v>6</v>
      </c>
      <c r="F24" s="19">
        <f>C6</f>
        <v>118.7</v>
      </c>
    </row>
    <row r="25" spans="2:11" ht="39" customHeight="1" thickBot="1" x14ac:dyDescent="0.3">
      <c r="B25" s="3" t="s">
        <v>19</v>
      </c>
      <c r="C25" s="68">
        <f>C24*0.25</f>
        <v>534644.6875</v>
      </c>
      <c r="E25" s="6" t="s">
        <v>3</v>
      </c>
      <c r="F25" s="64">
        <f>C26*(F23/F24)</f>
        <v>1941341.2532382053</v>
      </c>
    </row>
    <row r="26" spans="2:11" ht="15.75" thickBot="1" x14ac:dyDescent="0.3">
      <c r="B26" s="6" t="s">
        <v>4</v>
      </c>
      <c r="C26" s="65">
        <f>C24-C25</f>
        <v>1603934.0625</v>
      </c>
    </row>
    <row r="27" spans="2:11" x14ac:dyDescent="0.25">
      <c r="B27" s="34"/>
      <c r="C27" s="33"/>
    </row>
    <row r="28" spans="2:11" ht="15.75" thickBot="1" x14ac:dyDescent="0.3">
      <c r="B28" s="34"/>
      <c r="C28" s="33"/>
    </row>
    <row r="29" spans="2:11" ht="42.75" customHeight="1" thickBot="1" x14ac:dyDescent="0.3">
      <c r="B29" s="106" t="s">
        <v>38</v>
      </c>
      <c r="C29" s="107"/>
      <c r="E29" s="82" t="s">
        <v>47</v>
      </c>
      <c r="F29" s="83"/>
    </row>
    <row r="30" spans="2:11" ht="15.75" thickBot="1" x14ac:dyDescent="0.3">
      <c r="B30" s="108">
        <f>(H23/E12)*G9</f>
        <v>318820620.75585639</v>
      </c>
      <c r="C30" s="109"/>
      <c r="E30" s="43" t="s">
        <v>40</v>
      </c>
      <c r="F30" s="44">
        <f>SUM(C33+C44+C55+C66+C77+C88)</f>
        <v>817087260.8766973</v>
      </c>
    </row>
    <row r="31" spans="2:11" ht="15.75" thickBot="1" x14ac:dyDescent="0.3">
      <c r="E31" s="45" t="s">
        <v>41</v>
      </c>
      <c r="F31" s="63">
        <f>C34</f>
        <v>39852577.594482049</v>
      </c>
    </row>
    <row r="32" spans="2:11" ht="15.75" thickBot="1" x14ac:dyDescent="0.3">
      <c r="B32" s="105" t="s">
        <v>39</v>
      </c>
      <c r="C32" s="105"/>
      <c r="E32" s="43" t="s">
        <v>42</v>
      </c>
      <c r="F32" s="46">
        <f>C35+C46</f>
        <v>56953766.278508306</v>
      </c>
    </row>
    <row r="33" spans="2:7" ht="15.75" thickBot="1" x14ac:dyDescent="0.3">
      <c r="B33" s="47" t="s">
        <v>40</v>
      </c>
      <c r="C33" s="48">
        <f>B30/2</f>
        <v>159410310.3779282</v>
      </c>
      <c r="E33" s="43" t="s">
        <v>53</v>
      </c>
      <c r="F33" s="46">
        <f>C36+C47+C58</f>
        <v>69050519.461225063</v>
      </c>
    </row>
    <row r="34" spans="2:7" ht="15.75" thickBot="1" x14ac:dyDescent="0.3">
      <c r="B34" s="47" t="s">
        <v>41</v>
      </c>
      <c r="C34" s="48">
        <f>C33/4</f>
        <v>39852577.594482049</v>
      </c>
      <c r="E34" s="119" t="s">
        <v>54</v>
      </c>
      <c r="F34" s="120">
        <f>C37+C48+C59+C70</f>
        <v>93893610.738668665</v>
      </c>
    </row>
    <row r="35" spans="2:7" ht="15.75" thickBot="1" x14ac:dyDescent="0.3">
      <c r="B35" s="47" t="s">
        <v>42</v>
      </c>
      <c r="C35" s="48">
        <f>C33/4</f>
        <v>39852577.594482049</v>
      </c>
      <c r="E35" s="121" t="s">
        <v>62</v>
      </c>
      <c r="F35" s="122">
        <f>SUM(F30:F34)</f>
        <v>1076837734.9495814</v>
      </c>
    </row>
    <row r="36" spans="2:7" ht="15.75" thickBot="1" x14ac:dyDescent="0.3">
      <c r="B36" s="47" t="s">
        <v>53</v>
      </c>
      <c r="C36" s="48">
        <f>C33/4</f>
        <v>39852577.594482049</v>
      </c>
    </row>
    <row r="37" spans="2:7" ht="15.75" thickBot="1" x14ac:dyDescent="0.3">
      <c r="B37" s="47" t="s">
        <v>54</v>
      </c>
      <c r="C37" s="48">
        <f>C33/4</f>
        <v>39852577.594482049</v>
      </c>
    </row>
    <row r="39" spans="2:7" ht="15.75" thickBot="1" x14ac:dyDescent="0.3"/>
    <row r="40" spans="2:7" ht="15.75" thickBot="1" x14ac:dyDescent="0.3">
      <c r="B40" s="92" t="s">
        <v>43</v>
      </c>
      <c r="C40" s="93"/>
    </row>
    <row r="41" spans="2:7" ht="15.75" thickBot="1" x14ac:dyDescent="0.3">
      <c r="B41" s="94">
        <f>(H23/C15)*(I9-G9)</f>
        <v>136809509.47221008</v>
      </c>
      <c r="C41" s="95"/>
    </row>
    <row r="42" spans="2:7" ht="15.75" thickBot="1" x14ac:dyDescent="0.3"/>
    <row r="43" spans="2:7" ht="15.75" thickBot="1" x14ac:dyDescent="0.3">
      <c r="B43" s="96" t="s">
        <v>44</v>
      </c>
      <c r="C43" s="96"/>
    </row>
    <row r="44" spans="2:7" ht="15.75" thickBot="1" x14ac:dyDescent="0.3">
      <c r="B44" s="49" t="s">
        <v>40</v>
      </c>
      <c r="C44" s="50">
        <f>(B41/2)+(B41/2/2/2)</f>
        <v>85505943.420131296</v>
      </c>
    </row>
    <row r="45" spans="2:7" ht="15.75" thickBot="1" x14ac:dyDescent="0.3">
      <c r="B45" s="49" t="s">
        <v>41</v>
      </c>
      <c r="C45" s="57" t="s">
        <v>45</v>
      </c>
    </row>
    <row r="46" spans="2:7" ht="15.75" thickBot="1" x14ac:dyDescent="0.3">
      <c r="B46" s="49" t="s">
        <v>42</v>
      </c>
      <c r="C46" s="50">
        <f>(B41/2/2/2/2)+(B41/2/2/2/2)</f>
        <v>17101188.68402626</v>
      </c>
    </row>
    <row r="47" spans="2:7" ht="15.75" thickBot="1" x14ac:dyDescent="0.3">
      <c r="B47" s="49" t="s">
        <v>53</v>
      </c>
      <c r="C47" s="50">
        <f>(B41/2/2/2/2)+(B41/2/2/2/2)</f>
        <v>17101188.68402626</v>
      </c>
    </row>
    <row r="48" spans="2:7" ht="15.75" thickBot="1" x14ac:dyDescent="0.3">
      <c r="B48" s="49" t="s">
        <v>54</v>
      </c>
      <c r="C48" s="50">
        <f>(B41/2/2/2/2)+(B41/2/2/2/2)</f>
        <v>17101188.68402626</v>
      </c>
      <c r="G48" s="16"/>
    </row>
    <row r="49" spans="2:7" x14ac:dyDescent="0.25">
      <c r="B49" s="35"/>
      <c r="C49" s="37"/>
      <c r="G49" s="16"/>
    </row>
    <row r="50" spans="2:7" ht="15.75" thickBot="1" x14ac:dyDescent="0.3">
      <c r="B50" s="35"/>
      <c r="C50" s="37"/>
      <c r="G50" s="16"/>
    </row>
    <row r="51" spans="2:7" ht="15.75" thickBot="1" x14ac:dyDescent="0.3">
      <c r="B51" s="75" t="s">
        <v>46</v>
      </c>
      <c r="C51" s="76"/>
      <c r="G51" s="16"/>
    </row>
    <row r="52" spans="2:7" ht="15.75" thickBot="1" x14ac:dyDescent="0.3">
      <c r="B52" s="77">
        <f>(H23/C15)*(K9-I9)</f>
        <v>64516016.974489376</v>
      </c>
      <c r="C52" s="78"/>
      <c r="G52" s="16"/>
    </row>
    <row r="53" spans="2:7" ht="15.75" thickBot="1" x14ac:dyDescent="0.3">
      <c r="G53" s="16"/>
    </row>
    <row r="54" spans="2:7" ht="15.75" thickBot="1" x14ac:dyDescent="0.3">
      <c r="B54" s="79" t="s">
        <v>58</v>
      </c>
      <c r="C54" s="79"/>
      <c r="G54" s="16"/>
    </row>
    <row r="55" spans="2:7" ht="15.75" thickBot="1" x14ac:dyDescent="0.3">
      <c r="B55" s="41" t="s">
        <v>40</v>
      </c>
      <c r="C55" s="42">
        <f>(B52/2)+(B52/2/2/2)</f>
        <v>40322510.609055862</v>
      </c>
      <c r="G55" s="16"/>
    </row>
    <row r="56" spans="2:7" ht="15.75" thickBot="1" x14ac:dyDescent="0.3">
      <c r="B56" s="41" t="s">
        <v>41</v>
      </c>
      <c r="C56" s="56" t="s">
        <v>45</v>
      </c>
      <c r="G56" s="16"/>
    </row>
    <row r="57" spans="2:7" ht="15.75" thickBot="1" x14ac:dyDescent="0.3">
      <c r="B57" s="41" t="s">
        <v>42</v>
      </c>
      <c r="C57" s="56" t="s">
        <v>45</v>
      </c>
      <c r="G57" s="16"/>
    </row>
    <row r="58" spans="2:7" ht="15.75" thickBot="1" x14ac:dyDescent="0.3">
      <c r="B58" s="41" t="s">
        <v>53</v>
      </c>
      <c r="C58" s="51">
        <f>(B52/2/2/2)+(B52/2/2/2/2)</f>
        <v>12096753.182716757</v>
      </c>
      <c r="G58" s="16"/>
    </row>
    <row r="59" spans="2:7" ht="15.75" thickBot="1" x14ac:dyDescent="0.3">
      <c r="B59" s="41" t="s">
        <v>54</v>
      </c>
      <c r="C59" s="51">
        <f>(B52/2/2/2)+(B52/2/2/2/2)</f>
        <v>12096753.182716757</v>
      </c>
      <c r="G59" s="16"/>
    </row>
    <row r="60" spans="2:7" x14ac:dyDescent="0.25">
      <c r="B60" s="35"/>
      <c r="C60" s="37"/>
      <c r="G60" s="16"/>
    </row>
    <row r="61" spans="2:7" ht="15.75" thickBot="1" x14ac:dyDescent="0.3">
      <c r="B61" s="35"/>
      <c r="C61" s="37"/>
      <c r="G61" s="16"/>
    </row>
    <row r="62" spans="2:7" ht="15.75" thickBot="1" x14ac:dyDescent="0.3">
      <c r="B62" s="99" t="s">
        <v>55</v>
      </c>
      <c r="C62" s="100"/>
      <c r="G62" s="16"/>
    </row>
    <row r="63" spans="2:7" ht="15.75" thickBot="1" x14ac:dyDescent="0.3">
      <c r="B63" s="97">
        <f>(H23/C15)*(M9-K9)</f>
        <v>99372365.109774426</v>
      </c>
      <c r="C63" s="98"/>
      <c r="G63" s="16"/>
    </row>
    <row r="64" spans="2:7" ht="15.75" thickBot="1" x14ac:dyDescent="0.3">
      <c r="G64" s="16"/>
    </row>
    <row r="65" spans="2:7" ht="15.75" thickBot="1" x14ac:dyDescent="0.3">
      <c r="B65" s="69" t="s">
        <v>59</v>
      </c>
      <c r="C65" s="69"/>
      <c r="G65" s="16"/>
    </row>
    <row r="66" spans="2:7" ht="15.75" thickBot="1" x14ac:dyDescent="0.3">
      <c r="B66" s="52" t="s">
        <v>40</v>
      </c>
      <c r="C66" s="53">
        <f>(B63/2)+(B63/2/2)</f>
        <v>74529273.832330823</v>
      </c>
      <c r="G66" s="16"/>
    </row>
    <row r="67" spans="2:7" ht="15.75" thickBot="1" x14ac:dyDescent="0.3">
      <c r="B67" s="52" t="s">
        <v>41</v>
      </c>
      <c r="C67" s="54" t="s">
        <v>45</v>
      </c>
      <c r="G67" s="16"/>
    </row>
    <row r="68" spans="2:7" ht="15.75" thickBot="1" x14ac:dyDescent="0.3">
      <c r="B68" s="52" t="s">
        <v>42</v>
      </c>
      <c r="C68" s="54" t="s">
        <v>45</v>
      </c>
      <c r="G68" s="16"/>
    </row>
    <row r="69" spans="2:7" ht="15.75" thickBot="1" x14ac:dyDescent="0.3">
      <c r="B69" s="52" t="s">
        <v>53</v>
      </c>
      <c r="C69" s="58" t="s">
        <v>45</v>
      </c>
      <c r="G69" s="16"/>
    </row>
    <row r="70" spans="2:7" ht="15.75" thickBot="1" x14ac:dyDescent="0.3">
      <c r="B70" s="52" t="s">
        <v>54</v>
      </c>
      <c r="C70" s="55">
        <f>(B63/2/2/2)+(B63/2/2/2)</f>
        <v>24843091.277443606</v>
      </c>
      <c r="G70" s="16"/>
    </row>
    <row r="71" spans="2:7" x14ac:dyDescent="0.25">
      <c r="B71" s="35"/>
      <c r="C71" s="37"/>
      <c r="G71" s="16"/>
    </row>
    <row r="72" spans="2:7" ht="15.75" thickBot="1" x14ac:dyDescent="0.3">
      <c r="C72" s="36"/>
      <c r="F72" s="1"/>
      <c r="G72" s="16"/>
    </row>
    <row r="73" spans="2:7" ht="15.75" thickBot="1" x14ac:dyDescent="0.3">
      <c r="B73" s="84" t="s">
        <v>56</v>
      </c>
      <c r="C73" s="85"/>
    </row>
    <row r="74" spans="2:7" ht="15.75" thickBot="1" x14ac:dyDescent="0.3">
      <c r="B74" s="86">
        <f>(H23/C15)*(M9-C15)</f>
        <v>557807907.8144722</v>
      </c>
      <c r="C74" s="87"/>
    </row>
    <row r="75" spans="2:7" ht="15.75" thickBot="1" x14ac:dyDescent="0.3"/>
    <row r="76" spans="2:7" ht="15.75" thickBot="1" x14ac:dyDescent="0.3">
      <c r="B76" s="88" t="s">
        <v>60</v>
      </c>
      <c r="C76" s="89"/>
    </row>
    <row r="77" spans="2:7" ht="15.75" thickBot="1" x14ac:dyDescent="0.3">
      <c r="B77" s="38" t="s">
        <v>40</v>
      </c>
      <c r="C77" s="40">
        <f>B74/2</f>
        <v>278903953.9072361</v>
      </c>
    </row>
    <row r="78" spans="2:7" ht="15.75" thickBot="1" x14ac:dyDescent="0.3">
      <c r="B78" s="38" t="s">
        <v>41</v>
      </c>
      <c r="C78" s="39" t="s">
        <v>45</v>
      </c>
    </row>
    <row r="79" spans="2:7" ht="15.75" thickBot="1" x14ac:dyDescent="0.3">
      <c r="B79" s="38" t="s">
        <v>42</v>
      </c>
      <c r="C79" s="39" t="s">
        <v>45</v>
      </c>
    </row>
    <row r="80" spans="2:7" ht="15.75" thickBot="1" x14ac:dyDescent="0.3">
      <c r="B80" s="38" t="s">
        <v>53</v>
      </c>
      <c r="C80" s="39" t="s">
        <v>45</v>
      </c>
    </row>
    <row r="81" spans="2:3" ht="15.75" thickBot="1" x14ac:dyDescent="0.3">
      <c r="B81" s="38" t="s">
        <v>54</v>
      </c>
      <c r="C81" s="39" t="s">
        <v>45</v>
      </c>
    </row>
    <row r="83" spans="2:3" ht="15.75" thickBot="1" x14ac:dyDescent="0.3"/>
    <row r="84" spans="2:3" ht="15.75" thickBot="1" x14ac:dyDescent="0.3">
      <c r="B84" s="80" t="s">
        <v>57</v>
      </c>
      <c r="C84" s="81"/>
    </row>
    <row r="85" spans="2:3" ht="15.75" thickBot="1" x14ac:dyDescent="0.3">
      <c r="B85" s="90">
        <f>F25*((1.00486755^C16)-1)/(C17*(1.004867)^C16)</f>
        <v>356830537.4600302</v>
      </c>
      <c r="C85" s="91"/>
    </row>
    <row r="86" spans="2:3" ht="15.75" thickBot="1" x14ac:dyDescent="0.3"/>
    <row r="87" spans="2:3" ht="15.75" thickBot="1" x14ac:dyDescent="0.3">
      <c r="B87" s="80" t="s">
        <v>61</v>
      </c>
      <c r="C87" s="81"/>
    </row>
    <row r="88" spans="2:3" ht="15.75" thickBot="1" x14ac:dyDescent="0.3">
      <c r="B88" s="59" t="s">
        <v>40</v>
      </c>
      <c r="C88" s="60">
        <f>B85/2</f>
        <v>178415268.7300151</v>
      </c>
    </row>
    <row r="89" spans="2:3" ht="15.75" thickBot="1" x14ac:dyDescent="0.3">
      <c r="B89" s="59" t="s">
        <v>41</v>
      </c>
      <c r="C89" s="61" t="s">
        <v>45</v>
      </c>
    </row>
    <row r="90" spans="2:3" ht="15.75" thickBot="1" x14ac:dyDescent="0.3">
      <c r="B90" s="59" t="s">
        <v>42</v>
      </c>
      <c r="C90" s="61" t="s">
        <v>45</v>
      </c>
    </row>
    <row r="91" spans="2:3" ht="15.75" thickBot="1" x14ac:dyDescent="0.3">
      <c r="B91" s="59" t="s">
        <v>53</v>
      </c>
      <c r="C91" s="62" t="s">
        <v>45</v>
      </c>
    </row>
    <row r="92" spans="2:3" ht="15.75" thickBot="1" x14ac:dyDescent="0.3">
      <c r="B92" s="59" t="s">
        <v>54</v>
      </c>
      <c r="C92" s="62" t="s">
        <v>45</v>
      </c>
    </row>
  </sheetData>
  <mergeCells count="30">
    <mergeCell ref="B87:C87"/>
    <mergeCell ref="E29:F29"/>
    <mergeCell ref="B73:C73"/>
    <mergeCell ref="B74:C74"/>
    <mergeCell ref="B76:C76"/>
    <mergeCell ref="B84:C84"/>
    <mergeCell ref="B85:C85"/>
    <mergeCell ref="B40:C40"/>
    <mergeCell ref="B41:C41"/>
    <mergeCell ref="B43:C43"/>
    <mergeCell ref="B63:C63"/>
    <mergeCell ref="B62:C62"/>
    <mergeCell ref="B32:C32"/>
    <mergeCell ref="B29:C29"/>
    <mergeCell ref="B30:C30"/>
    <mergeCell ref="B65:C65"/>
    <mergeCell ref="L3:M3"/>
    <mergeCell ref="B2:M2"/>
    <mergeCell ref="B51:C51"/>
    <mergeCell ref="B52:C52"/>
    <mergeCell ref="B54:C54"/>
    <mergeCell ref="J22:K22"/>
    <mergeCell ref="J23:K23"/>
    <mergeCell ref="B22:C22"/>
    <mergeCell ref="E22:F22"/>
    <mergeCell ref="B3:C3"/>
    <mergeCell ref="D3:E3"/>
    <mergeCell ref="F3:G3"/>
    <mergeCell ref="H3:I3"/>
    <mergeCell ref="J3:K3"/>
  </mergeCells>
  <phoneticPr fontId="11" type="noConversion"/>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MUERTE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Kennie Lorena García Madrid</cp:lastModifiedBy>
  <dcterms:created xsi:type="dcterms:W3CDTF">2020-04-27T21:08:38Z</dcterms:created>
  <dcterms:modified xsi:type="dcterms:W3CDTF">2024-09-12T18:39:18Z</dcterms:modified>
</cp:coreProperties>
</file>