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BE80673B-A127-4E05-B0C4-329BCA05338D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LIQ. PRETENSIONES DEMANDA" sheetId="13" r:id="rId1"/>
    <sheet name="PROMEDIO SALARIO" sheetId="1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3" l="1"/>
  <c r="F55" i="13"/>
  <c r="E40" i="13"/>
  <c r="H30" i="13" l="1"/>
  <c r="I30" i="13" s="1"/>
  <c r="G14" i="13" l="1"/>
  <c r="E20" i="13"/>
  <c r="E19" i="13"/>
  <c r="E15" i="13"/>
  <c r="E14" i="13"/>
  <c r="E10" i="13"/>
  <c r="H17" i="14"/>
  <c r="E9" i="13"/>
  <c r="F9" i="13" s="1"/>
  <c r="H9" i="13" s="1"/>
  <c r="E8" i="13"/>
  <c r="H14" i="14"/>
  <c r="H15" i="14"/>
  <c r="H16" i="14"/>
  <c r="H13" i="14"/>
  <c r="H18" i="14" s="1"/>
  <c r="D24" i="13" s="1"/>
  <c r="E31" i="13" s="1"/>
  <c r="D40" i="13" s="1"/>
  <c r="F40" i="13" s="1"/>
  <c r="F41" i="13" s="1"/>
  <c r="H5" i="14"/>
  <c r="H6" i="14"/>
  <c r="H7" i="14"/>
  <c r="H8" i="14"/>
  <c r="H9" i="14"/>
  <c r="H10" i="14"/>
  <c r="H4" i="14"/>
  <c r="H11" i="14"/>
  <c r="E33" i="13" l="1"/>
  <c r="F35" i="13" s="1"/>
  <c r="E32" i="13"/>
  <c r="B46" i="13" s="1"/>
  <c r="F46" i="13" s="1"/>
  <c r="F15" i="13"/>
  <c r="H15" i="13" s="1"/>
  <c r="F10" i="13"/>
  <c r="H10" i="13" s="1"/>
  <c r="E24" i="13" l="1"/>
  <c r="F24" i="13" s="1"/>
  <c r="D20" i="13"/>
  <c r="F14" i="13"/>
  <c r="H14" i="13" s="1"/>
  <c r="F8" i="13"/>
  <c r="H8" i="13" s="1"/>
  <c r="H24" i="13" l="1"/>
  <c r="H25" i="13" s="1"/>
  <c r="H16" i="13"/>
  <c r="H11" i="13"/>
  <c r="D19" i="13"/>
  <c r="F19" i="13" s="1"/>
  <c r="H19" i="13" s="1"/>
  <c r="F20" i="13"/>
  <c r="H20" i="13" s="1"/>
  <c r="H21" i="13" l="1"/>
  <c r="F54" i="13" l="1"/>
  <c r="B51" i="13"/>
</calcChain>
</file>

<file path=xl/sharedStrings.xml><?xml version="1.0" encoding="utf-8"?>
<sst xmlns="http://schemas.openxmlformats.org/spreadsheetml/2006/main" count="87" uniqueCount="60">
  <si>
    <t>LIQUIDACIÓN DE LAS PRETENSIONES DE LA DEMANDA</t>
  </si>
  <si>
    <t>DESDE</t>
  </si>
  <si>
    <t>HASTA</t>
  </si>
  <si>
    <t>SALARIO</t>
  </si>
  <si>
    <t>DÍAS</t>
  </si>
  <si>
    <t>PRIMAS</t>
  </si>
  <si>
    <t>CANCELADAS</t>
  </si>
  <si>
    <t>DIFERENCIA</t>
  </si>
  <si>
    <r>
      <rPr>
        <b/>
        <sz val="9"/>
        <color theme="1"/>
        <rFont val="Arial"/>
        <family val="2"/>
      </rPr>
      <t>Nota 1:</t>
    </r>
    <r>
      <rPr>
        <sz val="9"/>
        <color theme="1"/>
        <rFont val="Arial"/>
        <family val="2"/>
      </rPr>
      <t xml:space="preserve"> El demandante aduce que la relación laboral se dio desde el 20/09/2016 al 06/05/2022 y solicita (i) la reliquidación de: prima de servicios, cesantías, intereses a las cesantías y vacaciones, (ii) la indemnizción del artículo 64 y 65 del CST y la sanción por no consignación de cesantías.
Se liquidó la diferencia con base en los factores referenciados en los desprendibles de nómina aportados por OPERACIÓN Y GESTION INTEGRAL S.A.S., para el calculo de la prima y cesantías se añadió el auxilio de transporte.</t>
    </r>
  </si>
  <si>
    <t>TOTAL ADEUDADO</t>
  </si>
  <si>
    <t>CESANTÍAS</t>
  </si>
  <si>
    <r>
      <rPr>
        <b/>
        <sz val="9"/>
        <color theme="1"/>
        <rFont val="Arial"/>
        <family val="2"/>
      </rPr>
      <t>Nota 2</t>
    </r>
    <r>
      <rPr>
        <sz val="9"/>
        <color theme="1"/>
        <rFont val="Arial"/>
        <family val="2"/>
      </rPr>
      <t xml:space="preserve">: La póliza No. AA002063 amparó el pago de salarios, prestaciones sociales, indemnizaciones laborales, sanción moratoria y vacaciones, con una vigencia del 01/06/2021 al 01/06/2025
La liquidación se realiza tomando como base los amparos otorgados y la vigencia. </t>
    </r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</si>
  <si>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</si>
  <si>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</si>
  <si>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</si>
  <si>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</si>
  <si>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</si>
  <si>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</si>
  <si>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</si>
  <si>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</si>
  <si>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</si>
  <si>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</si>
  <si>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</si>
  <si>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</si>
  <si>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</si>
  <si>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</si>
  <si>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</si>
  <si>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</si>
  <si>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</si>
  <si>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</si>
  <si>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</si>
  <si>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</si>
  <si>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</si>
  <si>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</si>
  <si>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INTERESES MORATORIOS DESDE 06/05/2024 hasta 30/04/2025</t>
  </si>
  <si>
    <t>CAPITAL PRESTACIONES</t>
  </si>
  <si>
    <t>TOTAL</t>
  </si>
  <si>
    <t>BONOS</t>
  </si>
  <si>
    <t>BASE</t>
  </si>
  <si>
    <t>CONDUCTORES</t>
  </si>
  <si>
    <t>PRODUCTIVIDAD</t>
  </si>
  <si>
    <t>CALIFICACIÓN</t>
  </si>
  <si>
    <t>RECARGOS</t>
  </si>
  <si>
    <t>TOTAL SALARIO</t>
  </si>
  <si>
    <t xml:space="preserve">JUNIO </t>
  </si>
  <si>
    <t>JULIO</t>
  </si>
  <si>
    <t>AGOSTO</t>
  </si>
  <si>
    <t>SEPTIEMBRE</t>
  </si>
  <si>
    <t>OCTUBRE</t>
  </si>
  <si>
    <t>NOVIEMBRE</t>
  </si>
  <si>
    <t>DICIEMBRE</t>
  </si>
  <si>
    <t>PROMEDIO</t>
  </si>
  <si>
    <t>ENERO</t>
  </si>
  <si>
    <t>FEBRERO</t>
  </si>
  <si>
    <t>MARZO</t>
  </si>
  <si>
    <t>ABRIL</t>
  </si>
  <si>
    <t>MAYO</t>
  </si>
  <si>
    <t>COASEGURO PACTADO 50%</t>
  </si>
  <si>
    <t>TOTAL LIQUIDACIÓN LA EQUIDAD SEGUROS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</si>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</sst>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  <numFmt numFmtId="169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4" fontId="6" fillId="0" borderId="1" xfId="6" applyNumberFormat="1" applyFont="1" applyBorder="1"/>
    <xf numFmtId="164" fontId="6" fillId="0" borderId="1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164" fontId="6" fillId="0" borderId="1" xfId="1" applyNumberFormat="1" applyFont="1" applyBorder="1"/>
    <xf numFmtId="164" fontId="4" fillId="3" borderId="1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168" fontId="0" fillId="0" borderId="0" xfId="20" applyNumberFormat="1" applyFont="1"/>
    <xf numFmtId="168" fontId="9" fillId="0" borderId="0" xfId="0" applyNumberFormat="1" applyFont="1"/>
    <xf numFmtId="17" fontId="0" fillId="0" borderId="1" xfId="0" applyNumberFormat="1" applyBorder="1"/>
    <xf numFmtId="168" fontId="0" fillId="0" borderId="1" xfId="20" applyNumberFormat="1" applyFont="1" applyBorder="1"/>
    <xf numFmtId="168" fontId="0" fillId="0" borderId="1" xfId="0" applyNumberFormat="1" applyBorder="1"/>
    <xf numFmtId="0" fontId="9" fillId="0" borderId="1" xfId="0" applyFont="1" applyBorder="1" applyAlignment="1">
      <alignment horizontal="center" vertical="center"/>
    </xf>
    <xf numFmtId="168" fontId="9" fillId="0" borderId="1" xfId="0" applyNumberFormat="1" applyFont="1" applyBorder="1"/>
    <xf numFmtId="168" fontId="9" fillId="0" borderId="3" xfId="0" applyNumberFormat="1" applyFont="1" applyBorder="1"/>
    <xf numFmtId="164" fontId="0" fillId="0" borderId="1" xfId="0" applyNumberFormat="1" applyBorder="1"/>
    <xf numFmtId="164" fontId="6" fillId="0" borderId="1" xfId="0" applyNumberFormat="1" applyFont="1" applyBorder="1"/>
    <xf numFmtId="0" fontId="11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69" fontId="12" fillId="2" borderId="1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12" fillId="0" borderId="1" xfId="0" applyFont="1" applyBorder="1"/>
    <xf numFmtId="168" fontId="9" fillId="0" borderId="1" xfId="20" applyNumberFormat="1" applyFont="1" applyBorder="1"/>
    <xf numFmtId="168" fontId="9" fillId="0" borderId="3" xfId="20" applyNumberFormat="1" applyFont="1" applyBorder="1"/>
    <xf numFmtId="14" fontId="6" fillId="0" borderId="0" xfId="0" applyNumberFormat="1" applyFont="1"/>
    <xf numFmtId="14" fontId="0" fillId="0" borderId="0" xfId="0" applyNumberFormat="1"/>
    <xf numFmtId="0" fontId="13" fillId="0" borderId="0" xfId="0" applyFont="1"/>
    <xf numFmtId="164" fontId="4" fillId="0" borderId="1" xfId="1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8" fontId="4" fillId="3" borderId="1" xfId="0" applyNumberFormat="1" applyFont="1" applyFill="1" applyBorder="1"/>
    <xf numFmtId="168" fontId="8" fillId="4" borderId="1" xfId="0" applyNumberFormat="1" applyFont="1" applyFill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8" fontId="12" fillId="3" borderId="5" xfId="0" applyNumberFormat="1" applyFont="1" applyFill="1" applyBorder="1" applyAlignment="1">
      <alignment horizontal="center"/>
    </xf>
    <xf numFmtId="8" fontId="12" fillId="3" borderId="6" xfId="0" applyNumberFormat="1" applyFont="1" applyFill="1" applyBorder="1" applyAlignment="1">
      <alignment horizontal="center"/>
    </xf>
    <xf numFmtId="8" fontId="12" fillId="3" borderId="7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8" fontId="12" fillId="0" borderId="5" xfId="0" applyNumberFormat="1" applyFont="1" applyBorder="1" applyAlignment="1">
      <alignment horizontal="center"/>
    </xf>
    <xf numFmtId="8" fontId="12" fillId="0" borderId="6" xfId="0" applyNumberFormat="1" applyFont="1" applyBorder="1" applyAlignment="1">
      <alignment horizontal="center"/>
    </xf>
    <xf numFmtId="8" fontId="12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8" fontId="11" fillId="0" borderId="5" xfId="0" applyNumberFormat="1" applyFont="1" applyBorder="1" applyAlignment="1">
      <alignment horizontal="center"/>
    </xf>
    <xf numFmtId="8" fontId="11" fillId="0" borderId="6" xfId="0" applyNumberFormat="1" applyFont="1" applyBorder="1" applyAlignment="1">
      <alignment horizontal="center"/>
    </xf>
    <xf numFmtId="8" fontId="11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8" fontId="6" fillId="0" borderId="1" xfId="20" applyNumberFormat="1" applyFont="1" applyBorder="1" applyAlignment="1">
      <alignment horizontal="center"/>
    </xf>
    <xf numFmtId="44" fontId="6" fillId="0" borderId="1" xfId="2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6" fillId="0" borderId="1" xfId="20" applyFont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8" fontId="6" fillId="0" borderId="1" xfId="0" applyNumberFormat="1" applyFont="1" applyBorder="1"/>
    <xf numFmtId="0" fontId="14" fillId="0" borderId="1" xfId="0" applyFont="1" applyBorder="1" applyAlignment="1">
      <alignment horizontal="center"/>
    </xf>
  </cellXfs>
  <cellStyles count="21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174546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174546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N56"/>
  <sheetViews>
    <sheetView tabSelected="1" topLeftCell="A40" workbookViewId="0">
      <selection activeCell="G51" sqref="G51"/>
    </sheetView>
  </sheetViews>
  <sheetFormatPr baseColWidth="10" defaultColWidth="11.42578125" defaultRowHeight="15" x14ac:dyDescent="0.25"/>
  <cols>
    <col min="2" max="2" width="14.28515625" style="1" customWidth="1"/>
    <col min="3" max="3" width="13.28515625" style="1" customWidth="1"/>
    <col min="4" max="4" width="15.140625" style="1" customWidth="1"/>
    <col min="5" max="5" width="13.140625" style="1" customWidth="1"/>
    <col min="6" max="6" width="17.140625" style="1" customWidth="1"/>
    <col min="7" max="7" width="16.85546875" style="1" customWidth="1"/>
    <col min="8" max="8" width="16.5703125" customWidth="1"/>
  </cols>
  <sheetData>
    <row r="5" spans="1:14" s="1" customFormat="1" ht="15" customHeight="1" x14ac:dyDescent="0.2">
      <c r="A5" s="3"/>
      <c r="B5" s="52" t="s">
        <v>0</v>
      </c>
      <c r="C5" s="52"/>
      <c r="D5" s="52"/>
      <c r="E5" s="52"/>
      <c r="F5" s="52"/>
      <c r="G5" s="52"/>
      <c r="H5" s="52"/>
      <c r="I5" s="3"/>
      <c r="J5" s="3"/>
    </row>
    <row r="6" spans="1:14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4" ht="15" customHeight="1" x14ac:dyDescent="0.25">
      <c r="A7" s="3"/>
      <c r="B7" s="4" t="s">
        <v>1</v>
      </c>
      <c r="C7" s="4" t="s">
        <v>2</v>
      </c>
      <c r="D7" s="4" t="s">
        <v>3</v>
      </c>
      <c r="E7" s="4" t="s">
        <v>4</v>
      </c>
      <c r="F7" s="8" t="s">
        <v>5</v>
      </c>
      <c r="G7" s="8" t="s">
        <v>6</v>
      </c>
      <c r="H7" s="8" t="s">
        <v>7</v>
      </c>
      <c r="J7" s="65" t="s">
        <v>8</v>
      </c>
      <c r="K7" s="65"/>
      <c r="L7" s="65"/>
      <c r="M7" s="65"/>
      <c r="N7" s="65"/>
    </row>
    <row r="8" spans="1:14" x14ac:dyDescent="0.25">
      <c r="A8" s="3"/>
      <c r="B8" s="5">
        <v>44348</v>
      </c>
      <c r="C8" s="5">
        <v>44377</v>
      </c>
      <c r="D8" s="6">
        <v>1256539</v>
      </c>
      <c r="E8" s="9">
        <f>DAYS360(B8,C8)+1</f>
        <v>30</v>
      </c>
      <c r="F8" s="7">
        <f>(D8*E8)/360</f>
        <v>104711.58333333333</v>
      </c>
      <c r="G8" s="7">
        <v>96378</v>
      </c>
      <c r="H8" s="20">
        <f>F8-G8</f>
        <v>8333.5833333333285</v>
      </c>
      <c r="J8" s="65"/>
      <c r="K8" s="65"/>
      <c r="L8" s="65"/>
      <c r="M8" s="65"/>
      <c r="N8" s="65"/>
    </row>
    <row r="9" spans="1:14" x14ac:dyDescent="0.25">
      <c r="A9" s="3"/>
      <c r="B9" s="5">
        <v>44378</v>
      </c>
      <c r="C9" s="5">
        <v>44561</v>
      </c>
      <c r="D9" s="6">
        <v>1311289</v>
      </c>
      <c r="E9" s="9">
        <f>DAYS360(B9,C9)</f>
        <v>180</v>
      </c>
      <c r="F9" s="7">
        <f>(D9*E9)/360</f>
        <v>655644.5</v>
      </c>
      <c r="G9" s="7">
        <v>9174</v>
      </c>
      <c r="H9" s="20">
        <f>F9-G9</f>
        <v>646470.5</v>
      </c>
      <c r="J9" s="65"/>
      <c r="K9" s="65"/>
      <c r="L9" s="65"/>
      <c r="M9" s="65"/>
      <c r="N9" s="65"/>
    </row>
    <row r="10" spans="1:14" x14ac:dyDescent="0.25">
      <c r="A10" s="3"/>
      <c r="B10" s="5">
        <v>44562</v>
      </c>
      <c r="C10" s="5">
        <v>44687</v>
      </c>
      <c r="D10" s="6">
        <v>1200728</v>
      </c>
      <c r="E10" s="9">
        <f>DAYS360(B10,C10)+1</f>
        <v>126</v>
      </c>
      <c r="F10" s="7">
        <f t="shared" ref="F10" si="0">(D10*E10)/360</f>
        <v>420254.8</v>
      </c>
      <c r="G10" s="7">
        <v>441381</v>
      </c>
      <c r="H10" s="20">
        <f>+F10-G10</f>
        <v>-21126.200000000012</v>
      </c>
      <c r="J10" s="65"/>
      <c r="K10" s="65"/>
      <c r="L10" s="65"/>
      <c r="M10" s="65"/>
      <c r="N10" s="65"/>
    </row>
    <row r="11" spans="1:14" ht="15" customHeight="1" x14ac:dyDescent="0.25">
      <c r="A11" s="3"/>
      <c r="B11" s="64" t="s">
        <v>9</v>
      </c>
      <c r="C11" s="64"/>
      <c r="D11" s="64"/>
      <c r="E11" s="64"/>
      <c r="F11" s="64"/>
      <c r="G11" s="64"/>
      <c r="H11" s="10">
        <f>H8+H9+H10</f>
        <v>633677.8833333333</v>
      </c>
      <c r="J11" s="65"/>
      <c r="K11" s="65"/>
      <c r="L11" s="65"/>
      <c r="M11" s="65"/>
      <c r="N11" s="65"/>
    </row>
    <row r="12" spans="1:14" ht="15" customHeight="1" x14ac:dyDescent="0.25">
      <c r="A12" s="3"/>
      <c r="B12" s="3"/>
      <c r="C12" s="3"/>
      <c r="D12" s="3"/>
      <c r="E12" s="3"/>
      <c r="F12" s="3"/>
      <c r="G12" s="3"/>
      <c r="J12" s="65"/>
      <c r="K12" s="65"/>
      <c r="L12" s="65"/>
      <c r="M12" s="65"/>
      <c r="N12" s="65"/>
    </row>
    <row r="13" spans="1:14" x14ac:dyDescent="0.25">
      <c r="A13" s="3"/>
      <c r="B13" s="4" t="s">
        <v>1</v>
      </c>
      <c r="C13" s="4" t="s">
        <v>2</v>
      </c>
      <c r="D13" s="4" t="s">
        <v>3</v>
      </c>
      <c r="E13" s="4" t="s">
        <v>4</v>
      </c>
      <c r="F13" s="8" t="s">
        <v>10</v>
      </c>
      <c r="G13" s="8" t="s">
        <v>6</v>
      </c>
      <c r="H13" s="8" t="s">
        <v>7</v>
      </c>
      <c r="J13" s="65"/>
      <c r="K13" s="65"/>
      <c r="L13" s="65"/>
      <c r="M13" s="65"/>
      <c r="N13" s="65"/>
    </row>
    <row r="14" spans="1:14" ht="14.25" customHeight="1" x14ac:dyDescent="0.25">
      <c r="A14" s="3"/>
      <c r="B14" s="5">
        <v>44348</v>
      </c>
      <c r="C14" s="5">
        <v>44561</v>
      </c>
      <c r="D14" s="6">
        <v>1293813</v>
      </c>
      <c r="E14" s="9">
        <f>DAYS360(B14,C14)</f>
        <v>210</v>
      </c>
      <c r="F14" s="11">
        <f>(D14*E14)/360</f>
        <v>754724.25</v>
      </c>
      <c r="G14" s="7">
        <f>+G8+G9</f>
        <v>105552</v>
      </c>
      <c r="H14" s="20">
        <f>F14-G14</f>
        <v>649172.25</v>
      </c>
      <c r="J14" s="65"/>
      <c r="K14" s="65"/>
      <c r="L14" s="65"/>
      <c r="M14" s="65"/>
      <c r="N14" s="65"/>
    </row>
    <row r="15" spans="1:14" s="1" customFormat="1" ht="15" customHeight="1" x14ac:dyDescent="0.25">
      <c r="A15" s="3"/>
      <c r="B15" s="5">
        <v>44562</v>
      </c>
      <c r="C15" s="5">
        <v>44687</v>
      </c>
      <c r="D15" s="6">
        <v>1200728</v>
      </c>
      <c r="E15" s="9">
        <f>DAYS360(B15,C15)+1</f>
        <v>126</v>
      </c>
      <c r="F15" s="11">
        <f t="shared" ref="F15" si="1">(D15*E15)/360</f>
        <v>420254.8</v>
      </c>
      <c r="G15" s="7">
        <v>441381</v>
      </c>
      <c r="H15" s="20">
        <f>F15-G15</f>
        <v>-21126.200000000012</v>
      </c>
      <c r="J15" s="3"/>
    </row>
    <row r="16" spans="1:14" s="1" customFormat="1" ht="15" customHeight="1" x14ac:dyDescent="0.2">
      <c r="A16" s="3"/>
      <c r="B16" s="64" t="s">
        <v>9</v>
      </c>
      <c r="C16" s="64"/>
      <c r="D16" s="64"/>
      <c r="E16" s="64"/>
      <c r="F16" s="64"/>
      <c r="G16" s="64"/>
      <c r="H16" s="10">
        <f>H14+H15</f>
        <v>628046.05000000005</v>
      </c>
      <c r="J16" s="65" t="s">
        <v>11</v>
      </c>
      <c r="K16" s="65"/>
      <c r="L16" s="65"/>
      <c r="M16" s="65"/>
      <c r="N16" s="65"/>
    </row>
    <row r="17" spans="1:14" s="1" customFormat="1" ht="12" customHeight="1" x14ac:dyDescent="0.2">
      <c r="A17" s="3"/>
      <c r="B17" s="3"/>
      <c r="C17" s="3"/>
      <c r="D17" s="3"/>
      <c r="E17" s="3"/>
      <c r="F17" s="3"/>
      <c r="G17" s="3"/>
      <c r="J17" s="65"/>
      <c r="K17" s="65"/>
      <c r="L17" s="65"/>
      <c r="M17" s="65"/>
      <c r="N17" s="65"/>
    </row>
    <row r="18" spans="1:14" s="1" customFormat="1" ht="12" customHeight="1" x14ac:dyDescent="0.2">
      <c r="A18" s="3"/>
      <c r="B18" s="4" t="s">
        <v>1</v>
      </c>
      <c r="C18" s="4" t="s">
        <v>2</v>
      </c>
      <c r="D18" s="4" t="s">
        <v>10</v>
      </c>
      <c r="E18" s="4" t="s">
        <v>4</v>
      </c>
      <c r="F18" s="8" t="s">
        <v>12</v>
      </c>
      <c r="G18" s="8" t="s">
        <v>6</v>
      </c>
      <c r="H18" s="8" t="s">
        <v>7</v>
      </c>
      <c r="J18" s="65"/>
      <c r="K18" s="65"/>
      <c r="L18" s="65"/>
      <c r="M18" s="65"/>
      <c r="N18" s="65"/>
    </row>
    <row r="19" spans="1:14" s="1" customFormat="1" ht="12" customHeight="1" x14ac:dyDescent="0.2">
      <c r="A19" s="3"/>
      <c r="B19" s="5">
        <v>44348</v>
      </c>
      <c r="C19" s="5">
        <v>44561</v>
      </c>
      <c r="D19" s="11">
        <f>+F14</f>
        <v>754724.25</v>
      </c>
      <c r="E19" s="9">
        <f>DAYS360(B19,C19)</f>
        <v>210</v>
      </c>
      <c r="F19" s="9">
        <f>(D19*E19*0.12)/360</f>
        <v>52830.697499999995</v>
      </c>
      <c r="G19" s="9">
        <v>47798</v>
      </c>
      <c r="H19" s="9">
        <f>F19-G19</f>
        <v>5032.6974999999948</v>
      </c>
      <c r="J19" s="65"/>
      <c r="K19" s="65"/>
      <c r="L19" s="65"/>
      <c r="M19" s="65"/>
      <c r="N19" s="65"/>
    </row>
    <row r="20" spans="1:14" s="1" customFormat="1" ht="12" customHeight="1" x14ac:dyDescent="0.2">
      <c r="A20" s="3"/>
      <c r="B20" s="5">
        <v>44562</v>
      </c>
      <c r="C20" s="5">
        <v>44687</v>
      </c>
      <c r="D20" s="11">
        <f>+F15</f>
        <v>420254.8</v>
      </c>
      <c r="E20" s="9">
        <f>DAYS360(B20,C20)+1</f>
        <v>126</v>
      </c>
      <c r="F20" s="9">
        <f>(D20*E20*0.12)/360</f>
        <v>17650.701599999997</v>
      </c>
      <c r="G20" s="9">
        <v>18538</v>
      </c>
      <c r="H20" s="9">
        <f>+F20-G20</f>
        <v>-887.29840000000331</v>
      </c>
      <c r="J20" s="65"/>
      <c r="K20" s="65"/>
      <c r="L20" s="65"/>
      <c r="M20" s="65"/>
      <c r="N20" s="65"/>
    </row>
    <row r="21" spans="1:14" s="1" customFormat="1" ht="12" customHeight="1" x14ac:dyDescent="0.2">
      <c r="A21" s="3"/>
      <c r="B21" s="64" t="s">
        <v>9</v>
      </c>
      <c r="C21" s="64"/>
      <c r="D21" s="64"/>
      <c r="E21" s="64"/>
      <c r="F21" s="64"/>
      <c r="G21" s="64"/>
      <c r="H21" s="10">
        <f>H19+H20</f>
        <v>4145.3990999999914</v>
      </c>
      <c r="J21" s="65"/>
      <c r="K21" s="65"/>
      <c r="L21" s="65"/>
      <c r="M21" s="65"/>
      <c r="N21" s="65"/>
    </row>
    <row r="22" spans="1:14" s="1" customFormat="1" ht="12" x14ac:dyDescent="0.2">
      <c r="A22" s="3"/>
      <c r="B22" s="3"/>
      <c r="C22" s="3"/>
      <c r="D22" s="3"/>
      <c r="E22" s="3"/>
      <c r="F22" s="3"/>
      <c r="G22" s="3"/>
      <c r="J22" s="65"/>
      <c r="K22" s="65"/>
      <c r="L22" s="65"/>
      <c r="M22" s="65"/>
      <c r="N22" s="65"/>
    </row>
    <row r="23" spans="1:14" s="1" customFormat="1" ht="12" x14ac:dyDescent="0.2">
      <c r="A23" s="3"/>
      <c r="B23" s="4" t="s">
        <v>1</v>
      </c>
      <c r="C23" s="4" t="s">
        <v>2</v>
      </c>
      <c r="D23" s="4" t="s">
        <v>3</v>
      </c>
      <c r="E23" s="4" t="s">
        <v>4</v>
      </c>
      <c r="F23" s="8" t="s">
        <v>13</v>
      </c>
      <c r="G23" s="8" t="s">
        <v>6</v>
      </c>
      <c r="H23" s="8" t="s">
        <v>7</v>
      </c>
      <c r="I23" s="3"/>
      <c r="J23" s="3"/>
    </row>
    <row r="24" spans="1:14" s="1" customFormat="1" ht="12" x14ac:dyDescent="0.2">
      <c r="A24" s="3"/>
      <c r="B24" s="5">
        <v>44348</v>
      </c>
      <c r="C24" s="5">
        <v>44687</v>
      </c>
      <c r="D24" s="6">
        <f>+'PROMEDIO SALARIO'!H18</f>
        <v>1083555.8</v>
      </c>
      <c r="E24" s="9">
        <f>DAYS360(B24,C24)+1</f>
        <v>336</v>
      </c>
      <c r="F24" s="9">
        <f>(D24*E24)/720</f>
        <v>505659.37333333335</v>
      </c>
      <c r="G24" s="9">
        <v>410141</v>
      </c>
      <c r="H24" s="21">
        <f>F24-G24</f>
        <v>95518.373333333351</v>
      </c>
      <c r="I24" s="3"/>
      <c r="J24" s="3"/>
    </row>
    <row r="25" spans="1:14" s="1" customFormat="1" ht="12" x14ac:dyDescent="0.2">
      <c r="A25" s="3"/>
      <c r="B25" s="64" t="s">
        <v>9</v>
      </c>
      <c r="C25" s="64"/>
      <c r="D25" s="64"/>
      <c r="E25" s="64"/>
      <c r="F25" s="64"/>
      <c r="G25" s="64"/>
      <c r="H25" s="10">
        <f>+H24</f>
        <v>95518.373333333351</v>
      </c>
      <c r="I25" s="3"/>
      <c r="J25" s="3"/>
    </row>
    <row r="26" spans="1:1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M26" s="1"/>
    </row>
    <row r="27" spans="1:14" x14ac:dyDescent="0.25">
      <c r="A27" s="3"/>
      <c r="B27" s="49" t="s">
        <v>14</v>
      </c>
      <c r="C27" s="50"/>
      <c r="D27" s="50"/>
      <c r="E27" s="50"/>
      <c r="F27" s="50"/>
      <c r="G27" s="50"/>
      <c r="H27" s="50"/>
      <c r="I27" s="51"/>
      <c r="J27" s="3"/>
    </row>
    <row r="28" spans="1:14" x14ac:dyDescent="0.25">
      <c r="A28" s="3"/>
      <c r="B28" s="53"/>
      <c r="C28" s="54"/>
      <c r="D28" s="55"/>
      <c r="E28" s="23" t="s">
        <v>15</v>
      </c>
      <c r="F28" s="23" t="s">
        <v>16</v>
      </c>
      <c r="G28" s="23" t="s">
        <v>17</v>
      </c>
      <c r="H28" s="59" t="s">
        <v>18</v>
      </c>
      <c r="I28" s="60"/>
      <c r="J28" s="3"/>
    </row>
    <row r="29" spans="1:14" x14ac:dyDescent="0.25">
      <c r="A29" s="3"/>
      <c r="B29" s="53" t="s">
        <v>19</v>
      </c>
      <c r="C29" s="54"/>
      <c r="D29" s="55"/>
      <c r="E29" s="24">
        <v>2022</v>
      </c>
      <c r="F29" s="24">
        <v>5</v>
      </c>
      <c r="G29" s="22">
        <v>6</v>
      </c>
      <c r="H29" s="25" t="s">
        <v>20</v>
      </c>
      <c r="I29" s="26" t="s">
        <v>21</v>
      </c>
      <c r="J29" s="3"/>
    </row>
    <row r="30" spans="1:14" x14ac:dyDescent="0.25">
      <c r="A30" s="3"/>
      <c r="B30" s="53" t="s">
        <v>22</v>
      </c>
      <c r="C30" s="54"/>
      <c r="D30" s="55"/>
      <c r="E30" s="27">
        <v>2021</v>
      </c>
      <c r="F30" s="27">
        <v>6</v>
      </c>
      <c r="G30" s="28">
        <v>1</v>
      </c>
      <c r="H30" s="29">
        <f>(E29-E30)*360+(F29-F30)*30+(G29-G30+1)</f>
        <v>336</v>
      </c>
      <c r="I30" s="30">
        <f>H30/360</f>
        <v>0.93333333333333335</v>
      </c>
      <c r="J30" s="3"/>
    </row>
    <row r="31" spans="1:14" x14ac:dyDescent="0.25">
      <c r="A31" s="3"/>
      <c r="B31" s="53" t="s">
        <v>23</v>
      </c>
      <c r="C31" s="54"/>
      <c r="D31" s="55"/>
      <c r="E31" s="61">
        <f>+D24</f>
        <v>1083555.8</v>
      </c>
      <c r="F31" s="62"/>
      <c r="G31" s="62"/>
      <c r="H31" s="62"/>
      <c r="I31" s="63"/>
      <c r="J31" s="3"/>
    </row>
    <row r="32" spans="1:14" x14ac:dyDescent="0.25">
      <c r="A32" s="3"/>
      <c r="B32" s="53" t="s">
        <v>24</v>
      </c>
      <c r="C32" s="54"/>
      <c r="D32" s="55"/>
      <c r="E32" s="56">
        <f>+E31/30</f>
        <v>36118.526666666665</v>
      </c>
      <c r="F32" s="57"/>
      <c r="G32" s="57"/>
      <c r="H32" s="57"/>
      <c r="I32" s="58"/>
      <c r="J32" s="3"/>
    </row>
    <row r="33" spans="1:11" x14ac:dyDescent="0.25">
      <c r="A33" s="3"/>
      <c r="B33" s="53" t="s">
        <v>25</v>
      </c>
      <c r="C33" s="54"/>
      <c r="D33" s="55"/>
      <c r="E33" s="56">
        <f>E31</f>
        <v>1083555.8</v>
      </c>
      <c r="F33" s="57"/>
      <c r="G33" s="57"/>
      <c r="H33" s="57"/>
      <c r="I33" s="58"/>
      <c r="J33" s="3"/>
    </row>
    <row r="34" spans="1:11" x14ac:dyDescent="0.25">
      <c r="A34" s="3"/>
      <c r="B34" s="53" t="s">
        <v>26</v>
      </c>
      <c r="C34" s="54"/>
      <c r="D34" s="55"/>
      <c r="E34" s="31"/>
      <c r="F34" s="56"/>
      <c r="G34" s="57"/>
      <c r="H34" s="57"/>
      <c r="I34" s="58"/>
      <c r="J34" s="3"/>
    </row>
    <row r="35" spans="1:11" x14ac:dyDescent="0.25">
      <c r="A35" s="3"/>
      <c r="B35" s="43" t="s">
        <v>27</v>
      </c>
      <c r="C35" s="44"/>
      <c r="D35" s="45"/>
      <c r="E35" s="32"/>
      <c r="F35" s="46">
        <f>SUM(E33:F34)</f>
        <v>1083555.8</v>
      </c>
      <c r="G35" s="47"/>
      <c r="H35" s="47"/>
      <c r="I35" s="48"/>
      <c r="J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1" x14ac:dyDescent="0.25">
      <c r="A38" s="3"/>
      <c r="B38" s="67" t="s">
        <v>28</v>
      </c>
      <c r="C38" s="67"/>
      <c r="D38" s="67"/>
      <c r="E38" s="67"/>
      <c r="F38" s="67"/>
      <c r="G38" s="37"/>
      <c r="H38" s="3"/>
      <c r="I38" s="3"/>
      <c r="J38" s="3"/>
    </row>
    <row r="39" spans="1:11" x14ac:dyDescent="0.25">
      <c r="A39" s="3"/>
      <c r="B39" s="4" t="s">
        <v>1</v>
      </c>
      <c r="C39" s="4" t="s">
        <v>2</v>
      </c>
      <c r="D39" s="4" t="s">
        <v>3</v>
      </c>
      <c r="E39" s="4" t="s">
        <v>4</v>
      </c>
      <c r="F39" s="38" t="s">
        <v>29</v>
      </c>
      <c r="G39" s="37"/>
      <c r="H39" s="3"/>
      <c r="I39" s="3"/>
      <c r="J39" s="3"/>
    </row>
    <row r="40" spans="1:11" x14ac:dyDescent="0.25">
      <c r="A40" s="3"/>
      <c r="B40" s="5">
        <v>44607</v>
      </c>
      <c r="C40" s="39">
        <v>44687</v>
      </c>
      <c r="D40" s="6">
        <f>+E31</f>
        <v>1083555.8</v>
      </c>
      <c r="E40" s="7">
        <f t="shared" ref="E40" si="2">DAYS360(B40,C40)+1</f>
        <v>82</v>
      </c>
      <c r="F40" s="7">
        <f t="shared" ref="F40" si="3">(D40/30)*E40</f>
        <v>2961719.1866666665</v>
      </c>
      <c r="G40" s="37"/>
      <c r="H40" s="3"/>
      <c r="I40" s="3"/>
      <c r="J40" s="3"/>
    </row>
    <row r="41" spans="1:11" x14ac:dyDescent="0.25">
      <c r="A41" s="3"/>
      <c r="B41" s="64" t="s">
        <v>9</v>
      </c>
      <c r="C41" s="64"/>
      <c r="D41" s="64"/>
      <c r="E41" s="64"/>
      <c r="F41" s="10">
        <f>+F40</f>
        <v>2961719.1866666665</v>
      </c>
      <c r="G41" s="37"/>
      <c r="H41" s="3"/>
      <c r="I41" s="3"/>
      <c r="J41" s="3"/>
    </row>
    <row r="42" spans="1:11" x14ac:dyDescent="0.25">
      <c r="A42" s="3"/>
      <c r="B42" s="3"/>
      <c r="C42" s="3"/>
      <c r="D42" s="3"/>
      <c r="E42" s="3"/>
      <c r="F42" s="3"/>
      <c r="G42" s="37"/>
      <c r="H42" s="3"/>
      <c r="I42" s="3"/>
      <c r="J42" s="3"/>
    </row>
    <row r="43" spans="1:11" x14ac:dyDescent="0.25">
      <c r="A43" s="3"/>
      <c r="B43" s="3"/>
      <c r="C43" s="3"/>
      <c r="D43" s="3"/>
      <c r="E43" s="3"/>
      <c r="F43" s="3"/>
      <c r="G43" s="37"/>
      <c r="H43" s="3"/>
      <c r="I43" s="3"/>
      <c r="J43" s="35"/>
      <c r="K43" s="36"/>
    </row>
    <row r="44" spans="1:11" x14ac:dyDescent="0.25">
      <c r="A44" s="3"/>
      <c r="B44" s="67" t="s">
        <v>30</v>
      </c>
      <c r="C44" s="67"/>
      <c r="D44" s="67"/>
      <c r="E44" s="67"/>
      <c r="F44" s="67"/>
      <c r="G44" s="37"/>
      <c r="H44" s="3"/>
      <c r="I44" s="3"/>
      <c r="J44" s="3"/>
    </row>
    <row r="45" spans="1:11" x14ac:dyDescent="0.25">
      <c r="A45" s="3"/>
      <c r="B45" s="68" t="s">
        <v>31</v>
      </c>
      <c r="C45" s="68"/>
      <c r="D45" s="68" t="s">
        <v>32</v>
      </c>
      <c r="E45" s="68"/>
      <c r="F45" s="40" t="s">
        <v>33</v>
      </c>
      <c r="G45" s="37"/>
      <c r="H45" s="3"/>
      <c r="I45" s="3"/>
      <c r="J45" s="3"/>
    </row>
    <row r="46" spans="1:11" x14ac:dyDescent="0.25">
      <c r="A46" s="3"/>
      <c r="B46" s="69">
        <f>+E32</f>
        <v>36118.526666666665</v>
      </c>
      <c r="C46" s="70"/>
      <c r="D46" s="71">
        <v>720</v>
      </c>
      <c r="E46" s="71"/>
      <c r="F46" s="41">
        <f>B46*D46</f>
        <v>26005339.199999999</v>
      </c>
      <c r="G46" s="37"/>
      <c r="H46" s="3"/>
      <c r="I46" s="3"/>
      <c r="J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3"/>
      <c r="B49" s="72" t="s">
        <v>34</v>
      </c>
      <c r="C49" s="73"/>
      <c r="D49" s="73"/>
      <c r="E49" s="73"/>
      <c r="F49" s="74"/>
      <c r="G49" s="3"/>
      <c r="H49" s="3"/>
      <c r="I49" s="3"/>
      <c r="J49" s="3"/>
    </row>
    <row r="50" spans="1:10" x14ac:dyDescent="0.25">
      <c r="A50" s="3"/>
      <c r="B50" s="75" t="s">
        <v>35</v>
      </c>
      <c r="C50" s="76"/>
      <c r="D50" s="77"/>
      <c r="E50" s="59" t="s">
        <v>36</v>
      </c>
      <c r="F50" s="60"/>
      <c r="G50" s="3"/>
      <c r="H50" s="3"/>
      <c r="I50" s="3"/>
      <c r="J50" s="3"/>
    </row>
    <row r="51" spans="1:10" x14ac:dyDescent="0.25">
      <c r="A51" s="3"/>
      <c r="B51" s="78">
        <f>+H11+H16+H21</f>
        <v>1265869.3324333334</v>
      </c>
      <c r="C51" s="78"/>
      <c r="D51" s="78"/>
      <c r="E51" s="79">
        <v>309171</v>
      </c>
      <c r="F51" s="79"/>
      <c r="G51" s="3"/>
      <c r="H51" s="3"/>
      <c r="I51" s="3"/>
      <c r="J51" s="3"/>
    </row>
    <row r="52" spans="1:1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3"/>
      <c r="B54" s="66" t="s">
        <v>59</v>
      </c>
      <c r="C54" s="66"/>
      <c r="D54" s="66"/>
      <c r="E54" s="66"/>
      <c r="F54" s="42">
        <f>+F35+H25+H21+H16+H11+F41+F46+E51</f>
        <v>31721172.89243333</v>
      </c>
      <c r="G54" s="3"/>
      <c r="H54" s="3"/>
      <c r="I54" s="3"/>
      <c r="J54" s="3"/>
    </row>
    <row r="55" spans="1:10" x14ac:dyDescent="0.25">
      <c r="A55" s="2"/>
      <c r="B55" s="64" t="s">
        <v>57</v>
      </c>
      <c r="C55" s="64"/>
      <c r="D55" s="64"/>
      <c r="E55" s="64"/>
      <c r="F55" s="83">
        <f>F54*50%</f>
        <v>15860586.446216665</v>
      </c>
      <c r="G55" s="3"/>
      <c r="H55" s="2"/>
      <c r="I55" s="2"/>
    </row>
    <row r="56" spans="1:10" x14ac:dyDescent="0.25">
      <c r="B56" s="84" t="s">
        <v>58</v>
      </c>
      <c r="C56" s="84"/>
      <c r="D56" s="84"/>
      <c r="E56" s="84"/>
      <c r="F56" s="41">
        <f>+F54-F55</f>
        <v>15860586.446216665</v>
      </c>
    </row>
  </sheetData>
  <mergeCells count="37">
    <mergeCell ref="B55:E55"/>
    <mergeCell ref="B56:E56"/>
    <mergeCell ref="B54:E54"/>
    <mergeCell ref="B38:F38"/>
    <mergeCell ref="B41:E41"/>
    <mergeCell ref="B44:F44"/>
    <mergeCell ref="B45:C45"/>
    <mergeCell ref="D45:E45"/>
    <mergeCell ref="B46:C46"/>
    <mergeCell ref="D46:E46"/>
    <mergeCell ref="B49:F49"/>
    <mergeCell ref="B50:D50"/>
    <mergeCell ref="E50:F50"/>
    <mergeCell ref="B51:D51"/>
    <mergeCell ref="E51:F51"/>
    <mergeCell ref="B11:G11"/>
    <mergeCell ref="B16:G16"/>
    <mergeCell ref="B21:G21"/>
    <mergeCell ref="B25:G25"/>
    <mergeCell ref="J7:N14"/>
    <mergeCell ref="J16:N22"/>
    <mergeCell ref="B35:D35"/>
    <mergeCell ref="F35:I35"/>
    <mergeCell ref="B27:I27"/>
    <mergeCell ref="B5:H5"/>
    <mergeCell ref="B32:D32"/>
    <mergeCell ref="E32:I32"/>
    <mergeCell ref="B33:D33"/>
    <mergeCell ref="E33:I33"/>
    <mergeCell ref="B34:D34"/>
    <mergeCell ref="F34:I34"/>
    <mergeCell ref="B28:D28"/>
    <mergeCell ref="H28:I28"/>
    <mergeCell ref="B29:D29"/>
    <mergeCell ref="B30:D30"/>
    <mergeCell ref="B31:D31"/>
    <mergeCell ref="E31:I3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ED19-E7E6-4DB8-BC30-AAF6A2E4DC92}">
  <dimension ref="A2:H26"/>
  <sheetViews>
    <sheetView workbookViewId="0">
      <selection activeCell="F24" sqref="F24"/>
    </sheetView>
  </sheetViews>
  <sheetFormatPr baseColWidth="10" defaultColWidth="11.42578125" defaultRowHeight="15" x14ac:dyDescent="0.25"/>
  <cols>
    <col min="3" max="3" width="14" customWidth="1"/>
    <col min="4" max="4" width="15.28515625" customWidth="1"/>
    <col min="5" max="5" width="16.85546875" customWidth="1"/>
    <col min="6" max="6" width="15.7109375" customWidth="1"/>
    <col min="7" max="7" width="16.5703125" customWidth="1"/>
    <col min="8" max="8" width="17" customWidth="1"/>
  </cols>
  <sheetData>
    <row r="2" spans="1:8" x14ac:dyDescent="0.25">
      <c r="D2" s="82" t="s">
        <v>37</v>
      </c>
      <c r="E2" s="82"/>
      <c r="F2" s="82"/>
    </row>
    <row r="3" spans="1:8" x14ac:dyDescent="0.25">
      <c r="C3" s="17" t="s">
        <v>38</v>
      </c>
      <c r="D3" s="17" t="s">
        <v>39</v>
      </c>
      <c r="E3" s="17" t="s">
        <v>40</v>
      </c>
      <c r="F3" s="17" t="s">
        <v>41</v>
      </c>
      <c r="G3" s="17" t="s">
        <v>42</v>
      </c>
      <c r="H3" s="17" t="s">
        <v>43</v>
      </c>
    </row>
    <row r="4" spans="1:8" x14ac:dyDescent="0.25">
      <c r="A4" s="80">
        <v>2021</v>
      </c>
      <c r="B4" s="14" t="s">
        <v>44</v>
      </c>
      <c r="C4" s="15">
        <v>921700</v>
      </c>
      <c r="D4" s="15">
        <v>100000</v>
      </c>
      <c r="E4" s="15">
        <v>94185</v>
      </c>
      <c r="F4" s="15"/>
      <c r="G4" s="15">
        <v>34200</v>
      </c>
      <c r="H4" s="16">
        <f>C4+D4+E4+F4+G4</f>
        <v>1150085</v>
      </c>
    </row>
    <row r="5" spans="1:8" x14ac:dyDescent="0.25">
      <c r="A5" s="80"/>
      <c r="B5" s="14" t="s">
        <v>45</v>
      </c>
      <c r="C5" s="15">
        <v>921700</v>
      </c>
      <c r="D5" s="15">
        <v>100000</v>
      </c>
      <c r="E5" s="15">
        <v>120198</v>
      </c>
      <c r="F5" s="15"/>
      <c r="G5" s="15">
        <v>43200</v>
      </c>
      <c r="H5" s="16">
        <f t="shared" ref="H5:H10" si="0">C5+D5+E5+F5+G5</f>
        <v>1185098</v>
      </c>
    </row>
    <row r="6" spans="1:8" x14ac:dyDescent="0.25">
      <c r="A6" s="80"/>
      <c r="B6" s="14" t="s">
        <v>46</v>
      </c>
      <c r="C6" s="15">
        <v>921700</v>
      </c>
      <c r="D6" s="15">
        <v>100000</v>
      </c>
      <c r="E6" s="15">
        <v>120216</v>
      </c>
      <c r="F6" s="15">
        <v>50000</v>
      </c>
      <c r="G6" s="15">
        <v>6000</v>
      </c>
      <c r="H6" s="16">
        <f t="shared" si="0"/>
        <v>1197916</v>
      </c>
    </row>
    <row r="7" spans="1:8" x14ac:dyDescent="0.25">
      <c r="A7" s="80"/>
      <c r="B7" s="14" t="s">
        <v>47</v>
      </c>
      <c r="C7" s="15">
        <v>921700</v>
      </c>
      <c r="D7" s="15">
        <v>100000</v>
      </c>
      <c r="E7" s="15">
        <v>141369</v>
      </c>
      <c r="F7" s="15">
        <v>100000</v>
      </c>
      <c r="G7" s="15">
        <v>75600</v>
      </c>
      <c r="H7" s="16">
        <f t="shared" si="0"/>
        <v>1338669</v>
      </c>
    </row>
    <row r="8" spans="1:8" x14ac:dyDescent="0.25">
      <c r="A8" s="80"/>
      <c r="B8" s="14" t="s">
        <v>48</v>
      </c>
      <c r="C8" s="15">
        <v>921700</v>
      </c>
      <c r="D8" s="15">
        <v>100000</v>
      </c>
      <c r="E8" s="15">
        <v>114783</v>
      </c>
      <c r="F8" s="15">
        <v>100000</v>
      </c>
      <c r="G8" s="15">
        <v>40200</v>
      </c>
      <c r="H8" s="16">
        <f t="shared" si="0"/>
        <v>1276683</v>
      </c>
    </row>
    <row r="9" spans="1:8" x14ac:dyDescent="0.25">
      <c r="A9" s="80"/>
      <c r="B9" s="14" t="s">
        <v>49</v>
      </c>
      <c r="C9" s="15">
        <v>921700</v>
      </c>
      <c r="D9" s="15">
        <v>90000</v>
      </c>
      <c r="E9" s="15">
        <v>96907</v>
      </c>
      <c r="F9" s="15"/>
      <c r="G9" s="15"/>
      <c r="H9" s="16">
        <f t="shared" si="0"/>
        <v>1108607</v>
      </c>
    </row>
    <row r="10" spans="1:8" x14ac:dyDescent="0.25">
      <c r="A10" s="80"/>
      <c r="B10" s="14" t="s">
        <v>50</v>
      </c>
      <c r="C10" s="15">
        <v>921700</v>
      </c>
      <c r="D10" s="15">
        <v>100000</v>
      </c>
      <c r="E10" s="15">
        <v>92086</v>
      </c>
      <c r="F10" s="15">
        <v>45000</v>
      </c>
      <c r="G10" s="15">
        <v>18000</v>
      </c>
      <c r="H10" s="16">
        <f t="shared" si="0"/>
        <v>1176786</v>
      </c>
    </row>
    <row r="11" spans="1:8" x14ac:dyDescent="0.25">
      <c r="C11" s="12"/>
      <c r="D11" s="12"/>
      <c r="E11" s="12"/>
      <c r="F11" s="12"/>
      <c r="G11" s="33" t="s">
        <v>51</v>
      </c>
      <c r="H11" s="18">
        <f>AVERAGE(H4,H5,H6,H7,H8,H9,H10)</f>
        <v>1204834.857142857</v>
      </c>
    </row>
    <row r="12" spans="1:8" x14ac:dyDescent="0.25">
      <c r="C12" s="12"/>
      <c r="D12" s="12"/>
      <c r="E12" s="12"/>
      <c r="F12" s="12"/>
      <c r="G12" s="12"/>
      <c r="H12" s="13"/>
    </row>
    <row r="13" spans="1:8" x14ac:dyDescent="0.25">
      <c r="A13" s="81">
        <v>2022</v>
      </c>
      <c r="B13" s="14" t="s">
        <v>52</v>
      </c>
      <c r="C13" s="15">
        <v>1000000</v>
      </c>
      <c r="D13" s="15">
        <v>100000</v>
      </c>
      <c r="E13" s="15">
        <v>94786</v>
      </c>
      <c r="F13" s="15"/>
      <c r="G13" s="15"/>
      <c r="H13" s="16">
        <f>C13+D13+E13+F13+G13</f>
        <v>1194786</v>
      </c>
    </row>
    <row r="14" spans="1:8" x14ac:dyDescent="0.25">
      <c r="A14" s="81"/>
      <c r="B14" s="14" t="s">
        <v>53</v>
      </c>
      <c r="C14" s="15">
        <v>1000000</v>
      </c>
      <c r="D14" s="15">
        <v>96666</v>
      </c>
      <c r="E14" s="15">
        <v>108583</v>
      </c>
      <c r="F14" s="15"/>
      <c r="G14" s="15"/>
      <c r="H14" s="16">
        <f t="shared" ref="H14:H17" si="1">C14+D14+E14+F14+G14</f>
        <v>1205249</v>
      </c>
    </row>
    <row r="15" spans="1:8" x14ac:dyDescent="0.25">
      <c r="A15" s="81"/>
      <c r="B15" s="14" t="s">
        <v>54</v>
      </c>
      <c r="C15" s="15">
        <v>1000000</v>
      </c>
      <c r="D15" s="15">
        <v>100000</v>
      </c>
      <c r="E15" s="15">
        <v>102635</v>
      </c>
      <c r="F15" s="15">
        <v>96667</v>
      </c>
      <c r="G15" s="15"/>
      <c r="H15" s="16">
        <f t="shared" si="1"/>
        <v>1299302</v>
      </c>
    </row>
    <row r="16" spans="1:8" x14ac:dyDescent="0.25">
      <c r="A16" s="81"/>
      <c r="B16" s="14" t="s">
        <v>55</v>
      </c>
      <c r="C16" s="15">
        <v>1000000</v>
      </c>
      <c r="D16" s="15">
        <v>100000</v>
      </c>
      <c r="E16" s="15">
        <v>96233</v>
      </c>
      <c r="F16" s="15"/>
      <c r="G16" s="15"/>
      <c r="H16" s="16">
        <f t="shared" si="1"/>
        <v>1196233</v>
      </c>
    </row>
    <row r="17" spans="1:8" x14ac:dyDescent="0.25">
      <c r="A17" s="81"/>
      <c r="B17" s="14" t="s">
        <v>56</v>
      </c>
      <c r="C17" s="15">
        <v>200000</v>
      </c>
      <c r="D17" s="15">
        <v>20000</v>
      </c>
      <c r="E17" s="15">
        <v>158802</v>
      </c>
      <c r="F17" s="15">
        <v>100000</v>
      </c>
      <c r="G17" s="15">
        <v>43407</v>
      </c>
      <c r="H17" s="16">
        <f t="shared" si="1"/>
        <v>522209</v>
      </c>
    </row>
    <row r="18" spans="1:8" x14ac:dyDescent="0.25">
      <c r="C18" s="12"/>
      <c r="D18" s="12"/>
      <c r="E18" s="12"/>
      <c r="F18" s="12"/>
      <c r="G18" s="34" t="s">
        <v>51</v>
      </c>
      <c r="H18" s="19">
        <f>AVERAGE(H13,H14,H15,H16,H17)</f>
        <v>1083555.8</v>
      </c>
    </row>
    <row r="19" spans="1:8" x14ac:dyDescent="0.25">
      <c r="C19" s="12"/>
      <c r="D19" s="12"/>
      <c r="E19" s="12"/>
      <c r="F19" s="12"/>
      <c r="G19" s="12"/>
    </row>
    <row r="20" spans="1:8" x14ac:dyDescent="0.25">
      <c r="C20" s="12"/>
      <c r="D20" s="12"/>
      <c r="E20" s="12"/>
      <c r="F20" s="12"/>
      <c r="G20" s="12"/>
    </row>
    <row r="21" spans="1:8" x14ac:dyDescent="0.25">
      <c r="C21" s="12"/>
      <c r="D21" s="12"/>
      <c r="E21" s="12"/>
      <c r="F21" s="12"/>
      <c r="G21" s="12"/>
    </row>
    <row r="22" spans="1:8" x14ac:dyDescent="0.25">
      <c r="C22" s="12"/>
      <c r="D22" s="12"/>
      <c r="E22" s="12"/>
      <c r="F22" s="12"/>
      <c r="G22" s="12"/>
    </row>
    <row r="23" spans="1:8" x14ac:dyDescent="0.25">
      <c r="C23" s="12"/>
      <c r="D23" s="12"/>
      <c r="E23" s="12"/>
      <c r="F23" s="12"/>
      <c r="G23" s="12"/>
    </row>
    <row r="24" spans="1:8" x14ac:dyDescent="0.25">
      <c r="C24" s="12"/>
      <c r="D24" s="12"/>
      <c r="E24" s="12"/>
      <c r="F24" s="12"/>
      <c r="G24" s="12"/>
    </row>
    <row r="25" spans="1:8" x14ac:dyDescent="0.25">
      <c r="C25" s="12"/>
      <c r="D25" s="12"/>
      <c r="E25" s="12"/>
      <c r="F25" s="12"/>
      <c r="G25" s="12"/>
    </row>
    <row r="26" spans="1:8" x14ac:dyDescent="0.25">
      <c r="C26" s="12"/>
      <c r="D26" s="12"/>
      <c r="E26" s="12"/>
      <c r="F26" s="12"/>
      <c r="G26" s="12"/>
    </row>
  </sheetData>
  <mergeCells count="3">
    <mergeCell ref="A4:A10"/>
    <mergeCell ref="A13:A17"/>
    <mergeCell ref="D2:F2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PROMEDIO SALARIO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2025-04-29T20:45:09Z</dcterms:modified>
  <cp:category/>
  <cp:contentStatus/>
</cp:coreProperties>
</file>