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fie3-my.sharepoint.com/personal/jperez_ffie_com_co/Documents/REV FACTURAS OBRA E INTERV DIC 22/CONSORCIO M&amp;E CANAAN FFIE PREF 139 IE ALBERTO SANTOFIMIO CAICEDO SEDE PRINCIPAL/"/>
    </mc:Choice>
  </mc:AlternateContent>
  <xr:revisionPtr revIDLastSave="1" documentId="8_{CDC379B0-2281-4D30-8F0E-593A1AB9640E}" xr6:coauthVersionLast="47" xr6:coauthVersionMax="47" xr10:uidLastSave="{17B8EDCC-C0AC-4648-999A-86903B0B3EFF}"/>
  <bookViews>
    <workbookView xWindow="-120" yWindow="-120" windowWidth="29040" windowHeight="15720" xr2:uid="{342AF260-EB69-43E8-9EDA-5B47016E6939}"/>
  </bookViews>
  <sheets>
    <sheet name="ACTA PARCIAL OBRA 02" sheetId="13" r:id="rId1"/>
    <sheet name="Anexo Acta Complementaria" sheetId="15" state="hidden" r:id="rId2"/>
    <sheet name="Anexo Obras mejoramiento" sheetId="17" state="hidden" r:id="rId3"/>
    <sheet name="Anexo 1 PAPSO - Base Risaralda" sheetId="16" state="hidden" r:id="rId4"/>
    <sheet name="Hoja1" sheetId="14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>#REF!</definedName>
    <definedName name="\b">#REF!</definedName>
    <definedName name="\c">#REF!</definedName>
    <definedName name="\p">#REF!</definedName>
    <definedName name="\q">#REF!</definedName>
    <definedName name="_____J2">#REF!</definedName>
    <definedName name="____J2">#REF!</definedName>
    <definedName name="___J2">#REF!</definedName>
    <definedName name="___R">#REF!</definedName>
    <definedName name="__J2">#REF!</definedName>
    <definedName name="__R">#REF!</definedName>
    <definedName name="_xlnm._FilterDatabase" localSheetId="0" hidden="1">'ACTA PARCIAL OBRA 02'!$N$1:$N$333</definedName>
    <definedName name="_J2">#REF!</definedName>
    <definedName name="_R">#REF!</definedName>
    <definedName name="´P">#REF!</definedName>
    <definedName name="a">#REF!</definedName>
    <definedName name="A_IMPRESIÓN_IM">#REF!</definedName>
    <definedName name="ACC.CU.COVAL">#REF!</definedName>
    <definedName name="Accesorios_de_1_2">#REF!</definedName>
    <definedName name="Accesorios_de_3_4">#REF!</definedName>
    <definedName name="ACERO_DE_REFUERZO">[1]PRESPDETRABAJO!$G$31</definedName>
    <definedName name="Acero_de_Refuerzo_Figurado_de_60.000_P.S.I.">#REF!</definedName>
    <definedName name="Acido_Muriatico">#REF!</definedName>
    <definedName name="Acoflex_1_2">#REF!</definedName>
    <definedName name="Acometida_en_2_3___350_kcmil___1___250_kcmil_AWG__THHN_en_Ø_4">#REF!</definedName>
    <definedName name="Acometida_en_3___1_0___1___2___1___6_T_AWG__THHN_en_1Ø_3">#REF!</definedName>
    <definedName name="Acometida_en_3___250_kcmil___1___2_0___1___2_T_AWG__THHN_en_1Ø_3">#REF!</definedName>
    <definedName name="Acometida_en_3___4_0___1___2_0___1___2_T_AWG__THHN_en_1Ø_3">#REF!</definedName>
    <definedName name="Acometida_en_3___6___1___8___1___8_T_AWG__THHN_en_1Ø_1">#REF!</definedName>
    <definedName name="Acometida_en_3___6_en_1Ø_2">#REF!</definedName>
    <definedName name="Acometida_en_3___8___1___10___1___8_T_AWG__THHN_en_1Ø_1">#REF!</definedName>
    <definedName name="Acometida_en_Conductor_de_Cobre_3___2_0_AWG_XLEP_15_Kv">#REF!</definedName>
    <definedName name="acueductos">#REF!</definedName>
    <definedName name="AD">#REF!</definedName>
    <definedName name="ADMON">#REF!</definedName>
    <definedName name="afraee">MATCH(0.01,End_Bal,-1)+1</definedName>
    <definedName name="Agua">#REF!</definedName>
    <definedName name="aiu">#REF!</definedName>
    <definedName name="ALAMBRE_18">[2]INSBASICOS!$C$19</definedName>
    <definedName name="Alambre_Negro_No.18">#REF!</definedName>
    <definedName name="ALAMBRENEGRO">[3]INSUMOS!$C$19</definedName>
    <definedName name="Alcaparro_2.00_m">#REF!</definedName>
    <definedName name="almacen.sanitario">#REF!</definedName>
    <definedName name="Almacenista">#REF!</definedName>
    <definedName name="Analisis">[4]Analisis!$A:$F</definedName>
    <definedName name="Andamio_Sección">#REF!</definedName>
    <definedName name="Andamios">#REF!</definedName>
    <definedName name="ANEXO_4">#REF!</definedName>
    <definedName name="Angulo_en_aluminio_1_2__x_1_2__x_1_16">#REF!</definedName>
    <definedName name="Angulo_hierro_2_1_2__x_3_13">#REF!</definedName>
    <definedName name="anscount" hidden="1">1</definedName>
    <definedName name="Anticorrosivo_Rojo_Claro">#REF!</definedName>
    <definedName name="Aparatos_Telefonicos_para_extensiones">#REF!</definedName>
    <definedName name="Aparatos_Telefonicos_secretariales">#REF!</definedName>
    <definedName name="Aplique_Cilindrico_de_Pared_en_Acero_Galvanizado_de_1x26_W._120_V.">#REF!</definedName>
    <definedName name="Aplique_Cilindrico_de_Pared_en_Acero_Galvanizado_de_2x26_W._120_V.">#REF!</definedName>
    <definedName name="Aplique_Cilindrico_de_Techo_en_Acero_Galvanizado_de_2x26_W._120_V.">#REF!</definedName>
    <definedName name="aptos">#REF!</definedName>
    <definedName name="APU">'[5]ANALISIS DE PRECIOS UNITARIOS'!#REF!</definedName>
    <definedName name="APU_1.1.1">'[5]ANALISIS DE PRECIOS UNITARIOS'!$I$47</definedName>
    <definedName name="APU_1.1.2">'[5]ANALISIS DE PRECIOS UNITARIOS'!$I$50</definedName>
    <definedName name="APU_1.1.3">'[5]ANALISIS DE PRECIOS UNITARIOS'!$I$53</definedName>
    <definedName name="APU_1.1.4">'[5]ANALISIS DE PRECIOS UNITARIOS'!$I$56</definedName>
    <definedName name="APU_1.1.5">'[5]ANALISIS DE PRECIOS UNITARIOS'!$I$59</definedName>
    <definedName name="APU_1.2.1">'[5]ANALISIS DE PRECIOS UNITARIOS'!$I$63</definedName>
    <definedName name="APU_1.2.2">'[5]ANALISIS DE PRECIOS UNITARIOS'!$I$66</definedName>
    <definedName name="APU_1.2.3">'[5]ANALISIS DE PRECIOS UNITARIOS'!$I$69</definedName>
    <definedName name="APU_1.3.1">'[5]ANALISIS DE PRECIOS UNITARIOS'!$I$73</definedName>
    <definedName name="APU_1.3.2">'[5]ANALISIS DE PRECIOS UNITARIOS'!$I$76</definedName>
    <definedName name="APU_10.1.1">'[5]ANALISIS DE PRECIOS UNITARIOS'!$I$1189</definedName>
    <definedName name="APU_10.1.10">'[5]ANALISIS DE PRECIOS UNITARIOS'!$I$1213</definedName>
    <definedName name="APU_10.1.11">'[5]ANALISIS DE PRECIOS UNITARIOS'!$I$1216</definedName>
    <definedName name="APU_10.1.13">'[5]ANALISIS DE PRECIOS UNITARIOS'!$I$1219</definedName>
    <definedName name="APU_10.1.14">'[5]ANALISIS DE PRECIOS UNITARIOS'!$I$1222</definedName>
    <definedName name="APU_10.1.15">'[5]ANALISIS DE PRECIOS UNITARIOS'!#REF!</definedName>
    <definedName name="APU_10.1.16">'[5]ANALISIS DE PRECIOS UNITARIOS'!$I$1231</definedName>
    <definedName name="APU_10.1.17">'[5]ANALISIS DE PRECIOS UNITARIOS'!$I$1234</definedName>
    <definedName name="APU_10.1.18">'[5]ANALISIS DE PRECIOS UNITARIOS'!$I$1228</definedName>
    <definedName name="APU_10.1.19">'[5]ANALISIS DE PRECIOS UNITARIOS'!#REF!</definedName>
    <definedName name="APU_10.1.2">#REF!</definedName>
    <definedName name="APU_10.1.3">'[5]ANALISIS DE PRECIOS UNITARIOS'!$I$1195</definedName>
    <definedName name="APU_10.1.4">'[5]ANALISIS DE PRECIOS UNITARIOS'!$I$1198</definedName>
    <definedName name="APU_10.1.5">'[5]ANALISIS DE PRECIOS UNITARIOS'!$I$1201</definedName>
    <definedName name="APU_10.1.6">'[5]ANALISIS DE PRECIOS UNITARIOS'!$I$1204</definedName>
    <definedName name="APU_10.1.7">'[5]ANALISIS DE PRECIOS UNITARIOS'!#REF!</definedName>
    <definedName name="APU_10.1.8">'[5]ANALISIS DE PRECIOS UNITARIOS'!$I$1207</definedName>
    <definedName name="APU_10.1.9">'[5]ANALISIS DE PRECIOS UNITARIOS'!$I$1210</definedName>
    <definedName name="APU_10.2.1">#REF!</definedName>
    <definedName name="APU_10.2.2">#REF!</definedName>
    <definedName name="APU_11.1.1">'[5]ANALISIS DE PRECIOS UNITARIOS'!$I$1249</definedName>
    <definedName name="APU_11.1.2">'[5]ANALISIS DE PRECIOS UNITARIOS'!$I$1252</definedName>
    <definedName name="APU_11.1.3">'[5]ANALISIS DE PRECIOS UNITARIOS'!$I$1255</definedName>
    <definedName name="APU_11.1.4">'[5]ANALISIS DE PRECIOS UNITARIOS'!$I$1258</definedName>
    <definedName name="APU_11.2.1.1">#REF!</definedName>
    <definedName name="APU_11.2.2.1">'[5]ANALISIS DE PRECIOS UNITARIOS'!$I$1267</definedName>
    <definedName name="APU_11.2.2.2">'[5]ANALISIS DE PRECIOS UNITARIOS'!#REF!</definedName>
    <definedName name="APU_11.2.3.1">'[5]ANALISIS DE PRECIOS UNITARIOS'!$I$1274</definedName>
    <definedName name="APU_11.2.3.2">'[5]ANALISIS DE PRECIOS UNITARIOS'!$I$1277</definedName>
    <definedName name="APU_12.1.1">'[5]ANALISIS DE PRECIOS UNITARIOS'!$I$1282</definedName>
    <definedName name="APU_12.1.10">'[5]ANALISIS DE PRECIOS UNITARIOS'!$I$1309</definedName>
    <definedName name="APU_12.1.11">'[5]ANALISIS DE PRECIOS UNITARIOS'!$I$1312</definedName>
    <definedName name="APU_12.1.12">'[5]ANALISIS DE PRECIOS UNITARIOS'!$I$1315</definedName>
    <definedName name="APU_12.1.13">'[5]ANALISIS DE PRECIOS UNITARIOS'!$I$1318</definedName>
    <definedName name="APU_12.1.14">'[5]ANALISIS DE PRECIOS UNITARIOS'!$I$1321</definedName>
    <definedName name="APU_12.1.15">'[5]ANALISIS DE PRECIOS UNITARIOS'!$I$1324</definedName>
    <definedName name="APU_12.1.16">'[5]ANALISIS DE PRECIOS UNITARIOS'!$I$1327</definedName>
    <definedName name="APU_12.1.17">'[5]ANALISIS DE PRECIOS UNITARIOS'!$I$1330</definedName>
    <definedName name="APU_12.1.18">'[5]ANALISIS DE PRECIOS UNITARIOS'!$I$1333</definedName>
    <definedName name="APU_12.1.19">'[5]ANALISIS DE PRECIOS UNITARIOS'!$I$1336</definedName>
    <definedName name="APU_12.1.2">'[5]ANALISIS DE PRECIOS UNITARIOS'!$I$1285</definedName>
    <definedName name="APU_12.1.20">'[5]ANALISIS DE PRECIOS UNITARIOS'!$I$1339</definedName>
    <definedName name="APU_12.1.21">'[5]ANALISIS DE PRECIOS UNITARIOS'!$I$1342</definedName>
    <definedName name="APU_12.1.22">'[5]ANALISIS DE PRECIOS UNITARIOS'!$I$1345</definedName>
    <definedName name="APU_12.1.23">'[5]ANALISIS DE PRECIOS UNITARIOS'!$I$1348</definedName>
    <definedName name="APU_12.1.24">'[5]ANALISIS DE PRECIOS UNITARIOS'!$I$1351</definedName>
    <definedName name="APU_12.1.25">'[5]ANALISIS DE PRECIOS UNITARIOS'!$I$1354</definedName>
    <definedName name="APU_12.1.26">'[5]ANALISIS DE PRECIOS UNITARIOS'!$I$1357</definedName>
    <definedName name="APU_12.1.27">'[5]ANALISIS DE PRECIOS UNITARIOS'!$I$1360</definedName>
    <definedName name="APU_12.1.28">'[5]ANALISIS DE PRECIOS UNITARIOS'!$I$1363</definedName>
    <definedName name="APU_12.1.29">'[5]ANALISIS DE PRECIOS UNITARIOS'!$I$1366</definedName>
    <definedName name="APU_12.1.3">'[5]ANALISIS DE PRECIOS UNITARIOS'!$I$1288</definedName>
    <definedName name="APU_12.1.30">'[5]ANALISIS DE PRECIOS UNITARIOS'!$I$1369</definedName>
    <definedName name="APU_12.1.31">'[5]ANALISIS DE PRECIOS UNITARIOS'!$I$1372</definedName>
    <definedName name="APU_12.1.32">'[5]ANALISIS DE PRECIOS UNITARIOS'!$I$1375</definedName>
    <definedName name="APU_12.1.33">'[5]ANALISIS DE PRECIOS UNITARIOS'!$I$1378</definedName>
    <definedName name="APU_12.1.34">'[5]ANALISIS DE PRECIOS UNITARIOS'!$I$1381</definedName>
    <definedName name="APU_12.1.35">'[5]ANALISIS DE PRECIOS UNITARIOS'!$I$1384</definedName>
    <definedName name="APU_12.1.36">'[5]ANALISIS DE PRECIOS UNITARIOS'!$I$1387</definedName>
    <definedName name="APU_12.1.37">'[5]ANALISIS DE PRECIOS UNITARIOS'!$I$1390</definedName>
    <definedName name="APU_12.1.38">'[5]ANALISIS DE PRECIOS UNITARIOS'!$I$1393</definedName>
    <definedName name="APU_12.1.39">'[5]ANALISIS DE PRECIOS UNITARIOS'!$I$1396</definedName>
    <definedName name="APU_12.1.4">'[5]ANALISIS DE PRECIOS UNITARIOS'!$I$1291</definedName>
    <definedName name="APU_12.1.40">'[5]ANALISIS DE PRECIOS UNITARIOS'!$I$1399</definedName>
    <definedName name="APU_12.1.41">'[5]ANALISIS DE PRECIOS UNITARIOS'!$I$1402</definedName>
    <definedName name="APU_12.1.42">'[5]ANALISIS DE PRECIOS UNITARIOS'!$I$1405</definedName>
    <definedName name="APU_12.1.43">'[5]ANALISIS DE PRECIOS UNITARIOS'!$I$1408</definedName>
    <definedName name="APU_12.1.44">'[5]ANALISIS DE PRECIOS UNITARIOS'!$I$1411</definedName>
    <definedName name="APU_12.1.45">'[5]ANALISIS DE PRECIOS UNITARIOS'!$I$1414</definedName>
    <definedName name="APU_12.1.46">'[5]ANALISIS DE PRECIOS UNITARIOS'!$I$1417</definedName>
    <definedName name="APU_12.1.47">'[5]ANALISIS DE PRECIOS UNITARIOS'!$I$1420</definedName>
    <definedName name="APU_12.1.48">'[5]ANALISIS DE PRECIOS UNITARIOS'!$I$1423</definedName>
    <definedName name="APU_12.1.49">'[5]ANALISIS DE PRECIOS UNITARIOS'!#REF!</definedName>
    <definedName name="APU_12.1.5">'[5]ANALISIS DE PRECIOS UNITARIOS'!$I$1294</definedName>
    <definedName name="APU_12.1.50">'[5]ANALISIS DE PRECIOS UNITARIOS'!#REF!</definedName>
    <definedName name="APU_12.1.51">'[5]ANALISIS DE PRECIOS UNITARIOS'!#REF!</definedName>
    <definedName name="APU_12.1.52">#REF!</definedName>
    <definedName name="APU_12.1.53">'[5]ANALISIS DE PRECIOS UNITARIOS'!$I$1429</definedName>
    <definedName name="APU_12.1.54">'[5]ANALISIS DE PRECIOS UNITARIOS'!$I$1432</definedName>
    <definedName name="APU_12.1.55">'[5]ANALISIS DE PRECIOS UNITARIOS'!$I$1435</definedName>
    <definedName name="APU_12.1.56">'[5]ANALISIS DE PRECIOS UNITARIOS'!$I$1438</definedName>
    <definedName name="APU_12.1.57">'[5]ANALISIS DE PRECIOS UNITARIOS'!$I$1441</definedName>
    <definedName name="APU_12.1.58">'[5]ANALISIS DE PRECIOS UNITARIOS'!$I$1444</definedName>
    <definedName name="APU_12.1.59">'[5]ANALISIS DE PRECIOS UNITARIOS'!$I$1447</definedName>
    <definedName name="APU_12.1.6">'[5]ANALISIS DE PRECIOS UNITARIOS'!$I$1297</definedName>
    <definedName name="APU_12.1.60">'[5]ANALISIS DE PRECIOS UNITARIOS'!$I$1450</definedName>
    <definedName name="APU_12.1.61">'[5]ANALISIS DE PRECIOS UNITARIOS'!$I$1453</definedName>
    <definedName name="APU_12.1.62">'[5]ANALISIS DE PRECIOS UNITARIOS'!$I$1456</definedName>
    <definedName name="APU_12.1.63">'[5]ANALISIS DE PRECIOS UNITARIOS'!$I$1459</definedName>
    <definedName name="APU_12.1.64">'[5]ANALISIS DE PRECIOS UNITARIOS'!$I$1462</definedName>
    <definedName name="APU_12.1.65">'[5]ANALISIS DE PRECIOS UNITARIOS'!$I$1465</definedName>
    <definedName name="APU_12.1.66">'[5]ANALISIS DE PRECIOS UNITARIOS'!$I$1468</definedName>
    <definedName name="APU_12.1.67">'[5]ANALISIS DE PRECIOS UNITARIOS'!$I$1471</definedName>
    <definedName name="APU_12.1.68">'[5]ANALISIS DE PRECIOS UNITARIOS'!$I$1474</definedName>
    <definedName name="APU_12.1.69">'[5]ANALISIS DE PRECIOS UNITARIOS'!$I$1477</definedName>
    <definedName name="APU_12.1.7">'[5]ANALISIS DE PRECIOS UNITARIOS'!$I$1300</definedName>
    <definedName name="APU_12.1.70">'[5]ANALISIS DE PRECIOS UNITARIOS'!$I$1480</definedName>
    <definedName name="APU_12.1.71">'[5]ANALISIS DE PRECIOS UNITARIOS'!$I$1483</definedName>
    <definedName name="APU_12.1.8">'[5]ANALISIS DE PRECIOS UNITARIOS'!$I$1303</definedName>
    <definedName name="APU_12.1.9">'[5]ANALISIS DE PRECIOS UNITARIOS'!$I$1306</definedName>
    <definedName name="APU_13.1.1">'[5]ANALISIS DE PRECIOS UNITARIOS'!$I$1488</definedName>
    <definedName name="APU_13.1.2">'[5]ANALISIS DE PRECIOS UNITARIOS'!$I$1491</definedName>
    <definedName name="APU_13.1.3">'[5]ANALISIS DE PRECIOS UNITARIOS'!$I$1494</definedName>
    <definedName name="APU_13.1.4">'[5]ANALISIS DE PRECIOS UNITARIOS'!$I$1498</definedName>
    <definedName name="APU_13.1.5">'[5]ANALISIS DE PRECIOS UNITARIOS'!$I$1501</definedName>
    <definedName name="APU_13.1.6">'[5]ANALISIS DE PRECIOS UNITARIOS'!$I$1504</definedName>
    <definedName name="APU_14.1.1">'[5]ANALISIS DE PRECIOS UNITARIOS'!$I$1509</definedName>
    <definedName name="APU_14.1.2">'[5]ANALISIS DE PRECIOS UNITARIOS'!$I$1512</definedName>
    <definedName name="APU_14.1.3">'[5]ANALISIS DE PRECIOS UNITARIOS'!$I$1515</definedName>
    <definedName name="APU_14.1.4">'[5]ANALISIS DE PRECIOS UNITARIOS'!$I$1518</definedName>
    <definedName name="APU_14.1.5">'[5]ANALISIS DE PRECIOS UNITARIOS'!$I$1521</definedName>
    <definedName name="APU_15.1.1">'[5]ANALISIS DE PRECIOS UNITARIOS'!#REF!</definedName>
    <definedName name="APU_15.2.1">'[5]ANALISIS DE PRECIOS UNITARIOS'!$I$1526</definedName>
    <definedName name="APU_15.2.10">'[5]ANALISIS DE PRECIOS UNITARIOS'!$I$1553</definedName>
    <definedName name="APU_15.2.11">'[5]ANALISIS DE PRECIOS UNITARIOS'!$I$1556</definedName>
    <definedName name="APU_15.2.12">'[5]ANALISIS DE PRECIOS UNITARIOS'!$I$1559</definedName>
    <definedName name="APU_15.2.13">'[5]ANALISIS DE PRECIOS UNITARIOS'!$I$1562</definedName>
    <definedName name="APU_15.2.14">'[5]ANALISIS DE PRECIOS UNITARIOS'!$I$1565</definedName>
    <definedName name="APU_15.2.15">'[5]ANALISIS DE PRECIOS UNITARIOS'!$I$1568</definedName>
    <definedName name="APU_15.2.2">'[5]ANALISIS DE PRECIOS UNITARIOS'!$I$1529</definedName>
    <definedName name="APU_15.2.3">'[5]ANALISIS DE PRECIOS UNITARIOS'!$I$1532</definedName>
    <definedName name="APU_15.2.4">'[5]ANALISIS DE PRECIOS UNITARIOS'!$I$1535</definedName>
    <definedName name="APU_15.2.5">'[5]ANALISIS DE PRECIOS UNITARIOS'!$I$1538</definedName>
    <definedName name="APU_15.2.6">'[5]ANALISIS DE PRECIOS UNITARIOS'!$I$1541</definedName>
    <definedName name="APU_15.2.7">'[5]ANALISIS DE PRECIOS UNITARIOS'!$I$1544</definedName>
    <definedName name="APU_15.2.8">'[5]ANALISIS DE PRECIOS UNITARIOS'!$I$1547</definedName>
    <definedName name="APU_15.2.9">'[5]ANALISIS DE PRECIOS UNITARIOS'!$I$1550</definedName>
    <definedName name="APU_16.1.1">'[5]ANALISIS DE PRECIOS UNITARIOS'!$I$1573</definedName>
    <definedName name="APU_16.1.10">'[5]ANALISIS DE PRECIOS UNITARIOS'!#REF!</definedName>
    <definedName name="APU_16.1.11">'[5]ANALISIS DE PRECIOS UNITARIOS'!#REF!</definedName>
    <definedName name="APU_16.1.12">'[5]ANALISIS DE PRECIOS UNITARIOS'!#REF!</definedName>
    <definedName name="APU_16.1.13">'[5]ANALISIS DE PRECIOS UNITARIOS'!$I$1603</definedName>
    <definedName name="APU_16.1.14">'[5]ANALISIS DE PRECIOS UNITARIOS'!$I$1606</definedName>
    <definedName name="APU_16.1.15">'[5]ANALISIS DE PRECIOS UNITARIOS'!$I$1615</definedName>
    <definedName name="APU_16.1.16">'[5]ANALISIS DE PRECIOS UNITARIOS'!$I$1618</definedName>
    <definedName name="APU_16.1.17">'[5]ANALISIS DE PRECIOS UNITARIOS'!$I$1621</definedName>
    <definedName name="APU_16.1.18">#REF!</definedName>
    <definedName name="APU_16.1.19">'[5]ANALISIS DE PRECIOS UNITARIOS'!$I$1627</definedName>
    <definedName name="APU_16.1.2">'[5]ANALISIS DE PRECIOS UNITARIOS'!$I$1576</definedName>
    <definedName name="APU_16.1.3">'[5]ANALISIS DE PRECIOS UNITARIOS'!$I$1579</definedName>
    <definedName name="APU_16.1.4">'[5]ANALISIS DE PRECIOS UNITARIOS'!$I$1585</definedName>
    <definedName name="APU_16.1.5">'[5]ANALISIS DE PRECIOS UNITARIOS'!$I$1588</definedName>
    <definedName name="APU_16.1.6">'[5]ANALISIS DE PRECIOS UNITARIOS'!#REF!</definedName>
    <definedName name="APU_16.1.7">#REF!</definedName>
    <definedName name="APU_16.1.8">'[5]ANALISIS DE PRECIOS UNITARIOS'!$I$1594</definedName>
    <definedName name="APU_16.1.9">'[5]ANALISIS DE PRECIOS UNITARIOS'!$I$1597</definedName>
    <definedName name="APU_17.1.1">'[5]ANALISIS DE PRECIOS UNITARIOS'!$I$1632</definedName>
    <definedName name="APU_17.1.2">'[5]ANALISIS DE PRECIOS UNITARIOS'!$I$1635</definedName>
    <definedName name="APU_18.1.1">'[5]ANALISIS DE PRECIOS UNITARIOS'!$I$1640</definedName>
    <definedName name="APU_18.2.1">'[5]ANALISIS DE PRECIOS UNITARIOS'!$I$1644</definedName>
    <definedName name="APU_18.2.2">'[5]ANALISIS DE PRECIOS UNITARIOS'!$I$1647</definedName>
    <definedName name="APU_18.2.3">'[5]ANALISIS DE PRECIOS UNITARIOS'!$I$1650</definedName>
    <definedName name="APU_18.2.4">'[5]ANALISIS DE PRECIOS UNITARIOS'!$I$1653</definedName>
    <definedName name="APU_18.3.1">'[5]ANALISIS DE PRECIOS UNITARIOS'!$I$1657</definedName>
    <definedName name="APU_18.3.2">'[5]ANALISIS DE PRECIOS UNITARIOS'!$I$1660</definedName>
    <definedName name="APU_18.4.1">'[5]ANALISIS DE PRECIOS UNITARIOS'!$I$1664</definedName>
    <definedName name="APU_18.4.2">'[5]ANALISIS DE PRECIOS UNITARIOS'!$I$1667</definedName>
    <definedName name="APU_19.1.1">'[5]ANALISIS DE PRECIOS UNITARIOS'!$I$1672</definedName>
    <definedName name="APU_19.1.2">'[5]ANALISIS DE PRECIOS UNITARIOS'!$I$1675</definedName>
    <definedName name="APU_19.1.3">'[5]ANALISIS DE PRECIOS UNITARIOS'!$I$1678</definedName>
    <definedName name="APU_19.1.4">'[5]ANALISIS DE PRECIOS UNITARIOS'!$I$1681</definedName>
    <definedName name="APU_19.1.5">'[5]ANALISIS DE PRECIOS UNITARIOS'!$I$1684</definedName>
    <definedName name="APU_19.2.1">'[5]ANALISIS DE PRECIOS UNITARIOS'!$I$1688</definedName>
    <definedName name="APU_19.3.1">'[5]ANALISIS DE PRECIOS UNITARIOS'!$I$1692</definedName>
    <definedName name="APU_2.1.1">#REF!</definedName>
    <definedName name="APU_2.1.2">'[5]ANALISIS DE PRECIOS UNITARIOS'!$I$84</definedName>
    <definedName name="APU_2.1.3">#REF!</definedName>
    <definedName name="APU_2.1.4">'[5]ANALISIS DE PRECIOS UNITARIOS'!$I$90</definedName>
    <definedName name="APU_2.2.1">'[5]ANALISIS DE PRECIOS UNITARIOS'!$I$94</definedName>
    <definedName name="APU_2.2.2">'[5]ANALISIS DE PRECIOS UNITARIOS'!$I$97</definedName>
    <definedName name="APU_2.2.3">'[5]ANALISIS DE PRECIOS UNITARIOS'!$I$100</definedName>
    <definedName name="APU_2.3.1">'[5]ANALISIS DE PRECIOS UNITARIOS'!$I$104</definedName>
    <definedName name="APU_2.3.2">#REF!</definedName>
    <definedName name="APU_20.1.1">'[5]ANALISIS DE PRECIOS UNITARIOS'!$I$1697</definedName>
    <definedName name="APU_20.1.2">'[5]ANALISIS DE PRECIOS UNITARIOS'!$I$1700</definedName>
    <definedName name="APU_20.1.3">'[5]ANALISIS DE PRECIOS UNITARIOS'!$I$1703</definedName>
    <definedName name="APU_20.1.4">'[5]ANALISIS DE PRECIOS UNITARIOS'!$I$1706</definedName>
    <definedName name="APU_20.2.1">'[5]ANALISIS DE PRECIOS UNITARIOS'!$I$1710</definedName>
    <definedName name="APU_20.2.2">'[5]ANALISIS DE PRECIOS UNITARIOS'!$I$1713</definedName>
    <definedName name="APU_20.2.3">'[5]ANALISIS DE PRECIOS UNITARIOS'!$I$1716</definedName>
    <definedName name="APU_20.2.4">'[5]ANALISIS DE PRECIOS UNITARIOS'!$I$1719</definedName>
    <definedName name="APU_20.2.5">'[5]ANALISIS DE PRECIOS UNITARIOS'!$I$1722</definedName>
    <definedName name="APU_20.2.6">'[5]ANALISIS DE PRECIOS UNITARIOS'!$I$1725</definedName>
    <definedName name="APU_21.1.4">#REF!</definedName>
    <definedName name="APU_21.2.1">'[5]ANALISIS DE PRECIOS UNITARIOS'!#REF!</definedName>
    <definedName name="APU_21.2.2">'[5]ANALISIS DE PRECIOS UNITARIOS'!$I$1770</definedName>
    <definedName name="APU_21.2.3">'[5]ANALISIS DE PRECIOS UNITARIOS'!$I$1773</definedName>
    <definedName name="APU_21.2.4">'[5]ANALISIS DE PRECIOS UNITARIOS'!$I$1776</definedName>
    <definedName name="APU_3.1.1">'[5]ANALISIS DE PRECIOS UNITARIOS'!$I$112</definedName>
    <definedName name="APU_3.1.10">'[5]ANALISIS DE PRECIOS UNITARIOS'!$I$139</definedName>
    <definedName name="APU_3.1.11">'[5]ANALISIS DE PRECIOS UNITARIOS'!$I$142</definedName>
    <definedName name="APU_3.1.12">'[5]ANALISIS DE PRECIOS UNITARIOS'!$I$145</definedName>
    <definedName name="APU_3.1.13">'[5]ANALISIS DE PRECIOS UNITARIOS'!$I$148</definedName>
    <definedName name="APU_3.1.2">'[5]ANALISIS DE PRECIOS UNITARIOS'!$I$115</definedName>
    <definedName name="APU_3.1.3">'[5]ANALISIS DE PRECIOS UNITARIOS'!$I$118</definedName>
    <definedName name="APU_3.1.4">'[5]ANALISIS DE PRECIOS UNITARIOS'!$I$121</definedName>
    <definedName name="APU_3.1.5">'[5]ANALISIS DE PRECIOS UNITARIOS'!$I$124</definedName>
    <definedName name="APU_3.1.6">'[5]ANALISIS DE PRECIOS UNITARIOS'!$I$127</definedName>
    <definedName name="APU_3.1.7">'[5]ANALISIS DE PRECIOS UNITARIOS'!$I$130</definedName>
    <definedName name="APU_3.1.8">'[5]ANALISIS DE PRECIOS UNITARIOS'!$I$133</definedName>
    <definedName name="APU_3.1.9">'[5]ANALISIS DE PRECIOS UNITARIOS'!$I$136</definedName>
    <definedName name="APU_3.2.1">'[5]ANALISIS DE PRECIOS UNITARIOS'!$I$152</definedName>
    <definedName name="APU_3.2.10">'[5]ANALISIS DE PRECIOS UNITARIOS'!$I$179</definedName>
    <definedName name="APU_3.2.2">'[5]ANALISIS DE PRECIOS UNITARIOS'!$I$155</definedName>
    <definedName name="APU_3.2.3">'[5]ANALISIS DE PRECIOS UNITARIOS'!$I$158</definedName>
    <definedName name="APU_3.2.4">'[5]ANALISIS DE PRECIOS UNITARIOS'!$I$161</definedName>
    <definedName name="APU_3.2.5">'[5]ANALISIS DE PRECIOS UNITARIOS'!$I$164</definedName>
    <definedName name="APU_3.2.6">'[5]ANALISIS DE PRECIOS UNITARIOS'!$I$167</definedName>
    <definedName name="APU_3.2.7">'[5]ANALISIS DE PRECIOS UNITARIOS'!$I$170</definedName>
    <definedName name="APU_3.2.8">'[5]ANALISIS DE PRECIOS UNITARIOS'!$I$173</definedName>
    <definedName name="APU_3.2.9">'[5]ANALISIS DE PRECIOS UNITARIOS'!$I$176</definedName>
    <definedName name="APU_3.3.1">'[5]ANALISIS DE PRECIOS UNITARIOS'!$I$183</definedName>
    <definedName name="APU_3.3.2">'[5]ANALISIS DE PRECIOS UNITARIOS'!$I$186</definedName>
    <definedName name="APU_3.3.3">'[5]ANALISIS DE PRECIOS UNITARIOS'!$I$189</definedName>
    <definedName name="APU_3.3.4">'[5]ANALISIS DE PRECIOS UNITARIOS'!$I$192</definedName>
    <definedName name="APU_3.4.1.1">'[5]ANALISIS DE PRECIOS UNITARIOS'!$I$197</definedName>
    <definedName name="APU_3.4.1.2">#REF!</definedName>
    <definedName name="APU_3.4.1.3">#REF!</definedName>
    <definedName name="APU_3.4.1.4">#REF!</definedName>
    <definedName name="APU_3.4.2.1">'[5]ANALISIS DE PRECIOS UNITARIOS'!$I$210</definedName>
    <definedName name="APU_3.4.2.2">'[5]ANALISIS DE PRECIOS UNITARIOS'!$I$213</definedName>
    <definedName name="APU_3.4.2.3">'[5]ANALISIS DE PRECIOS UNITARIOS'!$I$216</definedName>
    <definedName name="APU_3.4.2.4">#REF!</definedName>
    <definedName name="APU_3.4.3.1">'[5]ANALISIS DE PRECIOS UNITARIOS'!$I$223</definedName>
    <definedName name="APU_3.4.3.2">'[5]ANALISIS DE PRECIOS UNITARIOS'!$I$226</definedName>
    <definedName name="APU_3.4.4.1">'[5]ANALISIS DE PRECIOS UNITARIOS'!$I$230</definedName>
    <definedName name="APU_3.4.4.2">'[5]ANALISIS DE PRECIOS UNITARIOS'!$I$233</definedName>
    <definedName name="APU_3.4.4.3">'[5]ANALISIS DE PRECIOS UNITARIOS'!$I$236</definedName>
    <definedName name="APU_3.4.5.1">'[5]ANALISIS DE PRECIOS UNITARIOS'!$I$240</definedName>
    <definedName name="APU_4.1.1">'[5]ANALISIS DE PRECIOS UNITARIOS'!$I$245</definedName>
    <definedName name="APU_4.1.2">'[5]ANALISIS DE PRECIOS UNITARIOS'!$I$248</definedName>
    <definedName name="APU_4.1.3">'[5]ANALISIS DE PRECIOS UNITARIOS'!$I$251</definedName>
    <definedName name="APU_4.1.4">'[5]ANALISIS DE PRECIOS UNITARIOS'!$I$254</definedName>
    <definedName name="APU_4.1.5">'[5]ANALISIS DE PRECIOS UNITARIOS'!$I$257</definedName>
    <definedName name="APU_4.1.6">'[5]ANALISIS DE PRECIOS UNITARIOS'!$I$260</definedName>
    <definedName name="APU_4.1.7">'[5]ANALISIS DE PRECIOS UNITARIOS'!$I$263</definedName>
    <definedName name="APU_4.1.8">'[5]ANALISIS DE PRECIOS UNITARIOS'!$I$266</definedName>
    <definedName name="APU_4.5.1">'[5]ANALISIS DE PRECIOS UNITARIOS'!$I$270</definedName>
    <definedName name="APU_4.5.2">'[5]ANALISIS DE PRECIOS UNITARIOS'!#REF!</definedName>
    <definedName name="APU_5.1.1">'[5]ANALISIS DE PRECIOS UNITARIOS'!$I$275</definedName>
    <definedName name="APU_5.1.10">'[5]ANALISIS DE PRECIOS UNITARIOS'!$I$305</definedName>
    <definedName name="APU_5.1.11">'[5]ANALISIS DE PRECIOS UNITARIOS'!$I$308</definedName>
    <definedName name="APU_5.1.12">'[5]ANALISIS DE PRECIOS UNITARIOS'!$I$311</definedName>
    <definedName name="APU_5.1.13">'[5]ANALISIS DE PRECIOS UNITARIOS'!$I$314</definedName>
    <definedName name="APU_5.1.2">'[5]ANALISIS DE PRECIOS UNITARIOS'!$I$278</definedName>
    <definedName name="APU_5.1.3">#REF!</definedName>
    <definedName name="APU_5.1.4">'[5]ANALISIS DE PRECIOS UNITARIOS'!$I$284</definedName>
    <definedName name="APU_5.1.5">'[5]ANALISIS DE PRECIOS UNITARIOS'!$I$289</definedName>
    <definedName name="APU_5.1.6">'[5]ANALISIS DE PRECIOS UNITARIOS'!$I$292</definedName>
    <definedName name="APU_5.1.7">'[5]ANALISIS DE PRECIOS UNITARIOS'!$I$295</definedName>
    <definedName name="APU_5.1.8">'[5]ANALISIS DE PRECIOS UNITARIOS'!$I$298</definedName>
    <definedName name="APU_5.1.9">'[5]ANALISIS DE PRECIOS UNITARIOS'!$I$301</definedName>
    <definedName name="APU_5.3.1">'[5]ANALISIS DE PRECIOS UNITARIOS'!$I$322</definedName>
    <definedName name="APU_6.1.1">'[5]ANALISIS DE PRECIOS UNITARIOS'!$I$327</definedName>
    <definedName name="APU_6.1.10">'[5]ANALISIS DE PRECIOS UNITARIOS'!$I$351</definedName>
    <definedName name="APU_6.1.2">'[5]ANALISIS DE PRECIOS UNITARIOS'!$I$330</definedName>
    <definedName name="APU_6.1.3">'[5]ANALISIS DE PRECIOS UNITARIOS'!$I$333</definedName>
    <definedName name="APU_6.1.4">#REF!</definedName>
    <definedName name="APU_6.1.5">'[5]ANALISIS DE PRECIOS UNITARIOS'!$I$339</definedName>
    <definedName name="APU_6.1.6">'[5]ANALISIS DE PRECIOS UNITARIOS'!$I$342</definedName>
    <definedName name="APU_6.1.7">'[5]ANALISIS DE PRECIOS UNITARIOS'!#REF!</definedName>
    <definedName name="APU_6.1.8">'[5]ANALISIS DE PRECIOS UNITARIOS'!$I$345</definedName>
    <definedName name="APU_6.1.9">'[5]ANALISIS DE PRECIOS UNITARIOS'!$I$348</definedName>
    <definedName name="APU_6_1_11">'[5]ANALISIS DE PRECIOS UNITARIOS'!$I$357</definedName>
    <definedName name="APU_7.1.1">'[5]ANALISIS DE PRECIOS UNITARIOS'!$I$365</definedName>
    <definedName name="APU_7.1.10">'[5]ANALISIS DE PRECIOS UNITARIOS'!$I$392</definedName>
    <definedName name="APU_7.1.2">'[5]ANALISIS DE PRECIOS UNITARIOS'!$I$368</definedName>
    <definedName name="APU_7.1.3">'[5]ANALISIS DE PRECIOS UNITARIOS'!$I$371</definedName>
    <definedName name="APU_7.1.4">'[5]ANALISIS DE PRECIOS UNITARIOS'!$I$374</definedName>
    <definedName name="APU_7.1.5">'[5]ANALISIS DE PRECIOS UNITARIOS'!$I$377</definedName>
    <definedName name="APU_7.1.6">'[5]ANALISIS DE PRECIOS UNITARIOS'!$I$380</definedName>
    <definedName name="APU_7.1.7">'[5]ANALISIS DE PRECIOS UNITARIOS'!$I$383</definedName>
    <definedName name="APU_7.1.8">'[5]ANALISIS DE PRECIOS UNITARIOS'!$I$386</definedName>
    <definedName name="APU_7.1.9">'[5]ANALISIS DE PRECIOS UNITARIOS'!$I$389</definedName>
    <definedName name="APU_7.2.1">'[5]ANALISIS DE PRECIOS UNITARIOS'!$I$396</definedName>
    <definedName name="APU_7.2.2">'[5]ANALISIS DE PRECIOS UNITARIOS'!$I$399</definedName>
    <definedName name="APU_7.3.1">'[5]ANALISIS DE PRECIOS UNITARIOS'!$I$403</definedName>
    <definedName name="APU_7.3.10">'[5]ANALISIS DE PRECIOS UNITARIOS'!$I$430</definedName>
    <definedName name="APU_7.3.11">'[5]ANALISIS DE PRECIOS UNITARIOS'!$I$433</definedName>
    <definedName name="APU_7.3.12">'[5]ANALISIS DE PRECIOS UNITARIOS'!$I$436</definedName>
    <definedName name="APU_7.3.13">'[5]ANALISIS DE PRECIOS UNITARIOS'!$I$439</definedName>
    <definedName name="APU_7.3.14">'[5]ANALISIS DE PRECIOS UNITARIOS'!$I$442</definedName>
    <definedName name="APU_7.3.15">'[5]ANALISIS DE PRECIOS UNITARIOS'!$I$445</definedName>
    <definedName name="APU_7.3.16">'[5]ANALISIS DE PRECIOS UNITARIOS'!$I$448</definedName>
    <definedName name="APU_7.3.2">'[5]ANALISIS DE PRECIOS UNITARIOS'!$I$406</definedName>
    <definedName name="APU_7.3.3">'[5]ANALISIS DE PRECIOS UNITARIOS'!$I$409</definedName>
    <definedName name="APU_7.3.4">'[5]ANALISIS DE PRECIOS UNITARIOS'!$I$412</definedName>
    <definedName name="APU_7.3.5">'[5]ANALISIS DE PRECIOS UNITARIOS'!$I$415</definedName>
    <definedName name="APU_7.3.6">'[5]ANALISIS DE PRECIOS UNITARIOS'!$I$418</definedName>
    <definedName name="APU_7.3.7">'[5]ANALISIS DE PRECIOS UNITARIOS'!$I$421</definedName>
    <definedName name="APU_7.3.8">'[5]ANALISIS DE PRECIOS UNITARIOS'!$I$424</definedName>
    <definedName name="APU_7.3.9">'[5]ANALISIS DE PRECIOS UNITARIOS'!$I$427</definedName>
    <definedName name="APU_7.4.1">'[5]ANALISIS DE PRECIOS UNITARIOS'!$I$452</definedName>
    <definedName name="APU_7.4.2">'[5]ANALISIS DE PRECIOS UNITARIOS'!$I$455</definedName>
    <definedName name="APU_7.5.1">'[5]ANALISIS DE PRECIOS UNITARIOS'!$I$459</definedName>
    <definedName name="APU_7.5.2">'[5]ANALISIS DE PRECIOS UNITARIOS'!$I$462</definedName>
    <definedName name="APU_7.5.3">'[5]ANALISIS DE PRECIOS UNITARIOS'!$I$465</definedName>
    <definedName name="APU_7.5.4">'[5]ANALISIS DE PRECIOS UNITARIOS'!$I$468</definedName>
    <definedName name="APU_7.5.5">'[5]ANALISIS DE PRECIOS UNITARIOS'!$I$471</definedName>
    <definedName name="APU_7.5.6">'[5]ANALISIS DE PRECIOS UNITARIOS'!$I$474</definedName>
    <definedName name="APU_7.5.7">'[5]ANALISIS DE PRECIOS UNITARIOS'!$I$479</definedName>
    <definedName name="APU_7.5.8">'[5]ANALISIS DE PRECIOS UNITARIOS'!$I$482</definedName>
    <definedName name="APU_7.6.1">'[5]ANALISIS DE PRECIOS UNITARIOS'!$I$486</definedName>
    <definedName name="APU_7.6.2">'[5]ANALISIS DE PRECIOS UNITARIOS'!$I$489</definedName>
    <definedName name="APU_7.6.3">'[5]ANALISIS DE PRECIOS UNITARIOS'!$I$492</definedName>
    <definedName name="APU_7.7.1.1">'[5]ANALISIS DE PRECIOS UNITARIOS'!$I$497</definedName>
    <definedName name="APU_7.7.1.2">'[5]ANALISIS DE PRECIOS UNITARIOS'!$I$500</definedName>
    <definedName name="APU_7.7.1.3">'[5]ANALISIS DE PRECIOS UNITARIOS'!$I$503</definedName>
    <definedName name="APU_7.7.1.4">'[5]ANALISIS DE PRECIOS UNITARIOS'!$I$506</definedName>
    <definedName name="APU_7.7.1.5">'[5]ANALISIS DE PRECIOS UNITARIOS'!$I$509</definedName>
    <definedName name="APU_7.7.1.6">'[5]ANALISIS DE PRECIOS UNITARIOS'!$I$512</definedName>
    <definedName name="APU_7.7.1.7">'[5]ANALISIS DE PRECIOS UNITARIOS'!$I$515</definedName>
    <definedName name="APU_7.7.1.8">'[5]ANALISIS DE PRECIOS UNITARIOS'!$I$518</definedName>
    <definedName name="APU_7.7.2.1">'[5]ANALISIS DE PRECIOS UNITARIOS'!$I$522</definedName>
    <definedName name="APU_7.7.2.2">'[5]ANALISIS DE PRECIOS UNITARIOS'!$I$525</definedName>
    <definedName name="APU_7.7.2.3">'[5]ANALISIS DE PRECIOS UNITARIOS'!$I$528</definedName>
    <definedName name="APU_7.7.2.4">'[5]ANALISIS DE PRECIOS UNITARIOS'!$I$531</definedName>
    <definedName name="APU_7.7.3.1">'[5]ANALISIS DE PRECIOS UNITARIOS'!$I$535</definedName>
    <definedName name="APU_7.7.3.2">'[5]ANALISIS DE PRECIOS UNITARIOS'!$I$538</definedName>
    <definedName name="APU_7.7.4.1">'[5]ANALISIS DE PRECIOS UNITARIOS'!$I$542</definedName>
    <definedName name="APU_7.7.4.2">'[5]ANALISIS DE PRECIOS UNITARIOS'!$I$545</definedName>
    <definedName name="APU_7.7.4.3">'[5]ANALISIS DE PRECIOS UNITARIOS'!$I$548</definedName>
    <definedName name="APU_7.7.5.1">'[5]ANALISIS DE PRECIOS UNITARIOS'!$I$552</definedName>
    <definedName name="APU_7.7.5.2">'[5]ANALISIS DE PRECIOS UNITARIOS'!$I$555</definedName>
    <definedName name="APU_7.7.6.1">'[5]ANALISIS DE PRECIOS UNITARIOS'!$I$559</definedName>
    <definedName name="APU_7.7.6.2">'[5]ANALISIS DE PRECIOS UNITARIOS'!$I$562</definedName>
    <definedName name="APU_7.7.6.3">'[5]ANALISIS DE PRECIOS UNITARIOS'!$I$565</definedName>
    <definedName name="APU_7.7.6.4">'[5]ANALISIS DE PRECIOS UNITARIOS'!$I$568</definedName>
    <definedName name="APU_7.7.6.5">'[5]ANALISIS DE PRECIOS UNITARIOS'!$I$571</definedName>
    <definedName name="APU_7.7.6.6">'[5]ANALISIS DE PRECIOS UNITARIOS'!$I$574</definedName>
    <definedName name="APU_7.7.7.1">'[5]ANALISIS DE PRECIOS UNITARIOS'!$I$578</definedName>
    <definedName name="APU_7.7.7.2">'[5]ANALISIS DE PRECIOS UNITARIOS'!$I$581</definedName>
    <definedName name="APU_7.7.8.1.1">'[5]ANALISIS DE PRECIOS UNITARIOS'!$I$586</definedName>
    <definedName name="APU_7.7.8.1.10">'[5]ANALISIS DE PRECIOS UNITARIOS'!$I$613</definedName>
    <definedName name="APU_7.7.8.1.11">'[5]ANALISIS DE PRECIOS UNITARIOS'!$I$616</definedName>
    <definedName name="APU_7.7.8.1.2">'[5]ANALISIS DE PRECIOS UNITARIOS'!$I$589</definedName>
    <definedName name="APU_7.7.8.1.3">'[5]ANALISIS DE PRECIOS UNITARIOS'!$I$592</definedName>
    <definedName name="APU_7.7.8.1.4">'[5]ANALISIS DE PRECIOS UNITARIOS'!$I$595</definedName>
    <definedName name="APU_7.7.8.1.5">'[5]ANALISIS DE PRECIOS UNITARIOS'!$I$598</definedName>
    <definedName name="APU_7.7.8.1.6">'[5]ANALISIS DE PRECIOS UNITARIOS'!$I$601</definedName>
    <definedName name="APU_7.7.8.1.7">'[5]ANALISIS DE PRECIOS UNITARIOS'!$I$604</definedName>
    <definedName name="APU_7.7.8.1.8">'[5]ANALISIS DE PRECIOS UNITARIOS'!$I$607</definedName>
    <definedName name="APU_7.7.8.1.9">'[5]ANALISIS DE PRECIOS UNITARIOS'!$I$610</definedName>
    <definedName name="APU_7.7.8.2.1">'[5]ANALISIS DE PRECIOS UNITARIOS'!$I$620</definedName>
    <definedName name="APU_7.7.8.2.2">'[5]ANALISIS DE PRECIOS UNITARIOS'!$I$623</definedName>
    <definedName name="APU_7.7.8.3.1">'[5]ANALISIS DE PRECIOS UNITARIOS'!$I$627</definedName>
    <definedName name="APU_7.7.8.3.2">'[5]ANALISIS DE PRECIOS UNITARIOS'!$I$630</definedName>
    <definedName name="APU_7.7.8.3.3">'[5]ANALISIS DE PRECIOS UNITARIOS'!$I$633</definedName>
    <definedName name="APU_7.7.8.3.4">'[5]ANALISIS DE PRECIOS UNITARIOS'!$I$636</definedName>
    <definedName name="APU_7.7.8.3.5">'[5]ANALISIS DE PRECIOS UNITARIOS'!$I$639</definedName>
    <definedName name="APU_7.7.8.3.6">'[5]ANALISIS DE PRECIOS UNITARIOS'!$I$642</definedName>
    <definedName name="APU_7.7.8.4.1">'[5]ANALISIS DE PRECIOS UNITARIOS'!$I$646</definedName>
    <definedName name="APU_7.7.8.4.2">'[5]ANALISIS DE PRECIOS UNITARIOS'!$I$649</definedName>
    <definedName name="APU_7.7.8.4.3">'[5]ANALISIS DE PRECIOS UNITARIOS'!$I$652</definedName>
    <definedName name="APU_7.7.8.4.4">'[5]ANALISIS DE PRECIOS UNITARIOS'!$I$655</definedName>
    <definedName name="APU_7.7.8.4.5">'[5]ANALISIS DE PRECIOS UNITARIOS'!$I$658</definedName>
    <definedName name="APU_7.7.8.4.6">'[5]ANALISIS DE PRECIOS UNITARIOS'!$I$661</definedName>
    <definedName name="APU_7.7.8.4.7">'[5]ANALISIS DE PRECIOS UNITARIOS'!$I$664</definedName>
    <definedName name="APU_7.7.8.4.8">'[5]ANALISIS DE PRECIOS UNITARIOS'!$I$667</definedName>
    <definedName name="APU_7.8.1.1">'[5]ANALISIS DE PRECIOS UNITARIOS'!$I$672</definedName>
    <definedName name="APU_7.8.1.2">'[5]ANALISIS DE PRECIOS UNITARIOS'!$I$675</definedName>
    <definedName name="APU_7.8.1.3">'[5]ANALISIS DE PRECIOS UNITARIOS'!$I$678</definedName>
    <definedName name="APU_7.8.1.4">'[5]ANALISIS DE PRECIOS UNITARIOS'!$I$681</definedName>
    <definedName name="APU_7.8.2.1">'[5]ANALISIS DE PRECIOS UNITARIOS'!$I$685</definedName>
    <definedName name="APU_7.8.2.2">'[5]ANALISIS DE PRECIOS UNITARIOS'!$I$688</definedName>
    <definedName name="APU_7.8.2.3">'[5]ANALISIS DE PRECIOS UNITARIOS'!$I$691</definedName>
    <definedName name="APU_7.8.3.1">'[5]ANALISIS DE PRECIOS UNITARIOS'!$I$695</definedName>
    <definedName name="APU_7.8.3.2">'[5]ANALISIS DE PRECIOS UNITARIOS'!$I$698</definedName>
    <definedName name="APU_7.9.1.1">'[5]ANALISIS DE PRECIOS UNITARIOS'!$I$703</definedName>
    <definedName name="APU_7.9.1.2">'[5]ANALISIS DE PRECIOS UNITARIOS'!$I$706</definedName>
    <definedName name="APU_7.9.1.3">'[5]ANALISIS DE PRECIOS UNITARIOS'!$I$709</definedName>
    <definedName name="APU_7.9.1.4">'[5]ANALISIS DE PRECIOS UNITARIOS'!$I$712</definedName>
    <definedName name="APU_7.9.1.5">'[5]ANALISIS DE PRECIOS UNITARIOS'!$I$715</definedName>
    <definedName name="APU_7.9.2.1">'[5]ANALISIS DE PRECIOS UNITARIOS'!$I$719</definedName>
    <definedName name="APU_7.9.2.2">'[5]ANALISIS DE PRECIOS UNITARIOS'!$I$722</definedName>
    <definedName name="APU_7.9.2.3">'[5]ANALISIS DE PRECIOS UNITARIOS'!$I$725</definedName>
    <definedName name="APU_7.9.3.1">'[5]ANALISIS DE PRECIOS UNITARIOS'!$I$729</definedName>
    <definedName name="APU_7.9.3.2">'[5]ANALISIS DE PRECIOS UNITARIOS'!$I$732</definedName>
    <definedName name="APU_7.9.3.3">'[5]ANALISIS DE PRECIOS UNITARIOS'!$I$735</definedName>
    <definedName name="APU_7.9.3.4">#REF!</definedName>
    <definedName name="APU_7.9.4.1">'[5]ANALISIS DE PRECIOS UNITARIOS'!$I$739</definedName>
    <definedName name="APU_7.9.4.2">'[5]ANALISIS DE PRECIOS UNITARIOS'!$I$742</definedName>
    <definedName name="APU_7.9.4.3">'[5]ANALISIS DE PRECIOS UNITARIOS'!$I$745</definedName>
    <definedName name="APU_9.1.1">'[5]ANALISIS DE PRECIOS UNITARIOS'!$I$1184</definedName>
    <definedName name="APU_acero.60000">#REF!</definedName>
    <definedName name="APU_Alcaparros">'[5]ANALISIS DE PRECIOS UNITARIOS'!$I$1742</definedName>
    <definedName name="APU_Aseo_General">'[5]ANALISIS DE PRECIOS UNITARIOS'!$I$1763</definedName>
    <definedName name="APU_Asta_Banderas">#REF!</definedName>
    <definedName name="APU_Cauchos_Sabaneros">'[5]ANALISIS DE PRECIOS UNITARIOS'!$I$1745</definedName>
    <definedName name="APU_concreto.2500">#REF!</definedName>
    <definedName name="APU_concreto.3000">#REF!</definedName>
    <definedName name="APU_concreto.4000">#REF!</definedName>
    <definedName name="APU_concreto.imp.3000">#REF!</definedName>
    <definedName name="APU_Duchas_Antivandalicas">'[5]ANALISIS DE PRECIOS UNITARIOS'!#REF!</definedName>
    <definedName name="APU_Gabinete_Incendio">'[5]ANALISIS DE PRECIOS UNITARIOS'!#REF!</definedName>
    <definedName name="APU_Gescobas_Granito_BH">'[5]ANALISIS DE PRECIOS UNITARIOS'!#REF!</definedName>
    <definedName name="APU_Lavamanos_Colgar">#REF!</definedName>
    <definedName name="APU_Limpieza_Fachadas">'[5]ANALISIS DE PRECIOS UNITARIOS'!$I$1757</definedName>
    <definedName name="APU_Limpieza_Muros_Interiores">'[5]ANALISIS DE PRECIOS UNITARIOS'!$I$1760</definedName>
    <definedName name="APU_Magnolios">'[5]ANALISIS DE PRECIOS UNITARIOS'!$I$1748</definedName>
    <definedName name="APU_Mano_de_Oso">'[5]ANALISIS DE PRECIOS UNITARIOS'!$I$1736</definedName>
    <definedName name="APU_mortero.1.4_3000">#REF!</definedName>
    <definedName name="APU_mortero_1.3_4000">#REF!</definedName>
    <definedName name="APU_mortero_1.3_imp">#REF!</definedName>
    <definedName name="APU_mortero_1.4_imp">#REF!</definedName>
    <definedName name="APU_mortero1.5_2000">#REF!</definedName>
    <definedName name="APU_Pradizacion">'[5]ANALISIS DE PRECIOS UNITARIOS'!$I$1729</definedName>
    <definedName name="APU_Sangegado">'[5]ANALISIS DE PRECIOS UNITARIOS'!$I$1739</definedName>
    <definedName name="_xlnm.Consolidate_Area">#N/A</definedName>
    <definedName name="_xlnm.Extract">#REF!</definedName>
    <definedName name="_xlnm.Print_Area" localSheetId="0">'ACTA PARCIAL OBRA 02'!$A$1:$W$334</definedName>
    <definedName name="_xlnm.Print_Area">#REF!</definedName>
    <definedName name="Arena_de_Peña">#REF!</definedName>
    <definedName name="Arena_de_rio">#REF!</definedName>
    <definedName name="Arena_Lavada_de_Peña">#REF!</definedName>
    <definedName name="Arena_semilavada">#REF!</definedName>
    <definedName name="ARTIMFER">#REF!</definedName>
    <definedName name="Aseo_general">#REF!</definedName>
    <definedName name="Aseo_General___3_HS__Sal__Mínimo">#REF!</definedName>
    <definedName name="asot">#REF!</definedName>
    <definedName name="Asta_Para_Banderas">#REF!</definedName>
    <definedName name="Auxiliar_de_Contabilidad">#REF!</definedName>
    <definedName name="AYUDANTE">[1]ENCH!#REF!</definedName>
    <definedName name="Ayudante_Acabados_albañilería">#REF!</definedName>
    <definedName name="Ayudante_Albaílería_General">#REF!</definedName>
    <definedName name="AYUDANTE_ALBAÑILERIA">[1]PAÑ!$F$6</definedName>
    <definedName name="Ayudante_Carpintería">#REF!</definedName>
    <definedName name="Ayudante_Electrico">#REF!</definedName>
    <definedName name="Ayudante_Instalaciones_sanitarias">#REF!</definedName>
    <definedName name="Ayudante_Taller">#REF!</definedName>
    <definedName name="Ayudante_Topografo">#REF!</definedName>
    <definedName name="Balas_Fluorescentes_en_Acero_Galvanizado_de_1x13_W__120_V.">#REF!</definedName>
    <definedName name="Balas_Fluorescentes_en_Acero_Galvanizado_de_1x42_W__120_V.">#REF!</definedName>
    <definedName name="Balas_Fluorescentes_en_Acero_Galvanizado_de_2x26_W__120_V.">#REF!</definedName>
    <definedName name="Balde_Plastico_Negro">#REF!</definedName>
    <definedName name="Baldosa_Alfa_L1_30x30">#REF!</definedName>
    <definedName name="Banco_de_Ductos_de_PVC_en_1_Ø">#REF!</definedName>
    <definedName name="Banco_de_Ductos_de_PVC_en_2_Ø">#REF!</definedName>
    <definedName name="Bandeja_de_Fibra_Optica_de_12_Puertos">#REF!</definedName>
    <definedName name="Barniz_vitriflex">#REF!</definedName>
    <definedName name="Barra_de_Seguridad_AI_Ref._5724">#REF!</definedName>
    <definedName name="Barra_de_Seguridad_AI_Ref._5770">#REF!</definedName>
    <definedName name="base">#REF!</definedName>
    <definedName name="Base_datos_IM">#REF!</definedName>
    <definedName name="BASE_DE_DATOS">#REF!</definedName>
    <definedName name="Base_en_recebo_B___200">#REF!</definedName>
    <definedName name="Base_granular">#REF!</definedName>
    <definedName name="_xlnm.Database">#REF!</definedName>
    <definedName name="BaseDefinitiva">[6]DATOS!$D:$I</definedName>
    <definedName name="basef">#REF!</definedName>
    <definedName name="Bateas">#REF!</definedName>
    <definedName name="Bebederos_para_parque">#REF!</definedName>
    <definedName name="Beg_Bal">#REF!</definedName>
    <definedName name="Bicicletero">#REF!</definedName>
    <definedName name="Bisagra_aluminio_Extruído_3">#REF!</definedName>
    <definedName name="Bisagra_común_de_3">#REF!</definedName>
    <definedName name="BLAZEMASTER">#REF!</definedName>
    <definedName name="blazemqster">#REF!</definedName>
    <definedName name="Bombas_de_Incendio">#REF!</definedName>
    <definedName name="Bombas_de_Suministro_Pre_Ensambladas">#REF!</definedName>
    <definedName name="Bombas_sum_seg_espec">#REF!</definedName>
    <definedName name="Bombas_Sumergibles">#REF!</definedName>
    <definedName name="Bombas_Sumergibles_Según_Especificacion">#REF!</definedName>
    <definedName name="Bordillo_en_concreto_e__15.H_0_40_para_jardineras_y_otros">#REF!</definedName>
    <definedName name="Bordillo_Jardineras_en_circulaciones_y_patio__en_concreto_e__15._Anden">#REF!</definedName>
    <definedName name="Bordillo_prefabricados_tipo_A___70">#REF!</definedName>
    <definedName name="Brazo_Hidráulico_Dorma__4">#REF!</definedName>
    <definedName name="Breaker_Tipo_Enchufable_de_1x20A_10KA">#REF!</definedName>
    <definedName name="Breaker_Tipo_Enchufable_de_3x20A_10KA">#REF!</definedName>
    <definedName name="Breaker_Tipo_Enchufable_de_3x30A_10KA">#REF!</definedName>
    <definedName name="Breaker_Tipo_Enchufable_de_3x80A_25KA">#REF!</definedName>
    <definedName name="Brida_Roscada_Acero_X_150_PSI_2">#REF!</definedName>
    <definedName name="Brida_Roscada_Acero_X_150_PSI_3">#REF!</definedName>
    <definedName name="Brocha_de_cerda_4">#REF!</definedName>
    <definedName name="BuiltIn_Print_Area">#REF!</definedName>
    <definedName name="BuiltIn_Print_Area___0">#REF!</definedName>
    <definedName name="BuiltIn_Print_Titles">#REF!</definedName>
    <definedName name="BuiltIn_Print_Titles___0">#REF!</definedName>
    <definedName name="Cable_Aluminio_Aislado_P.V.C._1_0_AWG">#REF!</definedName>
    <definedName name="Cable_Aluminio_Aislado_P.V.C._2_0_AWG">#REF!</definedName>
    <definedName name="Cable_Telefonico_de_20_Pares">#REF!</definedName>
    <definedName name="Cable_teléfonos_2_Pares">#REF!</definedName>
    <definedName name="Cable_UTP_4_Pares_Cat._5E">#REF!</definedName>
    <definedName name="Caja_de_Paso_en_Mamposteria_de_40x40_cm.">#REF!</definedName>
    <definedName name="Caja_de_Paso_Metalicas_de_10x10_cm.">#REF!</definedName>
    <definedName name="Caja_de_Paso_Metalicas_de_20x20_cm.">#REF!</definedName>
    <definedName name="Caja_Galvanizada_5800">#REF!</definedName>
    <definedName name="Caja_para_Taco_100_a_4_circuitos">#REF!</definedName>
    <definedName name="Cajas_de_Inspeccion__N._CODENSA__AP_280">#REF!</definedName>
    <definedName name="Cajas_de_Inspeccion__N._CODENSA__CS_274">#REF!</definedName>
    <definedName name="Cajas_de_Inspeccion_Según_N._CODENSA_C8_276">#REF!</definedName>
    <definedName name="Cajillas_Medidores_1_1_2">#REF!</definedName>
    <definedName name="Calado_Ceramico_20x20">#REF!</definedName>
    <definedName name="CALCULO">#REF!</definedName>
    <definedName name="CALENTADOR">#REF!</definedName>
    <definedName name="Calentadores_de_Paso">#REF!</definedName>
    <definedName name="cambios">#REF!</definedName>
    <definedName name="Campana_Extractora">#REF!</definedName>
    <definedName name="Campana_extractora_más_ductería.">#REF!</definedName>
    <definedName name="CANAAN">'[7]ANALISIS DE PRECIOS UNITARIOS'!#REF!</definedName>
    <definedName name="Canaleta_Metalica_con_Division_de_15x4_cm.">#REF!</definedName>
    <definedName name="Canalizacion_Subterranea_4_PVC_4__Según_N._CODENSA">#REF!</definedName>
    <definedName name="Canastilla_Lavaplatos_Ref._93500_000_000">#REF!</definedName>
    <definedName name="Canchas_múltiples.">#REF!</definedName>
    <definedName name="Canecas_de_55_Gal.">#REF!</definedName>
    <definedName name="Cantidad">#REF!</definedName>
    <definedName name="CAÑUELAS">#REF!</definedName>
    <definedName name="Caolin">#REF!</definedName>
    <definedName name="Cargador_frontal">#REF!</definedName>
    <definedName name="CASAVAL">#REF!</definedName>
    <definedName name="Casetón_en_fibra_de_vidrio.">#REF!</definedName>
    <definedName name="Caucho_Sabanero_1.50_m">#REF!</definedName>
    <definedName name="cceden">#REF!</definedName>
    <definedName name="Cedro_caqueta_pieza">#REF!</definedName>
    <definedName name="Celosía_en_aluminio">#REF!</definedName>
    <definedName name="Cemento_Blanco">#REF!</definedName>
    <definedName name="Cemento_gris">#REF!</definedName>
    <definedName name="centro">#REF!</definedName>
    <definedName name="Cepillos">#REF!</definedName>
    <definedName name="Ceramica_30_X_30_Ref.">#REF!</definedName>
    <definedName name="Cerámica_Alfa_Lisa_20x20">#REF!</definedName>
    <definedName name="Cerchas_metalicas_segun_diseño_arquitectonico">#REF!</definedName>
    <definedName name="Cerco_Ordinario_3_M">#REF!</definedName>
    <definedName name="Cerradura__No_hay_sugerencias__baño_A_40S">#REF!</definedName>
    <definedName name="Cerradura_Ref._A40_S_Orbit_C_M_Schlage">#REF!</definedName>
    <definedName name="Cerradura_Ref._A50_PD_Con_Manija_Orbit_C_M_Schlage">#REF!</definedName>
    <definedName name="Cerradura_Ref._A50_WD_Orbit_C_M_Schlage">#REF!</definedName>
    <definedName name="Cerradura_Ref._A80_PD_Orbit_C_M_Schlage">#REF!</definedName>
    <definedName name="Cerradura_Ref._B362_C_M_Schlage">#REF!</definedName>
    <definedName name="Certificacion_por_Punto_Sencillo">#REF!</definedName>
    <definedName name="Chazos_de_Madera_10_X_10">#REF!</definedName>
    <definedName name="Cheque_1">#REF!</definedName>
    <definedName name="Cheque_1_1_2">#REF!</definedName>
    <definedName name="Cheque_2">#REF!</definedName>
    <definedName name="Cheque_3">#REF!</definedName>
    <definedName name="CIMENTACION">[1]CIMENTACION!$C$3:$H$215</definedName>
    <definedName name="Cinta_teflón">#REF!</definedName>
    <definedName name="CINTESTRUC">#REF!</definedName>
    <definedName name="Cocineta_estufa_a_gas_dos_puestos">#REF!</definedName>
    <definedName name="Codo_45_cobre_tipo_CxC">#REF!</definedName>
    <definedName name="Codo_90_1_4__c_x_c_sanitario_3">#REF!</definedName>
    <definedName name="Codo_90_1_4__c_x_c_sanitario_4">#REF!</definedName>
    <definedName name="Codo_90_cobre_tipo_CxC">#REF!</definedName>
    <definedName name="Codo_90_presión_P.V.C._1">#REF!</definedName>
    <definedName name="Codo_90_presión_P.V.C._1_1_2">#REF!</definedName>
    <definedName name="Codo_90_presión_P.V.C._1_2">#REF!</definedName>
    <definedName name="Codo_90_presión_P.V.C._3_4">#REF!</definedName>
    <definedName name="Codo_90o_1_4__CxC_SANITARIO_2">#REF!</definedName>
    <definedName name="Codo_90o_1_4__CxC_SANITARIO_3">#REF!</definedName>
    <definedName name="Codo_90o_1_4__CxC_SANITARIO_4">#REF!</definedName>
    <definedName name="Codo_90o_1_4__CxC_SANITARIO_6">#REF!</definedName>
    <definedName name="Codo_90o_Presión_P.V.C._1">#REF!</definedName>
    <definedName name="Codo_90o_Presión_P.V.C._1_1_2">#REF!</definedName>
    <definedName name="Codo_90o_Presión_P.V.C._1_1_4">#REF!</definedName>
    <definedName name="Codo_90o_Presión_P.V.C._1_2">#REF!</definedName>
    <definedName name="Codo_90o_Presión_P.V.C._2">#REF!</definedName>
    <definedName name="Codo_90o_Presión_P.V.C._2_1_2">#REF!</definedName>
    <definedName name="Codo_90o_Presión_P.V.C._3">#REF!</definedName>
    <definedName name="Codo_90o_Presión_P.V.C._3_4">#REF!</definedName>
    <definedName name="Codo_galvanizado_1">#REF!</definedName>
    <definedName name="Codo_galvanizado_1_1_2">#REF!</definedName>
    <definedName name="Codo_galvanizado_2">#REF!</definedName>
    <definedName name="Codo_Galvanizado_3">#REF!</definedName>
    <definedName name="COLFRISER">#REF!</definedName>
    <definedName name="COLMENA">#REF!</definedName>
    <definedName name="COLMENA.GALV">#REF!</definedName>
    <definedName name="COLMENA.NEGRO">#REF!</definedName>
    <definedName name="Color_mineral">#REF!</definedName>
    <definedName name="COLREJILLAS">#REF!</definedName>
    <definedName name="Compresor_2_Martillos_185_PCM">#REF!</definedName>
    <definedName name="Concreto_1_3_5">#REF!</definedName>
    <definedName name="Concreto_2500_PSI">#REF!</definedName>
    <definedName name="CONCRETO_3000">[3]INSUMOS!$C$6</definedName>
    <definedName name="Concreto_3000_PSI">#REF!</definedName>
    <definedName name="Concreto_a_granel_con_silo_puesto_en_obra__cemento_1A__2500_P.S.I.">#REF!</definedName>
    <definedName name="Concreto_a_granel_con_silo_puesto_en_obra__cemento_1A__3000_P.S.I.">#REF!</definedName>
    <definedName name="Concreto_a_granel_con_silo_puesto_en_obra__cemento_1A__4000_P.S.I.">#REF!</definedName>
    <definedName name="Concreto_común_3000_P.S.I.">#REF!</definedName>
    <definedName name="Concreto_Corriente_2500_P.S.I.">#REF!</definedName>
    <definedName name="Concreto_Corriente_3000_P.S.I.">#REF!</definedName>
    <definedName name="Concreto_corriente_de_2500_P.S.I.">#REF!</definedName>
    <definedName name="Concreto_Corriente_de_3000_P.S.I.">#REF!</definedName>
    <definedName name="Concreto_Corriente_de_4000_P.S.I.">#REF!</definedName>
    <definedName name="Concreto_Gravilla_Fina_2000_psi">#REF!</definedName>
    <definedName name="CONCRETO1500">'[8]INSUMOS BASICOS'!$C$2</definedName>
    <definedName name="CONCRETO3000">'[8]INSUMOS BASICOS'!$C$5</definedName>
    <definedName name="CONDUFLEX">#REF!</definedName>
    <definedName name="Conexión_Siamesa">#REF!</definedName>
    <definedName name="Conexión_Siamesa_de_2_1_2__X_2_1_2__X_3">#REF!</definedName>
    <definedName name="CONSIGNADO_EN_CUENTAS">#REF!</definedName>
    <definedName name="CONTRATISTA">[9]VARIABLES!$C$9</definedName>
    <definedName name="CONTRATO.No">[9]VARIABLES!$C$6</definedName>
    <definedName name="COPIA">#REF!</definedName>
    <definedName name="COPIA1">#REF!</definedName>
    <definedName name="COPIA2">#REF!</definedName>
    <definedName name="CORRUGADA">#REF!</definedName>
    <definedName name="CORZAN">#REF!</definedName>
    <definedName name="CotizacionARP">#REF!</definedName>
    <definedName name="COVAL">#REF!</definedName>
    <definedName name="CPVC">#REF!</definedName>
    <definedName name="CPVC.INC">#REF!</definedName>
    <definedName name="CRIT1">#REF!</definedName>
    <definedName name="CU.ARTIMFER">#REF!</definedName>
    <definedName name="CUADRILLA">'[10]MANO DE OBRA'!$C$7:$C$14</definedName>
    <definedName name="Cuadrilla_Albañilería_OF_Ayudante">#REF!</definedName>
    <definedName name="CUADRILLA_CIVILES">[2]INSBASICOS!$C$66</definedName>
    <definedName name="Cubierta_sándwich___Deck_Aluzinc_333C_mm_Cal_26">#REF!</definedName>
    <definedName name="Cubierta_Trapezoidal_Acesco_3_05">#REF!</definedName>
    <definedName name="Cuchillas">#REF!</definedName>
    <definedName name="Cupula_tragante_4_x2">#REF!</definedName>
    <definedName name="curva">"Chart 11"</definedName>
    <definedName name="Data">#REF!</definedName>
    <definedName name="dcon">#REF!</definedName>
    <definedName name="DD">#REF!</definedName>
    <definedName name="dddd">#REF!</definedName>
    <definedName name="DECIMALES">[11]MO!$B$1</definedName>
    <definedName name="DESENCOFRE">'[7]ANALISIS DE PRECIOS UNITARIOS'!#REF!</definedName>
    <definedName name="Desinfeccion_del_Sistema_de_Agua_Potable">#REF!</definedName>
    <definedName name="DESPERDICIOS">#REF!</definedName>
    <definedName name="dfdaf">MATCH(0.01,End_Bal,-1)+1</definedName>
    <definedName name="DFSD">#REF!</definedName>
    <definedName name="DIAMETROS">'[10]DATOS GENERALES'!$D$5:$D$17</definedName>
    <definedName name="DICOL">#REF!</definedName>
    <definedName name="DifConsultoriaFMMin">#REF!</definedName>
    <definedName name="Disolvente_Thinner">#REF!</definedName>
    <definedName name="Dispensador_Jabon_Liquido_Ref._B_4063">#REF!</definedName>
    <definedName name="Dispensador_Toallas_de_Papel_Ref._B_369">#REF!</definedName>
    <definedName name="DISTRINOX">#REF!</definedName>
    <definedName name="DITEC">#REF!</definedName>
    <definedName name="Documentacion_y_Marquillado">#REF!</definedName>
    <definedName name="dolar">#REF!</definedName>
    <definedName name="DÓLAR">'[12]APU HYS Hotel N400-N2500'!$C$633</definedName>
    <definedName name="Domos_acrílicos_1.10_x_1.10">#REF!</definedName>
    <definedName name="dos">#REF!</definedName>
    <definedName name="DT">#REF!</definedName>
    <definedName name="ducha_antivandalica_mezclador">#REF!</definedName>
    <definedName name="DURMAN.TDP">#REF!</definedName>
    <definedName name="Durmiente_3_m">#REF!</definedName>
    <definedName name="Durmiente_Abarco_4m">#REF!</definedName>
    <definedName name="Durmiente_Ordinario_4m">#REF!</definedName>
    <definedName name="E21viga1">#REF!</definedName>
    <definedName name="EDEN">#REF!</definedName>
    <definedName name="Emeflex_3_00_mm">#REF!</definedName>
    <definedName name="End_Bal">#REF!</definedName>
    <definedName name="Endurecedor">#REF!</definedName>
    <definedName name="Entramado_piso__repisas_8_4_3">#REF!</definedName>
    <definedName name="Equipo_de_Medida_de_Energia_Activa_y_Reactiva__Transformadores_de_Corriente_de_660_5_A_Bornera_de_Prueba_y_Celda">#REF!</definedName>
    <definedName name="Equipo_para_Suministro_Agua_No_Potable_Según_Especificacion">#REF!</definedName>
    <definedName name="Equipo_para_Suministro_de_Agua_Potable_Según_Especificacion">#REF!</definedName>
    <definedName name="Equipo_Proteccion_de_Incendio_Según_Especificacion">#REF!</definedName>
    <definedName name="EQUIPOS">#REF!</definedName>
    <definedName name="Escalera_metálica_en_caracol_Diametro_1_80">#REF!</definedName>
    <definedName name="Escalera_Metalica_tramo_5_50_ML">#REF!</definedName>
    <definedName name="Escobas">#REF!</definedName>
    <definedName name="Escotilla_de_Inspeccion_tanques_de_agua">#REF!</definedName>
    <definedName name="Escudos_Americanos_para_Sprinkler">#REF!</definedName>
    <definedName name="Esmalte_Sintético_Pintulux">#REF!</definedName>
    <definedName name="Espatula">#REF!</definedName>
    <definedName name="Espatulas">#REF!</definedName>
    <definedName name="Espatulas_3">#REF!</definedName>
    <definedName name="Espatulas_5">#REF!</definedName>
    <definedName name="Espejo_4.00_mm">#REF!</definedName>
    <definedName name="Esponjillas">#REF!</definedName>
    <definedName name="Estopa">#REF!</definedName>
    <definedName name="ESTRUCTURA">[1]ESTRUCTURA!$C$3:$H$113</definedName>
    <definedName name="Estructuras_LA228__LA223_Incluye_Poste_12m_750_kg">#REF!</definedName>
    <definedName name="Estufa_Electrica_2_Puestos">#REF!</definedName>
    <definedName name="Estufas">#REF!</definedName>
    <definedName name="ETC">#REF!</definedName>
    <definedName name="ETC_1">#REF!</definedName>
    <definedName name="ETC_2">#REF!</definedName>
    <definedName name="Exacavacion_mecanica">#REF!</definedName>
    <definedName name="EXCAVACION_MANUAL">[1]CIMENTACION!$H$103</definedName>
    <definedName name="Excavacion_manual_con_retiro">#REF!</definedName>
    <definedName name="Excel_BuiltIn__FilterDatabase_1">#REF!</definedName>
    <definedName name="Excel_BuiltIn_Print_Area_5">#REF!</definedName>
    <definedName name="Excel_BuiltIn_Print_Area_8">#REF!</definedName>
    <definedName name="Excel_BuiltIn_Print_Titles_8">#REF!</definedName>
    <definedName name="Extra_Pay">#REF!</definedName>
    <definedName name="Extracción_IM">#REF!</definedName>
    <definedName name="Extractor_de_Olores_con_Persiana_Ref.">#REF!</definedName>
    <definedName name="FactorMultFinalFMMin">#REF!</definedName>
    <definedName name="FactorMultiplicaCalculadoFMMin">#REF!</definedName>
    <definedName name="FECHA">'[10]DATOS GENERALES'!$T$7</definedName>
    <definedName name="FECHA.CONTRATO">[9]VARIABLES!$C$7</definedName>
    <definedName name="ff">#REF!</definedName>
    <definedName name="FIJACION">#REF!</definedName>
    <definedName name="Fijamix_Alfa">#REF!</definedName>
    <definedName name="FLEXILATINA">#REF!</definedName>
    <definedName name="Flexometro">#REF!</definedName>
    <definedName name="Flotador_Metálico_1_1_2__Bronce">#REF!</definedName>
    <definedName name="Flotador_Metálico_2__Bronce">#REF!</definedName>
    <definedName name="FONDO2">#REF!</definedName>
    <definedName name="Formaleta_Entrepisos">#REF!</definedName>
    <definedName name="Formaleta_madera">#REF!</definedName>
    <definedName name="Formaleta_plaquetas">#REF!</definedName>
    <definedName name="Formaleta_Sardinel">#REF!</definedName>
    <definedName name="FR">#REF!</definedName>
    <definedName name="Full_Print">#REF!</definedName>
    <definedName name="Gabinete_Cerrado_de_Comunicaciones_de_100x60x60_cm.">#REF!</definedName>
    <definedName name="Gabinete_Cerrado_de_Comunicaciones_de_60x60x60_cm.">#REF!</definedName>
    <definedName name="Gabinetes_de_Incendio">#REF!</definedName>
    <definedName name="Gabinetes_de_Incendio_Clase_I">#REF!</definedName>
    <definedName name="Gabinetes_Metalicos__Cal._16_min__Color_Gris_Claro_para_T_GEN_1">#REF!</definedName>
    <definedName name="Gabinetes_Metalicos__Cal._16_min__Color_Gris_Claro_para_T_GEN_2">#REF!</definedName>
    <definedName name="Gabinetes_Metalicos__Cal._16_min__Color_Gris_Claro_para_T_GEN_3">#REF!</definedName>
    <definedName name="Gabinetes_Metalicos__Cal._16_min__Color_Gris_Claro_para_Tablero_General">#REF!</definedName>
    <definedName name="Gancho_teja_eternit_55_MM">#REF!</definedName>
    <definedName name="GEODREN">#REF!</definedName>
    <definedName name="GEOTEXTIL">#REF!</definedName>
    <definedName name="Geotextil_tejido_ST_200">#REF!</definedName>
    <definedName name="Grama_Kikuyo">#REF!</definedName>
    <definedName name="Granito__No_hay_sugerencias__peruano_No_3">#REF!</definedName>
    <definedName name="Granito_Blanco_Huila_No._1">#REF!</definedName>
    <definedName name="Granito_Rosa_Porrino_JP__30___e_10mm">#REF!</definedName>
    <definedName name="Gravilla">#REF!</definedName>
    <definedName name="Gravilla_de_río">#REF!</definedName>
    <definedName name="Griferia_Lavaplatos_Flamingo_Ref._90500_000_000">#REF!</definedName>
    <definedName name="Guardaescoba_en_Aluminio__incl._Instalacion">#REF!</definedName>
    <definedName name="Header_Row">ROW(#REF!)</definedName>
    <definedName name="HECTOR">#REF!</definedName>
    <definedName name="HELBERT">#REF!</definedName>
    <definedName name="HELBERT.HIERRO">#REF!</definedName>
    <definedName name="HERRAMIENTA">'[10]DATOS GENERALES'!$I$3:$I$8</definedName>
    <definedName name="HERRAMIENTA_MENOR">[3]INSUMOS!$C$22</definedName>
    <definedName name="HERRAMIENTAS">'[10]EQUIPOS Y HERRAMIENTAS'!$C$6:$C$670</definedName>
    <definedName name="HF.PVMETAL">#REF!</definedName>
    <definedName name="HHH">#REF!</definedName>
    <definedName name="Hoja_Entamborada_en_Madera_2.10x1.50_2_Hojas">#REF!</definedName>
    <definedName name="Hoja_Entamborada_en_Madera_2.10x75">#REF!</definedName>
    <definedName name="Hoja_Entamborada_en_Madera_2.10x90">#REF!</definedName>
    <definedName name="Hoja_Entamborada_en_Madera_2.25x90">#REF!</definedName>
    <definedName name="Hoja_Entamborada_en_Madera_2.40x4.80_4_Hojas_Plegable">#REF!</definedName>
    <definedName name="HonoraProfesionales">#REF!</definedName>
    <definedName name="HonoraTecnicos">#REF!</definedName>
    <definedName name="Horno_Microondas">#REF!</definedName>
    <definedName name="hpiso">#REF!</definedName>
    <definedName name="I.V.A.">#REF!</definedName>
    <definedName name="IDDESC">#REF!</definedName>
    <definedName name="Impermeabilizante_concreto_de_3000_P.S.I.">#REF!</definedName>
    <definedName name="Impermeabilizante_mortero_1_3">#REF!</definedName>
    <definedName name="Impermeabilizante_mortero_1_4">#REF!</definedName>
    <definedName name="impresion">#REF!</definedName>
    <definedName name="Imprimir_Certificado">#REF!</definedName>
    <definedName name="Incremento_Fluido_3000_psi">#REF!</definedName>
    <definedName name="instalacion_lavamanos">#REF!</definedName>
    <definedName name="instalacion_lavaplatos">#REF!</definedName>
    <definedName name="instalacion_sanitario">#REF!</definedName>
    <definedName name="Instalación_y_dotación">#REF!</definedName>
    <definedName name="INSUMO">[13]INSUMOS!$B$7:$B$65536</definedName>
    <definedName name="Int">#REF!</definedName>
    <definedName name="INTENCION_COFINANCIACION">#REF!</definedName>
    <definedName name="Interest_Rate">#REF!</definedName>
    <definedName name="Item">#REF!</definedName>
    <definedName name="ITEMPROPUESTA">#REF!</definedName>
    <definedName name="iva">#REF!</definedName>
    <definedName name="j">#REF!</definedName>
    <definedName name="Jardines">#REF!</definedName>
    <definedName name="Juego_de_incrustaciones_acuacer">#REF!</definedName>
    <definedName name="Juego_de_incrustaciones_en_color_blanco">#REF!</definedName>
    <definedName name="Juegos_infantiles_según_catálogo_I.D.R.D.">#REF!</definedName>
    <definedName name="klk">#REF!</definedName>
    <definedName name="kpíkí">'[5]ANALISIS DE PRECIOS UNITARIOS'!#REF!</definedName>
    <definedName name="Ladrillo_cuarto_x_26_tono_natural_rustico">#REF!</definedName>
    <definedName name="Ladrillo_Jamba_Doble_Coral_Moore">#REF!</definedName>
    <definedName name="Ladrillo_Portante_Trefilado_14__15x30x10">#REF!</definedName>
    <definedName name="Ladrillo_prensado_fino_santafe">#REF!</definedName>
    <definedName name="Ladrillo_tablon_natural_1_4___26___6_Tono_natural.">#REF!</definedName>
    <definedName name="Ladrillo_tolete_comun">#REF!</definedName>
    <definedName name="Ladrillo_Tolete_Recocido">#REF!</definedName>
    <definedName name="Lámina_cold_rolled_cal_18">#REF!</definedName>
    <definedName name="Lamina_HR_6mm">#REF!</definedName>
    <definedName name="lamina_identificacion">#REF!</definedName>
    <definedName name="Last_Row">#N/A</definedName>
    <definedName name="Lavamanos_de_sobre_poner_Corona">#REF!</definedName>
    <definedName name="Lavamanos_de_sobreponer_en_acero_inoxidable.">#REF!</definedName>
    <definedName name="Lavamanos_de_Sobreponer_Ref._07349">#REF!</definedName>
    <definedName name="Lavaplatos_Bar_Redondo_Ref._0556_999">#REF!</definedName>
    <definedName name="Lija">#REF!</definedName>
    <definedName name="limcount" hidden="1">1</definedName>
    <definedName name="Listón_1.5x3x3">#REF!</definedName>
    <definedName name="Listón_M.H._Guayacán">#REF!</definedName>
    <definedName name="LJ">#REF!</definedName>
    <definedName name="Llave_automatica_Ref._71100_000_000">#REF!</definedName>
    <definedName name="Llave_Manguera">#REF!</definedName>
    <definedName name="lll">#REF!</definedName>
    <definedName name="Loan_Amount">#REF!</definedName>
    <definedName name="Loan_Start">#REF!</definedName>
    <definedName name="Loan_Years">#REF!</definedName>
    <definedName name="Luminaria_Artistica_Riel_2.43_m__6_Proyectores_Incand._de_100_W._120_V.">#REF!</definedName>
    <definedName name="Luminaria_Cerrada_Tipo_AP_de_Sodio_de_150_W._220_V.__Incluye_Fotocelda">#REF!</definedName>
    <definedName name="Luminaria_Cerrada_Tipo_AP_de_Sodio_de_250_W._220_V.">#REF!</definedName>
    <definedName name="Luminaria_Hermetica_de_Piso_Grado_IP65_de_90_W._120_V.">#REF!</definedName>
    <definedName name="Luminaria_Industrial_Metal_Halide_de_250_W._220_V.">#REF!</definedName>
    <definedName name="Luminaria_Tipo_Wall_Pack_de_70_W._220_V.">#REF!</definedName>
    <definedName name="Luminarias_Fluorescentes_Sistema_Modular_de_2x32_W__120_V__Tipo_T_8">#REF!</definedName>
    <definedName name="Luminarias_Fluorescentes_Tipo_Industrial_de_2x32_W__120_V__Tipo_T_8">#REF!</definedName>
    <definedName name="Luminarias_Fluorescentes_Tubos_en__U__de_2x32_W__120_V__Tipo_T_8">#REF!</definedName>
    <definedName name="M">'[5]ANALISIS DE PRECIOS UNITARIOS'!#REF!</definedName>
    <definedName name="M.D.O._Alistado_de_Pisos">#REF!</definedName>
    <definedName name="M.D.O._Aseo_Durnate_la_Obra">#REF!</definedName>
    <definedName name="M.D.O._Aseo_Final">#REF!</definedName>
    <definedName name="M.D.O._Cargue_Volqueta">#REF!</definedName>
    <definedName name="M.D.O._Chazos_en_Madera">#REF!</definedName>
    <definedName name="M.D.O._Demolicion_Muro">#REF!</definedName>
    <definedName name="M.D.O._Enchape_Ceramica">#REF!</definedName>
    <definedName name="M.D.O._Instalacion_Alfombra">#REF!</definedName>
    <definedName name="M.D.O._Instalacion_Cieloraso">#REF!</definedName>
    <definedName name="M.D.O._Instalacion_Granito">#REF!</definedName>
    <definedName name="M.D.O._Instalacion_Zocalo_en_Granito">#REF!</definedName>
    <definedName name="M.D.O._Pañete_Liso_Muros">#REF!</definedName>
    <definedName name="M.D.O._Preparacion_Grouting">#REF!</definedName>
    <definedName name="M.D.O._Preparacion_Mortero">#REF!</definedName>
    <definedName name="M.D.O._Replanteo">#REF!</definedName>
    <definedName name="M.D.O._Trasciego_de_Escombros">#REF!</definedName>
    <definedName name="M.D.O._Vinilo_Estuco">#REF!</definedName>
    <definedName name="M.O.">#REF!</definedName>
    <definedName name="M.O.alcantarillado">#REF!</definedName>
    <definedName name="Macetas">#REF!</definedName>
    <definedName name="Madera_teca_suministro__instalacion__pulida_y_lacada">#REF!</definedName>
    <definedName name="Magnolio_1.50_m">#REF!</definedName>
    <definedName name="MALLA_DE_REFUERZO">[1]CIMENTACION!$H$26</definedName>
    <definedName name="Malla_electrosoldada_Q_3.1">#REF!</definedName>
    <definedName name="Malla_eslabonada">#REF!</definedName>
    <definedName name="Malla_IMT_30_Cal_12_e_2mm">#REF!</definedName>
    <definedName name="MALLAELECTROSOLDADA">'[8]INSUMOS BASICOS'!$C$13</definedName>
    <definedName name="Mallas_electrosoldadas_M___063">#REF!</definedName>
    <definedName name="Manguera_para_Agua_1_2">#REF!</definedName>
    <definedName name="Manguera_para_Niveles_3_8">#REF!</definedName>
    <definedName name="Mano_de_Obra_AA">#REF!</definedName>
    <definedName name="Mano_de_Obra_BB">#REF!</definedName>
    <definedName name="Mano_de_Obra_CC">#REF!</definedName>
    <definedName name="Mano_de_Obra_DD">#REF!</definedName>
    <definedName name="Mano_de_Oso_80_cm.">#REF!</definedName>
    <definedName name="Manto_Fiber_GLass_600_XT">#REF!</definedName>
    <definedName name="Manual_de_Operación_y_Mantenimiento">#REF!</definedName>
    <definedName name="mao">#REF!</definedName>
    <definedName name="Marco_en_Lamina_Cal._18_2.10x1.50_P_13">#REF!</definedName>
    <definedName name="Marco_en_Lamina_Cal._18_2.10x75_P_9">#REF!</definedName>
    <definedName name="Marco_en_Lamina_Cal._18_2.10x90_P_7">#REF!</definedName>
    <definedName name="Marco_en_Lamina_Cal._18_2.25x90_P_6">#REF!</definedName>
    <definedName name="Marco_en_Lamina_Cal._18_2.40x4.80__Corrediza__P_16">#REF!</definedName>
    <definedName name="Marco_para_Segueta">#REF!</definedName>
    <definedName name="Marco_tapa_caja_de_inspeccion_ORNAMENTACION.">#REF!</definedName>
    <definedName name="Marcos_en_concreto_visto_para_ventana_de_correr_7.5_X_30_cm.">#REF!</definedName>
    <definedName name="margen">#REF!</definedName>
    <definedName name="Margen_Equipos">#REF!</definedName>
    <definedName name="Margen_M.O.">#REF!</definedName>
    <definedName name="Margen_Mat">#REF!</definedName>
    <definedName name="Marmolina">#REF!</definedName>
    <definedName name="Marquesinas_en_lamina_puntos_fijos">#REF!</definedName>
    <definedName name="MATERIAL">#REF!</definedName>
    <definedName name="MATERIALES">[10]INSUMOS!$C$6:$C$3226</definedName>
    <definedName name="matriz2">#REF!</definedName>
    <definedName name="maximo">#REF!</definedName>
    <definedName name="Mecheros_Bunsen">#REF!</definedName>
    <definedName name="Medidores__Domestico__2">#REF!</definedName>
    <definedName name="Medidores__Incendio__1_1_2">#REF!</definedName>
    <definedName name="Mesones_de_atención_en_granito_color_gris_jaspe.">#REF!</definedName>
    <definedName name="METACOL">#REF!</definedName>
    <definedName name="Metal_Deck_Cal_22">#REF!</definedName>
    <definedName name="Mineral">#REF!</definedName>
    <definedName name="mo">#REF!</definedName>
    <definedName name="MOORE">#REF!</definedName>
    <definedName name="Mortero_1___3">#REF!</definedName>
    <definedName name="Mortero_1_3_impermeabilizado">#REF!</definedName>
    <definedName name="Mortero_1_4">#REF!</definedName>
    <definedName name="MORTERO_1A4">#REF!</definedName>
    <definedName name="Mortero_a_granel_con_silo_puesto_en_obra__1_3_de_4000_P.S.I.">#REF!</definedName>
    <definedName name="Mortero_a_granel_con_silo_puesto_en_obra__1_4_de_3000_P.S.I.">#REF!</definedName>
    <definedName name="Mortero_a_granel_con_silo_puesto_en_obra__1_5_de_2000_P.S.I.">#REF!</definedName>
    <definedName name="Mortero_impermeabilizado_1_4">#REF!</definedName>
    <definedName name="NAS">#N/A</definedName>
    <definedName name="Nevera">#REF!</definedName>
    <definedName name="Niple_Pasamuros_en_Tuberia_y_Lamina_de_Acero_1">#REF!</definedName>
    <definedName name="Niple_Pasamuros_en_Tuberia_y_Lamina_de_Acero_1_1_2">#REF!</definedName>
    <definedName name="Niple_Pasamuros_en_Tuberia_y_Lamina_de_Acero_12">#REF!</definedName>
    <definedName name="Niple_Pasamuros_en_Tuberia_y_Lamina_de_Acero_14">#REF!</definedName>
    <definedName name="Niple_Pasamuros_en_Tuberia_y_Lamina_de_Acero_2">#REF!</definedName>
    <definedName name="Niple_Pasamuros_en_Tuberia_y_Lamina_de_Acero_3">#REF!</definedName>
    <definedName name="NOVAFORT">#REF!</definedName>
    <definedName name="Num_Pmt_Per_Year">#REF!</definedName>
    <definedName name="Number_of_Payments">MATCH(0.01,End_Bal,-1)+1</definedName>
    <definedName name="ñlkmñlkñ">'[5]ANALISIS DE PRECIOS UNITARIOS'!#REF!</definedName>
    <definedName name="OBJETO.CONTRATO">[9]VARIABLES!$C$8</definedName>
    <definedName name="Oficial">#REF!</definedName>
    <definedName name="Organizador_de_Cables_de_Puenteo">#REF!</definedName>
    <definedName name="Orinal_Mediano_Ref._08860">#REF!</definedName>
    <definedName name="OTERO">#REF!</definedName>
    <definedName name="OTROS">#REF!</definedName>
    <definedName name="P.P.COVA.ACC">#REF!</definedName>
    <definedName name="P.P.COVAL">#REF!</definedName>
    <definedName name="P.P.COVAL.ACC">#REF!</definedName>
    <definedName name="P.P.COVAL.TUB">#REF!</definedName>
    <definedName name="P.P.COVAQL">#REF!</definedName>
    <definedName name="P_1___2.7x4.55___Plano_de_Detalle_No._A_170">#REF!</definedName>
    <definedName name="P_2___2.7x4.8___Plano_de_Detalle_No._A_170">#REF!</definedName>
    <definedName name="P_2´___2.2x4.8___Plano_de_Detalle_No._A_171">#REF!</definedName>
    <definedName name="P_3___2.7x1.05___Plano_de_Detalle_No._A_170">#REF!</definedName>
    <definedName name="P_4___2.7x1.5___Plano_de_Detalle_No._A_170">#REF!</definedName>
    <definedName name="P_5___2.7x4.2___Plano_de_Detalle_No._A_171">#REF!</definedName>
    <definedName name="P_7´___2.7x0.9___Plano_de_Detalle_No._A_172">#REF!</definedName>
    <definedName name="Pabmeril_Pliego_9_x11">#REF!</definedName>
    <definedName name="Palas">#REF!</definedName>
    <definedName name="Papelera_AI_Ref._CA_08R">#REF!</definedName>
    <definedName name="Paral_Telescópico_2_2_m">#REF!</definedName>
    <definedName name="Paral_Telescópico_2_4">#REF!</definedName>
    <definedName name="Parales_estrcuturales_para_presiana_Luxalon">#REF!</definedName>
    <definedName name="Pararayos_Ionizante__Incluye_Bajante_y_Pozo_de_Tierra">#REF!</definedName>
    <definedName name="Pared_en_Dry_Wall_E.10_CM">#REF!</definedName>
    <definedName name="Pared_en_sistema_dray_wall_e_0.15">#REF!</definedName>
    <definedName name="Pasos_escalera_nariz__L__especial_de_Moore_o_similar__tono_coral">#REF!</definedName>
    <definedName name="Patch_Panel_de_16_Puertos_RJ_45_Cat._5E">#REF!</definedName>
    <definedName name="Patch_Panel_de_32_Puertos_RJ_45_Cat._5E">#REF!</definedName>
    <definedName name="PAVCO">#REF!</definedName>
    <definedName name="Pay_Date">#REF!</definedName>
    <definedName name="Pay_Num">#REF!</definedName>
    <definedName name="Payment_Date">DATE(YEAR(Loan_Start),MONTH(Loan_Start)+Payment_Number,DAY(Loan_Start))</definedName>
    <definedName name="Pegacor">#REF!</definedName>
    <definedName name="Pegante_Colbón">#REF!</definedName>
    <definedName name="Percha_en_AI_Doble_Ref._FB_5502">#REF!</definedName>
    <definedName name="perfilcliente">[14]listas!$A$2:$A$8</definedName>
    <definedName name="Persianas_Luxalon_Cortasol_84RLSL5">#REF!</definedName>
    <definedName name="Piedra_Media_Zonga">#REF!</definedName>
    <definedName name="Pintura_blanca_para_trafico">#REF!</definedName>
    <definedName name="Pintura_electrostática">#REF!</definedName>
    <definedName name="PINTURAS">#REF!</definedName>
    <definedName name="Piso_olimpia_base_20___20">#REF!</definedName>
    <definedName name="Pisos">#REF!</definedName>
    <definedName name="Plancha">#REF!</definedName>
    <definedName name="Planchón_Ordinario_3_M">#REF!</definedName>
    <definedName name="Planos_Record">#REF!</definedName>
    <definedName name="Planta_Telefonica_Digital_de_10_Lineas_Troncales_20_Extensiones_y_5_Directos">#REF!</definedName>
    <definedName name="Plaquetas_en_concreto_0_40_x_0_40_tipo_IDU">#REF!</definedName>
    <definedName name="Platina_hierro_1_2__x_1_8">#REF!</definedName>
    <definedName name="PLAZO">#REF!</definedName>
    <definedName name="PLAZOS_OBRA">#REF!</definedName>
    <definedName name="Poceta_en_acero_inoxidable_tipo_SOCODA">#REF!</definedName>
    <definedName name="Pocetas_en_granito_lavado_blanco_Huila_grano_1.">#REF!</definedName>
    <definedName name="POLIETILENO">#REF!</definedName>
    <definedName name="POLIETILENO.AGUA">#REF!</definedName>
    <definedName name="POLIETILENO.GAS">#REF!</definedName>
    <definedName name="POLYPRO">#REF!</definedName>
    <definedName name="POLYPRO.SCH40">#REF!</definedName>
    <definedName name="POPKLKHUNBM">[1]PRESPDETRABAJO!#REF!</definedName>
    <definedName name="PORC.AIU">#REF!</definedName>
    <definedName name="Porcelanato_Gris_Dolphin_Ref.">#REF!</definedName>
    <definedName name="Porta_candado_simple_3_.">#REF!</definedName>
    <definedName name="Porta_Papel_Doble_con_Tapa_Ref._B_288">#REF!</definedName>
    <definedName name="PRELIMINARES">[1]PRELIMINARES!$C$3:$H$72</definedName>
    <definedName name="PRESTACIONES">[11]MO!$B$3</definedName>
    <definedName name="PrestacionesSeguridadOtrosFMMin">#REF!</definedName>
    <definedName name="Presupuesto">#REF!</definedName>
    <definedName name="Princ">#REF!</definedName>
    <definedName name="Print_Area_Reset">OFFSET(Full_Print,0,0,Last_Row)</definedName>
    <definedName name="PRODESEG">#REF!</definedName>
    <definedName name="PROYECTO">'[10]DATOS GENERALES'!$C$1</definedName>
    <definedName name="Puentes_metalicos_Según_Diseño">#REF!</definedName>
    <definedName name="Puerta_en_Lamina_Cal._18_2.10x60__Incluye_marco_y_Rejilla__P_10">#REF!</definedName>
    <definedName name="Puerta_en_Lamina_Cal._18_2.10x75__Incluye_marco_y_Rejilla__P_8">#REF!</definedName>
    <definedName name="Puerta_en_Lamina_Cal._18_2.10x90__Incluye_marco_y_Rejilla__P_6´">#REF!</definedName>
    <definedName name="Puerta_en_Lamina_Cal._18_2.70x1.50__Incluye_marco_y_Rejilla__2_Hojas_P_12">#REF!</definedName>
    <definedName name="Puerta_marco_y_hoja">#REF!</definedName>
    <definedName name="Puesta_a_Tierra_Subestacion_Según_N._CODENSA_CTS_523_2">#REF!</definedName>
    <definedName name="Puesta_a_Tierra_T_GEN_3__3_Varillas_CW_5_8_x2.44_m">#REF!</definedName>
    <definedName name="Pulida_pisos_en_granito">#REF!</definedName>
    <definedName name="Punteros">#REF!</definedName>
    <definedName name="Puntilla_acerada_1.5">#REF!</definedName>
    <definedName name="Puntilla_con_Cabeza_1">#REF!</definedName>
    <definedName name="Puntilla_con_Cabeza_2">#REF!</definedName>
    <definedName name="Puntilla_sin_Cabeza_1">#REF!</definedName>
    <definedName name="PV.ABRAZADERAS">#REF!</definedName>
    <definedName name="PV.SPRINKLER">#REF!</definedName>
    <definedName name="PV_1___2.15x2.25___Plano_de_Detalle_No._A_168">#REF!</definedName>
    <definedName name="PV_2___2.15x2.1___Plano_de_Detalle_No._A_168">#REF!</definedName>
    <definedName name="PV_2´___2.15x2.175___Plano_de_Detalle_No._A_168">#REF!</definedName>
    <definedName name="PV_3___2.7x2.25___Plano_de_Detalle_No._A_168">#REF!</definedName>
    <definedName name="PV_4___2.7x6.6___Plano_de_Detalle_No._A_168">#REF!</definedName>
    <definedName name="PV_5___2.7x6.75___Plano_de_Detalle_No._A_169">#REF!</definedName>
    <definedName name="PVC.BAJANTES">#REF!</definedName>
    <definedName name="PVC.C900">#REF!</definedName>
    <definedName name="PVMETAL">#REF!</definedName>
    <definedName name="Q">'[5]ANALISIS DE PRECIOS UNITARIOS'!#REF!</definedName>
    <definedName name="RANURADO.ARTIMFER">#REF!</definedName>
    <definedName name="REAJUSTE">#REF!</definedName>
    <definedName name="REAJUSTES">#REF!</definedName>
    <definedName name="Recebo_común">#REF!</definedName>
    <definedName name="RECURSOS_EN_ACTAS">#REF!</definedName>
    <definedName name="RECURSOS_EN_CDP">#REF!</definedName>
    <definedName name="RECURSOS_EN_CONVERSACIONES">#REF!</definedName>
    <definedName name="RECURSOS_EN_CVF">#REF!</definedName>
    <definedName name="REGION_1">#REF!</definedName>
    <definedName name="registro_aparatos">#REF!</definedName>
    <definedName name="Registro_Toya_3_4">#REF!</definedName>
    <definedName name="Regulador_Trifasico_de_1_KVA">#REF!</definedName>
    <definedName name="Regulador_Trifasico_de_20_KVA">#REF!</definedName>
    <definedName name="Regulador_Trifasico_de_9_KVA">#REF!</definedName>
    <definedName name="REINA">#REF!</definedName>
    <definedName name="Rejilla_sifón_S_4.5_x_3.5">#REF!</definedName>
    <definedName name="Rejilla_sosco">#REF!</definedName>
    <definedName name="Rejillas_prefabricadas_baños_y_circulaciones_0_10___0_15">#REF!</definedName>
    <definedName name="Remate_y_o_bordillo_cubiertas_0_10___0_20">#REF!</definedName>
    <definedName name="Remates_Laterales_y_Superiores_en_Aluzinc">#REF!</definedName>
    <definedName name="Remates_sillares_ventanas">#REF!</definedName>
    <definedName name="REP.CONTRATANTE">[9]VARIABLES!$C$11</definedName>
    <definedName name="REP.CONTRATISTA">[9]VARIABLES!$C$10</definedName>
    <definedName name="Reparaciones_en_PVC_A.LL._2">#REF!</definedName>
    <definedName name="Reparaciones_en_PVC_A.LL._3">#REF!</definedName>
    <definedName name="Reparaciones_en_PVC_A.LL._4">#REF!</definedName>
    <definedName name="Reparaciones_en_PVC_P_1">#REF!</definedName>
    <definedName name="Reparaciones_en_PVC_P_1_1_2">#REF!</definedName>
    <definedName name="Reparaciones_en_PVC_P_1_1_4">#REF!</definedName>
    <definedName name="Reparaciones_en_PVC_P_1_2">#REF!</definedName>
    <definedName name="Reparaciones_en_PVC_P_3_4">#REF!</definedName>
    <definedName name="Reparaciones_en_PVC_S_2">#REF!</definedName>
    <definedName name="Reparaciones_en_PVC_S_3">#REF!</definedName>
    <definedName name="Reparaciones_en_PVC_S_4">#REF!</definedName>
    <definedName name="Repisa_Ordinario">#REF!</definedName>
    <definedName name="RETIRO_DE_MATERIAL">[1]PRESPDETRABAJO!#REF!</definedName>
    <definedName name="Retro_excavadora">#REF!</definedName>
    <definedName name="REVISION">'[10]DATOS GENERALES'!$L$7</definedName>
    <definedName name="RP_PENDIENTES_DE_PAGO">#REF!</definedName>
    <definedName name="s">#REF!</definedName>
    <definedName name="sa">OFFSET(Full_Print,0,0,Last_Row)</definedName>
    <definedName name="SALID1">#REF!</definedName>
    <definedName name="Salida_de_Barrera_Fotoelectrica">#REF!</definedName>
    <definedName name="Salida_de_Datos_1XRJ45__Cat_5___Incluye_toma_cajas__Faceplate_y_Accesorios">#REF!</definedName>
    <definedName name="Salida_de_Sensor_de_Movimiento">#REF!</definedName>
    <definedName name="Salida_de_Sonido__Incluye_Toma__Cajas_y_Conductor_para_Sonido">#REF!</definedName>
    <definedName name="Salida_de_Toma_Telefonica_Plug_Americano_Doble_RJ45_4_Hilos">#REF!</definedName>
    <definedName name="Salida_para_Microfono__Incluye_Toma__Cajas_y_Conductor_para_Sonido">#REF!</definedName>
    <definedName name="Salidas_de_Alumbrado_en_Tuberia_PVC">#REF!</definedName>
    <definedName name="Salidas_de_Alumbrado_Luminarias_Tipo_Wall_Pack__y_Metal_Halide_en_T._PVC">#REF!</definedName>
    <definedName name="Salidas_de_Tomacorriente_Monofasicas_Normales_15_A__120_V__5_15R">#REF!</definedName>
    <definedName name="Salidas_de_Tomacorriente_Monofasicas_Reguladas_15_A__120_V__5_15R">#REF!</definedName>
    <definedName name="Salidas_de_Tomacorriente_Trifasica_30_A__220_V">#REF!</definedName>
    <definedName name="Salidas_de_TV__Incluye_Toma_y_Cajas">#REF!</definedName>
    <definedName name="Sangregado_2.00_m">#REF!</definedName>
    <definedName name="Sanitario_de_fluxometro_blanco_Corona.">#REF!</definedName>
    <definedName name="sanitario_porcelana_blanco">#REF!</definedName>
    <definedName name="Sanitario_Stilo_Ref._30535_100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eccionador_de_Maniobras_de_17.5_KV_630_A">#REF!</definedName>
    <definedName name="SECURITY">#REF!</definedName>
    <definedName name="SECURITY.ABRAZADERAS">'[15]APU HYS OFICINAS'!$C$1457</definedName>
    <definedName name="Seguetas">#REF!</definedName>
    <definedName name="SELL.ACERO">#REF!</definedName>
    <definedName name="SELL.COBRE">#REF!</definedName>
    <definedName name="SELL.CONDUFLEX">#REF!</definedName>
    <definedName name="SELL.PP">#REF!</definedName>
    <definedName name="SELLANTES">#REF!</definedName>
    <definedName name="Servicio_de_Volqueta">#REF!</definedName>
    <definedName name="Siembra_por_Unidad">#REF!</definedName>
    <definedName name="Sifón_c_x_c_sanitario_2">#REF!</definedName>
    <definedName name="Sifón_c_x_c_sanitario_3">#REF!</definedName>
    <definedName name="Sifón_c_x_c_sanitario_4">#REF!</definedName>
    <definedName name="Sifón_c_x_c_sanitario_6">#REF!</definedName>
    <definedName name="Sifon_en_P_Ref._93510_000_000">#REF!</definedName>
    <definedName name="Sifón_sanitario_P.V.C._3">#REF!</definedName>
    <definedName name="sifones_cromados">#REF!</definedName>
    <definedName name="Sika_impermeabilizante_integral">#REF!</definedName>
    <definedName name="Sika_transparente">#REF!</definedName>
    <definedName name="Silletería_Tandem.">#REF!</definedName>
    <definedName name="Soldadura_de_estaño_para_cobre">#REF!</definedName>
    <definedName name="Soldadura_eléctrica_004___323">#REF!</definedName>
    <definedName name="Soldadura_estaño_para_cobre">#REF!</definedName>
    <definedName name="Soldadura_liquida_P.V.C._3_4">#REF!</definedName>
    <definedName name="Soldadura_P.V.C._liquida_1_4">#REF!</definedName>
    <definedName name="Soldadura_SP___13_1_8">#REF!</definedName>
    <definedName name="SOLTUB">#REF!</definedName>
    <definedName name="Soporte_Colgante_Tipo_Clevis_de_1_2__a_1_1_2">#REF!</definedName>
    <definedName name="Soporte_Colgante_Tipo_Clevis_de_2__a_4">#REF!</definedName>
    <definedName name="Soporte_Colgante_Tipo_Clevis_de_6">#REF!</definedName>
    <definedName name="SPRINKLER.ARTIMFER">#REF!</definedName>
    <definedName name="Sprinkler_PENDENT_57_y_68_grados">#REF!</definedName>
    <definedName name="SSLink0">#REF!</definedName>
    <definedName name="SSS">#REF!</definedName>
    <definedName name="Strip_Telefonico_de_30_Pares__Caja_Metalica_de_50x50x20_cm.">#REF!</definedName>
    <definedName name="Sub_Contrato_a_Todo_Costo_Alfombra">#REF!</definedName>
    <definedName name="Sub_Contrato_a_Todo_Costo_Cielo_Raso">#REF!</definedName>
    <definedName name="Subestacion_Tipo_Pedestal_225_Kva__11400_208_120V_60Hz_D_Y5_N._CTS_523">#REF!</definedName>
    <definedName name="Subtotal">#REF!</definedName>
    <definedName name="Suministro__Transporte__Instalacion_Canalizacion_de_80x40__N._CODENSA">#REF!</definedName>
    <definedName name="Suministro__Transporte_e_Instalacion_de_Postes_de_Concreto_12_m_Tipo_AP">#REF!</definedName>
    <definedName name="Suministro__Transporte_e_Instalacion_de_Postes_Metalicos_de_9_m">#REF!</definedName>
    <definedName name="SX">#REF!</definedName>
    <definedName name="t">#REF!</definedName>
    <definedName name="Tabla_burra_30">#REF!</definedName>
    <definedName name="Tabla_Burra_Cedro_Macho_28_cm.">#REF!</definedName>
    <definedName name="Tabla_Burra_Ordinario_25">#REF!</definedName>
    <definedName name="tabla_chapa_10">#REF!</definedName>
    <definedName name="Tabla_chapa_ordinario_30_cm.">#REF!</definedName>
    <definedName name="Tablero_Control_Alumbrado_1_contactores_Trifasicos_20A__3_interruptores_de_codillo_15A">#REF!</definedName>
    <definedName name="Tablero_Control_Alumbrado_10_contactores_Trifasicos_20A">#REF!</definedName>
    <definedName name="Tablero_Control_Alumbrado_10_contactores_Trifasicos_20A__16_interruptores_de_codillo_15A">#REF!</definedName>
    <definedName name="Tablero_Control_Alumbrado_2_contactores_Trifasicos_20A__5_interruptores_de_codillo_15A">#REF!</definedName>
    <definedName name="Tablero_Control_Alumbrado_6_contactores_Trifasicos_20A__7_interruptores_de_codillo_15A">#REF!</definedName>
    <definedName name="Tablero_Control_Alumbrado_7_contactores_Trifasicos_20A__8_interruptores_de_codillo_15A">#REF!</definedName>
    <definedName name="Tablero_Dist._T_NP1_1__T_NP2_3__T_NP1_9_Trifasico_CON_Espacio_Totalizador_30_Circ._5_Hilos_220V">#REF!</definedName>
    <definedName name="Tablero_Dist._T_NP1_11_Trifasico_SIN_Espacio_Totalizador_12_Circuitos_5_Hilos_220V">#REF!</definedName>
    <definedName name="Tablero_Dist._T_NP1_2_Trifasico_CON_Espacio_Totalizador_42_Circ._5_Hilos_220V">#REF!</definedName>
    <definedName name="Tablero_Dist._T_NP1_5__T_NP1_7_Trifasico_CON_Espacio_Totalizador_35_Circ._5_Hilos_220V">#REF!</definedName>
    <definedName name="Tablero_Dist._T_REG_1_Trifasico_CON_Espacio_Totalizador_12_Circ._5_Hilos_220V">#REF!</definedName>
    <definedName name="Tablero_Dist._T_REG_2__T_REG_5__T_NP2_1__T_NP2_6__T_NP1_3_Trifasico_CON_Espacio_Totalizador_18_Circ._5_Hilos_220V">#REF!</definedName>
    <definedName name="Tablero_Dist._T_REG_3__T_NP1_10__T_NP2_5__T_NP1_9__T_NP_1_8T_NP1_4__T_NP2_4__T_NP2_2_Trifasico_CON_Espacio_Totalizador_24_Circ._5_Hilos_220V">#REF!</definedName>
    <definedName name="Tablex_Pizano_9mm_Cerramiento">#REF!</definedName>
    <definedName name="Taco_Termo_magnético_Unipolar_HQP_30A">#REF!</definedName>
    <definedName name="Tanques_Hidro_Acumuladores">#REF!</definedName>
    <definedName name="Tapa_Registro_R20x20">#REF!</definedName>
    <definedName name="Tapaporos_nogal">#REF!</definedName>
    <definedName name="tecval">#REF!</definedName>
    <definedName name="tEEE4">#REF!</definedName>
    <definedName name="Teja_eternit_No_6">#REF!</definedName>
    <definedName name="Thiner">#REF!</definedName>
    <definedName name="Tintilla_para_madera">#REF!</definedName>
    <definedName name="TipoCosteoNivelRiesgo">#REF!</definedName>
    <definedName name="TIPOMATERIAL">'[10]DATOS GENERALES'!$B$4:$B$20</definedName>
    <definedName name="Tiras_Alistado_3_x_3_x_3">#REF!</definedName>
    <definedName name="TITAN">#REF!</definedName>
    <definedName name="titu">#REF!</definedName>
    <definedName name="titu2">#REF!</definedName>
    <definedName name="_xlnm.Print_Titles" localSheetId="0">'ACTA PARCIAL OBRA 02'!$1:$40</definedName>
    <definedName name="tj">#REF!</definedName>
    <definedName name="Toma_telefónica">#REF!</definedName>
    <definedName name="Toma_Trifásica">#REF!</definedName>
    <definedName name="Tornillo_para_Madera_1__No.6">#REF!</definedName>
    <definedName name="Tornillo_para_madera_2__No_9">#REF!</definedName>
    <definedName name="Total_Interest">#REF!</definedName>
    <definedName name="Total_Pay">#REF!</definedName>
    <definedName name="Total_Payment">Scheduled_Payment+Extra_Payment</definedName>
    <definedName name="Toxement_1_A_Impermeabilizante_Integral">#REF!</definedName>
    <definedName name="Trafico_liviano_espesor_6_cm._Ref._R25CE_Fibrit">#REF!</definedName>
    <definedName name="Transporte_Andamio">#REF!</definedName>
    <definedName name="TRANSPORTE_Y_MAQUINARIA">[16]Insumos!$J$2:$J$30</definedName>
    <definedName name="Traperos">#REF!</definedName>
    <definedName name="tres">#REF!</definedName>
    <definedName name="Triplex_Andes_Pizano_14_mm">#REF!</definedName>
    <definedName name="TTE">#REF!</definedName>
    <definedName name="TTE.METAL">#REF!</definedName>
    <definedName name="TUB.CU.COVAL">#REF!</definedName>
    <definedName name="Tuberia_Acero_Galvanizado_Schedule_40_1">#REF!</definedName>
    <definedName name="Tuberia_Acero_Galvanizado_Schedule_40_1_1_2">#REF!</definedName>
    <definedName name="Tuberia_Acero_Galvanizado_Schedule_40_2">#REF!</definedName>
    <definedName name="Tuberia_de_3_4">#REF!</definedName>
    <definedName name="Tuberia_H_G_3">#REF!</definedName>
    <definedName name="Tuberia_Novafort_10">#REF!</definedName>
    <definedName name="Tuberia_Novafort_12">#REF!</definedName>
    <definedName name="Tuberia_Novafort_14">#REF!</definedName>
    <definedName name="Tuberia_Novafort_8">#REF!</definedName>
    <definedName name="Tubo_cobre_tipo_L_1_2">#REF!</definedName>
    <definedName name="Tubo_de_presión___11_P.V.C._3_4">#REF!</definedName>
    <definedName name="Tubo_de_presión___13_5_P.V.C._1">#REF!</definedName>
    <definedName name="Tubo_de_presión___21_P.V.C._1_1_2">#REF!</definedName>
    <definedName name="Tubo_de_presión___9_P.V.C._1_2">#REF!</definedName>
    <definedName name="Tubo_estructura_negra_3">#REF!</definedName>
    <definedName name="Tubo_estructural_galvanizado_1">#REF!</definedName>
    <definedName name="Tubo_estructural_galvanizado_2">#REF!</definedName>
    <definedName name="Tubo_galvanizado_3">#REF!</definedName>
    <definedName name="Tubo_Gas_Galvanizado_1_2">#REF!</definedName>
    <definedName name="Tubo_mueble_cal_18_1">#REF!</definedName>
    <definedName name="Tubo_P.V.C.___L_2">#REF!</definedName>
    <definedName name="Tubo_P.V.C.___L_3">#REF!</definedName>
    <definedName name="Tubo_P.V.C._sanitario_2">#REF!</definedName>
    <definedName name="Tubo_P.V.C._sanitario_3">#REF!</definedName>
    <definedName name="Tubo_P.V.C._sanitario_4">#REF!</definedName>
    <definedName name="Tubo_P.V.C._sanitario_6">#REF!</definedName>
    <definedName name="Tubo_Presión___11_P.V.C._3_4">#REF!</definedName>
    <definedName name="Tubo_Presión___13_5_P.V.C._1">#REF!</definedName>
    <definedName name="Tubo_Presión___21_P.V.C._1_1_2">#REF!</definedName>
    <definedName name="Tubo_Presión___21_P.V.C._1_1_4">#REF!</definedName>
    <definedName name="Tubo_Presión___9_P.V.C._1_2">#REF!</definedName>
    <definedName name="Tubo_Presión__21_P.V.C._2">#REF!</definedName>
    <definedName name="Tubo_presión__9_P.V.C._1_2">#REF!</definedName>
    <definedName name="Tubo_presión__9_P.V.C._3_4">#REF!</definedName>
    <definedName name="Tubo_Presión__P.V.C._2_1_2">#REF!</definedName>
    <definedName name="Tubo_Presión__P.V.C._3">#REF!</definedName>
    <definedName name="TUBOTEC">#REF!</definedName>
    <definedName name="Tuibo_cobre_tipo_L_1_2">#REF!</definedName>
    <definedName name="TUU.CU.COVAL">#REF!</definedName>
    <definedName name="U.PLATINO">#REF!</definedName>
    <definedName name="UN">#REF!</definedName>
    <definedName name="UNIDADES">'[10]DATOS GENERALES'!$A$4:$A$22</definedName>
    <definedName name="uno">#REF!</definedName>
    <definedName name="US">#REF!</definedName>
    <definedName name="USD">#REF!</definedName>
    <definedName name="V_1___2.7x1.966___Plano_de_Detalle_No._A_159">#REF!</definedName>
    <definedName name="V_10___1.8x6.9___Plano_de_Detalle_No._A_161">#REF!</definedName>
    <definedName name="V_11___2x1.9___Plano_de_Detalle_No._A_161">#REF!</definedName>
    <definedName name="V_12___1.2x1.5___Plano_de_Detalle_No._A_161">#REF!</definedName>
    <definedName name="V_13___1.8x4.4___Plano_de_Detalle_No._A_161">#REF!</definedName>
    <definedName name="V_14___1.8x6.7___Plano_de_Detalle_No._A_162">#REF!</definedName>
    <definedName name="V_15___1.8x6.8___Plano_de_Detalle_No._A_162">#REF!</definedName>
    <definedName name="V_16___1.2x0.9___Plano_de_Detalle_No._A_161">#REF!</definedName>
    <definedName name="V_17___2.7x0.525___Plano_de_Detalle_No._A_162">#REF!</definedName>
    <definedName name="V_18___1.8x2___Plano_de_Detalle_No._A_162">#REF!</definedName>
    <definedName name="V_18´___1.8x2.1___Plano_de_Detalle_No._A_162">#REF!</definedName>
    <definedName name="V_19___4.95x14.352___Plano_de_Detalle_No._A_163">#REF!</definedName>
    <definedName name="V_2___1.8x6.75___Plano_de_Detalle_No._A_159">#REF!</definedName>
    <definedName name="V_20___4.4x4.82___Plano_de_Detalle_No._A_164">#REF!</definedName>
    <definedName name="V_21___2.2x4.82___Plano_de_Detalle_No._A_164">#REF!</definedName>
    <definedName name="V_21´___2.75x4.82___Plano_de_Detalle_No._A_164">#REF!</definedName>
    <definedName name="V_22___2.05x2.05___Plano_de_Detalle_No._A_162">#REF!</definedName>
    <definedName name="V_23___2.05x1.9___Plano_de_Detalle_No._A_162">#REF!</definedName>
    <definedName name="V_23´___2.05x1.975___Plano_de_Detalle_No._A_162">#REF!</definedName>
    <definedName name="V_24___2.7x6.426___Plano_de_Detalle_No._A_165">#REF!</definedName>
    <definedName name="V_25___2.7x3.15___Plano_de_Detalle_No._A_165">#REF!</definedName>
    <definedName name="V_26___2.7x4.35___Plano_de_Detalle_No._A_165">#REF!</definedName>
    <definedName name="V_27___0.45x4.65___Plano_de_Detalle_No._A_166">#REF!</definedName>
    <definedName name="V_28___0.45x6.975___Plano_de_Detalle_No._A_166">#REF!</definedName>
    <definedName name="V_29___2.7x1.8___Plano_de_Detalle_No._A_166">#REF!</definedName>
    <definedName name="V_3___1.2x1.2___Plano_de_Detalle_No._A_159">#REF!</definedName>
    <definedName name="V_30___1.8x1.95___Plano_de_Detalle_No._A_166">#REF!</definedName>
    <definedName name="V_31___2x7.2___Plano_de_Detalle_No._A_167">#REF!</definedName>
    <definedName name="V_32___2.7x1.25___Plano_de_Detalle_No._A_166">#REF!</definedName>
    <definedName name="V_4___1.8x9___Plano_de_Detalle_No._A_160">#REF!</definedName>
    <definedName name="V_5___1.8x4.65___Plano_de_Detalle_No._A_160">#REF!</definedName>
    <definedName name="V_6___1.8x2.85___Plano_de_Detalle_No._A_160">#REF!</definedName>
    <definedName name="V_7___1.8x2.25___Plano_de_Detalle_No._A_160">#REF!</definedName>
    <definedName name="V_8___1.8x9___Plano_de_Detalle_No._A_160">#REF!</definedName>
    <definedName name="V_8´___1.8x9___Plano_de_Detalle_No._A_160">#REF!</definedName>
    <definedName name="V_9___1.8x1.05___Plano_de_Detalle_No._A_160">#REF!</definedName>
    <definedName name="Valla_Informativa_Licencia_2.00X1.00">#REF!</definedName>
    <definedName name="Values_Entered">IF(Loan_Amount*Interest_Rate*Loan_Years*Loan_Start&gt;0,1,0)</definedName>
    <definedName name="Valvula_de_Paso_Directo_125_PSIG_Vapor__200_PSIG_Agua_1">#REF!</definedName>
    <definedName name="Valvula_de_Paso_Directo_125_PSIG_Vapor__200_PSIG_Agua_1_1_2">#REF!</definedName>
    <definedName name="Valvula_de_Paso_Directo_125_PSIG_Vapor__200_PSIG_Agua_1_1_4">#REF!</definedName>
    <definedName name="Valvula_de_Paso_Directo_125_PSIG_Vapor__200_PSIG_Agua_1_2">#REF!</definedName>
    <definedName name="Valvula_de_Paso_Directo_125_PSIG_Vapor__200_PSIG_Agua_2">#REF!</definedName>
    <definedName name="Valvula_de_Paso_Directo_125_PSIG_Vapor__200_PSIG_Agua_2_1_2">#REF!</definedName>
    <definedName name="Valvula_de_Paso_Directo_125_PSIG_Vapor__200_PSIG_Agua_3">#REF!</definedName>
    <definedName name="Valvula_de_Paso_Directo_125_PSIG_Vapor__200_PSIG_Agua_3_4">#REF!</definedName>
    <definedName name="Valvula_de_Vastago_Ascendente_Cuerpo_en_Hierro_1">#REF!</definedName>
    <definedName name="Valvula_de_Vastago_Ascendente_Cuerpo_en_Hierro_3">#REF!</definedName>
    <definedName name="VALVULAS.POLYPRO">#REF!</definedName>
    <definedName name="Valvulas_de_1_2">#REF!</definedName>
    <definedName name="Valvulas_de_3_4">#REF!</definedName>
    <definedName name="Valvulas_de_Pie_Bronce_1">#REF!</definedName>
    <definedName name="Valvulas_de_Pie_Bronce_2">#REF!</definedName>
    <definedName name="Valvulas_de_Pie_Bronce_3">#REF!</definedName>
    <definedName name="Vara_de_Clavo">#REF!</definedName>
    <definedName name="VCOMP">#REF!</definedName>
    <definedName name="verificacion">#REF!</definedName>
    <definedName name="VESDIS">#REF!</definedName>
    <definedName name="VESMEJ">#REF!</definedName>
    <definedName name="VESON">#REF!</definedName>
    <definedName name="VESTRUC">#REF!</definedName>
    <definedName name="Vibrador_a_Gasolina">#REF!</definedName>
    <definedName name="Vibrocompactador_a_gasolina">#REF!</definedName>
    <definedName name="VIGA">'[7]ANALISIS DE PRECIOS UNITARIOS'!#REF!</definedName>
    <definedName name="Viniltex">#REF!</definedName>
    <definedName name="Viniltex_blanco">#REF!</definedName>
    <definedName name="VITAULIC">#REF!</definedName>
    <definedName name="vjkgvif">OFFSET(Full_Print,0,0,Last_Row)</definedName>
    <definedName name="Volqueta_3.00_m">#REF!</definedName>
    <definedName name="Volqueta_Viaje_6_m3">#REF!</definedName>
    <definedName name="VOTROS">#REF!</definedName>
    <definedName name="VP100ETC">#REF!</definedName>
    <definedName name="VPDISEÑOS">#REF!</definedName>
    <definedName name="VPONUEVA">#REF!</definedName>
    <definedName name="Vr._Unit.">#REF!</definedName>
    <definedName name="XCINT">#REF!</definedName>
    <definedName name="XCOMOBRA">#REF!</definedName>
    <definedName name="Yeso">#REF!</definedName>
    <definedName name="YO">#REF!</definedName>
    <definedName name="Zocalo_en_acero_inoxidable_e_0_10_ML">#REF!</definedName>
    <definedName name="Zorra_Metalica__Ruedas_de_Caucho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16" i="13" l="1"/>
  <c r="V299" i="13"/>
  <c r="AC590" i="13" l="1"/>
  <c r="AC589" i="13"/>
  <c r="AC588" i="13"/>
  <c r="AF587" i="13"/>
  <c r="AC587" i="13"/>
  <c r="AF586" i="13"/>
  <c r="AC586" i="13"/>
  <c r="AF585" i="13"/>
  <c r="AC585" i="13"/>
  <c r="AF584" i="13"/>
  <c r="AC584" i="13"/>
  <c r="AF583" i="13"/>
  <c r="AC583" i="13"/>
  <c r="AF582" i="13"/>
  <c r="AC582" i="13"/>
  <c r="AB582" i="13"/>
  <c r="AF581" i="13"/>
  <c r="AB581" i="13"/>
  <c r="AC581" i="13" s="1"/>
  <c r="AF580" i="13"/>
  <c r="AB580" i="13"/>
  <c r="AC580" i="13" s="1"/>
  <c r="AF579" i="13"/>
  <c r="AB579" i="13"/>
  <c r="AC579" i="13" s="1"/>
  <c r="AF578" i="13"/>
  <c r="AB578" i="13"/>
  <c r="AC578" i="13" s="1"/>
  <c r="AF577" i="13"/>
  <c r="AB577" i="13"/>
  <c r="AC577" i="13" s="1"/>
  <c r="AF576" i="13"/>
  <c r="AB576" i="13"/>
  <c r="AC576" i="13" s="1"/>
  <c r="AF575" i="13"/>
  <c r="AC575" i="13"/>
  <c r="AB575" i="13"/>
  <c r="AF574" i="13"/>
  <c r="AB574" i="13"/>
  <c r="AC574" i="13" s="1"/>
  <c r="AF573" i="13"/>
  <c r="AB573" i="13"/>
  <c r="AC573" i="13" s="1"/>
  <c r="AF572" i="13"/>
  <c r="AB572" i="13"/>
  <c r="AC572" i="13" s="1"/>
  <c r="AF571" i="13"/>
  <c r="AB571" i="13"/>
  <c r="AC571" i="13" s="1"/>
  <c r="AF570" i="13"/>
  <c r="AB570" i="13"/>
  <c r="AC570" i="13" s="1"/>
  <c r="AF569" i="13"/>
  <c r="AB569" i="13"/>
  <c r="AC569" i="13" s="1"/>
  <c r="AF568" i="13"/>
  <c r="AB568" i="13"/>
  <c r="AC568" i="13" s="1"/>
  <c r="AF567" i="13"/>
  <c r="AC567" i="13"/>
  <c r="AB567" i="13"/>
  <c r="AF566" i="13"/>
  <c r="AC566" i="13"/>
  <c r="AB566" i="13"/>
  <c r="AF565" i="13"/>
  <c r="AB565" i="13"/>
  <c r="AC565" i="13" s="1"/>
  <c r="AF564" i="13"/>
  <c r="AB564" i="13"/>
  <c r="AC564" i="13" s="1"/>
  <c r="AF563" i="13"/>
  <c r="AB563" i="13"/>
  <c r="AC563" i="13" s="1"/>
  <c r="AF562" i="13"/>
  <c r="AB562" i="13"/>
  <c r="AC562" i="13" s="1"/>
  <c r="AF561" i="13"/>
  <c r="AB561" i="13"/>
  <c r="AC561" i="13" s="1"/>
  <c r="AF560" i="13"/>
  <c r="AB560" i="13"/>
  <c r="AC560" i="13" s="1"/>
  <c r="AF559" i="13"/>
  <c r="AC559" i="13"/>
  <c r="AB559" i="13"/>
  <c r="AF558" i="13"/>
  <c r="AB558" i="13"/>
  <c r="AC558" i="13" s="1"/>
  <c r="AF557" i="13"/>
  <c r="AB557" i="13"/>
  <c r="AC557" i="13" s="1"/>
  <c r="AF556" i="13"/>
  <c r="AB556" i="13"/>
  <c r="AC556" i="13" s="1"/>
  <c r="AF555" i="13"/>
  <c r="AB555" i="13"/>
  <c r="AC555" i="13" s="1"/>
  <c r="AF554" i="13"/>
  <c r="AB554" i="13"/>
  <c r="AC554" i="13" s="1"/>
  <c r="AF553" i="13"/>
  <c r="AB553" i="13"/>
  <c r="AC553" i="13" s="1"/>
  <c r="AF552" i="13"/>
  <c r="AB552" i="13"/>
  <c r="AC552" i="13" s="1"/>
  <c r="AF551" i="13"/>
  <c r="AC551" i="13"/>
  <c r="AB551" i="13"/>
  <c r="AF550" i="13"/>
  <c r="AC550" i="13"/>
  <c r="AB550" i="13"/>
  <c r="AF549" i="13"/>
  <c r="AB549" i="13"/>
  <c r="AC549" i="13" s="1"/>
  <c r="AF548" i="13"/>
  <c r="AB548" i="13"/>
  <c r="AC548" i="13" s="1"/>
  <c r="AF545" i="13"/>
  <c r="AE545" i="13"/>
  <c r="AF544" i="13"/>
  <c r="AE544" i="13"/>
  <c r="AF543" i="13"/>
  <c r="AE543" i="13"/>
  <c r="AA543" i="13"/>
  <c r="AF542" i="13"/>
  <c r="AE542" i="13"/>
  <c r="AF541" i="13"/>
  <c r="AE541" i="13"/>
  <c r="AF540" i="13"/>
  <c r="AE540" i="13"/>
  <c r="AF539" i="13"/>
  <c r="AE539" i="13"/>
  <c r="AF538" i="13"/>
  <c r="AE538" i="13"/>
  <c r="AA538" i="13"/>
  <c r="AF537" i="13"/>
  <c r="AE537" i="13"/>
  <c r="AA537" i="13"/>
  <c r="AF536" i="13"/>
  <c r="AE536" i="13"/>
  <c r="AA536" i="13"/>
  <c r="AF535" i="13"/>
  <c r="AE535" i="13"/>
  <c r="AF534" i="13"/>
  <c r="AE534" i="13"/>
  <c r="AF533" i="13"/>
  <c r="AE533" i="13"/>
  <c r="AF532" i="13"/>
  <c r="AE532" i="13"/>
  <c r="AA532" i="13"/>
  <c r="AB532" i="13" s="1"/>
  <c r="AF531" i="13"/>
  <c r="AE531" i="13"/>
  <c r="AA531" i="13"/>
  <c r="AB531" i="13" s="1"/>
  <c r="AF529" i="13"/>
  <c r="AE529" i="13"/>
  <c r="AD529" i="13"/>
  <c r="AA529" i="13"/>
  <c r="AB529" i="13" s="1"/>
  <c r="AF528" i="13"/>
  <c r="AE528" i="13"/>
  <c r="AD528" i="13"/>
  <c r="AB528" i="13"/>
  <c r="AA528" i="13"/>
  <c r="AF527" i="13"/>
  <c r="AE527" i="13"/>
  <c r="AD527" i="13"/>
  <c r="AA527" i="13"/>
  <c r="AB527" i="13" s="1"/>
  <c r="AF526" i="13"/>
  <c r="AE526" i="13"/>
  <c r="AF525" i="13"/>
  <c r="AE525" i="13"/>
  <c r="AF524" i="13"/>
  <c r="AE524" i="13"/>
  <c r="AF523" i="13"/>
  <c r="AE523" i="13"/>
  <c r="AF522" i="13"/>
  <c r="AE522" i="13"/>
  <c r="AF521" i="13"/>
  <c r="AE521" i="13"/>
  <c r="AF520" i="13"/>
  <c r="AE520" i="13"/>
  <c r="AD520" i="13"/>
  <c r="AA520" i="13"/>
  <c r="AB520" i="13" s="1"/>
  <c r="AF519" i="13"/>
  <c r="AE519" i="13"/>
  <c r="AD519" i="13"/>
  <c r="AA519" i="13"/>
  <c r="AB519" i="13" s="1"/>
  <c r="AF518" i="13"/>
  <c r="AE518" i="13"/>
  <c r="AD518" i="13"/>
  <c r="AB518" i="13"/>
  <c r="AA518" i="13"/>
  <c r="AF517" i="13"/>
  <c r="AE517" i="13"/>
  <c r="AD517" i="13"/>
  <c r="AA517" i="13"/>
  <c r="AB517" i="13" s="1"/>
  <c r="AF516" i="13"/>
  <c r="AE516" i="13"/>
  <c r="AD516" i="13"/>
  <c r="AA516" i="13"/>
  <c r="AB516" i="13" s="1"/>
  <c r="AF515" i="13"/>
  <c r="AE515" i="13"/>
  <c r="AD515" i="13"/>
  <c r="AA515" i="13"/>
  <c r="AB515" i="13" s="1"/>
  <c r="AF514" i="13"/>
  <c r="AE514" i="13"/>
  <c r="AD514" i="13"/>
  <c r="AA514" i="13"/>
  <c r="AB514" i="13" s="1"/>
  <c r="AF513" i="13"/>
  <c r="AE513" i="13"/>
  <c r="AD513" i="13"/>
  <c r="AA513" i="13"/>
  <c r="AB513" i="13" s="1"/>
  <c r="AF512" i="13"/>
  <c r="AE512" i="13"/>
  <c r="AD512" i="13"/>
  <c r="AA512" i="13"/>
  <c r="AB512" i="13" s="1"/>
  <c r="AF511" i="13"/>
  <c r="AE511" i="13"/>
  <c r="AD511" i="13"/>
  <c r="AA511" i="13"/>
  <c r="AB511" i="13" s="1"/>
  <c r="AF510" i="13"/>
  <c r="AE510" i="13"/>
  <c r="AD510" i="13"/>
  <c r="AB510" i="13"/>
  <c r="AA510" i="13"/>
  <c r="AF509" i="13"/>
  <c r="AE509" i="13"/>
  <c r="AD509" i="13"/>
  <c r="AA509" i="13"/>
  <c r="AB509" i="13" s="1"/>
  <c r="AF508" i="13"/>
  <c r="AE508" i="13"/>
  <c r="AD508" i="13"/>
  <c r="AA508" i="13"/>
  <c r="AB508" i="13" s="1"/>
  <c r="AF507" i="13"/>
  <c r="AE507" i="13"/>
  <c r="AD507" i="13"/>
  <c r="AA507" i="13"/>
  <c r="AB507" i="13" s="1"/>
  <c r="AF506" i="13"/>
  <c r="AE506" i="13"/>
  <c r="AD506" i="13"/>
  <c r="AB506" i="13"/>
  <c r="AA506" i="13"/>
  <c r="AF505" i="13"/>
  <c r="AE505" i="13"/>
  <c r="AD505" i="13"/>
  <c r="AA505" i="13"/>
  <c r="AB505" i="13" s="1"/>
  <c r="AF504" i="13"/>
  <c r="AE504" i="13"/>
  <c r="AD504" i="13"/>
  <c r="AA504" i="13"/>
  <c r="AB504" i="13" s="1"/>
  <c r="AF503" i="13"/>
  <c r="AE503" i="13"/>
  <c r="AD503" i="13"/>
  <c r="AA503" i="13"/>
  <c r="AB503" i="13" s="1"/>
  <c r="AF502" i="13"/>
  <c r="AE502" i="13"/>
  <c r="AD502" i="13"/>
  <c r="AA502" i="13"/>
  <c r="AB502" i="13" s="1"/>
  <c r="AF501" i="13"/>
  <c r="AE501" i="13"/>
  <c r="AD501" i="13"/>
  <c r="AA501" i="13"/>
  <c r="AB501" i="13" s="1"/>
  <c r="AF500" i="13"/>
  <c r="AE500" i="13"/>
  <c r="AD500" i="13"/>
  <c r="AA500" i="13"/>
  <c r="AB500" i="13" s="1"/>
  <c r="AF499" i="13"/>
  <c r="AE499" i="13"/>
  <c r="AD499" i="13"/>
  <c r="AA499" i="13"/>
  <c r="AB499" i="13" s="1"/>
  <c r="AF498" i="13"/>
  <c r="AE498" i="13"/>
  <c r="AD498" i="13"/>
  <c r="AA498" i="13"/>
  <c r="AB498" i="13" s="1"/>
  <c r="AF497" i="13"/>
  <c r="AE497" i="13"/>
  <c r="AD497" i="13"/>
  <c r="AA497" i="13"/>
  <c r="AB497" i="13" s="1"/>
  <c r="AF496" i="13"/>
  <c r="AE496" i="13"/>
  <c r="AD496" i="13"/>
  <c r="AA496" i="13"/>
  <c r="AB496" i="13" s="1"/>
  <c r="AF495" i="13"/>
  <c r="AE495" i="13"/>
  <c r="AD495" i="13"/>
  <c r="AA495" i="13"/>
  <c r="AB495" i="13" s="1"/>
  <c r="AF494" i="13"/>
  <c r="AE494" i="13"/>
  <c r="AD494" i="13"/>
  <c r="AA494" i="13"/>
  <c r="AB494" i="13" s="1"/>
  <c r="AF493" i="13"/>
  <c r="AE493" i="13"/>
  <c r="AD493" i="13"/>
  <c r="AA493" i="13"/>
  <c r="AB493" i="13" s="1"/>
  <c r="AF492" i="13"/>
  <c r="AE492" i="13"/>
  <c r="AD492" i="13"/>
  <c r="AA492" i="13"/>
  <c r="AB492" i="13" s="1"/>
  <c r="AF491" i="13"/>
  <c r="AE491" i="13"/>
  <c r="AD491" i="13"/>
  <c r="AA491" i="13"/>
  <c r="AB491" i="13" s="1"/>
  <c r="AF490" i="13"/>
  <c r="AE490" i="13"/>
  <c r="AD490" i="13"/>
  <c r="AB490" i="13"/>
  <c r="AA490" i="13"/>
  <c r="AF489" i="13"/>
  <c r="AE489" i="13"/>
  <c r="AD489" i="13"/>
  <c r="AA489" i="13"/>
  <c r="AB489" i="13" s="1"/>
  <c r="AF488" i="13"/>
  <c r="AE488" i="13"/>
  <c r="AD488" i="13"/>
  <c r="AA488" i="13"/>
  <c r="AB488" i="13" s="1"/>
  <c r="AF487" i="13"/>
  <c r="AE487" i="13"/>
  <c r="AD487" i="13"/>
  <c r="AA487" i="13"/>
  <c r="AB487" i="13" s="1"/>
  <c r="AF486" i="13"/>
  <c r="AE486" i="13"/>
  <c r="AD486" i="13"/>
  <c r="AB486" i="13"/>
  <c r="AA486" i="13"/>
  <c r="AF485" i="13"/>
  <c r="AE485" i="13"/>
  <c r="AD485" i="13"/>
  <c r="AA485" i="13"/>
  <c r="AB485" i="13" s="1"/>
  <c r="AF484" i="13"/>
  <c r="AE484" i="13"/>
  <c r="AD484" i="13"/>
  <c r="AA484" i="13"/>
  <c r="AB484" i="13" s="1"/>
  <c r="AE483" i="13"/>
  <c r="AA483" i="13"/>
  <c r="AB483" i="13" s="1"/>
  <c r="AF482" i="13"/>
  <c r="AE482" i="13"/>
  <c r="AD482" i="13"/>
  <c r="AA482" i="13"/>
  <c r="AB482" i="13" s="1"/>
  <c r="AF481" i="13"/>
  <c r="AE481" i="13"/>
  <c r="AD481" i="13"/>
  <c r="AA481" i="13"/>
  <c r="AB481" i="13" s="1"/>
  <c r="AF480" i="13"/>
  <c r="AE480" i="13"/>
  <c r="AD480" i="13"/>
  <c r="AB480" i="13"/>
  <c r="AA480" i="13"/>
  <c r="AF479" i="13"/>
  <c r="AE479" i="13"/>
  <c r="AD479" i="13"/>
  <c r="AA479" i="13"/>
  <c r="AB479" i="13" s="1"/>
  <c r="AF478" i="13"/>
  <c r="AE478" i="13"/>
  <c r="AD478" i="13"/>
  <c r="AB478" i="13"/>
  <c r="AA478" i="13"/>
  <c r="AF477" i="13"/>
  <c r="AE477" i="13"/>
  <c r="AD477" i="13"/>
  <c r="AA477" i="13"/>
  <c r="AB477" i="13" s="1"/>
  <c r="AF476" i="13"/>
  <c r="AE476" i="13"/>
  <c r="AD476" i="13"/>
  <c r="AA476" i="13"/>
  <c r="AB476" i="13" s="1"/>
  <c r="AF475" i="13"/>
  <c r="AE475" i="13"/>
  <c r="AD475" i="13"/>
  <c r="AA475" i="13"/>
  <c r="AB475" i="13" s="1"/>
  <c r="AF474" i="13"/>
  <c r="AE474" i="13"/>
  <c r="AD474" i="13"/>
  <c r="AA474" i="13"/>
  <c r="AB474" i="13" s="1"/>
  <c r="AF473" i="13"/>
  <c r="AE473" i="13"/>
  <c r="AD473" i="13"/>
  <c r="AA473" i="13"/>
  <c r="AB473" i="13" s="1"/>
  <c r="AF472" i="13"/>
  <c r="AE472" i="13"/>
  <c r="AD472" i="13"/>
  <c r="AA472" i="13"/>
  <c r="AB472" i="13" s="1"/>
  <c r="AF471" i="13"/>
  <c r="AE471" i="13"/>
  <c r="AD471" i="13"/>
  <c r="AA471" i="13"/>
  <c r="AB471" i="13" s="1"/>
  <c r="AF470" i="13"/>
  <c r="AE470" i="13"/>
  <c r="AD470" i="13"/>
  <c r="AB470" i="13"/>
  <c r="AA470" i="13"/>
  <c r="AF469" i="13"/>
  <c r="AE469" i="13"/>
  <c r="AD469" i="13"/>
  <c r="AA469" i="13"/>
  <c r="AB469" i="13" s="1"/>
  <c r="AF468" i="13"/>
  <c r="AE468" i="13"/>
  <c r="AD468" i="13"/>
  <c r="AA468" i="13"/>
  <c r="AB468" i="13" s="1"/>
  <c r="AF467" i="13"/>
  <c r="AE467" i="13"/>
  <c r="AD467" i="13"/>
  <c r="AA467" i="13"/>
  <c r="AB467" i="13" s="1"/>
  <c r="AF466" i="13"/>
  <c r="AE466" i="13"/>
  <c r="AD466" i="13"/>
  <c r="AA466" i="13"/>
  <c r="AB466" i="13" s="1"/>
  <c r="AF465" i="13"/>
  <c r="AE465" i="13"/>
  <c r="AD465" i="13"/>
  <c r="AA465" i="13"/>
  <c r="AB465" i="13" s="1"/>
  <c r="AF464" i="13"/>
  <c r="AE464" i="13"/>
  <c r="AD464" i="13"/>
  <c r="AA464" i="13"/>
  <c r="AB464" i="13" s="1"/>
  <c r="AF463" i="13"/>
  <c r="AE463" i="13"/>
  <c r="AD463" i="13"/>
  <c r="AA463" i="13"/>
  <c r="AB463" i="13" s="1"/>
  <c r="AF462" i="13"/>
  <c r="AE462" i="13"/>
  <c r="AD462" i="13"/>
  <c r="AA462" i="13"/>
  <c r="AB462" i="13" s="1"/>
  <c r="AF461" i="13"/>
  <c r="AE461" i="13"/>
  <c r="AD461" i="13"/>
  <c r="AA461" i="13"/>
  <c r="AB461" i="13" s="1"/>
  <c r="AF460" i="13"/>
  <c r="AE460" i="13"/>
  <c r="AD460" i="13"/>
  <c r="AA460" i="13"/>
  <c r="AB460" i="13" s="1"/>
  <c r="AF459" i="13"/>
  <c r="AE459" i="13"/>
  <c r="AD459" i="13"/>
  <c r="AA459" i="13"/>
  <c r="AB459" i="13" s="1"/>
  <c r="AF458" i="13"/>
  <c r="AE458" i="13"/>
  <c r="AD458" i="13"/>
  <c r="AA458" i="13"/>
  <c r="AB458" i="13" s="1"/>
  <c r="AF457" i="13"/>
  <c r="AE457" i="13"/>
  <c r="AD457" i="13"/>
  <c r="AA457" i="13"/>
  <c r="AB457" i="13" s="1"/>
  <c r="AF456" i="13"/>
  <c r="AE456" i="13"/>
  <c r="AD456" i="13"/>
  <c r="AA456" i="13"/>
  <c r="AB456" i="13" s="1"/>
  <c r="AF455" i="13"/>
  <c r="AE455" i="13"/>
  <c r="AD455" i="13"/>
  <c r="AA455" i="13"/>
  <c r="AB455" i="13" s="1"/>
  <c r="AF454" i="13"/>
  <c r="AE454" i="13"/>
  <c r="AD454" i="13"/>
  <c r="AB454" i="13"/>
  <c r="AA454" i="13"/>
  <c r="AF453" i="13"/>
  <c r="AE453" i="13"/>
  <c r="AD453" i="13"/>
  <c r="AA453" i="13"/>
  <c r="AB453" i="13" s="1"/>
  <c r="AF452" i="13"/>
  <c r="AE452" i="13"/>
  <c r="AD452" i="13"/>
  <c r="AA452" i="13"/>
  <c r="AB452" i="13" s="1"/>
  <c r="AF451" i="13"/>
  <c r="AE451" i="13"/>
  <c r="AD451" i="13"/>
  <c r="AA451" i="13"/>
  <c r="AB451" i="13" s="1"/>
  <c r="AF450" i="13"/>
  <c r="AE450" i="13"/>
  <c r="AD450" i="13"/>
  <c r="AB450" i="13"/>
  <c r="AA450" i="13"/>
  <c r="AF449" i="13"/>
  <c r="AE449" i="13"/>
  <c r="AD449" i="13"/>
  <c r="AA449" i="13"/>
  <c r="AB449" i="13" s="1"/>
  <c r="AF448" i="13"/>
  <c r="AE448" i="13"/>
  <c r="AD448" i="13"/>
  <c r="AA448" i="13"/>
  <c r="AB448" i="13" s="1"/>
  <c r="AF447" i="13"/>
  <c r="AE447" i="13"/>
  <c r="AD447" i="13"/>
  <c r="AA447" i="13"/>
  <c r="AB447" i="13" s="1"/>
  <c r="AF446" i="13"/>
  <c r="AE446" i="13"/>
  <c r="AD446" i="13"/>
  <c r="AA446" i="13"/>
  <c r="AB446" i="13" s="1"/>
  <c r="AF445" i="13"/>
  <c r="AE445" i="13"/>
  <c r="AD445" i="13"/>
  <c r="AA445" i="13"/>
  <c r="AB445" i="13" s="1"/>
  <c r="AF444" i="13"/>
  <c r="AE444" i="13"/>
  <c r="AD444" i="13"/>
  <c r="AA444" i="13"/>
  <c r="AB444" i="13" s="1"/>
  <c r="AF443" i="13"/>
  <c r="AE443" i="13"/>
  <c r="AD443" i="13"/>
  <c r="AA443" i="13"/>
  <c r="AB443" i="13" s="1"/>
  <c r="AF442" i="13"/>
  <c r="AE442" i="13"/>
  <c r="AD442" i="13"/>
  <c r="AA442" i="13"/>
  <c r="AB442" i="13" s="1"/>
  <c r="AF441" i="13"/>
  <c r="AE441" i="13"/>
  <c r="AD441" i="13"/>
  <c r="AA441" i="13"/>
  <c r="AB441" i="13" s="1"/>
  <c r="AF440" i="13"/>
  <c r="AE440" i="13"/>
  <c r="AD440" i="13"/>
  <c r="AA440" i="13"/>
  <c r="AB440" i="13" s="1"/>
  <c r="AF439" i="13"/>
  <c r="AE439" i="13"/>
  <c r="AD439" i="13"/>
  <c r="AA439" i="13"/>
  <c r="AB439" i="13" s="1"/>
  <c r="AF438" i="13"/>
  <c r="AE438" i="13"/>
  <c r="AD438" i="13"/>
  <c r="AB438" i="13"/>
  <c r="AA438" i="13"/>
  <c r="AF437" i="13"/>
  <c r="AE437" i="13"/>
  <c r="AD437" i="13"/>
  <c r="AA437" i="13"/>
  <c r="AB437" i="13" s="1"/>
  <c r="AF436" i="13"/>
  <c r="AE436" i="13"/>
  <c r="AD436" i="13"/>
  <c r="AA436" i="13"/>
  <c r="AB436" i="13" s="1"/>
  <c r="AF435" i="13"/>
  <c r="AE435" i="13"/>
  <c r="AD435" i="13"/>
  <c r="AA435" i="13"/>
  <c r="AB435" i="13" s="1"/>
  <c r="AF434" i="13"/>
  <c r="AE434" i="13"/>
  <c r="AD434" i="13"/>
  <c r="AA434" i="13"/>
  <c r="AB434" i="13" s="1"/>
  <c r="AF433" i="13"/>
  <c r="AE433" i="13"/>
  <c r="AD433" i="13"/>
  <c r="AA433" i="13"/>
  <c r="AB433" i="13" s="1"/>
  <c r="AF432" i="13"/>
  <c r="AE432" i="13"/>
  <c r="AD432" i="13"/>
  <c r="AA432" i="13"/>
  <c r="AB432" i="13" s="1"/>
  <c r="AF431" i="13"/>
  <c r="AE431" i="13"/>
  <c r="AD431" i="13"/>
  <c r="AA431" i="13"/>
  <c r="AB431" i="13" s="1"/>
  <c r="AF430" i="13"/>
  <c r="AE430" i="13"/>
  <c r="AD430" i="13"/>
  <c r="AA430" i="13"/>
  <c r="AB430" i="13" s="1"/>
  <c r="AF429" i="13"/>
  <c r="AE429" i="13"/>
  <c r="AD429" i="13"/>
  <c r="AA429" i="13"/>
  <c r="AB429" i="13" s="1"/>
  <c r="AF428" i="13"/>
  <c r="AE428" i="13"/>
  <c r="AD428" i="13"/>
  <c r="AA428" i="13"/>
  <c r="AB428" i="13" s="1"/>
  <c r="AF427" i="13"/>
  <c r="AE427" i="13"/>
  <c r="AD427" i="13"/>
  <c r="AA427" i="13"/>
  <c r="AB427" i="13" s="1"/>
  <c r="AF426" i="13"/>
  <c r="AE426" i="13"/>
  <c r="AD426" i="13"/>
  <c r="AA426" i="13"/>
  <c r="AB426" i="13" s="1"/>
  <c r="AF425" i="13"/>
  <c r="AE425" i="13"/>
  <c r="AD425" i="13"/>
  <c r="AA425" i="13"/>
  <c r="AB425" i="13" s="1"/>
  <c r="AF424" i="13"/>
  <c r="AE424" i="13"/>
  <c r="AD424" i="13"/>
  <c r="AA424" i="13"/>
  <c r="AB424" i="13" s="1"/>
  <c r="AF423" i="13"/>
  <c r="AE423" i="13"/>
  <c r="AD423" i="13"/>
  <c r="AA423" i="13"/>
  <c r="AB423" i="13" s="1"/>
  <c r="AF422" i="13"/>
  <c r="AE422" i="13"/>
  <c r="AD422" i="13"/>
  <c r="AB422" i="13"/>
  <c r="AA422" i="13"/>
  <c r="AF421" i="13"/>
  <c r="AE421" i="13"/>
  <c r="AD421" i="13"/>
  <c r="AA421" i="13"/>
  <c r="AB421" i="13" s="1"/>
  <c r="AF420" i="13"/>
  <c r="AE420" i="13"/>
  <c r="AD420" i="13"/>
  <c r="AA420" i="13"/>
  <c r="AB420" i="13" s="1"/>
  <c r="AF419" i="13"/>
  <c r="AE419" i="13"/>
  <c r="AD419" i="13"/>
  <c r="AA419" i="13"/>
  <c r="AB419" i="13" s="1"/>
  <c r="AF418" i="13"/>
  <c r="AE418" i="13"/>
  <c r="AD418" i="13"/>
  <c r="AB418" i="13"/>
  <c r="AA418" i="13"/>
  <c r="AF417" i="13"/>
  <c r="AE417" i="13"/>
  <c r="AD417" i="13"/>
  <c r="AA417" i="13"/>
  <c r="AB417" i="13" s="1"/>
  <c r="AF416" i="13"/>
  <c r="AE416" i="13"/>
  <c r="AD416" i="13"/>
  <c r="AA416" i="13"/>
  <c r="AB416" i="13" s="1"/>
  <c r="AF415" i="13"/>
  <c r="AE415" i="13"/>
  <c r="AD415" i="13"/>
  <c r="AA415" i="13"/>
  <c r="AB415" i="13" s="1"/>
  <c r="AF414" i="13"/>
  <c r="AE414" i="13"/>
  <c r="AD414" i="13"/>
  <c r="AA414" i="13"/>
  <c r="AB414" i="13" s="1"/>
  <c r="AF413" i="13"/>
  <c r="AE413" i="13"/>
  <c r="AD413" i="13"/>
  <c r="AA413" i="13"/>
  <c r="AB413" i="13" s="1"/>
  <c r="AF412" i="13"/>
  <c r="AE412" i="13"/>
  <c r="AD412" i="13"/>
  <c r="AA412" i="13"/>
  <c r="AB412" i="13" s="1"/>
  <c r="AF411" i="13"/>
  <c r="AE411" i="13"/>
  <c r="AD411" i="13"/>
  <c r="AA411" i="13"/>
  <c r="AB411" i="13" s="1"/>
  <c r="AF410" i="13"/>
  <c r="AE410" i="13"/>
  <c r="AD410" i="13"/>
  <c r="AA410" i="13"/>
  <c r="AB410" i="13" s="1"/>
  <c r="AF409" i="13"/>
  <c r="AE409" i="13"/>
  <c r="AD409" i="13"/>
  <c r="AA409" i="13"/>
  <c r="AB409" i="13" s="1"/>
  <c r="AF408" i="13"/>
  <c r="AE408" i="13"/>
  <c r="AD408" i="13"/>
  <c r="AA408" i="13"/>
  <c r="AB408" i="13" s="1"/>
  <c r="AF407" i="13"/>
  <c r="AE407" i="13"/>
  <c r="AD407" i="13"/>
  <c r="AA407" i="13"/>
  <c r="AB407" i="13" s="1"/>
  <c r="AF406" i="13"/>
  <c r="AE406" i="13"/>
  <c r="AD406" i="13"/>
  <c r="AB406" i="13"/>
  <c r="AA406" i="13"/>
  <c r="AF405" i="13"/>
  <c r="AE405" i="13"/>
  <c r="AD405" i="13"/>
  <c r="AA405" i="13"/>
  <c r="AB405" i="13" s="1"/>
  <c r="AF404" i="13"/>
  <c r="AE404" i="13"/>
  <c r="AD404" i="13"/>
  <c r="AA404" i="13"/>
  <c r="AB404" i="13" s="1"/>
  <c r="AF403" i="13"/>
  <c r="AE403" i="13"/>
  <c r="AD403" i="13"/>
  <c r="AA403" i="13"/>
  <c r="AB403" i="13" s="1"/>
  <c r="AF402" i="13"/>
  <c r="AE402" i="13"/>
  <c r="AD402" i="13"/>
  <c r="AA402" i="13"/>
  <c r="AB402" i="13" s="1"/>
  <c r="AF401" i="13"/>
  <c r="AE401" i="13"/>
  <c r="AB401" i="13"/>
  <c r="AA401" i="13"/>
  <c r="AF400" i="13"/>
  <c r="AE400" i="13"/>
  <c r="AD400" i="13"/>
  <c r="AA400" i="13"/>
  <c r="AB400" i="13" s="1"/>
  <c r="AF399" i="13"/>
  <c r="AE399" i="13"/>
  <c r="AD399" i="13"/>
  <c r="AA399" i="13"/>
  <c r="AB399" i="13" s="1"/>
  <c r="AF398" i="13"/>
  <c r="AE398" i="13"/>
  <c r="AD398" i="13"/>
  <c r="AA398" i="13"/>
  <c r="AB398" i="13" s="1"/>
  <c r="AF397" i="13"/>
  <c r="AE397" i="13"/>
  <c r="AD397" i="13"/>
  <c r="AA397" i="13"/>
  <c r="AB397" i="13" s="1"/>
  <c r="AF396" i="13"/>
  <c r="AE396" i="13"/>
  <c r="AD396" i="13"/>
  <c r="AA396" i="13"/>
  <c r="AB396" i="13" s="1"/>
  <c r="AF395" i="13"/>
  <c r="AE395" i="13"/>
  <c r="AD395" i="13"/>
  <c r="AA395" i="13"/>
  <c r="AB395" i="13" s="1"/>
  <c r="AF394" i="13"/>
  <c r="AE394" i="13"/>
  <c r="AD394" i="13"/>
  <c r="AA394" i="13"/>
  <c r="AB394" i="13" s="1"/>
  <c r="AF393" i="13"/>
  <c r="AE393" i="13"/>
  <c r="AD393" i="13"/>
  <c r="AB393" i="13"/>
  <c r="AA393" i="13"/>
  <c r="AF392" i="13"/>
  <c r="AE392" i="13"/>
  <c r="AD392" i="13"/>
  <c r="AA392" i="13"/>
  <c r="AB392" i="13" s="1"/>
  <c r="AF391" i="13"/>
  <c r="AE391" i="13"/>
  <c r="AD391" i="13"/>
  <c r="AA391" i="13"/>
  <c r="AB391" i="13" s="1"/>
  <c r="AF390" i="13"/>
  <c r="AE390" i="13"/>
  <c r="AD390" i="13"/>
  <c r="AA390" i="13"/>
  <c r="AB390" i="13" s="1"/>
  <c r="AF389" i="13"/>
  <c r="AE389" i="13"/>
  <c r="AD389" i="13"/>
  <c r="AA389" i="13"/>
  <c r="AB389" i="13" s="1"/>
  <c r="AF388" i="13"/>
  <c r="AE388" i="13"/>
  <c r="AD388" i="13"/>
  <c r="AA388" i="13"/>
  <c r="AB388" i="13" s="1"/>
  <c r="AF387" i="13"/>
  <c r="AE387" i="13"/>
  <c r="AD387" i="13"/>
  <c r="AA387" i="13"/>
  <c r="AB387" i="13" s="1"/>
  <c r="AF386" i="13"/>
  <c r="AE386" i="13"/>
  <c r="AD386" i="13"/>
  <c r="AA386" i="13"/>
  <c r="AB386" i="13" s="1"/>
  <c r="AF385" i="13"/>
  <c r="AE385" i="13"/>
  <c r="AD385" i="13"/>
  <c r="AA385" i="13"/>
  <c r="AB385" i="13" s="1"/>
  <c r="AF384" i="13"/>
  <c r="AE384" i="13"/>
  <c r="AD384" i="13"/>
  <c r="AA384" i="13"/>
  <c r="AB384" i="13" s="1"/>
  <c r="AF383" i="13"/>
  <c r="AE383" i="13"/>
  <c r="AD383" i="13"/>
  <c r="AB383" i="13"/>
  <c r="AA383" i="13"/>
  <c r="AF382" i="13"/>
  <c r="AE382" i="13"/>
  <c r="AD382" i="13"/>
  <c r="AA382" i="13"/>
  <c r="AB382" i="13" s="1"/>
  <c r="AF381" i="13"/>
  <c r="AE381" i="13"/>
  <c r="AD381" i="13"/>
  <c r="AB381" i="13"/>
  <c r="AA381" i="13"/>
  <c r="AF380" i="13"/>
  <c r="AE380" i="13"/>
  <c r="AD380" i="13"/>
  <c r="AA380" i="13"/>
  <c r="AB380" i="13" s="1"/>
  <c r="AF379" i="13"/>
  <c r="AE379" i="13"/>
  <c r="AD379" i="13"/>
  <c r="AA379" i="13"/>
  <c r="AB379" i="13" s="1"/>
  <c r="AF378" i="13"/>
  <c r="AE378" i="13"/>
  <c r="AD378" i="13"/>
  <c r="AA378" i="13"/>
  <c r="AB378" i="13" s="1"/>
  <c r="AF377" i="13"/>
  <c r="AE377" i="13"/>
  <c r="AD377" i="13"/>
  <c r="AA377" i="13"/>
  <c r="AB377" i="13" s="1"/>
  <c r="AF376" i="13"/>
  <c r="AE376" i="13"/>
  <c r="AD376" i="13"/>
  <c r="AA376" i="13"/>
  <c r="AB376" i="13" s="1"/>
  <c r="AF375" i="13"/>
  <c r="AE375" i="13"/>
  <c r="AD375" i="13"/>
  <c r="AA375" i="13"/>
  <c r="AB375" i="13" s="1"/>
  <c r="AF374" i="13"/>
  <c r="AE374" i="13"/>
  <c r="AD374" i="13"/>
  <c r="AA374" i="13"/>
  <c r="AB374" i="13" s="1"/>
  <c r="AF373" i="13"/>
  <c r="AE373" i="13"/>
  <c r="AD373" i="13"/>
  <c r="AB373" i="13"/>
  <c r="AA373" i="13"/>
  <c r="AF372" i="13"/>
  <c r="AE372" i="13"/>
  <c r="AD372" i="13"/>
  <c r="AA372" i="13"/>
  <c r="AB372" i="13" s="1"/>
  <c r="AF371" i="13"/>
  <c r="AE371" i="13"/>
  <c r="AD371" i="13"/>
  <c r="AA371" i="13"/>
  <c r="AB371" i="13" s="1"/>
  <c r="AF370" i="13"/>
  <c r="AE370" i="13"/>
  <c r="AD370" i="13"/>
  <c r="AA370" i="13"/>
  <c r="AB370" i="13" s="1"/>
  <c r="AF369" i="13"/>
  <c r="AE369" i="13"/>
  <c r="AD369" i="13"/>
  <c r="AA369" i="13"/>
  <c r="AB369" i="13" s="1"/>
  <c r="AF368" i="13"/>
  <c r="AE368" i="13"/>
  <c r="AD368" i="13"/>
  <c r="AA368" i="13"/>
  <c r="AB368" i="13" s="1"/>
  <c r="AF367" i="13"/>
  <c r="AE367" i="13"/>
  <c r="AD367" i="13"/>
  <c r="AA367" i="13"/>
  <c r="AB367" i="13" s="1"/>
  <c r="AF366" i="13"/>
  <c r="AE366" i="13"/>
  <c r="AD366" i="13"/>
  <c r="AA366" i="13"/>
  <c r="AB366" i="13" s="1"/>
  <c r="AF365" i="13"/>
  <c r="AE365" i="13"/>
  <c r="AD365" i="13"/>
  <c r="AA365" i="13"/>
  <c r="AB365" i="13" s="1"/>
  <c r="AF364" i="13"/>
  <c r="AE364" i="13"/>
  <c r="AD364" i="13"/>
  <c r="AA364" i="13"/>
  <c r="AB364" i="13" s="1"/>
  <c r="AF363" i="13"/>
  <c r="AE363" i="13"/>
  <c r="AD363" i="13"/>
  <c r="AA363" i="13"/>
  <c r="AB363" i="13" s="1"/>
  <c r="AF362" i="13"/>
  <c r="AE362" i="13"/>
  <c r="AD362" i="13"/>
  <c r="AA362" i="13"/>
  <c r="AB362" i="13" s="1"/>
  <c r="AF361" i="13"/>
  <c r="AE361" i="13"/>
  <c r="AD361" i="13"/>
  <c r="AB361" i="13"/>
  <c r="AA361" i="13"/>
  <c r="AF360" i="13"/>
  <c r="AE360" i="13"/>
  <c r="AD360" i="13"/>
  <c r="AA360" i="13"/>
  <c r="AB360" i="13" s="1"/>
  <c r="AF359" i="13"/>
  <c r="AE359" i="13"/>
  <c r="AD359" i="13"/>
  <c r="AB359" i="13"/>
  <c r="AA359" i="13"/>
  <c r="AF358" i="13"/>
  <c r="AE358" i="13"/>
  <c r="AD358" i="13"/>
  <c r="AA358" i="13"/>
  <c r="AB358" i="13" s="1"/>
  <c r="AF357" i="13"/>
  <c r="AE357" i="13"/>
  <c r="AD357" i="13"/>
  <c r="AA357" i="13"/>
  <c r="AB357" i="13" s="1"/>
  <c r="AF356" i="13"/>
  <c r="AE356" i="13"/>
  <c r="AD356" i="13"/>
  <c r="AA356" i="13"/>
  <c r="AB356" i="13" s="1"/>
  <c r="AF355" i="13"/>
  <c r="AE355" i="13"/>
  <c r="AD355" i="13"/>
  <c r="AA355" i="13"/>
  <c r="AB355" i="13" s="1"/>
  <c r="AF354" i="13"/>
  <c r="AE354" i="13"/>
  <c r="AD354" i="13"/>
  <c r="AA354" i="13"/>
  <c r="AB354" i="13" s="1"/>
  <c r="AF353" i="13"/>
  <c r="AE353" i="13"/>
  <c r="AD353" i="13"/>
  <c r="AA353" i="13"/>
  <c r="AB353" i="13" s="1"/>
  <c r="AF352" i="13"/>
  <c r="AE352" i="13"/>
  <c r="AD352" i="13"/>
  <c r="AA352" i="13"/>
  <c r="AB352" i="13" s="1"/>
  <c r="AF351" i="13"/>
  <c r="AE351" i="13"/>
  <c r="AD351" i="13"/>
  <c r="AB351" i="13"/>
  <c r="AA351" i="13"/>
  <c r="AF350" i="13"/>
  <c r="AE350" i="13"/>
  <c r="AD350" i="13"/>
  <c r="AA350" i="13"/>
  <c r="AB350" i="13" s="1"/>
  <c r="AF349" i="13"/>
  <c r="AE349" i="13"/>
  <c r="AD349" i="13"/>
  <c r="AA349" i="13"/>
  <c r="AB349" i="13" s="1"/>
  <c r="AF348" i="13"/>
  <c r="AE348" i="13"/>
  <c r="AD348" i="13"/>
  <c r="AA348" i="13"/>
  <c r="AB348" i="13" s="1"/>
  <c r="AF347" i="13"/>
  <c r="AE347" i="13"/>
  <c r="AD347" i="13"/>
  <c r="AA347" i="13"/>
  <c r="AB347" i="13" s="1"/>
  <c r="AF346" i="13"/>
  <c r="AE346" i="13"/>
  <c r="AD346" i="13"/>
  <c r="AA346" i="13"/>
  <c r="AB346" i="13" s="1"/>
  <c r="AF345" i="13"/>
  <c r="AE345" i="13"/>
  <c r="AD345" i="13"/>
  <c r="AA345" i="13"/>
  <c r="AB345" i="13" s="1"/>
  <c r="AF344" i="13"/>
  <c r="AE344" i="13"/>
  <c r="AD344" i="13"/>
  <c r="AA344" i="13"/>
  <c r="AB344" i="13" s="1"/>
  <c r="AF343" i="13"/>
  <c r="AE343" i="13"/>
  <c r="AD343" i="13"/>
  <c r="AA343" i="13"/>
  <c r="AB343" i="13" s="1"/>
  <c r="AF342" i="13"/>
  <c r="AE342" i="13"/>
  <c r="AD342" i="13"/>
  <c r="AA342" i="13"/>
  <c r="AB342" i="13" s="1"/>
  <c r="AF341" i="13"/>
  <c r="AE341" i="13"/>
  <c r="AD341" i="13"/>
  <c r="AB341" i="13"/>
  <c r="AA341" i="13"/>
  <c r="AF340" i="13"/>
  <c r="AE340" i="13"/>
  <c r="AD340" i="13"/>
  <c r="AA340" i="13"/>
  <c r="AB340" i="13" s="1"/>
  <c r="AF339" i="13"/>
  <c r="AE339" i="13"/>
  <c r="AD339" i="13"/>
  <c r="AA339" i="13"/>
  <c r="AB339" i="13" s="1"/>
  <c r="AF338" i="13"/>
  <c r="AE338" i="13"/>
  <c r="AD338" i="13"/>
  <c r="AA338" i="13"/>
  <c r="AB338" i="13" s="1"/>
  <c r="AF337" i="13"/>
  <c r="AE337" i="13"/>
  <c r="AD337" i="13"/>
  <c r="AB337" i="13"/>
  <c r="AA337" i="13"/>
  <c r="AF336" i="13"/>
  <c r="AE336" i="13"/>
  <c r="AD336" i="13"/>
  <c r="AA336" i="13"/>
  <c r="AB336" i="13" s="1"/>
  <c r="AF335" i="13"/>
  <c r="AE335" i="13"/>
  <c r="AD335" i="13"/>
  <c r="AA335" i="13"/>
  <c r="AB335" i="13" s="1"/>
  <c r="AF334" i="13"/>
  <c r="AE334" i="13"/>
  <c r="AD334" i="13"/>
  <c r="AA334" i="13"/>
  <c r="AB334" i="13" s="1"/>
  <c r="AF333" i="13"/>
  <c r="AE333" i="13"/>
  <c r="AD333" i="13"/>
  <c r="AA333" i="13"/>
  <c r="AB333" i="13" s="1"/>
  <c r="AF332" i="13"/>
  <c r="AE332" i="13"/>
  <c r="AD332" i="13"/>
  <c r="AA332" i="13"/>
  <c r="AB332" i="13" s="1"/>
  <c r="AF331" i="13"/>
  <c r="AE331" i="13"/>
  <c r="AD331" i="13"/>
  <c r="AB331" i="13"/>
  <c r="AA331" i="13"/>
  <c r="AF330" i="13"/>
  <c r="AE330" i="13"/>
  <c r="AD330" i="13"/>
  <c r="AA330" i="13"/>
  <c r="AB330" i="13" s="1"/>
  <c r="AF329" i="13"/>
  <c r="AE329" i="13"/>
  <c r="AD329" i="13"/>
  <c r="AA329" i="13"/>
  <c r="AB329" i="13" s="1"/>
  <c r="AE328" i="13"/>
  <c r="AD328" i="13"/>
  <c r="AA328" i="13"/>
  <c r="AB328" i="13" s="1"/>
  <c r="AF327" i="13"/>
  <c r="AE327" i="13"/>
  <c r="AD327" i="13"/>
  <c r="AA327" i="13"/>
  <c r="AB327" i="13" s="1"/>
  <c r="AF326" i="13"/>
  <c r="AE326" i="13"/>
  <c r="AD326" i="13"/>
  <c r="AA326" i="13"/>
  <c r="AB326" i="13" s="1"/>
  <c r="AF325" i="13"/>
  <c r="AE325" i="13"/>
  <c r="AD325" i="13"/>
  <c r="AA325" i="13"/>
  <c r="AB325" i="13" s="1"/>
  <c r="AF324" i="13"/>
  <c r="AE324" i="13"/>
  <c r="AD324" i="13"/>
  <c r="AA324" i="13"/>
  <c r="AB324" i="13" s="1"/>
  <c r="AF323" i="13"/>
  <c r="AE323" i="13"/>
  <c r="AD323" i="13"/>
  <c r="AA323" i="13"/>
  <c r="AB323" i="13" s="1"/>
  <c r="AF322" i="13"/>
  <c r="AE322" i="13"/>
  <c r="AD322" i="13"/>
  <c r="AA322" i="13"/>
  <c r="AB322" i="13" s="1"/>
  <c r="AF321" i="13"/>
  <c r="AE321" i="13"/>
  <c r="AD321" i="13"/>
  <c r="AA321" i="13"/>
  <c r="AB321" i="13" s="1"/>
  <c r="AF320" i="13"/>
  <c r="AE320" i="13"/>
  <c r="AD320" i="13"/>
  <c r="AA320" i="13"/>
  <c r="AB320" i="13" s="1"/>
  <c r="AF319" i="13"/>
  <c r="AE319" i="13"/>
  <c r="AD319" i="13"/>
  <c r="AA319" i="13"/>
  <c r="AB319" i="13" s="1"/>
  <c r="AF318" i="13"/>
  <c r="AE318" i="13"/>
  <c r="AD318" i="13"/>
  <c r="AA318" i="13"/>
  <c r="AB318" i="13" s="1"/>
  <c r="AF317" i="13"/>
  <c r="AE317" i="13"/>
  <c r="AD317" i="13"/>
  <c r="AA317" i="13"/>
  <c r="AB317" i="13" s="1"/>
  <c r="AF316" i="13"/>
  <c r="AE316" i="13"/>
  <c r="AD316" i="13"/>
  <c r="AA316" i="13"/>
  <c r="AB316" i="13" s="1"/>
  <c r="AF315" i="13"/>
  <c r="AE315" i="13"/>
  <c r="AD315" i="13"/>
  <c r="AA315" i="13"/>
  <c r="AB315" i="13" s="1"/>
  <c r="AF314" i="13"/>
  <c r="AE314" i="13"/>
  <c r="AD314" i="13"/>
  <c r="AA314" i="13"/>
  <c r="AB314" i="13" s="1"/>
  <c r="AF313" i="13"/>
  <c r="AE313" i="13"/>
  <c r="AD313" i="13"/>
  <c r="AA313" i="13"/>
  <c r="AB313" i="13" s="1"/>
  <c r="AF312" i="13"/>
  <c r="AD312" i="13"/>
  <c r="AA312" i="13"/>
  <c r="AB312" i="13" s="1"/>
  <c r="AF311" i="13"/>
  <c r="AE311" i="13"/>
  <c r="AD311" i="13"/>
  <c r="AA311" i="13"/>
  <c r="AB311" i="13" s="1"/>
  <c r="AF310" i="13"/>
  <c r="AE310" i="13"/>
  <c r="AD310" i="13"/>
  <c r="AA310" i="13"/>
  <c r="AB310" i="13" s="1"/>
  <c r="AF309" i="13"/>
  <c r="AE309" i="13"/>
  <c r="AD309" i="13"/>
  <c r="AA309" i="13"/>
  <c r="AB309" i="13" s="1"/>
  <c r="AF308" i="13"/>
  <c r="AE308" i="13"/>
  <c r="AA308" i="13"/>
  <c r="AF307" i="13"/>
  <c r="AE307" i="13"/>
  <c r="AD307" i="13"/>
  <c r="AA307" i="13"/>
  <c r="AB307" i="13" s="1"/>
  <c r="AF306" i="13"/>
  <c r="AE306" i="13"/>
  <c r="AA306" i="13"/>
  <c r="AF305" i="13"/>
  <c r="AE305" i="13"/>
  <c r="AD305" i="13"/>
  <c r="AB305" i="13"/>
  <c r="AA305" i="13"/>
  <c r="AF304" i="13"/>
  <c r="AE304" i="13"/>
  <c r="AD304" i="13"/>
  <c r="AA304" i="13"/>
  <c r="AB304" i="13" s="1"/>
  <c r="AF303" i="13"/>
  <c r="AE303" i="13"/>
  <c r="AA303" i="13"/>
  <c r="AF302" i="13"/>
  <c r="AE302" i="13"/>
  <c r="AD302" i="13"/>
  <c r="AA302" i="13"/>
  <c r="AB302" i="13" s="1"/>
  <c r="AF301" i="13"/>
  <c r="AE301" i="13"/>
  <c r="AA301" i="13"/>
  <c r="AF300" i="13"/>
  <c r="AE300" i="13"/>
  <c r="AD300" i="13"/>
  <c r="AA300" i="13"/>
  <c r="AB300" i="13" s="1"/>
  <c r="AF299" i="13"/>
  <c r="AE299" i="13"/>
  <c r="AA299" i="13"/>
  <c r="AF298" i="13"/>
  <c r="AE298" i="13"/>
  <c r="AD298" i="13"/>
  <c r="AA298" i="13"/>
  <c r="AB298" i="13" s="1"/>
  <c r="AF297" i="13"/>
  <c r="AE297" i="13"/>
  <c r="AD297" i="13"/>
  <c r="AA297" i="13"/>
  <c r="AF296" i="13"/>
  <c r="AE296" i="13"/>
  <c r="AD296" i="13"/>
  <c r="AA296" i="13"/>
  <c r="AB296" i="13" s="1"/>
  <c r="AF295" i="13"/>
  <c r="AE295" i="13"/>
  <c r="AA295" i="13"/>
  <c r="AF294" i="13"/>
  <c r="AE294" i="13"/>
  <c r="AD294" i="13"/>
  <c r="AA294" i="13"/>
  <c r="AB294" i="13" s="1"/>
  <c r="AF293" i="13"/>
  <c r="AE293" i="13"/>
  <c r="AD293" i="13"/>
  <c r="AA293" i="13"/>
  <c r="AB293" i="13" s="1"/>
  <c r="AF292" i="13"/>
  <c r="AE292" i="13"/>
  <c r="AA292" i="13"/>
  <c r="AF291" i="13"/>
  <c r="AE291" i="13"/>
  <c r="AD291" i="13"/>
  <c r="AA291" i="13"/>
  <c r="AB291" i="13" s="1"/>
  <c r="AF290" i="13"/>
  <c r="AE290" i="13"/>
  <c r="AA290" i="13"/>
  <c r="AF289" i="13"/>
  <c r="AE289" i="13"/>
  <c r="AD289" i="13"/>
  <c r="AA289" i="13"/>
  <c r="AB289" i="13" s="1"/>
  <c r="AF288" i="13"/>
  <c r="AE288" i="13"/>
  <c r="AA288" i="13"/>
  <c r="AF287" i="13"/>
  <c r="AE287" i="13"/>
  <c r="AD287" i="13"/>
  <c r="AB287" i="13"/>
  <c r="AA287" i="13"/>
  <c r="AF286" i="13"/>
  <c r="AE286" i="13"/>
  <c r="AA286" i="13"/>
  <c r="AF285" i="13"/>
  <c r="AE285" i="13"/>
  <c r="AD285" i="13"/>
  <c r="AA285" i="13"/>
  <c r="AB285" i="13" s="1"/>
  <c r="AF284" i="13"/>
  <c r="AE284" i="13"/>
  <c r="AA284" i="13"/>
  <c r="AF283" i="13"/>
  <c r="AE283" i="13"/>
  <c r="AD283" i="13"/>
  <c r="AA283" i="13"/>
  <c r="AB283" i="13" s="1"/>
  <c r="AF282" i="13"/>
  <c r="AE282" i="13"/>
  <c r="AA282" i="13"/>
  <c r="AF281" i="13"/>
  <c r="AE281" i="13"/>
  <c r="AD281" i="13"/>
  <c r="AA281" i="13"/>
  <c r="AB281" i="13" s="1"/>
  <c r="AF280" i="13"/>
  <c r="AE280" i="13"/>
  <c r="AA280" i="13"/>
  <c r="AF279" i="13"/>
  <c r="AE279" i="13"/>
  <c r="AD279" i="13"/>
  <c r="AA279" i="13"/>
  <c r="AB279" i="13" s="1"/>
  <c r="AF278" i="13"/>
  <c r="AE278" i="13"/>
  <c r="AA278" i="13"/>
  <c r="AF277" i="13"/>
  <c r="AE277" i="13"/>
  <c r="AD277" i="13"/>
  <c r="AA277" i="13"/>
  <c r="AB277" i="13" s="1"/>
  <c r="AF276" i="13"/>
  <c r="AE276" i="13"/>
  <c r="AA276" i="13"/>
  <c r="AF275" i="13"/>
  <c r="AE275" i="13"/>
  <c r="AD275" i="13"/>
  <c r="AA275" i="13"/>
  <c r="AB275" i="13" s="1"/>
  <c r="AF274" i="13"/>
  <c r="AE274" i="13"/>
  <c r="AA274" i="13"/>
  <c r="AF273" i="13"/>
  <c r="AE273" i="13"/>
  <c r="AD273" i="13"/>
  <c r="AA273" i="13"/>
  <c r="AB273" i="13" s="1"/>
  <c r="AF272" i="13"/>
  <c r="AE272" i="13"/>
  <c r="AA272" i="13"/>
  <c r="AF271" i="13"/>
  <c r="AE271" i="13"/>
  <c r="AD271" i="13"/>
  <c r="AB271" i="13"/>
  <c r="AA271" i="13"/>
  <c r="AF270" i="13"/>
  <c r="AE270" i="13"/>
  <c r="AA270" i="13"/>
  <c r="AF269" i="13"/>
  <c r="AE269" i="13"/>
  <c r="AD269" i="13"/>
  <c r="AA269" i="13"/>
  <c r="AB269" i="13" s="1"/>
  <c r="AF268" i="13"/>
  <c r="AE268" i="13"/>
  <c r="AD268" i="13"/>
  <c r="AA268" i="13"/>
  <c r="AB268" i="13" s="1"/>
  <c r="AF267" i="13"/>
  <c r="AE267" i="13"/>
  <c r="AD267" i="13"/>
  <c r="AA267" i="13"/>
  <c r="AB267" i="13" s="1"/>
  <c r="AF266" i="13"/>
  <c r="AE266" i="13"/>
  <c r="AA266" i="13"/>
  <c r="AF265" i="13"/>
  <c r="AE265" i="13"/>
  <c r="AD265" i="13"/>
  <c r="AA265" i="13"/>
  <c r="AF264" i="13"/>
  <c r="AE264" i="13"/>
  <c r="AA264" i="13"/>
  <c r="AF263" i="13"/>
  <c r="AE263" i="13"/>
  <c r="AA263" i="13"/>
  <c r="AF262" i="13"/>
  <c r="AE262" i="13"/>
  <c r="AA262" i="13"/>
  <c r="AF261" i="13"/>
  <c r="AE261" i="13"/>
  <c r="AA261" i="13"/>
  <c r="AB261" i="13" s="1"/>
  <c r="AF260" i="13"/>
  <c r="AE260" i="13"/>
  <c r="AA260" i="13"/>
  <c r="AB260" i="13" s="1"/>
  <c r="AF259" i="13"/>
  <c r="AE259" i="13"/>
  <c r="AA259" i="13"/>
  <c r="AB259" i="13" s="1"/>
  <c r="AF258" i="13"/>
  <c r="AE258" i="13"/>
  <c r="AD258" i="13"/>
  <c r="AA258" i="13"/>
  <c r="AB258" i="13" s="1"/>
  <c r="AF257" i="13"/>
  <c r="AE257" i="13"/>
  <c r="AD257" i="13"/>
  <c r="AB257" i="13"/>
  <c r="AA257" i="13"/>
  <c r="AF256" i="13"/>
  <c r="AE256" i="13"/>
  <c r="AD256" i="13"/>
  <c r="AA256" i="13"/>
  <c r="AB256" i="13" s="1"/>
  <c r="AF255" i="13"/>
  <c r="AE255" i="13"/>
  <c r="AD255" i="13"/>
  <c r="AB255" i="13"/>
  <c r="AA255" i="13"/>
  <c r="AF254" i="13"/>
  <c r="AE254" i="13"/>
  <c r="AD254" i="13"/>
  <c r="AA254" i="13"/>
  <c r="AB254" i="13" s="1"/>
  <c r="AF253" i="13"/>
  <c r="AE253" i="13"/>
  <c r="AD253" i="13"/>
  <c r="AA253" i="13"/>
  <c r="AB253" i="13" s="1"/>
  <c r="AF252" i="13"/>
  <c r="AE252" i="13"/>
  <c r="AA252" i="13"/>
  <c r="AF251" i="13"/>
  <c r="AE251" i="13"/>
  <c r="AD251" i="13"/>
  <c r="AA251" i="13"/>
  <c r="AF250" i="13"/>
  <c r="AE250" i="13"/>
  <c r="AA250" i="13"/>
  <c r="AF249" i="13"/>
  <c r="AE249" i="13"/>
  <c r="AA249" i="13"/>
  <c r="AF248" i="13"/>
  <c r="AE248" i="13"/>
  <c r="AA248" i="13"/>
  <c r="AF247" i="13"/>
  <c r="AE247" i="13"/>
  <c r="AA247" i="13"/>
  <c r="AF246" i="13"/>
  <c r="AE246" i="13"/>
  <c r="AA246" i="13"/>
  <c r="AF245" i="13"/>
  <c r="AE245" i="13"/>
  <c r="AA245" i="13"/>
  <c r="AF244" i="13"/>
  <c r="AE244" i="13"/>
  <c r="AA244" i="13"/>
  <c r="AF243" i="13"/>
  <c r="AE243" i="13"/>
  <c r="AA243" i="13"/>
  <c r="AF242" i="13"/>
  <c r="AE242" i="13"/>
  <c r="AD242" i="13"/>
  <c r="AA242" i="13"/>
  <c r="AB242" i="13" s="1"/>
  <c r="AF241" i="13"/>
  <c r="AE241" i="13"/>
  <c r="AA241" i="13"/>
  <c r="AF240" i="13"/>
  <c r="AE240" i="13"/>
  <c r="AA240" i="13"/>
  <c r="AF239" i="13"/>
  <c r="AE239" i="13"/>
  <c r="AD239" i="13"/>
  <c r="AB239" i="13"/>
  <c r="AA239" i="13"/>
  <c r="AF238" i="13"/>
  <c r="AE238" i="13"/>
  <c r="AD238" i="13"/>
  <c r="AA238" i="13"/>
  <c r="AB238" i="13" s="1"/>
  <c r="AF237" i="13"/>
  <c r="AE237" i="13"/>
  <c r="AD237" i="13"/>
  <c r="AA237" i="13"/>
  <c r="AB237" i="13" s="1"/>
  <c r="AF236" i="13"/>
  <c r="AE236" i="13"/>
  <c r="AD236" i="13"/>
  <c r="AA236" i="13"/>
  <c r="AB236" i="13" s="1"/>
  <c r="AF235" i="13"/>
  <c r="AE235" i="13"/>
  <c r="AA235" i="13"/>
  <c r="AF234" i="13"/>
  <c r="AE234" i="13"/>
  <c r="AD234" i="13"/>
  <c r="AA234" i="13"/>
  <c r="AB234" i="13" s="1"/>
  <c r="AF233" i="13"/>
  <c r="AE233" i="13"/>
  <c r="AA233" i="13"/>
  <c r="AF232" i="13"/>
  <c r="AE232" i="13"/>
  <c r="AA232" i="13"/>
  <c r="AF231" i="13"/>
  <c r="AE231" i="13"/>
  <c r="AA231" i="13"/>
  <c r="AF230" i="13"/>
  <c r="AE230" i="13"/>
  <c r="AA230" i="13"/>
  <c r="AB230" i="13" s="1"/>
  <c r="AF229" i="13"/>
  <c r="AE229" i="13"/>
  <c r="AA229" i="13"/>
  <c r="AB229" i="13" s="1"/>
  <c r="AF228" i="13"/>
  <c r="AE228" i="13"/>
  <c r="AD228" i="13"/>
  <c r="AA228" i="13"/>
  <c r="AB228" i="13" s="1"/>
  <c r="AF227" i="13"/>
  <c r="AE227" i="13"/>
  <c r="AA227" i="13"/>
  <c r="AB227" i="13" s="1"/>
  <c r="AF226" i="13"/>
  <c r="AE226" i="13"/>
  <c r="AA226" i="13"/>
  <c r="AB226" i="13" s="1"/>
  <c r="AF225" i="13"/>
  <c r="AE225" i="13"/>
  <c r="AB225" i="13"/>
  <c r="AA225" i="13"/>
  <c r="AF224" i="13"/>
  <c r="AE224" i="13"/>
  <c r="AA224" i="13"/>
  <c r="AB224" i="13" s="1"/>
  <c r="AF223" i="13"/>
  <c r="AE223" i="13"/>
  <c r="AA223" i="13"/>
  <c r="AB223" i="13" s="1"/>
  <c r="AF222" i="13"/>
  <c r="AE222" i="13"/>
  <c r="AA222" i="13"/>
  <c r="AB222" i="13" s="1"/>
  <c r="AF221" i="13"/>
  <c r="AE221" i="13"/>
  <c r="AA221" i="13"/>
  <c r="AB221" i="13" s="1"/>
  <c r="AF220" i="13"/>
  <c r="AE220" i="13"/>
  <c r="AA220" i="13"/>
  <c r="AB220" i="13" s="1"/>
  <c r="AF219" i="13"/>
  <c r="AE219" i="13"/>
  <c r="AA219" i="13"/>
  <c r="AB219" i="13" s="1"/>
  <c r="AF218" i="13"/>
  <c r="AE218" i="13"/>
  <c r="AA218" i="13"/>
  <c r="AB218" i="13" s="1"/>
  <c r="AF217" i="13"/>
  <c r="AE217" i="13"/>
  <c r="AA217" i="13"/>
  <c r="AB217" i="13" s="1"/>
  <c r="AF216" i="13"/>
  <c r="AA216" i="13"/>
  <c r="AB216" i="13" s="1"/>
  <c r="AF215" i="13"/>
  <c r="AE215" i="13"/>
  <c r="AA215" i="13"/>
  <c r="AB215" i="13" s="1"/>
  <c r="AF214" i="13"/>
  <c r="AE214" i="13"/>
  <c r="AA214" i="13"/>
  <c r="AB214" i="13" s="1"/>
  <c r="AF213" i="13"/>
  <c r="AE213" i="13"/>
  <c r="AA213" i="13"/>
  <c r="AB213" i="13" s="1"/>
  <c r="AF212" i="13"/>
  <c r="AE212" i="13"/>
  <c r="AA212" i="13"/>
  <c r="AB212" i="13" s="1"/>
  <c r="AF211" i="13"/>
  <c r="AE211" i="13"/>
  <c r="AA211" i="13"/>
  <c r="AB211" i="13" s="1"/>
  <c r="AF210" i="13"/>
  <c r="AE210" i="13"/>
  <c r="AB210" i="13"/>
  <c r="AA210" i="13"/>
  <c r="AF209" i="13"/>
  <c r="AE209" i="13"/>
  <c r="AA209" i="13"/>
  <c r="AB209" i="13" s="1"/>
  <c r="AF208" i="13"/>
  <c r="AE208" i="13"/>
  <c r="AA208" i="13"/>
  <c r="AB208" i="13" s="1"/>
  <c r="AF207" i="13"/>
  <c r="AE207" i="13"/>
  <c r="AB207" i="13"/>
  <c r="AA207" i="13"/>
  <c r="AF206" i="13"/>
  <c r="AE206" i="13"/>
  <c r="AA206" i="13"/>
  <c r="AB206" i="13" s="1"/>
  <c r="AF205" i="13"/>
  <c r="AE205" i="13"/>
  <c r="AD205" i="13"/>
  <c r="AA205" i="13"/>
  <c r="AB205" i="13" s="1"/>
  <c r="AF204" i="13"/>
  <c r="AE204" i="13"/>
  <c r="AA204" i="13"/>
  <c r="AB204" i="13" s="1"/>
  <c r="AF203" i="13"/>
  <c r="AE203" i="13"/>
  <c r="AA203" i="13"/>
  <c r="AB203" i="13" s="1"/>
  <c r="AF202" i="13"/>
  <c r="AE202" i="13"/>
  <c r="AA202" i="13"/>
  <c r="AB202" i="13" s="1"/>
  <c r="AF201" i="13"/>
  <c r="AE201" i="13"/>
  <c r="AA201" i="13"/>
  <c r="AB201" i="13" s="1"/>
  <c r="AF200" i="13"/>
  <c r="AE200" i="13"/>
  <c r="AA200" i="13"/>
  <c r="AB200" i="13" s="1"/>
  <c r="AF199" i="13"/>
  <c r="AE199" i="13"/>
  <c r="AA199" i="13"/>
  <c r="AB199" i="13" s="1"/>
  <c r="AF198" i="13"/>
  <c r="AE198" i="13"/>
  <c r="AA198" i="13"/>
  <c r="AB198" i="13" s="1"/>
  <c r="AF197" i="13"/>
  <c r="AE197" i="13"/>
  <c r="AA197" i="13"/>
  <c r="AB197" i="13" s="1"/>
  <c r="AF196" i="13"/>
  <c r="AE196" i="13"/>
  <c r="AD196" i="13"/>
  <c r="AA196" i="13"/>
  <c r="AB196" i="13" s="1"/>
  <c r="AF195" i="13"/>
  <c r="AE195" i="13"/>
  <c r="AA195" i="13"/>
  <c r="AB195" i="13" s="1"/>
  <c r="AF194" i="13"/>
  <c r="AE194" i="13"/>
  <c r="AA194" i="13"/>
  <c r="AB194" i="13" s="1"/>
  <c r="AF193" i="13"/>
  <c r="AE193" i="13"/>
  <c r="AA193" i="13"/>
  <c r="AB193" i="13" s="1"/>
  <c r="AF192" i="13"/>
  <c r="AE192" i="13"/>
  <c r="AA192" i="13"/>
  <c r="AB192" i="13" s="1"/>
  <c r="AF191" i="13"/>
  <c r="AE191" i="13"/>
  <c r="AB191" i="13"/>
  <c r="AA191" i="13"/>
  <c r="AF190" i="13"/>
  <c r="AE190" i="13"/>
  <c r="AA190" i="13"/>
  <c r="AB190" i="13" s="1"/>
  <c r="AF189" i="13"/>
  <c r="AE189" i="13"/>
  <c r="AA189" i="13"/>
  <c r="AB189" i="13" s="1"/>
  <c r="AF188" i="13"/>
  <c r="AE188" i="13"/>
  <c r="AA188" i="13"/>
  <c r="AB188" i="13" s="1"/>
  <c r="AF187" i="13"/>
  <c r="AE187" i="13"/>
  <c r="AA187" i="13"/>
  <c r="AB187" i="13" s="1"/>
  <c r="AF186" i="13"/>
  <c r="AE186" i="13"/>
  <c r="AA186" i="13"/>
  <c r="AB186" i="13" s="1"/>
  <c r="AF185" i="13"/>
  <c r="AE185" i="13"/>
  <c r="AB185" i="13"/>
  <c r="AA185" i="13"/>
  <c r="AF184" i="13"/>
  <c r="AE184" i="13"/>
  <c r="AA184" i="13"/>
  <c r="AB184" i="13" s="1"/>
  <c r="AF183" i="13"/>
  <c r="AE183" i="13"/>
  <c r="AA183" i="13"/>
  <c r="AB183" i="13" s="1"/>
  <c r="AF182" i="13"/>
  <c r="AE182" i="13"/>
  <c r="AB182" i="13"/>
  <c r="AA182" i="13"/>
  <c r="AF181" i="13"/>
  <c r="AE181" i="13"/>
  <c r="AA181" i="13"/>
  <c r="AB181" i="13" s="1"/>
  <c r="AF180" i="13"/>
  <c r="AE180" i="13"/>
  <c r="AA180" i="13"/>
  <c r="AB180" i="13" s="1"/>
  <c r="AF179" i="13"/>
  <c r="AE179" i="13"/>
  <c r="AA179" i="13"/>
  <c r="AB179" i="13" s="1"/>
  <c r="AF178" i="13"/>
  <c r="AE178" i="13"/>
  <c r="AA178" i="13"/>
  <c r="AB178" i="13" s="1"/>
  <c r="AF177" i="13"/>
  <c r="AE177" i="13"/>
  <c r="AA177" i="13"/>
  <c r="AB177" i="13" s="1"/>
  <c r="AF176" i="13"/>
  <c r="AE176" i="13"/>
  <c r="AA176" i="13"/>
  <c r="AB176" i="13" s="1"/>
  <c r="AF175" i="13"/>
  <c r="AE175" i="13"/>
  <c r="AA175" i="13"/>
  <c r="AB175" i="13" s="1"/>
  <c r="AF174" i="13"/>
  <c r="AE174" i="13"/>
  <c r="AB174" i="13"/>
  <c r="AA174" i="13"/>
  <c r="AF173" i="13"/>
  <c r="AE173" i="13"/>
  <c r="AA173" i="13"/>
  <c r="AB173" i="13" s="1"/>
  <c r="AF172" i="13"/>
  <c r="AE172" i="13"/>
  <c r="AA172" i="13"/>
  <c r="AB172" i="13" s="1"/>
  <c r="AF171" i="13"/>
  <c r="AE171" i="13"/>
  <c r="AA171" i="13"/>
  <c r="AB171" i="13" s="1"/>
  <c r="AF170" i="13"/>
  <c r="AE170" i="13"/>
  <c r="AA170" i="13"/>
  <c r="AB170" i="13" s="1"/>
  <c r="AF169" i="13"/>
  <c r="AE169" i="13"/>
  <c r="AA169" i="13"/>
  <c r="AB169" i="13" s="1"/>
  <c r="AF168" i="13"/>
  <c r="AE168" i="13"/>
  <c r="AA168" i="13"/>
  <c r="AB168" i="13" s="1"/>
  <c r="AF167" i="13"/>
  <c r="AE167" i="13"/>
  <c r="AA167" i="13"/>
  <c r="AB167" i="13" s="1"/>
  <c r="AF166" i="13"/>
  <c r="AE166" i="13"/>
  <c r="AA166" i="13"/>
  <c r="AB166" i="13" s="1"/>
  <c r="AF165" i="13"/>
  <c r="AE165" i="13"/>
  <c r="AA165" i="13"/>
  <c r="AB165" i="13" s="1"/>
  <c r="AF164" i="13"/>
  <c r="AE164" i="13"/>
  <c r="AA164" i="13"/>
  <c r="AB164" i="13" s="1"/>
  <c r="AF163" i="13"/>
  <c r="AE163" i="13"/>
  <c r="AA163" i="13"/>
  <c r="AB163" i="13" s="1"/>
  <c r="AF162" i="13"/>
  <c r="AE162" i="13"/>
  <c r="AA162" i="13"/>
  <c r="AB162" i="13" s="1"/>
  <c r="AF161" i="13"/>
  <c r="AE161" i="13"/>
  <c r="AA161" i="13"/>
  <c r="AB161" i="13" s="1"/>
  <c r="AF160" i="13"/>
  <c r="AE160" i="13"/>
  <c r="AA160" i="13"/>
  <c r="AB160" i="13" s="1"/>
  <c r="AF159" i="13"/>
  <c r="AE159" i="13"/>
  <c r="AA159" i="13"/>
  <c r="AB159" i="13" s="1"/>
  <c r="AF158" i="13"/>
  <c r="AE158" i="13"/>
  <c r="AA158" i="13"/>
  <c r="AB158" i="13" s="1"/>
  <c r="AF157" i="13"/>
  <c r="AE157" i="13"/>
  <c r="AA157" i="13"/>
  <c r="AB157" i="13" s="1"/>
  <c r="AF156" i="13"/>
  <c r="AE156" i="13"/>
  <c r="AA156" i="13"/>
  <c r="AB156" i="13" s="1"/>
  <c r="AF155" i="13"/>
  <c r="AE155" i="13"/>
  <c r="AA155" i="13"/>
  <c r="AB155" i="13" s="1"/>
  <c r="AF154" i="13"/>
  <c r="AE154" i="13"/>
  <c r="AA154" i="13"/>
  <c r="AB154" i="13" s="1"/>
  <c r="AF153" i="13"/>
  <c r="AE153" i="13"/>
  <c r="AB153" i="13"/>
  <c r="AA153" i="13"/>
  <c r="AF152" i="13"/>
  <c r="AE152" i="13"/>
  <c r="AA152" i="13"/>
  <c r="AB152" i="13" s="1"/>
  <c r="AF151" i="13"/>
  <c r="AE151" i="13"/>
  <c r="AA151" i="13"/>
  <c r="AB151" i="13" s="1"/>
  <c r="AF150" i="13"/>
  <c r="AE150" i="13"/>
  <c r="AB150" i="13"/>
  <c r="AA150" i="13"/>
  <c r="AF149" i="13"/>
  <c r="AE149" i="13"/>
  <c r="AA149" i="13"/>
  <c r="AB149" i="13" s="1"/>
  <c r="AF148" i="13"/>
  <c r="AE148" i="13"/>
  <c r="AA148" i="13"/>
  <c r="AB148" i="13" s="1"/>
  <c r="AF147" i="13"/>
  <c r="AE147" i="13"/>
  <c r="AA147" i="13"/>
  <c r="AB147" i="13" s="1"/>
  <c r="AF146" i="13"/>
  <c r="AE146" i="13"/>
  <c r="AA146" i="13"/>
  <c r="AB146" i="13" s="1"/>
  <c r="AF145" i="13"/>
  <c r="AE145" i="13"/>
  <c r="AA145" i="13"/>
  <c r="AB145" i="13" s="1"/>
  <c r="AF144" i="13"/>
  <c r="AE144" i="13"/>
  <c r="AA144" i="13"/>
  <c r="AB144" i="13" s="1"/>
  <c r="AF143" i="13"/>
  <c r="AE143" i="13"/>
  <c r="AA143" i="13"/>
  <c r="AB143" i="13" s="1"/>
  <c r="AF142" i="13"/>
  <c r="AE142" i="13"/>
  <c r="AA142" i="13"/>
  <c r="AB142" i="13" s="1"/>
  <c r="AF141" i="13"/>
  <c r="AE141" i="13"/>
  <c r="AA141" i="13"/>
  <c r="AB141" i="13" s="1"/>
  <c r="AF140" i="13"/>
  <c r="AE140" i="13"/>
  <c r="AA140" i="13"/>
  <c r="AB140" i="13" s="1"/>
  <c r="AF139" i="13"/>
  <c r="AE139" i="13"/>
  <c r="AA139" i="13"/>
  <c r="AB139" i="13" s="1"/>
  <c r="AF138" i="13"/>
  <c r="AE138" i="13"/>
  <c r="AA138" i="13"/>
  <c r="AB138" i="13" s="1"/>
  <c r="AF137" i="13"/>
  <c r="AE137" i="13"/>
  <c r="AA137" i="13"/>
  <c r="AB137" i="13" s="1"/>
  <c r="AF136" i="13"/>
  <c r="AE136" i="13"/>
  <c r="AA136" i="13"/>
  <c r="AB136" i="13" s="1"/>
  <c r="AF135" i="13"/>
  <c r="AE135" i="13"/>
  <c r="AA135" i="13"/>
  <c r="AB135" i="13" s="1"/>
  <c r="M24" i="13" l="1"/>
  <c r="R58" i="13"/>
  <c r="R59" i="13"/>
  <c r="R60" i="13"/>
  <c r="R61" i="13"/>
  <c r="R62" i="13"/>
  <c r="R63" i="13"/>
  <c r="R45" i="13"/>
  <c r="R46" i="13"/>
  <c r="R47" i="13"/>
  <c r="R48" i="13"/>
  <c r="R49" i="13"/>
  <c r="R50" i="13"/>
  <c r="R51" i="13"/>
  <c r="R52" i="13"/>
  <c r="R53" i="13"/>
  <c r="R54" i="13"/>
  <c r="R262" i="13"/>
  <c r="AB262" i="13" s="1"/>
  <c r="R263" i="13"/>
  <c r="AB263" i="13" s="1"/>
  <c r="R264" i="13"/>
  <c r="R232" i="13"/>
  <c r="AB232" i="13" s="1"/>
  <c r="R233" i="13"/>
  <c r="AB233" i="13" s="1"/>
  <c r="R240" i="13"/>
  <c r="AB240" i="13" s="1"/>
  <c r="R241" i="13"/>
  <c r="AB241" i="13" s="1"/>
  <c r="R243" i="13"/>
  <c r="AB243" i="13" s="1"/>
  <c r="R244" i="13"/>
  <c r="R245" i="13"/>
  <c r="AB245" i="13" s="1"/>
  <c r="R246" i="13"/>
  <c r="AB246" i="13" s="1"/>
  <c r="R247" i="13"/>
  <c r="AB247" i="13" s="1"/>
  <c r="R248" i="13"/>
  <c r="AB248" i="13" s="1"/>
  <c r="R249" i="13"/>
  <c r="AB249" i="13" s="1"/>
  <c r="R250" i="13"/>
  <c r="AB250" i="13" s="1"/>
  <c r="R71" i="13"/>
  <c r="R288" i="13" s="1"/>
  <c r="F301" i="13"/>
  <c r="L76" i="13"/>
  <c r="L77" i="13"/>
  <c r="L78" i="13"/>
  <c r="L79" i="13"/>
  <c r="L80" i="13"/>
  <c r="L81" i="13"/>
  <c r="L82" i="13"/>
  <c r="L83" i="13"/>
  <c r="L84" i="13"/>
  <c r="L85" i="13"/>
  <c r="L86" i="13"/>
  <c r="L87" i="13"/>
  <c r="L88" i="13"/>
  <c r="L89" i="13"/>
  <c r="L90" i="13"/>
  <c r="L91" i="13"/>
  <c r="L92" i="13"/>
  <c r="L93" i="13"/>
  <c r="L94" i="13"/>
  <c r="L95" i="13"/>
  <c r="L96" i="13"/>
  <c r="L97" i="13"/>
  <c r="L98" i="13"/>
  <c r="L99" i="13"/>
  <c r="L100" i="13"/>
  <c r="L101" i="13"/>
  <c r="L102" i="13"/>
  <c r="V102" i="13" s="1"/>
  <c r="L103" i="13"/>
  <c r="L104" i="13"/>
  <c r="L105" i="13"/>
  <c r="L106" i="13"/>
  <c r="V106" i="13" s="1"/>
  <c r="L107" i="13"/>
  <c r="L108" i="13"/>
  <c r="V108" i="13" s="1"/>
  <c r="L109" i="13"/>
  <c r="V109" i="13" s="1"/>
  <c r="L110" i="13"/>
  <c r="L111" i="13"/>
  <c r="L112" i="13"/>
  <c r="L113" i="13"/>
  <c r="L114" i="13"/>
  <c r="V114" i="13" s="1"/>
  <c r="L115" i="13"/>
  <c r="L116" i="13"/>
  <c r="V116" i="13" s="1"/>
  <c r="L117" i="13"/>
  <c r="L118" i="13"/>
  <c r="V118" i="13" s="1"/>
  <c r="L119" i="13"/>
  <c r="L120" i="13"/>
  <c r="L121" i="13"/>
  <c r="L122" i="13"/>
  <c r="L123" i="13"/>
  <c r="L124" i="13"/>
  <c r="L125" i="13"/>
  <c r="L126" i="13"/>
  <c r="L127" i="13"/>
  <c r="L128" i="13"/>
  <c r="L129" i="13"/>
  <c r="L130" i="13"/>
  <c r="L131" i="13"/>
  <c r="L132" i="13"/>
  <c r="L133" i="13"/>
  <c r="L134" i="13"/>
  <c r="L135" i="13"/>
  <c r="L136" i="13"/>
  <c r="L137" i="13"/>
  <c r="L138" i="13"/>
  <c r="L139" i="13"/>
  <c r="L140" i="13"/>
  <c r="L141" i="13"/>
  <c r="L142" i="13"/>
  <c r="L143" i="13"/>
  <c r="L144" i="13"/>
  <c r="L145" i="13"/>
  <c r="L146" i="13"/>
  <c r="L147" i="13"/>
  <c r="L148" i="13"/>
  <c r="V148" i="13" s="1"/>
  <c r="L149" i="13"/>
  <c r="L150" i="13"/>
  <c r="L151" i="13"/>
  <c r="L152" i="13"/>
  <c r="L153" i="13"/>
  <c r="L154" i="13"/>
  <c r="L155" i="13"/>
  <c r="L156" i="13"/>
  <c r="L157" i="13"/>
  <c r="V157" i="13" s="1"/>
  <c r="L158" i="13"/>
  <c r="L159" i="13"/>
  <c r="L160" i="13"/>
  <c r="L161" i="13"/>
  <c r="L162" i="13"/>
  <c r="L163" i="13"/>
  <c r="L164" i="13"/>
  <c r="L165" i="13"/>
  <c r="L166" i="13"/>
  <c r="L167" i="13"/>
  <c r="L168" i="13"/>
  <c r="L169" i="13"/>
  <c r="L170" i="13"/>
  <c r="L171" i="13"/>
  <c r="L172" i="13"/>
  <c r="L173" i="13"/>
  <c r="L174" i="13"/>
  <c r="L175" i="13"/>
  <c r="L176" i="13"/>
  <c r="L177" i="13"/>
  <c r="L178" i="13"/>
  <c r="L179" i="13"/>
  <c r="L180" i="13"/>
  <c r="L181" i="13"/>
  <c r="L182" i="13"/>
  <c r="L183" i="13"/>
  <c r="L184" i="13"/>
  <c r="L185" i="13"/>
  <c r="L186" i="13"/>
  <c r="L187" i="13"/>
  <c r="L188" i="13"/>
  <c r="L189" i="13"/>
  <c r="L190" i="13"/>
  <c r="L191" i="13"/>
  <c r="L192" i="13"/>
  <c r="L193" i="13"/>
  <c r="L194" i="13"/>
  <c r="L195" i="13"/>
  <c r="L196" i="13"/>
  <c r="L197" i="13"/>
  <c r="L198" i="13"/>
  <c r="L199" i="13"/>
  <c r="L200" i="13"/>
  <c r="L201" i="13"/>
  <c r="L202" i="13"/>
  <c r="L203" i="13"/>
  <c r="L204" i="13"/>
  <c r="L205" i="13"/>
  <c r="L206" i="13"/>
  <c r="L207" i="13"/>
  <c r="L208" i="13"/>
  <c r="L209" i="13"/>
  <c r="L210" i="13"/>
  <c r="L211" i="13"/>
  <c r="L212" i="13"/>
  <c r="L213" i="13"/>
  <c r="L214" i="13"/>
  <c r="L215" i="13"/>
  <c r="L216" i="13"/>
  <c r="L217" i="13"/>
  <c r="L218" i="13"/>
  <c r="L219" i="13"/>
  <c r="L220" i="13"/>
  <c r="L221" i="13"/>
  <c r="L222" i="13"/>
  <c r="L223" i="13"/>
  <c r="L224" i="13"/>
  <c r="L225" i="13"/>
  <c r="L226" i="13"/>
  <c r="L227" i="13"/>
  <c r="L240" i="13"/>
  <c r="L241" i="13"/>
  <c r="L242" i="13"/>
  <c r="L243" i="13"/>
  <c r="L244" i="13"/>
  <c r="L245" i="13"/>
  <c r="L246" i="13"/>
  <c r="L247" i="13"/>
  <c r="V247" i="13" s="1"/>
  <c r="L259" i="13"/>
  <c r="L266" i="13" s="1"/>
  <c r="L260" i="13"/>
  <c r="L261" i="13"/>
  <c r="O241" i="13"/>
  <c r="O243" i="13"/>
  <c r="O244" i="13"/>
  <c r="O245" i="13"/>
  <c r="O246" i="13"/>
  <c r="O247" i="13"/>
  <c r="O248" i="13"/>
  <c r="O249" i="13"/>
  <c r="O250" i="13"/>
  <c r="O232" i="13"/>
  <c r="O259" i="13"/>
  <c r="O260" i="13"/>
  <c r="O261" i="13"/>
  <c r="O262" i="13"/>
  <c r="O263" i="13"/>
  <c r="O264" i="13"/>
  <c r="O58" i="13"/>
  <c r="O64" i="13" s="1"/>
  <c r="O59" i="13"/>
  <c r="O61" i="13"/>
  <c r="O62" i="13"/>
  <c r="O63" i="13"/>
  <c r="O45" i="13"/>
  <c r="O46" i="13"/>
  <c r="O47" i="13"/>
  <c r="O55" i="13" s="1"/>
  <c r="O48" i="13"/>
  <c r="O50" i="13"/>
  <c r="O51" i="13"/>
  <c r="O52" i="13"/>
  <c r="O53" i="13"/>
  <c r="O54" i="13"/>
  <c r="L58" i="13"/>
  <c r="L59" i="13"/>
  <c r="L60" i="13"/>
  <c r="L61" i="13"/>
  <c r="L62" i="13"/>
  <c r="L63" i="13"/>
  <c r="L45" i="13"/>
  <c r="L46" i="13"/>
  <c r="V46" i="13" s="1"/>
  <c r="L47" i="13"/>
  <c r="V47" i="13" s="1"/>
  <c r="L48" i="13"/>
  <c r="L49" i="13"/>
  <c r="L50" i="13"/>
  <c r="V50" i="13" s="1"/>
  <c r="L51" i="13"/>
  <c r="V51" i="13" s="1"/>
  <c r="L52" i="13"/>
  <c r="L53" i="13"/>
  <c r="L54" i="13"/>
  <c r="V54" i="13" s="1"/>
  <c r="L69" i="13"/>
  <c r="L71" i="13" s="1"/>
  <c r="L288" i="13" s="1"/>
  <c r="T240" i="13"/>
  <c r="U240" i="13"/>
  <c r="AD240" i="13" s="1"/>
  <c r="T260" i="13"/>
  <c r="U260" i="13"/>
  <c r="AD260" i="13" s="1"/>
  <c r="V260" i="13"/>
  <c r="V126" i="13"/>
  <c r="C114" i="13"/>
  <c r="V111" i="13"/>
  <c r="V96" i="13"/>
  <c r="V87" i="13"/>
  <c r="T134" i="13"/>
  <c r="U134" i="13" s="1"/>
  <c r="T133" i="13"/>
  <c r="U133" i="13" s="1"/>
  <c r="T132" i="13"/>
  <c r="U132" i="13" s="1"/>
  <c r="T131" i="13"/>
  <c r="U131" i="13" s="1"/>
  <c r="T130" i="13"/>
  <c r="U130" i="13"/>
  <c r="V130" i="13" s="1"/>
  <c r="T129" i="13"/>
  <c r="U129" i="13" s="1"/>
  <c r="V129" i="13"/>
  <c r="T128" i="13"/>
  <c r="U128" i="13" s="1"/>
  <c r="V128" i="13"/>
  <c r="T127" i="13"/>
  <c r="U127" i="13" s="1"/>
  <c r="V127" i="13" s="1"/>
  <c r="T126" i="13"/>
  <c r="U126" i="13"/>
  <c r="T125" i="13"/>
  <c r="U125" i="13" s="1"/>
  <c r="V125" i="13" s="1"/>
  <c r="T124" i="13"/>
  <c r="U124" i="13"/>
  <c r="T123" i="13"/>
  <c r="U123" i="13" s="1"/>
  <c r="T122" i="13"/>
  <c r="U122" i="13"/>
  <c r="V122" i="13"/>
  <c r="T121" i="13"/>
  <c r="U121" i="13"/>
  <c r="V121" i="13"/>
  <c r="T120" i="13"/>
  <c r="U120" i="13" s="1"/>
  <c r="V120" i="13" s="1"/>
  <c r="T119" i="13"/>
  <c r="U119" i="13" s="1"/>
  <c r="V119" i="13" s="1"/>
  <c r="T118" i="13"/>
  <c r="U118" i="13"/>
  <c r="T117" i="13"/>
  <c r="U117" i="13" s="1"/>
  <c r="T116" i="13"/>
  <c r="U116" i="13"/>
  <c r="T115" i="13"/>
  <c r="U115" i="13" s="1"/>
  <c r="T114" i="13"/>
  <c r="U114" i="13" s="1"/>
  <c r="T113" i="13"/>
  <c r="U113" i="13" s="1"/>
  <c r="V113" i="13"/>
  <c r="T112" i="13"/>
  <c r="U112" i="13"/>
  <c r="T111" i="13"/>
  <c r="U111" i="13" s="1"/>
  <c r="T110" i="13"/>
  <c r="U110" i="13"/>
  <c r="T109" i="13"/>
  <c r="U109" i="13" s="1"/>
  <c r="T108" i="13"/>
  <c r="U108" i="13"/>
  <c r="T107" i="13"/>
  <c r="U107" i="13" s="1"/>
  <c r="T106" i="13"/>
  <c r="U106" i="13" s="1"/>
  <c r="T105" i="13"/>
  <c r="U105" i="13"/>
  <c r="V105" i="13"/>
  <c r="T104" i="13"/>
  <c r="U104" i="13"/>
  <c r="V104" i="13"/>
  <c r="T103" i="13"/>
  <c r="U103" i="13" s="1"/>
  <c r="T102" i="13"/>
  <c r="U102" i="13" s="1"/>
  <c r="T101" i="13"/>
  <c r="U101" i="13" s="1"/>
  <c r="T100" i="13"/>
  <c r="U100" i="13" s="1"/>
  <c r="V100" i="13" s="1"/>
  <c r="T99" i="13"/>
  <c r="U99" i="13"/>
  <c r="V99" i="13"/>
  <c r="T98" i="13"/>
  <c r="U98" i="13" s="1"/>
  <c r="T97" i="13"/>
  <c r="U97" i="13" s="1"/>
  <c r="V97" i="13" s="1"/>
  <c r="T96" i="13"/>
  <c r="U96" i="13" s="1"/>
  <c r="T95" i="13"/>
  <c r="U95" i="13" s="1"/>
  <c r="T94" i="13"/>
  <c r="U94" i="13"/>
  <c r="T93" i="13"/>
  <c r="U93" i="13" s="1"/>
  <c r="V93" i="13" s="1"/>
  <c r="T92" i="13"/>
  <c r="U92" i="13" s="1"/>
  <c r="V92" i="13" s="1"/>
  <c r="T91" i="13"/>
  <c r="U91" i="13" s="1"/>
  <c r="V91" i="13"/>
  <c r="T90" i="13"/>
  <c r="U90" i="13" s="1"/>
  <c r="T89" i="13"/>
  <c r="U89" i="13" s="1"/>
  <c r="V89" i="13" s="1"/>
  <c r="T88" i="13"/>
  <c r="U88" i="13"/>
  <c r="V88" i="13"/>
  <c r="T87" i="13"/>
  <c r="U87" i="13" s="1"/>
  <c r="T86" i="13"/>
  <c r="U86" i="13" s="1"/>
  <c r="T85" i="13"/>
  <c r="U85" i="13" s="1"/>
  <c r="T84" i="13"/>
  <c r="U84" i="13"/>
  <c r="V84" i="13" s="1"/>
  <c r="T83" i="13"/>
  <c r="U83" i="13" s="1"/>
  <c r="V83" i="13"/>
  <c r="T82" i="13"/>
  <c r="U82" i="13" s="1"/>
  <c r="T81" i="13"/>
  <c r="U81" i="13" s="1"/>
  <c r="V81" i="13" s="1"/>
  <c r="T80" i="13"/>
  <c r="U80" i="13"/>
  <c r="V80" i="13" s="1"/>
  <c r="T233" i="13"/>
  <c r="V233" i="13" a="1"/>
  <c r="V233" i="13" s="1"/>
  <c r="U233" i="13"/>
  <c r="AD233" i="13" s="1"/>
  <c r="L233" i="13"/>
  <c r="V232" i="13" a="1"/>
  <c r="V232" i="13" s="1"/>
  <c r="T232" i="13"/>
  <c r="U232" i="13"/>
  <c r="AD232" i="13" s="1"/>
  <c r="V124" i="13"/>
  <c r="V112" i="13"/>
  <c r="Y232" i="13"/>
  <c r="S56" i="17"/>
  <c r="T56" i="17" s="1"/>
  <c r="Q56" i="17"/>
  <c r="N56" i="17"/>
  <c r="K56" i="17"/>
  <c r="U56" i="17" s="1"/>
  <c r="S55" i="17"/>
  <c r="T55" i="17" s="1"/>
  <c r="Q55" i="17"/>
  <c r="N55" i="17"/>
  <c r="K55" i="17"/>
  <c r="U55" i="17"/>
  <c r="S54" i="17"/>
  <c r="T54" i="17" s="1"/>
  <c r="Q54" i="17"/>
  <c r="N54" i="17"/>
  <c r="K54" i="17"/>
  <c r="U54" i="17" s="1"/>
  <c r="S53" i="17"/>
  <c r="T53" i="17"/>
  <c r="Q53" i="17"/>
  <c r="N53" i="17"/>
  <c r="K53" i="17"/>
  <c r="U53" i="17" s="1"/>
  <c r="S52" i="17"/>
  <c r="T52" i="17" s="1"/>
  <c r="Q52" i="17"/>
  <c r="N52" i="17"/>
  <c r="K52" i="17"/>
  <c r="U52" i="17" s="1"/>
  <c r="S51" i="17"/>
  <c r="T51" i="17" s="1"/>
  <c r="Q51" i="17"/>
  <c r="N51" i="17"/>
  <c r="K51" i="17"/>
  <c r="U51" i="17"/>
  <c r="S50" i="17"/>
  <c r="T50" i="17" s="1"/>
  <c r="Q50" i="17"/>
  <c r="N50" i="17"/>
  <c r="K50" i="17"/>
  <c r="U50" i="17" s="1"/>
  <c r="S49" i="17"/>
  <c r="T49" i="17"/>
  <c r="Q49" i="17"/>
  <c r="N49" i="17"/>
  <c r="K49" i="17"/>
  <c r="U49" i="17" s="1"/>
  <c r="S48" i="17"/>
  <c r="T48" i="17" s="1"/>
  <c r="Q48" i="17"/>
  <c r="N48" i="17"/>
  <c r="K48" i="17"/>
  <c r="U48" i="17" s="1"/>
  <c r="S47" i="17"/>
  <c r="T47" i="17" s="1"/>
  <c r="Q47" i="17"/>
  <c r="N47" i="17"/>
  <c r="K47" i="17"/>
  <c r="U47" i="17"/>
  <c r="S46" i="17"/>
  <c r="T46" i="17" s="1"/>
  <c r="Q46" i="17"/>
  <c r="N46" i="17"/>
  <c r="K46" i="17"/>
  <c r="U46" i="17" s="1"/>
  <c r="S45" i="17"/>
  <c r="T45" i="17"/>
  <c r="Q45" i="17"/>
  <c r="N45" i="17"/>
  <c r="K45" i="17"/>
  <c r="U45" i="17" s="1"/>
  <c r="S44" i="17"/>
  <c r="T44" i="17" s="1"/>
  <c r="Q44" i="17"/>
  <c r="N44" i="17"/>
  <c r="K44" i="17"/>
  <c r="U44" i="17" s="1"/>
  <c r="S43" i="17"/>
  <c r="T43" i="17"/>
  <c r="Q43" i="17"/>
  <c r="N43" i="17"/>
  <c r="K43" i="17"/>
  <c r="U43" i="17" s="1"/>
  <c r="S42" i="17"/>
  <c r="T42" i="17" s="1"/>
  <c r="Q42" i="17"/>
  <c r="N42" i="17"/>
  <c r="K42" i="17"/>
  <c r="U42" i="17" s="1"/>
  <c r="S41" i="17"/>
  <c r="T41" i="17"/>
  <c r="Q41" i="17"/>
  <c r="N41" i="17"/>
  <c r="K41" i="17"/>
  <c r="U41" i="17" s="1"/>
  <c r="S40" i="17"/>
  <c r="T40" i="17" s="1"/>
  <c r="Q40" i="17"/>
  <c r="N40" i="17"/>
  <c r="K40" i="17"/>
  <c r="U40" i="17" s="1"/>
  <c r="S39" i="17"/>
  <c r="T39" i="17" s="1"/>
  <c r="Q39" i="17"/>
  <c r="N39" i="17"/>
  <c r="K39" i="17"/>
  <c r="U39" i="17"/>
  <c r="S38" i="17"/>
  <c r="T38" i="17" s="1"/>
  <c r="Q38" i="17"/>
  <c r="N38" i="17"/>
  <c r="K38" i="17"/>
  <c r="U38" i="17" s="1"/>
  <c r="S37" i="17"/>
  <c r="T37" i="17"/>
  <c r="Q37" i="17"/>
  <c r="N37" i="17"/>
  <c r="K37" i="17"/>
  <c r="U37" i="17" s="1"/>
  <c r="S36" i="17"/>
  <c r="T36" i="17" s="1"/>
  <c r="Q36" i="17"/>
  <c r="N36" i="17"/>
  <c r="K36" i="17"/>
  <c r="U36" i="17" s="1"/>
  <c r="S35" i="17"/>
  <c r="T35" i="17"/>
  <c r="Q35" i="17"/>
  <c r="N35" i="17"/>
  <c r="K35" i="17"/>
  <c r="U35" i="17" s="1"/>
  <c r="S34" i="17"/>
  <c r="T34" i="17" s="1"/>
  <c r="Q34" i="17"/>
  <c r="N34" i="17"/>
  <c r="K34" i="17"/>
  <c r="U34" i="17" s="1"/>
  <c r="S33" i="17"/>
  <c r="T33" i="17"/>
  <c r="Q33" i="17"/>
  <c r="N33" i="17"/>
  <c r="K33" i="17"/>
  <c r="U33" i="17"/>
  <c r="S32" i="17"/>
  <c r="T32" i="17" s="1"/>
  <c r="Q32" i="17"/>
  <c r="N32" i="17"/>
  <c r="K32" i="17"/>
  <c r="U32" i="17" s="1"/>
  <c r="S31" i="17"/>
  <c r="T31" i="17"/>
  <c r="Q31" i="17"/>
  <c r="N31" i="17"/>
  <c r="K31" i="17"/>
  <c r="U31" i="17"/>
  <c r="S30" i="17"/>
  <c r="T30" i="17" s="1"/>
  <c r="Q30" i="17"/>
  <c r="N30" i="17"/>
  <c r="K30" i="17"/>
  <c r="U30" i="17" s="1"/>
  <c r="S29" i="17"/>
  <c r="T29" i="17"/>
  <c r="Q29" i="17"/>
  <c r="N29" i="17"/>
  <c r="K29" i="17"/>
  <c r="U29" i="17"/>
  <c r="S28" i="17"/>
  <c r="T28" i="17" s="1"/>
  <c r="Q28" i="17"/>
  <c r="N28" i="17"/>
  <c r="K28" i="17"/>
  <c r="U28" i="17" s="1"/>
  <c r="S27" i="17"/>
  <c r="T27" i="17"/>
  <c r="Q27" i="17"/>
  <c r="N27" i="17"/>
  <c r="K27" i="17"/>
  <c r="U27" i="17"/>
  <c r="S26" i="17"/>
  <c r="T26" i="17" s="1"/>
  <c r="Q26" i="17"/>
  <c r="N26" i="17"/>
  <c r="K26" i="17"/>
  <c r="U26" i="17" s="1"/>
  <c r="S25" i="17"/>
  <c r="T25" i="17"/>
  <c r="Q25" i="17"/>
  <c r="N25" i="17"/>
  <c r="K25" i="17"/>
  <c r="U25" i="17"/>
  <c r="S24" i="17"/>
  <c r="T24" i="17" s="1"/>
  <c r="Q24" i="17"/>
  <c r="N24" i="17"/>
  <c r="K24" i="17"/>
  <c r="U24" i="17" s="1"/>
  <c r="S23" i="17"/>
  <c r="T23" i="17"/>
  <c r="Q23" i="17"/>
  <c r="N23" i="17"/>
  <c r="K23" i="17"/>
  <c r="U23" i="17"/>
  <c r="S22" i="17"/>
  <c r="T22" i="17" s="1"/>
  <c r="Q22" i="17"/>
  <c r="N22" i="17"/>
  <c r="K22" i="17"/>
  <c r="U22" i="17" s="1"/>
  <c r="S21" i="17"/>
  <c r="T21" i="17"/>
  <c r="Q21" i="17"/>
  <c r="N21" i="17"/>
  <c r="K21" i="17"/>
  <c r="U21" i="17"/>
  <c r="S20" i="17"/>
  <c r="T20" i="17" s="1"/>
  <c r="Q20" i="17"/>
  <c r="N20" i="17"/>
  <c r="K20" i="17"/>
  <c r="U20" i="17" s="1"/>
  <c r="S19" i="17"/>
  <c r="T19" i="17"/>
  <c r="Q19" i="17"/>
  <c r="N19" i="17"/>
  <c r="K19" i="17"/>
  <c r="U19" i="17"/>
  <c r="S18" i="17"/>
  <c r="T18" i="17" s="1"/>
  <c r="Q18" i="17"/>
  <c r="N18" i="17"/>
  <c r="K18" i="17"/>
  <c r="U18" i="17" s="1"/>
  <c r="S17" i="17"/>
  <c r="T17" i="17"/>
  <c r="Q17" i="17"/>
  <c r="N17" i="17"/>
  <c r="K17" i="17"/>
  <c r="U17" i="17"/>
  <c r="S16" i="17"/>
  <c r="T16" i="17" s="1"/>
  <c r="Q16" i="17"/>
  <c r="N16" i="17"/>
  <c r="K16" i="17"/>
  <c r="U16" i="17" s="1"/>
  <c r="S15" i="17"/>
  <c r="T15" i="17"/>
  <c r="Q15" i="17"/>
  <c r="N15" i="17"/>
  <c r="K15" i="17"/>
  <c r="U15" i="17"/>
  <c r="S14" i="17"/>
  <c r="T14" i="17" s="1"/>
  <c r="Q14" i="17"/>
  <c r="N14" i="17"/>
  <c r="K14" i="17"/>
  <c r="U14" i="17" s="1"/>
  <c r="S13" i="17"/>
  <c r="T13" i="17"/>
  <c r="Q13" i="17"/>
  <c r="N13" i="17"/>
  <c r="K13" i="17"/>
  <c r="U13" i="17"/>
  <c r="S12" i="17"/>
  <c r="T12" i="17" s="1"/>
  <c r="Q12" i="17"/>
  <c r="N12" i="17"/>
  <c r="K12" i="17"/>
  <c r="U12" i="17" s="1"/>
  <c r="S11" i="17"/>
  <c r="T11" i="17" s="1"/>
  <c r="Q11" i="17"/>
  <c r="N11" i="17"/>
  <c r="K11" i="17"/>
  <c r="U11" i="17" s="1"/>
  <c r="S10" i="17"/>
  <c r="T10" i="17" s="1"/>
  <c r="Q10" i="17"/>
  <c r="N10" i="17"/>
  <c r="K10" i="17"/>
  <c r="U10" i="17" s="1"/>
  <c r="S9" i="17"/>
  <c r="T9" i="17"/>
  <c r="Q9" i="17"/>
  <c r="N9" i="17"/>
  <c r="K9" i="17"/>
  <c r="U9" i="17"/>
  <c r="S8" i="17"/>
  <c r="T8" i="17" s="1"/>
  <c r="T58" i="17" s="1"/>
  <c r="Q8" i="17"/>
  <c r="N8" i="17"/>
  <c r="K8" i="17"/>
  <c r="U8" i="17" s="1"/>
  <c r="S7" i="17"/>
  <c r="T7" i="17"/>
  <c r="Q7" i="17"/>
  <c r="N7" i="17"/>
  <c r="K7" i="17"/>
  <c r="U7" i="17"/>
  <c r="S6" i="17"/>
  <c r="T6" i="17" s="1"/>
  <c r="Q6" i="17"/>
  <c r="N6" i="17"/>
  <c r="K6" i="17"/>
  <c r="E67" i="16"/>
  <c r="F67" i="16"/>
  <c r="F68" i="16"/>
  <c r="E63" i="16"/>
  <c r="F63" i="16" s="1"/>
  <c r="F62" i="16"/>
  <c r="E62" i="16"/>
  <c r="E61" i="16"/>
  <c r="F61" i="16" s="1"/>
  <c r="E60" i="16"/>
  <c r="F60" i="16"/>
  <c r="E59" i="16"/>
  <c r="F59" i="16"/>
  <c r="E58" i="16"/>
  <c r="F58" i="16" s="1"/>
  <c r="E57" i="16"/>
  <c r="F57" i="16" s="1"/>
  <c r="E51" i="16"/>
  <c r="D51" i="16"/>
  <c r="F51" i="16" s="1"/>
  <c r="F52" i="16" s="1"/>
  <c r="E47" i="16"/>
  <c r="D47" i="16"/>
  <c r="F47" i="16" s="1"/>
  <c r="F48" i="16" s="1"/>
  <c r="E43" i="16"/>
  <c r="D43" i="16"/>
  <c r="E42" i="16"/>
  <c r="D42" i="16"/>
  <c r="F42" i="16"/>
  <c r="E38" i="16"/>
  <c r="D38" i="16"/>
  <c r="E37" i="16"/>
  <c r="D37" i="16"/>
  <c r="F37" i="16" s="1"/>
  <c r="E36" i="16"/>
  <c r="D36" i="16"/>
  <c r="F36" i="16" s="1"/>
  <c r="E35" i="16"/>
  <c r="D35" i="16"/>
  <c r="F35" i="16" s="1"/>
  <c r="E34" i="16"/>
  <c r="D34" i="16"/>
  <c r="F34" i="16" s="1"/>
  <c r="E33" i="16"/>
  <c r="D33" i="16"/>
  <c r="F33" i="16" s="1"/>
  <c r="E32" i="16"/>
  <c r="D32" i="16"/>
  <c r="F32" i="16" s="1"/>
  <c r="E31" i="16"/>
  <c r="F31" i="16" s="1"/>
  <c r="D31" i="16"/>
  <c r="V70" i="13"/>
  <c r="U6" i="17"/>
  <c r="T69" i="13"/>
  <c r="U71" i="13"/>
  <c r="M18" i="13"/>
  <c r="V264" i="13"/>
  <c r="V263" i="13"/>
  <c r="V262" i="13"/>
  <c r="V250" i="13"/>
  <c r="V249" i="13"/>
  <c r="V248" i="13"/>
  <c r="T63" i="13"/>
  <c r="U63" i="13"/>
  <c r="V63" i="13"/>
  <c r="T62" i="13"/>
  <c r="U62" i="13"/>
  <c r="V62" i="13"/>
  <c r="T61" i="13"/>
  <c r="U61" i="13" s="1"/>
  <c r="V61" i="13"/>
  <c r="T60" i="13"/>
  <c r="U60" i="13" s="1"/>
  <c r="V60" i="13"/>
  <c r="T59" i="13"/>
  <c r="U59" i="13" s="1"/>
  <c r="V59" i="13"/>
  <c r="T58" i="13"/>
  <c r="U58" i="13" s="1"/>
  <c r="T54" i="13"/>
  <c r="U54" i="13" s="1"/>
  <c r="T53" i="13"/>
  <c r="U53" i="13"/>
  <c r="V53" i="13"/>
  <c r="T52" i="13"/>
  <c r="U52" i="13"/>
  <c r="V52" i="13"/>
  <c r="T51" i="13"/>
  <c r="U51" i="13" s="1"/>
  <c r="T50" i="13"/>
  <c r="U50" i="13" s="1"/>
  <c r="T49" i="13"/>
  <c r="U49" i="13"/>
  <c r="V49" i="13"/>
  <c r="T48" i="13"/>
  <c r="U48" i="13"/>
  <c r="V48" i="13"/>
  <c r="T47" i="13"/>
  <c r="U47" i="13" s="1"/>
  <c r="T46" i="13"/>
  <c r="U46" i="13" s="1"/>
  <c r="T45" i="13"/>
  <c r="U45" i="13"/>
  <c r="U55" i="13" s="1"/>
  <c r="V44" i="13"/>
  <c r="T44" i="13"/>
  <c r="U44" i="13"/>
  <c r="R44" i="13"/>
  <c r="O44" i="13"/>
  <c r="K316" i="13"/>
  <c r="N316" i="13" s="1"/>
  <c r="T230" i="13"/>
  <c r="T229" i="13"/>
  <c r="T228" i="13"/>
  <c r="T227" i="13"/>
  <c r="T226" i="13"/>
  <c r="T225" i="13"/>
  <c r="T224" i="13"/>
  <c r="T223" i="13"/>
  <c r="U223" i="13" s="1"/>
  <c r="V223" i="13" s="1"/>
  <c r="T222" i="13"/>
  <c r="U222" i="13" s="1"/>
  <c r="T221" i="13"/>
  <c r="T220" i="13"/>
  <c r="T219" i="13"/>
  <c r="U219" i="13" s="1"/>
  <c r="T218" i="13"/>
  <c r="T217" i="13"/>
  <c r="T216" i="13"/>
  <c r="U216" i="13" s="1"/>
  <c r="AD216" i="13" s="1"/>
  <c r="T215" i="13"/>
  <c r="T214" i="13"/>
  <c r="U214" i="13" s="1"/>
  <c r="T213" i="13"/>
  <c r="U213" i="13" s="1"/>
  <c r="AD213" i="13" s="1"/>
  <c r="T212" i="13"/>
  <c r="U212" i="13" s="1"/>
  <c r="AD212" i="13" s="1"/>
  <c r="T211" i="13"/>
  <c r="T210" i="13"/>
  <c r="T209" i="13"/>
  <c r="T208" i="13"/>
  <c r="T207" i="13"/>
  <c r="T206" i="13"/>
  <c r="U206" i="13" s="1"/>
  <c r="T205" i="13"/>
  <c r="U205" i="13" s="1"/>
  <c r="T204" i="13"/>
  <c r="T203" i="13"/>
  <c r="T202" i="13"/>
  <c r="T201" i="13"/>
  <c r="T200" i="13"/>
  <c r="T199" i="13"/>
  <c r="T198" i="13"/>
  <c r="U198" i="13" s="1"/>
  <c r="AD198" i="13" s="1"/>
  <c r="T197" i="13"/>
  <c r="T196" i="13"/>
  <c r="T195" i="13"/>
  <c r="U195" i="13" s="1"/>
  <c r="T194" i="13"/>
  <c r="T193" i="13"/>
  <c r="T192" i="13"/>
  <c r="U192" i="13" s="1"/>
  <c r="AD192" i="13" s="1"/>
  <c r="T191" i="13"/>
  <c r="T190" i="13"/>
  <c r="T189" i="13"/>
  <c r="T188" i="13"/>
  <c r="T187" i="13"/>
  <c r="T186" i="13"/>
  <c r="T185" i="13"/>
  <c r="T184" i="13"/>
  <c r="T183" i="13"/>
  <c r="T182" i="13"/>
  <c r="T181" i="13"/>
  <c r="T180" i="13"/>
  <c r="T179" i="13"/>
  <c r="T178" i="13"/>
  <c r="T177" i="13"/>
  <c r="T176" i="13"/>
  <c r="T175" i="13"/>
  <c r="T174" i="13"/>
  <c r="T173" i="13"/>
  <c r="U173" i="13" s="1"/>
  <c r="T172" i="13"/>
  <c r="U172" i="13" s="1"/>
  <c r="T171" i="13"/>
  <c r="T170" i="13"/>
  <c r="T169" i="13"/>
  <c r="T168" i="13"/>
  <c r="T167" i="13"/>
  <c r="U167" i="13" s="1"/>
  <c r="AD167" i="13" s="1"/>
  <c r="T166" i="13"/>
  <c r="T165" i="13"/>
  <c r="U165" i="13" s="1"/>
  <c r="AD165" i="13" s="1"/>
  <c r="T164" i="13"/>
  <c r="T163" i="13"/>
  <c r="U163" i="13" s="1"/>
  <c r="T162" i="13"/>
  <c r="T161" i="13"/>
  <c r="T160" i="13"/>
  <c r="U160" i="13" s="1"/>
  <c r="AD160" i="13" s="1"/>
  <c r="T159" i="13"/>
  <c r="T158" i="13"/>
  <c r="U158" i="13" s="1"/>
  <c r="T157" i="13"/>
  <c r="U157" i="13" s="1"/>
  <c r="AD157" i="13" s="1"/>
  <c r="T156" i="13"/>
  <c r="T155" i="13"/>
  <c r="U155" i="13" s="1"/>
  <c r="AD155" i="13" s="1"/>
  <c r="T154" i="13"/>
  <c r="T153" i="13"/>
  <c r="T152" i="13"/>
  <c r="U152" i="13" s="1"/>
  <c r="AD152" i="13" s="1"/>
  <c r="T151" i="13"/>
  <c r="T150" i="13"/>
  <c r="U150" i="13" s="1"/>
  <c r="T149" i="13"/>
  <c r="T148" i="13"/>
  <c r="T147" i="13"/>
  <c r="U147" i="13" s="1"/>
  <c r="T146" i="13"/>
  <c r="T145" i="13"/>
  <c r="T144" i="13"/>
  <c r="T143" i="13"/>
  <c r="U143" i="13" s="1"/>
  <c r="T142" i="13"/>
  <c r="U142" i="13" s="1"/>
  <c r="T141" i="13"/>
  <c r="T140" i="13"/>
  <c r="T139" i="13"/>
  <c r="U139" i="13" s="1"/>
  <c r="T138" i="13"/>
  <c r="T137" i="13"/>
  <c r="T136" i="13"/>
  <c r="U136" i="13" s="1"/>
  <c r="AD136" i="13" s="1"/>
  <c r="T135" i="13"/>
  <c r="U135" i="13" s="1"/>
  <c r="T79" i="13"/>
  <c r="T78" i="13"/>
  <c r="S9" i="15"/>
  <c r="T9" i="15"/>
  <c r="Q9" i="15"/>
  <c r="N9" i="15"/>
  <c r="K9" i="15"/>
  <c r="U9" i="15"/>
  <c r="S8" i="15"/>
  <c r="T8" i="15" s="1"/>
  <c r="Q8" i="15"/>
  <c r="N8" i="15"/>
  <c r="K8" i="15"/>
  <c r="U8" i="15" s="1"/>
  <c r="S7" i="15"/>
  <c r="T7" i="15"/>
  <c r="Q7" i="15"/>
  <c r="Q11" i="15" s="1"/>
  <c r="N7" i="15"/>
  <c r="K7" i="15"/>
  <c r="U7" i="15"/>
  <c r="S6" i="15"/>
  <c r="T6" i="15" s="1"/>
  <c r="Q6" i="15"/>
  <c r="N6" i="15"/>
  <c r="K6" i="15"/>
  <c r="U6" i="15"/>
  <c r="S5" i="15"/>
  <c r="T5" i="15"/>
  <c r="Q5" i="15"/>
  <c r="N5" i="15"/>
  <c r="N11" i="15" s="1"/>
  <c r="O230" i="13" s="1"/>
  <c r="K323" i="13" s="1"/>
  <c r="L323" i="13" s="1"/>
  <c r="N323" i="13" s="1"/>
  <c r="Q323" i="13" s="1"/>
  <c r="K5" i="15"/>
  <c r="S42" i="15"/>
  <c r="T42" i="15"/>
  <c r="S41" i="15"/>
  <c r="S40" i="15"/>
  <c r="T40" i="15"/>
  <c r="S39" i="15"/>
  <c r="T39" i="15"/>
  <c r="S38" i="15"/>
  <c r="T38" i="15" s="1"/>
  <c r="S37" i="15"/>
  <c r="T37" i="15" s="1"/>
  <c r="S36" i="15"/>
  <c r="T36" i="15"/>
  <c r="S35" i="15"/>
  <c r="T35" i="15"/>
  <c r="S34" i="15"/>
  <c r="T34" i="15" s="1"/>
  <c r="S33" i="15"/>
  <c r="T33" i="15" s="1"/>
  <c r="S32" i="15"/>
  <c r="T32" i="15"/>
  <c r="S31" i="15"/>
  <c r="T31" i="15"/>
  <c r="S30" i="15"/>
  <c r="T30" i="15" s="1"/>
  <c r="S29" i="15"/>
  <c r="T29" i="15"/>
  <c r="S28" i="15"/>
  <c r="T28" i="15"/>
  <c r="S27" i="15"/>
  <c r="T27" i="15"/>
  <c r="S26" i="15"/>
  <c r="T26" i="15"/>
  <c r="S25" i="15"/>
  <c r="T25" i="15"/>
  <c r="S24" i="15"/>
  <c r="S23" i="15"/>
  <c r="T23" i="15"/>
  <c r="T24" i="15"/>
  <c r="T41" i="15"/>
  <c r="Q23" i="15"/>
  <c r="Q24" i="15"/>
  <c r="Q25" i="15"/>
  <c r="Q26" i="15"/>
  <c r="Q27" i="15"/>
  <c r="Q28" i="15"/>
  <c r="Q29" i="15"/>
  <c r="Q30" i="15"/>
  <c r="Q31" i="15"/>
  <c r="Q32" i="15"/>
  <c r="Q33" i="15"/>
  <c r="Q34" i="15"/>
  <c r="Q35" i="15"/>
  <c r="Q36" i="15"/>
  <c r="Q37" i="15"/>
  <c r="Q38" i="15"/>
  <c r="Q39" i="15"/>
  <c r="Q40" i="15"/>
  <c r="Q41" i="15"/>
  <c r="Q42" i="15"/>
  <c r="Q43" i="15"/>
  <c r="Q44" i="15"/>
  <c r="Q45" i="15"/>
  <c r="Q46" i="15"/>
  <c r="Q47" i="15"/>
  <c r="Q48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K22" i="15"/>
  <c r="K23" i="15"/>
  <c r="U23" i="15"/>
  <c r="K24" i="15"/>
  <c r="U24" i="15" s="1"/>
  <c r="K25" i="15"/>
  <c r="U25" i="15" s="1"/>
  <c r="K26" i="15"/>
  <c r="U26" i="15"/>
  <c r="K27" i="15"/>
  <c r="U27" i="15"/>
  <c r="K28" i="15"/>
  <c r="U28" i="15" s="1"/>
  <c r="K29" i="15"/>
  <c r="U29" i="15" s="1"/>
  <c r="K30" i="15"/>
  <c r="U30" i="15"/>
  <c r="K31" i="15"/>
  <c r="U31" i="15"/>
  <c r="K32" i="15"/>
  <c r="U32" i="15" s="1"/>
  <c r="K33" i="15"/>
  <c r="U33" i="15" s="1"/>
  <c r="K34" i="15"/>
  <c r="U34" i="15"/>
  <c r="K35" i="15"/>
  <c r="U35" i="15"/>
  <c r="K36" i="15"/>
  <c r="U36" i="15" s="1"/>
  <c r="K37" i="15"/>
  <c r="U37" i="15" s="1"/>
  <c r="K38" i="15"/>
  <c r="U38" i="15"/>
  <c r="K39" i="15"/>
  <c r="U39" i="15"/>
  <c r="K40" i="15"/>
  <c r="U40" i="15" s="1"/>
  <c r="K41" i="15"/>
  <c r="U41" i="15" s="1"/>
  <c r="K42" i="15"/>
  <c r="U42" i="15"/>
  <c r="K43" i="15"/>
  <c r="K44" i="15"/>
  <c r="K45" i="15"/>
  <c r="U45" i="15" s="1"/>
  <c r="K66" i="15"/>
  <c r="K65" i="15"/>
  <c r="U65" i="15"/>
  <c r="K64" i="15"/>
  <c r="U64" i="15"/>
  <c r="K63" i="15"/>
  <c r="U63" i="15"/>
  <c r="K62" i="15"/>
  <c r="U62" i="15"/>
  <c r="K61" i="15"/>
  <c r="U61" i="15"/>
  <c r="K60" i="15"/>
  <c r="U60" i="15"/>
  <c r="K59" i="15"/>
  <c r="U59" i="15"/>
  <c r="K58" i="15"/>
  <c r="U58" i="15"/>
  <c r="K57" i="15"/>
  <c r="U57" i="15"/>
  <c r="K56" i="15"/>
  <c r="U56" i="15"/>
  <c r="K55" i="15"/>
  <c r="U55" i="15"/>
  <c r="K54" i="15"/>
  <c r="U54" i="15"/>
  <c r="K53" i="15"/>
  <c r="U53" i="15"/>
  <c r="K52" i="15"/>
  <c r="U52" i="15"/>
  <c r="K51" i="15"/>
  <c r="U51" i="15"/>
  <c r="K50" i="15"/>
  <c r="U50" i="15"/>
  <c r="K49" i="15"/>
  <c r="U49" i="15"/>
  <c r="K48" i="15"/>
  <c r="U48" i="15"/>
  <c r="K47" i="15"/>
  <c r="U47" i="15"/>
  <c r="K46" i="15"/>
  <c r="U46" i="15"/>
  <c r="K21" i="15"/>
  <c r="U21" i="15"/>
  <c r="K20" i="15"/>
  <c r="U20" i="15" s="1"/>
  <c r="K19" i="15"/>
  <c r="U19" i="15" s="1"/>
  <c r="K18" i="15"/>
  <c r="U18" i="15"/>
  <c r="K17" i="15"/>
  <c r="U17" i="15"/>
  <c r="K16" i="15"/>
  <c r="N66" i="15"/>
  <c r="Q66" i="15"/>
  <c r="S66" i="15"/>
  <c r="T66" i="15"/>
  <c r="S44" i="15"/>
  <c r="T44" i="15"/>
  <c r="U44" i="15"/>
  <c r="S45" i="15"/>
  <c r="T45" i="15"/>
  <c r="S46" i="15"/>
  <c r="T46" i="15"/>
  <c r="S47" i="15"/>
  <c r="T47" i="15"/>
  <c r="N48" i="15"/>
  <c r="S48" i="15"/>
  <c r="T48" i="15" s="1"/>
  <c r="N49" i="15"/>
  <c r="Q49" i="15"/>
  <c r="S49" i="15"/>
  <c r="T49" i="15"/>
  <c r="N50" i="15"/>
  <c r="Q50" i="15"/>
  <c r="S50" i="15"/>
  <c r="T50" i="15" s="1"/>
  <c r="N51" i="15"/>
  <c r="Q51" i="15"/>
  <c r="S51" i="15"/>
  <c r="T51" i="15"/>
  <c r="N52" i="15"/>
  <c r="Q52" i="15"/>
  <c r="S52" i="15"/>
  <c r="T52" i="15" s="1"/>
  <c r="N53" i="15"/>
  <c r="Q53" i="15"/>
  <c r="S53" i="15"/>
  <c r="T53" i="15"/>
  <c r="N54" i="15"/>
  <c r="Q54" i="15"/>
  <c r="S54" i="15"/>
  <c r="T54" i="15" s="1"/>
  <c r="N55" i="15"/>
  <c r="Q55" i="15"/>
  <c r="S55" i="15"/>
  <c r="T55" i="15"/>
  <c r="N56" i="15"/>
  <c r="Q56" i="15"/>
  <c r="S56" i="15"/>
  <c r="T56" i="15" s="1"/>
  <c r="N57" i="15"/>
  <c r="Q57" i="15"/>
  <c r="S57" i="15"/>
  <c r="T57" i="15"/>
  <c r="N58" i="15"/>
  <c r="Q58" i="15"/>
  <c r="S58" i="15"/>
  <c r="T58" i="15" s="1"/>
  <c r="N59" i="15"/>
  <c r="Q59" i="15"/>
  <c r="S59" i="15"/>
  <c r="T59" i="15"/>
  <c r="N60" i="15"/>
  <c r="Q60" i="15"/>
  <c r="S60" i="15"/>
  <c r="T60" i="15" s="1"/>
  <c r="N61" i="15"/>
  <c r="Q61" i="15"/>
  <c r="S61" i="15"/>
  <c r="T61" i="15"/>
  <c r="N62" i="15"/>
  <c r="Q62" i="15"/>
  <c r="S62" i="15"/>
  <c r="T62" i="15" s="1"/>
  <c r="N63" i="15"/>
  <c r="Q63" i="15"/>
  <c r="S63" i="15"/>
  <c r="T63" i="15"/>
  <c r="N64" i="15"/>
  <c r="Q64" i="15"/>
  <c r="S64" i="15"/>
  <c r="T64" i="15" s="1"/>
  <c r="N65" i="15"/>
  <c r="Q65" i="15"/>
  <c r="S65" i="15"/>
  <c r="T65" i="15"/>
  <c r="N16" i="15"/>
  <c r="S21" i="15"/>
  <c r="T21" i="15" s="1"/>
  <c r="Q21" i="15"/>
  <c r="N21" i="15"/>
  <c r="S20" i="15"/>
  <c r="T20" i="15" s="1"/>
  <c r="Q20" i="15"/>
  <c r="N20" i="15"/>
  <c r="S19" i="15"/>
  <c r="T19" i="15" s="1"/>
  <c r="Q19" i="15"/>
  <c r="N19" i="15"/>
  <c r="S18" i="15"/>
  <c r="T18" i="15" s="1"/>
  <c r="Q18" i="15"/>
  <c r="N18" i="15"/>
  <c r="S17" i="15"/>
  <c r="T17" i="15" s="1"/>
  <c r="Q17" i="15"/>
  <c r="N17" i="15"/>
  <c r="S16" i="15"/>
  <c r="T16" i="15" s="1"/>
  <c r="Q16" i="15"/>
  <c r="U43" i="15"/>
  <c r="S43" i="15"/>
  <c r="T43" i="15"/>
  <c r="U22" i="15"/>
  <c r="S22" i="15"/>
  <c r="T22" i="15" s="1"/>
  <c r="Q22" i="15"/>
  <c r="U66" i="15"/>
  <c r="V308" i="13"/>
  <c r="V303" i="13"/>
  <c r="I276" i="13"/>
  <c r="R265" i="13"/>
  <c r="AB265" i="13" s="1"/>
  <c r="T264" i="13"/>
  <c r="U264" i="13" s="1"/>
  <c r="AD264" i="13" s="1"/>
  <c r="T263" i="13"/>
  <c r="U263" i="13" s="1"/>
  <c r="AD263" i="13" s="1"/>
  <c r="T262" i="13"/>
  <c r="U262" i="13" s="1"/>
  <c r="AD262" i="13" s="1"/>
  <c r="T261" i="13"/>
  <c r="U261" i="13" s="1"/>
  <c r="T259" i="13"/>
  <c r="U259" i="13"/>
  <c r="Y259" i="13"/>
  <c r="Y258" i="13"/>
  <c r="Z258" i="13" s="1"/>
  <c r="Y257" i="13"/>
  <c r="Z257" i="13" s="1"/>
  <c r="Y256" i="13"/>
  <c r="Z256" i="13" s="1"/>
  <c r="R251" i="13"/>
  <c r="AB251" i="13" s="1"/>
  <c r="T250" i="13"/>
  <c r="U250" i="13" s="1"/>
  <c r="T249" i="13"/>
  <c r="U249" i="13" s="1"/>
  <c r="AD249" i="13" s="1"/>
  <c r="T248" i="13"/>
  <c r="U248" i="13" s="1"/>
  <c r="AD248" i="13" s="1"/>
  <c r="T247" i="13"/>
  <c r="U247" i="13" s="1"/>
  <c r="AD247" i="13" s="1"/>
  <c r="T246" i="13"/>
  <c r="U246" i="13"/>
  <c r="T245" i="13"/>
  <c r="U245" i="13"/>
  <c r="AD245" i="13" s="1"/>
  <c r="V245" i="13"/>
  <c r="T244" i="13"/>
  <c r="U244" i="13"/>
  <c r="AD244" i="13" s="1"/>
  <c r="T243" i="13"/>
  <c r="U243" i="13" s="1"/>
  <c r="AD243" i="13" s="1"/>
  <c r="V243" i="13"/>
  <c r="T241" i="13"/>
  <c r="U241" i="13"/>
  <c r="Y237" i="13"/>
  <c r="Z237" i="13" s="1"/>
  <c r="Y236" i="13"/>
  <c r="Z236" i="13" s="1"/>
  <c r="Y234" i="13"/>
  <c r="Z234" i="13"/>
  <c r="T231" i="13"/>
  <c r="U229" i="13"/>
  <c r="AD229" i="13" s="1"/>
  <c r="U227" i="13"/>
  <c r="U226" i="13"/>
  <c r="U225" i="13"/>
  <c r="AD225" i="13" s="1"/>
  <c r="U224" i="13"/>
  <c r="V224" i="13"/>
  <c r="U221" i="13"/>
  <c r="U220" i="13"/>
  <c r="U218" i="13"/>
  <c r="V218" i="13"/>
  <c r="U217" i="13"/>
  <c r="AD217" i="13" s="1"/>
  <c r="U215" i="13"/>
  <c r="V215" i="13" s="1"/>
  <c r="U211" i="13"/>
  <c r="AD211" i="13" s="1"/>
  <c r="V211" i="13"/>
  <c r="U210" i="13"/>
  <c r="U209" i="13"/>
  <c r="AD209" i="13" s="1"/>
  <c r="U208" i="13"/>
  <c r="AD208" i="13" s="1"/>
  <c r="U207" i="13"/>
  <c r="U204" i="13"/>
  <c r="AD204" i="13" s="1"/>
  <c r="U203" i="13"/>
  <c r="AD203" i="13" s="1"/>
  <c r="U202" i="13"/>
  <c r="U201" i="13"/>
  <c r="AD201" i="13" s="1"/>
  <c r="U200" i="13"/>
  <c r="AD200" i="13" s="1"/>
  <c r="V200" i="13"/>
  <c r="U199" i="13"/>
  <c r="U197" i="13"/>
  <c r="AD197" i="13" s="1"/>
  <c r="V197" i="13"/>
  <c r="U196" i="13"/>
  <c r="U194" i="13"/>
  <c r="AD194" i="13" s="1"/>
  <c r="V194" i="13"/>
  <c r="U193" i="13"/>
  <c r="AD193" i="13" s="1"/>
  <c r="V192" i="13"/>
  <c r="U191" i="13"/>
  <c r="U190" i="13"/>
  <c r="AD190" i="13" s="1"/>
  <c r="U189" i="13"/>
  <c r="V189" i="13" s="1"/>
  <c r="U188" i="13"/>
  <c r="U187" i="13"/>
  <c r="AD187" i="13" s="1"/>
  <c r="U186" i="13"/>
  <c r="AD186" i="13" s="1"/>
  <c r="U185" i="13"/>
  <c r="AD185" i="13" s="1"/>
  <c r="U184" i="13"/>
  <c r="U183" i="13"/>
  <c r="AD183" i="13" s="1"/>
  <c r="U182" i="13"/>
  <c r="AD182" i="13" s="1"/>
  <c r="U181" i="13"/>
  <c r="U180" i="13"/>
  <c r="AD180" i="13" s="1"/>
  <c r="U179" i="13"/>
  <c r="AD179" i="13" s="1"/>
  <c r="U178" i="13"/>
  <c r="U177" i="13"/>
  <c r="U176" i="13"/>
  <c r="U175" i="13"/>
  <c r="U174" i="13"/>
  <c r="AD174" i="13" s="1"/>
  <c r="V174" i="13"/>
  <c r="U171" i="13"/>
  <c r="AD171" i="13" s="1"/>
  <c r="U170" i="13"/>
  <c r="V170" i="13"/>
  <c r="U169" i="13"/>
  <c r="AD169" i="13" s="1"/>
  <c r="V169" i="13"/>
  <c r="U168" i="13"/>
  <c r="U166" i="13"/>
  <c r="AD166" i="13" s="1"/>
  <c r="U164" i="13"/>
  <c r="AD164" i="13" s="1"/>
  <c r="U162" i="13"/>
  <c r="U161" i="13"/>
  <c r="U159" i="13"/>
  <c r="AD159" i="13" s="1"/>
  <c r="V159" i="13"/>
  <c r="V158" i="13"/>
  <c r="U156" i="13"/>
  <c r="U154" i="13"/>
  <c r="AD154" i="13" s="1"/>
  <c r="U153" i="13"/>
  <c r="AD153" i="13" s="1"/>
  <c r="V153" i="13"/>
  <c r="U151" i="13"/>
  <c r="U149" i="13"/>
  <c r="AD149" i="13" s="1"/>
  <c r="U148" i="13"/>
  <c r="V147" i="13"/>
  <c r="U146" i="13"/>
  <c r="U145" i="13"/>
  <c r="AD145" i="13" s="1"/>
  <c r="U144" i="13"/>
  <c r="AD144" i="13" s="1"/>
  <c r="U141" i="13"/>
  <c r="U140" i="13"/>
  <c r="U138" i="13"/>
  <c r="U137" i="13"/>
  <c r="U79" i="13"/>
  <c r="U78" i="13"/>
  <c r="V78" i="13" s="1"/>
  <c r="T77" i="13"/>
  <c r="U77" i="13" s="1"/>
  <c r="V77" i="13" s="1"/>
  <c r="T76" i="13"/>
  <c r="U76" i="13" s="1"/>
  <c r="V187" i="13"/>
  <c r="Y193" i="13"/>
  <c r="V79" i="13"/>
  <c r="Y142" i="13"/>
  <c r="Y145" i="13"/>
  <c r="Z145" i="13"/>
  <c r="Y147" i="13"/>
  <c r="V162" i="13"/>
  <c r="Y163" i="13"/>
  <c r="Y165" i="13"/>
  <c r="Z165" i="13"/>
  <c r="V166" i="13"/>
  <c r="Y209" i="13"/>
  <c r="Z209" i="13"/>
  <c r="Y214" i="13"/>
  <c r="Y215" i="13"/>
  <c r="Z215" i="13" s="1"/>
  <c r="V217" i="13"/>
  <c r="Y224" i="13"/>
  <c r="V135" i="13"/>
  <c r="Y137" i="13"/>
  <c r="V149" i="13"/>
  <c r="Y149" i="13"/>
  <c r="Z149" i="13" s="1"/>
  <c r="Y151" i="13"/>
  <c r="Y152" i="13"/>
  <c r="Z152" i="13" s="1"/>
  <c r="V155" i="13"/>
  <c r="Y155" i="13"/>
  <c r="Z155" i="13"/>
  <c r="Y156" i="13"/>
  <c r="Y158" i="13"/>
  <c r="V173" i="13"/>
  <c r="Y178" i="13"/>
  <c r="Z178" i="13"/>
  <c r="Y196" i="13"/>
  <c r="Y197" i="13"/>
  <c r="Z197" i="13"/>
  <c r="Y198" i="13"/>
  <c r="Z198" i="13" s="1"/>
  <c r="Y201" i="13"/>
  <c r="Z201" i="13" s="1"/>
  <c r="Y227" i="13"/>
  <c r="Z227" i="13"/>
  <c r="Y140" i="13"/>
  <c r="Z140" i="13" s="1"/>
  <c r="Y148" i="13"/>
  <c r="Y164" i="13"/>
  <c r="Z164" i="13" s="1"/>
  <c r="V167" i="13"/>
  <c r="Y167" i="13"/>
  <c r="Z167" i="13" s="1"/>
  <c r="Y168" i="13"/>
  <c r="Y169" i="13"/>
  <c r="Y170" i="13"/>
  <c r="Y172" i="13"/>
  <c r="Z172" i="13"/>
  <c r="Y174" i="13"/>
  <c r="Y181" i="13"/>
  <c r="V182" i="13"/>
  <c r="V183" i="13"/>
  <c r="Y183" i="13"/>
  <c r="Z183" i="13"/>
  <c r="Y185" i="13"/>
  <c r="Z185" i="13"/>
  <c r="V186" i="13"/>
  <c r="Y188" i="13"/>
  <c r="Y189" i="13"/>
  <c r="Y191" i="13"/>
  <c r="Y194" i="13"/>
  <c r="Z194" i="13" s="1"/>
  <c r="Y200" i="13"/>
  <c r="Z200" i="13" s="1"/>
  <c r="V201" i="13"/>
  <c r="Y204" i="13"/>
  <c r="V204" i="13"/>
  <c r="V205" i="13"/>
  <c r="Y206" i="13"/>
  <c r="V208" i="13"/>
  <c r="Y211" i="13"/>
  <c r="Y212" i="13"/>
  <c r="Z212" i="13"/>
  <c r="Y213" i="13"/>
  <c r="Z213" i="13" s="1"/>
  <c r="Y216" i="13"/>
  <c r="Z216" i="13"/>
  <c r="Y218" i="13"/>
  <c r="V219" i="13"/>
  <c r="Y219" i="13"/>
  <c r="Y220" i="13"/>
  <c r="Z220" i="13"/>
  <c r="Y222" i="13"/>
  <c r="Z222" i="13"/>
  <c r="V222" i="13"/>
  <c r="Y225" i="13"/>
  <c r="Z225" i="13" s="1"/>
  <c r="Y226" i="13"/>
  <c r="Y229" i="13"/>
  <c r="Y136" i="13"/>
  <c r="Z136" i="13"/>
  <c r="V138" i="13"/>
  <c r="Y138" i="13"/>
  <c r="Y139" i="13"/>
  <c r="V142" i="13"/>
  <c r="Y143" i="13"/>
  <c r="Y150" i="13"/>
  <c r="V152" i="13"/>
  <c r="Y153" i="13"/>
  <c r="Y154" i="13"/>
  <c r="Z154" i="13" s="1"/>
  <c r="Y160" i="13"/>
  <c r="Z160" i="13"/>
  <c r="Y161" i="13"/>
  <c r="V165" i="13"/>
  <c r="Y166" i="13"/>
  <c r="Y171" i="13"/>
  <c r="Z171" i="13"/>
  <c r="Y175" i="13"/>
  <c r="Z175" i="13"/>
  <c r="Y176" i="13"/>
  <c r="V177" i="13"/>
  <c r="Y177" i="13"/>
  <c r="Y180" i="13"/>
  <c r="Z180" i="13" s="1"/>
  <c r="V180" i="13"/>
  <c r="Y184" i="13"/>
  <c r="V185" i="13"/>
  <c r="Y186" i="13"/>
  <c r="Z186" i="13"/>
  <c r="Y199" i="13"/>
  <c r="Z199" i="13" s="1"/>
  <c r="Y202" i="13"/>
  <c r="Y203" i="13"/>
  <c r="Z203" i="13"/>
  <c r="Y207" i="13"/>
  <c r="Z207" i="13"/>
  <c r="Y208" i="13"/>
  <c r="Z208" i="13" s="1"/>
  <c r="Y217" i="13"/>
  <c r="Z217" i="13" s="1"/>
  <c r="Y221" i="13"/>
  <c r="V171" i="13"/>
  <c r="V198" i="13"/>
  <c r="V160" i="13"/>
  <c r="V164" i="13"/>
  <c r="V154" i="13"/>
  <c r="Y162" i="13"/>
  <c r="Y179" i="13"/>
  <c r="Z179" i="13"/>
  <c r="Y187" i="13"/>
  <c r="Z187" i="13"/>
  <c r="Y195" i="13"/>
  <c r="Z195" i="13" s="1"/>
  <c r="V191" i="13"/>
  <c r="V76" i="13"/>
  <c r="Y135" i="13"/>
  <c r="V193" i="13"/>
  <c r="Y205" i="13"/>
  <c r="Z205" i="13"/>
  <c r="Y223" i="13"/>
  <c r="Y141" i="13"/>
  <c r="V145" i="13"/>
  <c r="V209" i="13"/>
  <c r="Y182" i="13"/>
  <c r="Z182" i="13" s="1"/>
  <c r="Y192" i="13"/>
  <c r="Z192" i="13"/>
  <c r="V203" i="13"/>
  <c r="V221" i="13"/>
  <c r="V139" i="13"/>
  <c r="Y157" i="13"/>
  <c r="Z157" i="13"/>
  <c r="Y190" i="13"/>
  <c r="Z190" i="13" s="1"/>
  <c r="V212" i="13"/>
  <c r="V184" i="13"/>
  <c r="V213" i="13"/>
  <c r="Y146" i="13"/>
  <c r="Y159" i="13"/>
  <c r="Z159" i="13"/>
  <c r="V163" i="13"/>
  <c r="Y173" i="13"/>
  <c r="Y210" i="13"/>
  <c r="V226" i="13"/>
  <c r="V136" i="13"/>
  <c r="V216" i="13"/>
  <c r="Q316" i="13"/>
  <c r="L320" i="13"/>
  <c r="N320" i="13"/>
  <c r="Q320" i="13" s="1"/>
  <c r="AD150" i="13" l="1"/>
  <c r="V150" i="13"/>
  <c r="Z150" i="13"/>
  <c r="AD158" i="13"/>
  <c r="Z158" i="13"/>
  <c r="K58" i="17"/>
  <c r="U58" i="17" s="1"/>
  <c r="Z189" i="13"/>
  <c r="T11" i="15"/>
  <c r="U230" i="13" s="1"/>
  <c r="AD230" i="13" s="1"/>
  <c r="Z173" i="13"/>
  <c r="AD173" i="13"/>
  <c r="V141" i="13"/>
  <c r="AD141" i="13"/>
  <c r="U16" i="15"/>
  <c r="K68" i="15"/>
  <c r="Z142" i="13"/>
  <c r="AD142" i="13"/>
  <c r="Z206" i="13"/>
  <c r="AD206" i="13"/>
  <c r="V214" i="13"/>
  <c r="AD214" i="13"/>
  <c r="V151" i="13"/>
  <c r="AD151" i="13"/>
  <c r="R55" i="13"/>
  <c r="AD181" i="13"/>
  <c r="Z181" i="13"/>
  <c r="AD227" i="13"/>
  <c r="V227" i="13"/>
  <c r="T68" i="15"/>
  <c r="U231" i="13" s="1"/>
  <c r="AD231" i="13" s="1"/>
  <c r="Q68" i="15"/>
  <c r="R231" i="13" s="1"/>
  <c r="V156" i="13"/>
  <c r="V132" i="13"/>
  <c r="Z156" i="13"/>
  <c r="AD156" i="13"/>
  <c r="Z166" i="13"/>
  <c r="Z204" i="13"/>
  <c r="V190" i="13"/>
  <c r="V168" i="13"/>
  <c r="AD168" i="13"/>
  <c r="V175" i="13"/>
  <c r="AD175" i="13"/>
  <c r="AD191" i="13"/>
  <c r="Z191" i="13"/>
  <c r="N58" i="17"/>
  <c r="O233" i="13" s="1"/>
  <c r="K325" i="13" s="1"/>
  <c r="Q58" i="17"/>
  <c r="L252" i="13"/>
  <c r="Z146" i="13"/>
  <c r="AD146" i="13"/>
  <c r="V241" i="13"/>
  <c r="AD241" i="13"/>
  <c r="Z141" i="13"/>
  <c r="V181" i="13"/>
  <c r="Z214" i="13"/>
  <c r="V220" i="13"/>
  <c r="AD220" i="13"/>
  <c r="Z259" i="13"/>
  <c r="K317" i="13"/>
  <c r="N317" i="13" s="1"/>
  <c r="Q317" i="13" s="1"/>
  <c r="AB288" i="13"/>
  <c r="R290" i="13"/>
  <c r="Z174" i="13"/>
  <c r="V259" i="13"/>
  <c r="AD259" i="13"/>
  <c r="N68" i="15"/>
  <c r="O231" i="13" s="1"/>
  <c r="K324" i="13" s="1"/>
  <c r="L324" i="13" s="1"/>
  <c r="N324" i="13" s="1"/>
  <c r="Q324" i="13" s="1"/>
  <c r="U5" i="15"/>
  <c r="K11" i="15"/>
  <c r="F64" i="16"/>
  <c r="F70" i="16" s="1"/>
  <c r="F22" i="16" s="1"/>
  <c r="O69" i="13" s="1"/>
  <c r="O71" i="13" s="1"/>
  <c r="O288" i="13" s="1"/>
  <c r="L55" i="13"/>
  <c r="V55" i="13" s="1"/>
  <c r="V45" i="13"/>
  <c r="U252" i="13"/>
  <c r="AD252" i="13" s="1"/>
  <c r="AD250" i="13"/>
  <c r="Z135" i="13"/>
  <c r="V143" i="13"/>
  <c r="AD143" i="13"/>
  <c r="V117" i="13"/>
  <c r="O252" i="13"/>
  <c r="V131" i="13"/>
  <c r="V123" i="13"/>
  <c r="V115" i="13"/>
  <c r="V107" i="13"/>
  <c r="Z137" i="13"/>
  <c r="AD137" i="13"/>
  <c r="V176" i="13"/>
  <c r="AD176" i="13"/>
  <c r="Z184" i="13"/>
  <c r="AD184" i="13"/>
  <c r="V199" i="13"/>
  <c r="AD199" i="13"/>
  <c r="V246" i="13"/>
  <c r="AD246" i="13"/>
  <c r="V261" i="13"/>
  <c r="AD261" i="13"/>
  <c r="V85" i="13"/>
  <c r="V240" i="13"/>
  <c r="Z138" i="13"/>
  <c r="AD138" i="13"/>
  <c r="V161" i="13"/>
  <c r="AD161" i="13"/>
  <c r="Z177" i="13"/>
  <c r="AD177" i="13"/>
  <c r="V207" i="13"/>
  <c r="AD207" i="13"/>
  <c r="Z224" i="13"/>
  <c r="F43" i="16"/>
  <c r="F44" i="16" s="1"/>
  <c r="R252" i="13"/>
  <c r="AB252" i="13" s="1"/>
  <c r="AB244" i="13"/>
  <c r="R266" i="13"/>
  <c r="AB266" i="13" s="1"/>
  <c r="AB264" i="13"/>
  <c r="Z229" i="13"/>
  <c r="Z211" i="13"/>
  <c r="Z169" i="13"/>
  <c r="V140" i="13"/>
  <c r="AD140" i="13"/>
  <c r="Z148" i="13"/>
  <c r="AD148" i="13"/>
  <c r="Z162" i="13"/>
  <c r="AD162" i="13"/>
  <c r="Z170" i="13"/>
  <c r="AD170" i="13"/>
  <c r="V178" i="13"/>
  <c r="AD178" i="13"/>
  <c r="V225" i="13"/>
  <c r="V244" i="13"/>
  <c r="Z232" i="13"/>
  <c r="O266" i="13"/>
  <c r="Z139" i="13"/>
  <c r="AD139" i="13"/>
  <c r="Z147" i="13"/>
  <c r="AD147" i="13"/>
  <c r="Z163" i="13"/>
  <c r="AD163" i="13"/>
  <c r="V195" i="13"/>
  <c r="AD195" i="13"/>
  <c r="Z219" i="13"/>
  <c r="AD219" i="13"/>
  <c r="V101" i="13"/>
  <c r="V133" i="13"/>
  <c r="V103" i="13"/>
  <c r="V95" i="13"/>
  <c r="R64" i="13"/>
  <c r="Z221" i="13"/>
  <c r="Z153" i="13"/>
  <c r="V179" i="13"/>
  <c r="Z188" i="13"/>
  <c r="AD188" i="13"/>
  <c r="Z196" i="13"/>
  <c r="V202" i="13"/>
  <c r="AD202" i="13"/>
  <c r="Z210" i="13"/>
  <c r="AD210" i="13"/>
  <c r="Z218" i="13"/>
  <c r="AD218" i="13"/>
  <c r="Z226" i="13"/>
  <c r="AD226" i="13"/>
  <c r="V172" i="13"/>
  <c r="AD172" i="13"/>
  <c r="F38" i="16"/>
  <c r="L64" i="13"/>
  <c r="O282" i="13"/>
  <c r="O284" i="13" s="1"/>
  <c r="V134" i="13"/>
  <c r="V110" i="13"/>
  <c r="V94" i="13"/>
  <c r="V86" i="13"/>
  <c r="F39" i="16"/>
  <c r="Z193" i="13"/>
  <c r="V98" i="13"/>
  <c r="V90" i="13"/>
  <c r="V82" i="13"/>
  <c r="V196" i="13"/>
  <c r="Z151" i="13"/>
  <c r="Z223" i="13"/>
  <c r="V146" i="13"/>
  <c r="Z202" i="13"/>
  <c r="Z143" i="13"/>
  <c r="V206" i="13"/>
  <c r="Z168" i="13"/>
  <c r="V137" i="13"/>
  <c r="U64" i="13"/>
  <c r="O290" i="13"/>
  <c r="U290" i="13" s="1"/>
  <c r="U288" i="13"/>
  <c r="AD288" i="13" s="1"/>
  <c r="V288" i="13"/>
  <c r="L290" i="13"/>
  <c r="V290" i="13" s="1"/>
  <c r="V188" i="13"/>
  <c r="V210" i="13"/>
  <c r="Z176" i="13"/>
  <c r="U266" i="13"/>
  <c r="AD266" i="13" s="1"/>
  <c r="Z161" i="13"/>
  <c r="V58" i="13"/>
  <c r="V69" i="13"/>
  <c r="O235" i="13"/>
  <c r="K318" i="13"/>
  <c r="N318" i="13" s="1"/>
  <c r="Q318" i="13" s="1"/>
  <c r="U11" i="15" l="1"/>
  <c r="V229" i="13" s="1" a="1"/>
  <c r="V229" i="13" s="1"/>
  <c r="L230" i="13"/>
  <c r="L235" i="13" s="1"/>
  <c r="U68" i="15"/>
  <c r="V230" i="13" s="1" a="1"/>
  <c r="V230" i="13" s="1"/>
  <c r="L231" i="13"/>
  <c r="V231" i="13" s="1"/>
  <c r="L282" i="13"/>
  <c r="AB231" i="13"/>
  <c r="Y231" i="13"/>
  <c r="Z231" i="13" s="1"/>
  <c r="R235" i="13"/>
  <c r="U235" i="13"/>
  <c r="AD235" i="13" s="1"/>
  <c r="U292" i="13"/>
  <c r="AD292" i="13" s="1"/>
  <c r="AD290" i="13"/>
  <c r="R282" i="13"/>
  <c r="N325" i="13"/>
  <c r="Q325" i="13" s="1"/>
  <c r="L325" i="13"/>
  <c r="Y235" i="13"/>
  <c r="R292" i="13"/>
  <c r="AB292" i="13" s="1"/>
  <c r="AB290" i="13"/>
  <c r="F54" i="16"/>
  <c r="F14" i="16" s="1"/>
  <c r="F16" i="16" s="1"/>
  <c r="F18" i="16" s="1"/>
  <c r="O270" i="13"/>
  <c r="L292" i="13"/>
  <c r="V292" i="13" s="1"/>
  <c r="O292" i="13"/>
  <c r="O286" i="13"/>
  <c r="V282" i="13" l="1"/>
  <c r="L284" i="13"/>
  <c r="V284" i="13" s="1"/>
  <c r="R284" i="13"/>
  <c r="AB282" i="13"/>
  <c r="U282" i="13"/>
  <c r="AD282" i="13" s="1"/>
  <c r="Z235" i="13"/>
  <c r="L270" i="13"/>
  <c r="V235" i="13"/>
  <c r="AB235" i="13"/>
  <c r="R270" i="13"/>
  <c r="C328" i="13"/>
  <c r="AF328" i="13" s="1"/>
  <c r="O276" i="13"/>
  <c r="O278" i="13" s="1"/>
  <c r="O272" i="13"/>
  <c r="O274" i="13"/>
  <c r="K319" i="13"/>
  <c r="L272" i="13" l="1"/>
  <c r="L276" i="13"/>
  <c r="L278" i="13" s="1"/>
  <c r="L274" i="13"/>
  <c r="L280" i="13" s="1"/>
  <c r="R286" i="13"/>
  <c r="AB286" i="13" s="1"/>
  <c r="AB284" i="13"/>
  <c r="U284" i="13"/>
  <c r="AB270" i="13"/>
  <c r="R276" i="13"/>
  <c r="R272" i="13"/>
  <c r="R274" i="13"/>
  <c r="AB274" i="13" s="1"/>
  <c r="U270" i="13"/>
  <c r="AD270" i="13" s="1"/>
  <c r="L286" i="13"/>
  <c r="V286" i="13" s="1"/>
  <c r="O280" i="13"/>
  <c r="O295" i="13" s="1"/>
  <c r="L319" i="13"/>
  <c r="L321" i="13" s="1"/>
  <c r="K321" i="13"/>
  <c r="L301" i="13" l="1"/>
  <c r="L295" i="13"/>
  <c r="L297" i="13" s="1"/>
  <c r="V297" i="13" s="1"/>
  <c r="U274" i="13"/>
  <c r="U286" i="13"/>
  <c r="AD286" i="13" s="1"/>
  <c r="AD284" i="13"/>
  <c r="U276" i="13"/>
  <c r="R280" i="13"/>
  <c r="AB272" i="13"/>
  <c r="R278" i="13"/>
  <c r="AB278" i="13" s="1"/>
  <c r="AB276" i="13"/>
  <c r="U272" i="13"/>
  <c r="V270" i="13"/>
  <c r="O306" i="13"/>
  <c r="O299" i="13"/>
  <c r="N319" i="13"/>
  <c r="N301" i="13"/>
  <c r="V276" i="13" l="1"/>
  <c r="AD276" i="13"/>
  <c r="AD272" i="13"/>
  <c r="V272" i="13"/>
  <c r="V274" i="13"/>
  <c r="AD274" i="13"/>
  <c r="U278" i="13"/>
  <c r="R295" i="13"/>
  <c r="AB280" i="13"/>
  <c r="N321" i="13"/>
  <c r="O301" i="13"/>
  <c r="O319" i="13" s="1"/>
  <c r="O321" i="13" s="1"/>
  <c r="O297" i="13"/>
  <c r="O303" i="13" l="1"/>
  <c r="O308" i="13" s="1"/>
  <c r="M32" i="13" s="1"/>
  <c r="AD3" i="13" s="1"/>
  <c r="V278" i="13"/>
  <c r="AD278" i="13"/>
  <c r="U280" i="13"/>
  <c r="AB295" i="13"/>
  <c r="R299" i="13"/>
  <c r="R306" i="13"/>
  <c r="Q319" i="13"/>
  <c r="Q321" i="13" s="1"/>
  <c r="AB299" i="13" l="1"/>
  <c r="R297" i="13"/>
  <c r="AB297" i="13" s="1"/>
  <c r="R301" i="13"/>
  <c r="R303" i="13" s="1"/>
  <c r="AB306" i="13"/>
  <c r="U306" i="13"/>
  <c r="AD306" i="13" s="1"/>
  <c r="AD280" i="13"/>
  <c r="U295" i="13"/>
  <c r="V280" i="13"/>
  <c r="AF14" i="13"/>
  <c r="AF11" i="13"/>
  <c r="AF17" i="13"/>
  <c r="AF8" i="13"/>
  <c r="AF20" i="13"/>
  <c r="AF34" i="13"/>
  <c r="AG34" i="13" s="1"/>
  <c r="AI33" i="13" s="1"/>
  <c r="R308" i="13" l="1"/>
  <c r="AB303" i="13"/>
  <c r="AD295" i="13"/>
  <c r="U299" i="13"/>
  <c r="V295" i="13"/>
  <c r="AH20" i="13"/>
  <c r="AF21" i="13" s="1"/>
  <c r="AH21" i="13" s="1"/>
  <c r="AH17" i="13"/>
  <c r="AH8" i="13"/>
  <c r="AF9" i="13"/>
  <c r="AB301" i="13"/>
  <c r="U301" i="13"/>
  <c r="AH11" i="13"/>
  <c r="AF12" i="13" s="1"/>
  <c r="AH12" i="13" s="1"/>
  <c r="AH14" i="13"/>
  <c r="AF22" i="13" l="1"/>
  <c r="AH22" i="13" s="1"/>
  <c r="AJ21" i="13" s="1"/>
  <c r="AF13" i="13"/>
  <c r="AH13" i="13" s="1"/>
  <c r="AJ12" i="13" s="1"/>
  <c r="AD301" i="13"/>
  <c r="V301" i="13"/>
  <c r="L311" i="13"/>
  <c r="AJ13" i="13"/>
  <c r="U303" i="13"/>
  <c r="AD303" i="13" s="1"/>
  <c r="AD299" i="13"/>
  <c r="AI20" i="13"/>
  <c r="AH9" i="13"/>
  <c r="AF10" i="13"/>
  <c r="AH10" i="13" s="1"/>
  <c r="AJ9" i="13" s="1"/>
  <c r="AI8" i="13"/>
  <c r="AF15" i="13"/>
  <c r="AF18" i="13"/>
  <c r="U308" i="13"/>
  <c r="AB308" i="13"/>
  <c r="AJ10" i="13" l="1"/>
  <c r="AI10" i="13"/>
  <c r="AI9" i="13"/>
  <c r="AI11" i="13"/>
  <c r="AI12" i="13"/>
  <c r="D311" i="13"/>
  <c r="AD308" i="13"/>
  <c r="AH18" i="13"/>
  <c r="AF19" i="13"/>
  <c r="AH19" i="13" s="1"/>
  <c r="AJ18" i="13" s="1"/>
  <c r="AI21" i="13"/>
  <c r="AH15" i="13"/>
  <c r="AF16" i="13"/>
  <c r="AH16" i="13" s="1"/>
  <c r="AJ15" i="13" s="1"/>
  <c r="AI15" i="13" l="1"/>
  <c r="AI14" i="13"/>
  <c r="AI16" i="13"/>
  <c r="AJ16" i="13"/>
  <c r="AI13" i="13"/>
  <c r="AE31" i="13" s="1"/>
  <c r="AD5" i="13" s="1"/>
  <c r="J34" i="13" s="1"/>
  <c r="AI18" i="13"/>
  <c r="AI22" i="13"/>
  <c r="AJ19" i="13"/>
  <c r="AI17" i="13"/>
  <c r="AI19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tc={16A0D288-220B-4DEB-AFA1-F929C56779A4}</author>
  </authors>
  <commentList>
    <comment ref="K320" authorId="0" shapeId="0" xr:uid="{16A0D288-220B-4DEB-AFA1-F929C56779A4}">
      <text>
        <t>[Threaded comment]
Your version of Excel allows you to read this threaded comment; however, any edits to it will get removed if the file is opened in a newer version of Excel. Learn more: https://go.microsoft.com/fwlink/?linkid=870924
Comment:
    BORRAR SI NO SE COBRAR EL SALDO FINAL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C6" authorId="0" shapeId="0" xr:uid="{EEA5EBBE-2DF8-4B24-9D47-9411AABE1CF1}">
      <text>
        <r>
          <rPr>
            <b/>
            <sz val="9"/>
            <color indexed="81"/>
            <rFont val="Tahoma"/>
            <family val="2"/>
          </rPr>
          <t>Digitar numero de trabajadores</t>
        </r>
      </text>
    </comment>
    <comment ref="C8" authorId="0" shapeId="0" xr:uid="{9A2EB813-6356-4354-8D5C-5ADD72BAD1EF}">
      <text>
        <r>
          <rPr>
            <b/>
            <sz val="9"/>
            <color indexed="81"/>
            <rFont val="Tahoma"/>
            <family val="2"/>
          </rPr>
          <t>Digitar numero de meses</t>
        </r>
      </text>
    </comment>
  </commentList>
</comments>
</file>

<file path=xl/sharedStrings.xml><?xml version="1.0" encoding="utf-8"?>
<sst xmlns="http://schemas.openxmlformats.org/spreadsheetml/2006/main" count="925" uniqueCount="570">
  <si>
    <t>FORMATO</t>
  </si>
  <si>
    <t>Código:</t>
  </si>
  <si>
    <t>FO-SP-00-03</t>
  </si>
  <si>
    <t>Valor en Pesos:</t>
  </si>
  <si>
    <t>← Digitar el valor</t>
  </si>
  <si>
    <t>ACTA DE OBRA  Y APROBACIÓN DE PAGO</t>
  </si>
  <si>
    <t>Versión:</t>
  </si>
  <si>
    <t>Valor en Letras:</t>
  </si>
  <si>
    <t>ACTA PARCIAL</t>
  </si>
  <si>
    <t>X</t>
  </si>
  <si>
    <t>No. Acta</t>
  </si>
  <si>
    <t>ACTA FINAL</t>
  </si>
  <si>
    <t>(marque X)</t>
  </si>
  <si>
    <t>Un</t>
  </si>
  <si>
    <t>Uno</t>
  </si>
  <si>
    <t>Centenas</t>
  </si>
  <si>
    <t>Billones</t>
  </si>
  <si>
    <r>
      <t xml:space="preserve">PERÍODO DEL ACTA CORRESPONDIENTE A: </t>
    </r>
    <r>
      <rPr>
        <b/>
        <sz val="12"/>
        <color rgb="FFFF0000"/>
        <rFont val="Arial"/>
        <family val="2"/>
      </rPr>
      <t xml:space="preserve"> Desde 1 de octubre 2022 hasta 31 de octubre de 2022 </t>
    </r>
  </si>
  <si>
    <t>Dos</t>
  </si>
  <si>
    <t>Decenas</t>
  </si>
  <si>
    <t>Tres</t>
  </si>
  <si>
    <t>Unidades</t>
  </si>
  <si>
    <t>CONTRATO DE OBRA  No.</t>
  </si>
  <si>
    <t>1380- 1518-2022</t>
  </si>
  <si>
    <t xml:space="preserve">OBJETO: </t>
  </si>
  <si>
    <t>"Contrato de obra No. 1380-1518-2022, Elaboración de los diseños y estudios técnicos, obtención de licencias de construcción en cualquiera de sus modalidades y/o licencias de urbanismo junto con los permisos y aprobaciones necesarias de obras en la Institución Educativa - IE ALBERTO SANTOFIMIO CAICEDO, sede PRINCIPAL ubicada en Ibagué Tolima, requeridos por el FFIE, en desarrollo del PLAN NACIONAL DE INFRAESTRUCTURA EDUCATIVA (PNIE)"</t>
  </si>
  <si>
    <t>Cuatro</t>
  </si>
  <si>
    <t>Miles de Millones</t>
  </si>
  <si>
    <t>Cinco</t>
  </si>
  <si>
    <t>Seis</t>
  </si>
  <si>
    <t xml:space="preserve">CONTRATISTA  :         </t>
  </si>
  <si>
    <t>CONSORCIO M Y E CANAAN FFIE</t>
  </si>
  <si>
    <t xml:space="preserve">PLAZO INICIAL                     </t>
  </si>
  <si>
    <t>:</t>
  </si>
  <si>
    <t>7 meses</t>
  </si>
  <si>
    <t>Siete</t>
  </si>
  <si>
    <t>Millones</t>
  </si>
  <si>
    <t>Ocho</t>
  </si>
  <si>
    <t xml:space="preserve">C.C.  ó  NIT        : </t>
  </si>
  <si>
    <t>901333356-4</t>
  </si>
  <si>
    <t xml:space="preserve">VR. INICIAL                  </t>
  </si>
  <si>
    <t xml:space="preserve">FECHA INICIACION               </t>
  </si>
  <si>
    <t>13 de mayo de 2022</t>
  </si>
  <si>
    <t>Nueve</t>
  </si>
  <si>
    <t>Diez</t>
  </si>
  <si>
    <t>Miles</t>
  </si>
  <si>
    <t xml:space="preserve">INTERVENTOR  :       </t>
  </si>
  <si>
    <t>CONSORCIO INTER FFIE -2020</t>
  </si>
  <si>
    <t xml:space="preserve"> ANTICIPO OBRA</t>
  </si>
  <si>
    <t>FECHA TERMINAC.INICIAL</t>
  </si>
  <si>
    <t>12 de diciembre de 2022</t>
  </si>
  <si>
    <t>Once</t>
  </si>
  <si>
    <t>Doce</t>
  </si>
  <si>
    <t>INSTITUCIÓN EDUCATIVA:</t>
  </si>
  <si>
    <t>ALBERTO SANTOFIMIO CAICEDO IBAGUE TOLIMA</t>
  </si>
  <si>
    <t xml:space="preserve">VR. ADICIONAL No. 1     </t>
  </si>
  <si>
    <t xml:space="preserve">PLAZO ADICIONAL MOD. 1              </t>
  </si>
  <si>
    <t>Trece</t>
  </si>
  <si>
    <t>Cientos</t>
  </si>
  <si>
    <t>Catorce</t>
  </si>
  <si>
    <t xml:space="preserve">VR. ADICIONAL No. 2            </t>
  </si>
  <si>
    <t xml:space="preserve">PLAZO ADICIONAL MOD. 2              </t>
  </si>
  <si>
    <t>Quince</t>
  </si>
  <si>
    <t>Dieciséis</t>
  </si>
  <si>
    <t>LLAVE INSTITUCIÓN EDUCATIVA:</t>
  </si>
  <si>
    <t>LL4-0543</t>
  </si>
  <si>
    <t xml:space="preserve">VR. FINAL                    </t>
  </si>
  <si>
    <t>TIEMPO SUSPENDIDO 1</t>
  </si>
  <si>
    <t>14 de junio de 2022</t>
  </si>
  <si>
    <t>Diecisiete</t>
  </si>
  <si>
    <t>Dieciocho</t>
  </si>
  <si>
    <t>PERIODO SUSPENDIDO</t>
  </si>
  <si>
    <t>21 DÍAS CALENDARIO</t>
  </si>
  <si>
    <t>Diecinueve</t>
  </si>
  <si>
    <t xml:space="preserve">No. DDP: </t>
  </si>
  <si>
    <t>TIEMPO SUSPENDIDO 2</t>
  </si>
  <si>
    <t>11  DÍAS CALENDARIO</t>
  </si>
  <si>
    <t>15  DÍAS CALENDARIO</t>
  </si>
  <si>
    <t>Veinte</t>
  </si>
  <si>
    <t>VALOR TOTAL PAGAR EN LA PRESENTE ACTA</t>
  </si>
  <si>
    <t xml:space="preserve">PLAZO TOTAL                    </t>
  </si>
  <si>
    <t xml:space="preserve">257 DIAS </t>
  </si>
  <si>
    <t>Veintiuno</t>
  </si>
  <si>
    <t>Veintiun</t>
  </si>
  <si>
    <t>Veintidós</t>
  </si>
  <si>
    <t xml:space="preserve">FECHA FINAL                       </t>
  </si>
  <si>
    <t>13 de febrero de 2023</t>
  </si>
  <si>
    <t>Veintitrés</t>
  </si>
  <si>
    <t>Veinticuatro</t>
  </si>
  <si>
    <t xml:space="preserve">BALANCE GENERAL ACTUALIZADO </t>
  </si>
  <si>
    <t>Veinticinco</t>
  </si>
  <si>
    <t>Veintiséis</t>
  </si>
  <si>
    <t>CONDICIONES ORIGINALES</t>
  </si>
  <si>
    <t>OBRA EJECUTADA</t>
  </si>
  <si>
    <t>Veintisiete</t>
  </si>
  <si>
    <t>Veintiocho</t>
  </si>
  <si>
    <t>ITEM</t>
  </si>
  <si>
    <t>DESCRIPCION</t>
  </si>
  <si>
    <t>UN</t>
  </si>
  <si>
    <t>CANT</t>
  </si>
  <si>
    <t>PRECIO</t>
  </si>
  <si>
    <t>VALOR</t>
  </si>
  <si>
    <t>PRESENTE ACTA</t>
  </si>
  <si>
    <t>ACUMULADO ANTERIOR</t>
  </si>
  <si>
    <t>ACUMULADO ACTUAL</t>
  </si>
  <si>
    <t>Veintinueve</t>
  </si>
  <si>
    <t>Treinta</t>
  </si>
  <si>
    <t>FASE DE ESTUDIOS Y DISEÑOS</t>
  </si>
  <si>
    <t>Cuarenta</t>
  </si>
  <si>
    <t>CANTIDAD</t>
  </si>
  <si>
    <t>VR. EJECUTADO</t>
  </si>
  <si>
    <t>% EJEC.</t>
  </si>
  <si>
    <t>Cincuenta</t>
  </si>
  <si>
    <t>ETAPA DE IMPLEMENTACION Y/O COMPLEMENTACION DE ESTUDIOS Y DISEÑOS</t>
  </si>
  <si>
    <t>Sesenta</t>
  </si>
  <si>
    <t>Revision de diseños existentes (se pagara cuando no es viable el proyecto).</t>
  </si>
  <si>
    <t>M2</t>
  </si>
  <si>
    <t>Setenta</t>
  </si>
  <si>
    <t>Proyecto Arquitectonico Y Diseños Urbanisticos.</t>
  </si>
  <si>
    <t>Ochenta</t>
  </si>
  <si>
    <t xml:space="preserve">Proyecto Estructural. </t>
  </si>
  <si>
    <t>Noventa</t>
  </si>
  <si>
    <t>Estudios Hidrosanitarios</t>
  </si>
  <si>
    <t>Cien</t>
  </si>
  <si>
    <t>Ciento</t>
  </si>
  <si>
    <t>Estudios electricos en Baja Tension, incluye iluminacion y Evaluacion de riesgo de descargas atmosfericas</t>
  </si>
  <si>
    <t>Doscientos</t>
  </si>
  <si>
    <t>Estudios electricos en Baja Tension y media tension, incluye iluminacion y Evaluacion de riesgo y diseño de proteccion contra descargas atmosfericas</t>
  </si>
  <si>
    <t>Trescientos</t>
  </si>
  <si>
    <t>Diseño de proteccion contra descargas atmosfericas Baja Tension</t>
  </si>
  <si>
    <t>Cuatrocientos</t>
  </si>
  <si>
    <t>Estudios Red De Voz Y datos, puestos de trabajo, cableado horizontal, cableado vertical y centro de telecominicaciones.</t>
  </si>
  <si>
    <t>Plan de implantación o plan de regularización y manejo (Se tomara sobre el area del predio)</t>
  </si>
  <si>
    <t>Quinientos</t>
  </si>
  <si>
    <t>Diseños electro mecanicos.</t>
  </si>
  <si>
    <t>TOTAL  ETAPA DE IMPLEMENTACION Y/O COMPLEMENTACION DE ESTUDIOS Y DISEÑOS</t>
  </si>
  <si>
    <t>Setecientos</t>
  </si>
  <si>
    <t>ETAPA DE ESTUDIOS Y DISEÑOS PARA PROYECTOS NUEVOS</t>
  </si>
  <si>
    <t>Ochocientos</t>
  </si>
  <si>
    <t>Novecientos</t>
  </si>
  <si>
    <t>TOTAL ETAPA DE ESTUDIOS Y DISEÑOS PARA PROYECTOS NUEVOS</t>
  </si>
  <si>
    <t>IMPLEMENTACIÓN PAPSO (Plan de Aplicación del Protocolo de Seguridad en la Obra)</t>
  </si>
  <si>
    <t>ETAPA DE IMPLEMENTACION PAPSO (Ver detalle en Anexo 1 PAPSO)</t>
  </si>
  <si>
    <t>COSTO VARIABLE POR ADECUACIONES (UNA VEZ)</t>
  </si>
  <si>
    <t>COSTOS CONSUMIBLES POR ELEMENTOS DE PROTECCION, DOTACIONES, PERSONAL Y TRANSPORTE POR MES</t>
  </si>
  <si>
    <t>TOTAL ETAPA DE IMPLEMENTACION PAPSO</t>
  </si>
  <si>
    <t>FASE CONSTRUCCIÓN</t>
  </si>
  <si>
    <t>PRELIMINARES</t>
  </si>
  <si>
    <t>1.1</t>
  </si>
  <si>
    <t>OBRAS PRELIMINARES</t>
  </si>
  <si>
    <t>1.1.1</t>
  </si>
  <si>
    <t xml:space="preserve">LIMPIEZA, DESCAPOTE, RETIRO SOBR. - MANUAL   H = 0,20 mts </t>
  </si>
  <si>
    <t>1.1.3</t>
  </si>
  <si>
    <t>REPLANTEO Y NIVELACIÓN DE TERRENO NATURAL</t>
  </si>
  <si>
    <t>1.1.4</t>
  </si>
  <si>
    <t>DEMOLICIONES - DESMONTES - RETIROS</t>
  </si>
  <si>
    <t>1.2</t>
  </si>
  <si>
    <t>DEMOLICIÓN DE ORINAL O LAVAMANOS CORRIDO (INC. RETIRO DE SOBR.)</t>
  </si>
  <si>
    <t>M</t>
  </si>
  <si>
    <t>1.2.1</t>
  </si>
  <si>
    <t>DEMOLICION MUROS EN BLOQUE; E = 12 cm (INC. RETIRO DE SOBR.)</t>
  </si>
  <si>
    <t>1.2.2</t>
  </si>
  <si>
    <t>DEMOLICION PAÑETES (INC. RETIRO DE SOBR.)</t>
  </si>
  <si>
    <t>1.2.3</t>
  </si>
  <si>
    <t>VARIOS - PRELIMINARES</t>
  </si>
  <si>
    <t>DESMONTE CANCHA MULTIPLE (INC. RETIRO DE SOBR.)</t>
  </si>
  <si>
    <t>2.1</t>
  </si>
  <si>
    <t>RETIRO DE SOBRANTES CARGUE TRANSPORTE Y DISPOSICION FINAL DE ESCOMBROS A SITIO AUTORIZADO</t>
  </si>
  <si>
    <t>M3</t>
  </si>
  <si>
    <t>2.1.6</t>
  </si>
  <si>
    <t>TRASIEGO CARRETILLA UNICAMENTE PARA PROYECTOS ESPECIALES AVALADOS POR LA INTERVENTORIA A UNA DISTANCIA DE 0 - 100 M.</t>
  </si>
  <si>
    <t>2.1.10</t>
  </si>
  <si>
    <t>CIMENTACION</t>
  </si>
  <si>
    <t>2.1.14</t>
  </si>
  <si>
    <t>EXCAVACIONES, RELLENOS Y REEMPLAZOS</t>
  </si>
  <si>
    <t>2.2</t>
  </si>
  <si>
    <t>EXCAVACION MANUAL EN RECEBO COMPACTADO (INC. CARGUE, TRANSPORTE Y DISPOSICION FINAL)</t>
  </si>
  <si>
    <t>2.2.4</t>
  </si>
  <si>
    <t xml:space="preserve">RELLENO EN RECEBO COMUN (Suministro, Extendido, Humedecimiento y Compactación)  </t>
  </si>
  <si>
    <t>2.2.5</t>
  </si>
  <si>
    <t>CONCRETOS PARA CIMENTACION</t>
  </si>
  <si>
    <t>2.2.6</t>
  </si>
  <si>
    <t>CONCRETO DE LIMPIEZA 1500 PSI</t>
  </si>
  <si>
    <t>2.2.7</t>
  </si>
  <si>
    <t>CONCRETO PARA VIGAS DE CIMENTACIÓN 3000 PSI</t>
  </si>
  <si>
    <t>2.2.10</t>
  </si>
  <si>
    <t>CONCRETO PARA ZAPATAS 3000 PSI</t>
  </si>
  <si>
    <t>2.2.12</t>
  </si>
  <si>
    <t>PLACA CONTRAPISO DE 10 cm - CONCRETO 3000 PSI. INCLUYE CORTE Y DILATACION</t>
  </si>
  <si>
    <t>2.3</t>
  </si>
  <si>
    <t>ACERO DE REFUERZO PARA CIMENTACION - ESTRUCTURA - MAMPOSTERIA Y OTROS</t>
  </si>
  <si>
    <t>2.3.2</t>
  </si>
  <si>
    <t>ACERO DE REFUERZO 37000 PSI</t>
  </si>
  <si>
    <t>KG</t>
  </si>
  <si>
    <t>2.3.4</t>
  </si>
  <si>
    <t>ACERO DE REFUERZO 60000 PSI</t>
  </si>
  <si>
    <t>2.3.3</t>
  </si>
  <si>
    <t>GRAFIL DE 4,0 mm A 8,5 mm</t>
  </si>
  <si>
    <t>MALLA ELECTROSOLDADA ESTÁNDAR</t>
  </si>
  <si>
    <t>2.3.6</t>
  </si>
  <si>
    <t>GROUTING CONCRETO FLUIDO</t>
  </si>
  <si>
    <t>2.5</t>
  </si>
  <si>
    <t xml:space="preserve">OBRAS DE MITIGACION Y ESTABILIZACION </t>
  </si>
  <si>
    <t>2.5.11</t>
  </si>
  <si>
    <t>CUNETA EN CONCRETO de 3,000 PSI 30*30 e=10 cm</t>
  </si>
  <si>
    <t>2.5.15</t>
  </si>
  <si>
    <t>PRADIZACION jardines (INC. TIERRA NEGRA)</t>
  </si>
  <si>
    <t>DESAGÜES E INSTALACIONES SUBTERRANEAS</t>
  </si>
  <si>
    <t>3.3</t>
  </si>
  <si>
    <t>DRENAJES</t>
  </si>
  <si>
    <t>3.3.3</t>
  </si>
  <si>
    <t>GEOTEXTIL NT 1600 (Incluye Suministro e Instalación).</t>
  </si>
  <si>
    <t>ESTRUCTURA</t>
  </si>
  <si>
    <t>4.1</t>
  </si>
  <si>
    <t>ELEMENTOS VERTICALES EN CONCRETO</t>
  </si>
  <si>
    <t>4.1.5</t>
  </si>
  <si>
    <t>PANTALLAS EN CONCRETO DE  3000 PSI</t>
  </si>
  <si>
    <t>4.3</t>
  </si>
  <si>
    <t>LOSAS DE ENTREPSIO EN CONCRETO</t>
  </si>
  <si>
    <t>4.3.11</t>
  </si>
  <si>
    <t>LOSA STEELDECK 3" CAL 22  - E = 12 cm (INC. CONCRETO 3000 PSI y MALLA ELECTROSOLDADA Ø 5mm - 15x15)</t>
  </si>
  <si>
    <t>MAMPOSTERIA</t>
  </si>
  <si>
    <t>5.1</t>
  </si>
  <si>
    <t>5.2.21</t>
  </si>
  <si>
    <t>MURO EN LADRILLO ESTRUCTURAL  E=15 CM. NO INCLUYE REFUERZO</t>
  </si>
  <si>
    <t>5.2</t>
  </si>
  <si>
    <t>VARIOS - MAMPOSTERIA</t>
  </si>
  <si>
    <t>5.6.1</t>
  </si>
  <si>
    <t>BORDILLO PARA ASEOS. H = 0.40 M</t>
  </si>
  <si>
    <t>5.4</t>
  </si>
  <si>
    <t>ELEMENTOS ESTRUCTURALES Y NO ESTRUCTURALES</t>
  </si>
  <si>
    <t>5.4.1</t>
  </si>
  <si>
    <t>ANCLAJE PARA REFORZAMIENTO EN CONCRETO Y EPOXICO PARA Ø 3/8" - 9 cm. DE PROFUNDIDAD ESTÁNDAR (PERFORACIÓN - LIMPIEZA - EPÓXICO)</t>
  </si>
  <si>
    <t>CM</t>
  </si>
  <si>
    <t>5.4.2</t>
  </si>
  <si>
    <t>ANCLAJE PARA REFORZAMIENTO EN CONCRETO Y EPOXICO PARA Ø 1/2" - 11 cm. DE PROFUNDIDAD ESTÁNDAR (PERFORACIÓN - LIMPIEZA - EPÓXICO)</t>
  </si>
  <si>
    <t>PREFABRICADOS EN CONCRETO Y OTROS</t>
  </si>
  <si>
    <t>6.1</t>
  </si>
  <si>
    <t>ELEMENTOS PREFABRICADOS EN CONCRETO</t>
  </si>
  <si>
    <t>6.1.1</t>
  </si>
  <si>
    <t>BORDILLO PREFABRICADO EN CONCRETO A - 50</t>
  </si>
  <si>
    <t>6.1.4</t>
  </si>
  <si>
    <t>ALFAJIAS EN CONCRETO 0,15 M INC. GOTERO</t>
  </si>
  <si>
    <t>6.1.6</t>
  </si>
  <si>
    <t>DINTEL CONCRETO 0,15M X 0,10 M</t>
  </si>
  <si>
    <t>6.2</t>
  </si>
  <si>
    <t>ELEMENTOS CONCRETO FUNDIDOS SITIO</t>
  </si>
  <si>
    <t>6.2.5</t>
  </si>
  <si>
    <t>MESONES EN CONCRETO DE 60 cm</t>
  </si>
  <si>
    <t>PAÑETES</t>
  </si>
  <si>
    <t>PAÑETES SOBRE MUROS</t>
  </si>
  <si>
    <t>9.1.1</t>
  </si>
  <si>
    <t>FILOS Y DILATACIONES</t>
  </si>
  <si>
    <t>9.1.2</t>
  </si>
  <si>
    <t xml:space="preserve">PAÑETE IMPERMEABILIZADO S/MUROS 1:3. </t>
  </si>
  <si>
    <t>9.1.4</t>
  </si>
  <si>
    <t xml:space="preserve">PAÑETE LISO CULATAS 1:3  </t>
  </si>
  <si>
    <t>9.1.7</t>
  </si>
  <si>
    <t xml:space="preserve">PAÑETE LISO SOBRE MUROS 1:4  </t>
  </si>
  <si>
    <t>9.1.9</t>
  </si>
  <si>
    <t xml:space="preserve">PAÑETE RUSTICO SOBRE MUROS 1:5 </t>
  </si>
  <si>
    <t>acta 1</t>
  </si>
  <si>
    <t>acta 2</t>
  </si>
  <si>
    <t>acta 3</t>
  </si>
  <si>
    <t>acta 4</t>
  </si>
  <si>
    <t>acta 5</t>
  </si>
  <si>
    <t>acta 6</t>
  </si>
  <si>
    <t>acta 7</t>
  </si>
  <si>
    <t xml:space="preserve">PISOS </t>
  </si>
  <si>
    <t>BASES PISOS Y AFINADOS</t>
  </si>
  <si>
    <t>10.1.1</t>
  </si>
  <si>
    <t>AFINADO ENDURECIDO MORTERO 1:3 H=4</t>
  </si>
  <si>
    <t>m2</t>
  </si>
  <si>
    <t>10.1.2</t>
  </si>
  <si>
    <t>AFINADO IMPERMEABILIZADO MORTERO 1:3 H=4</t>
  </si>
  <si>
    <t>ACABADOS PISOS</t>
  </si>
  <si>
    <t>10.2.9</t>
  </si>
  <si>
    <t>BALDOSIN GRANITO BH-5 DE 33x33 MORTERO 1:4 - (INCLUYE JUNTA DE DILATACION, DESTRONQUE, PULIDA Y BRILLADA)</t>
  </si>
  <si>
    <t>10.2.33</t>
  </si>
  <si>
    <t>SUMINISTRO E INSTALACION DE BALDOSA CERAMICA ANTIDESLIZANTE EN DUROPISO 30X30.</t>
  </si>
  <si>
    <t>GUARDAESCOBAS</t>
  </si>
  <si>
    <t>10.3.12</t>
  </si>
  <si>
    <t>MEDIACAÑA EN GRANITO H = 0.10 m (COCINA)</t>
  </si>
  <si>
    <t>10.5</t>
  </si>
  <si>
    <t>CENEFAS, DILATACIONES Y PIRLANES</t>
  </si>
  <si>
    <t>10.5.2</t>
  </si>
  <si>
    <t>CENEFAS EN GRANITO PULIDO DE 0.25 (BOCAPUERTAS)</t>
  </si>
  <si>
    <t>10.5.4</t>
  </si>
  <si>
    <t>PIRLAN DE ALUMINIO</t>
  </si>
  <si>
    <t xml:space="preserve">CUBIERTAS E IMPERMEABILIZACIONES </t>
  </si>
  <si>
    <t>IMPERMEABILIZACIONES Y AISLAMIENTOS</t>
  </si>
  <si>
    <t>11.1.1</t>
  </si>
  <si>
    <t>AFINADO CUBIERTAS PLANAS MORTERO 1:3 IMPERMEABILIZADO. INCLUYE PENDIENTADO Y REMATES</t>
  </si>
  <si>
    <t>11.1.3</t>
  </si>
  <si>
    <t>IMPERMEABILIZACION CANALES MANTO ASFALTICO Y FOIL ALUMINIO</t>
  </si>
  <si>
    <t>11.1.5</t>
  </si>
  <si>
    <t>MEDIA CAÑA MORTERO DE PENDIENTE</t>
  </si>
  <si>
    <t>11.2</t>
  </si>
  <si>
    <t>CUBIERTAS</t>
  </si>
  <si>
    <t>11.2.18</t>
  </si>
  <si>
    <t>SUMINISTRO E INSTALACION DE ESTRUCTURA METALICA PARA CUBIERTAS. NORMA NSR10 TITULO F. PERFILERIA ASTM A572 GR50 Y ASTM A37. SOLDADURA E70XX. INC CERCHAS, CORREAS, TENSORES, ANCLAJES Y ACCESORIOS, LIMPIEZA SSPC-SP3, PINTURA ANTICORROSIVA 3 MILS Y ACABADO ESMALTE ALQUIDICO 3 MILS</t>
  </si>
  <si>
    <t>11.2.22</t>
  </si>
  <si>
    <t>SUMINISTRO E INSTALACION DE CUBIERTA TERMOACUSTICA UPVC BLANCO - BLANCO CON FIBRA DE CARBONO DE 2,5 MM COLOR A DEFINIR</t>
  </si>
  <si>
    <t>ACCESORIOS Y OTROS</t>
  </si>
  <si>
    <t>11.3.8</t>
  </si>
  <si>
    <t xml:space="preserve">FLANCHE LAMINA GALVANIZADA CL. 20  -  DS=30 cm. </t>
  </si>
  <si>
    <t xml:space="preserve">CARPINTERIA DE METÁLICA </t>
  </si>
  <si>
    <t>CARPINTERIA EN ALUMINIO</t>
  </si>
  <si>
    <t>12.1.1</t>
  </si>
  <si>
    <t>SUMINISTRO E INSTALACION DE VENTANERIA DE ALUMINIO, TIPO CORREDIZA, PERFIL EXTRUIDO, ACABADO ANODIZADO, VIDRIO DE SEGURIDAD, NORMA NSR10 K.4.2 Y K.4.3. INCLUYE EMPAQUES, SELLOS, ANCLAJES Y ACCESORIOS</t>
  </si>
  <si>
    <t>CARPINTERÍA EN LAMINA</t>
  </si>
  <si>
    <t>12.2.2</t>
  </si>
  <si>
    <t>SUMINISTRO E INSTALACION DE MARCOS PUERTAS LAMINA C.R. C18 - 2,00 X 0,80 M. INCLUYE ANTICORROSIVO, ESMALTE, ANCLAJE, BISAGRAS TIPO PESADO Y CARGUE EN MORTERO</t>
  </si>
  <si>
    <t>12.2.3</t>
  </si>
  <si>
    <t>SUMINISTRO E INSTALACION DE MARCOS PUERTAS LAMINA C.R. C18 - 2,00 X 0,90 M. INCLUYE ANTICORROSIVO, ESMALTE, ANCLAJE, BISAGRAS TIPO PESADO Y CARGUE EN MORTERO</t>
  </si>
  <si>
    <t>12.2.6</t>
  </si>
  <si>
    <t>SUMINISTRO E INSTALACIÓN DE PUERTA METÁLICA ENTAMBORADA LAMINA C.R. C18 (ANTIC - ESMALTE)</t>
  </si>
  <si>
    <t>12.2.15</t>
  </si>
  <si>
    <t>BARANDA METALICA CORREDORES DE CIRCULACION, TUBO CIRCULAR EN ACERO GALVANIZADO DE 2" INCLINADO HACIA EL INTERIOR ANCLADA A BORDILLO DE CONCRETO CON PLATINAS DE 0,17 CM X 0,20 CM DE ACERO DE 1/4" Y CHAZO DE ANCLAJE DE 3/8" X 3" CON PLATINAS DE HIERRO LATERALES DE 3/8" X 2" Y PLATINAS INTERNAS DE 1/4" X 1 1/2"  TUBO INTERNO EN ACERO DE 1 1/2" DOS MANOS DE ANTICORROSIVO Y ACABADO EN PINTURA ESMALTE</t>
  </si>
  <si>
    <t>12.2.16</t>
  </si>
  <si>
    <t>PASAMANOS METALICO TUBO ESTRUCTURAL 1 1/2" 2.5 MM. INCLUYE ANCLAJES Y ACCESORIOS</t>
  </si>
  <si>
    <t>ENCHAPES</t>
  </si>
  <si>
    <t>ENCHAPE SOBRE MUROS</t>
  </si>
  <si>
    <t>14.1.1</t>
  </si>
  <si>
    <t>ENCHAPE PARED EGEO 20.5 X 20.5(inc win y remate en aluminio)</t>
  </si>
  <si>
    <t>14.1.9</t>
  </si>
  <si>
    <t>JUEGO DE INCRUSTACIONES - LINEA ESPACIO CORONA O EQUIVALENTE</t>
  </si>
  <si>
    <t>JG</t>
  </si>
  <si>
    <t>ENCHAPE SOBRE MESONES</t>
  </si>
  <si>
    <t>14.2.3</t>
  </si>
  <si>
    <t>GRANITO PULIDO MESONES LABORATORIOS -  B =  60 cm.</t>
  </si>
  <si>
    <t>14.2.5</t>
  </si>
  <si>
    <t>GRANITO PULIDO MESONES  B = 60 cm INCLUYE SALPICADERO Y FALDÓN</t>
  </si>
  <si>
    <t>APARATOS SANITARIOS Y ACCESORIOS</t>
  </si>
  <si>
    <t>APARATOS SANITARIOS</t>
  </si>
  <si>
    <t>16.1.2</t>
  </si>
  <si>
    <t>DUCHA CALYPSO MEZCLADOR (SUM E INSTALACION)</t>
  </si>
  <si>
    <t>16.1.19</t>
  </si>
  <si>
    <t>LAVAMANOS BLANCO ACUACER  (SUM E INSTALACION)</t>
  </si>
  <si>
    <t>16.1.25</t>
  </si>
  <si>
    <t>ORINAL MEDIANO DE COLGAR INSTITUCIONAL COLOR BLANCO P´CONEXIÓN Ø 5/8" REF 21-AA-8860 MANCESA O SIMILAR.</t>
  </si>
  <si>
    <t>16.1.31</t>
  </si>
  <si>
    <t xml:space="preserve">SUMINISTRO E INSTALACIÓN SANITARIO DE TANQUE AVANTI </t>
  </si>
  <si>
    <t>16.1.35</t>
  </si>
  <si>
    <t>POCETA ACERO INOX. 35x40 + GRIFERIA (SUM E INSTALACION)</t>
  </si>
  <si>
    <t>ACCESORIOS</t>
  </si>
  <si>
    <t>16.2.1</t>
  </si>
  <si>
    <t>BARRAS AYUDA MINUSVALIDOS (SUM E INSTALACION)</t>
  </si>
  <si>
    <t>OTROS - APARATOS SANITARIOS Y ACCESORIOS</t>
  </si>
  <si>
    <t>16.3.2</t>
  </si>
  <si>
    <t>LLAVE MANGUERA 1/2" (SUM E INSTALACION)</t>
  </si>
  <si>
    <t>APARATOS SANITARIOS Y ACCESORIOS - ANTIVANDÁLICOS TIPO PUSH (SUM E INSTALACION)</t>
  </si>
  <si>
    <t>16.4.1</t>
  </si>
  <si>
    <t>SANITARIO INSTITUCIONAL PARA DISCAPACITADOS COLOR BLANCO P´CONEXIÓN SUPERIOR REF 21-AA-2640 MANCESA O SIMILAR</t>
  </si>
  <si>
    <t>16.4.6</t>
  </si>
  <si>
    <t>SISTEMA DE ACCIONAMIENTO ANTIVANDALICO ALTA PRESION P/ORINAL DE COLGAR, DOCOL O  SIMILAR (INC. VÁLVULA DE DESCARGA, BOTON DE ACCIONAMIENTO ANTIVANDALICO Y ACCESORIOS PARA CONEXIÓN POSTERIOR)</t>
  </si>
  <si>
    <t>16.4.8</t>
  </si>
  <si>
    <t>GRIFERIA ANTIVANDALICA PARA LAVAMANOS PICO LARGO TIPO PUSH, CONEXION Ø 3/4" O 1/2", 24-AA-142006 DOCOL O SIMILAR.</t>
  </si>
  <si>
    <t>16.4.11</t>
  </si>
  <si>
    <t>KIT VÁLVULA DE DESCARGA ANTIVANDÁLICA  ALTA PRESIÓN PARA SANITARIO DE CONEXIÓN SUPERIOR, BOTÓN DE ACCIONAMIENTO CON PALANCA PARA DISCAPACITADOS, SIN TORNILLOS A LA VISTA, METÁLICO CROMADO IMPORTADO, REF 4-AA-880 DOCOL O  SIMILAR.</t>
  </si>
  <si>
    <t>16.4.13</t>
  </si>
  <si>
    <t>LAVAMANOS DE SOBREPONER MARSELLA BLANCO TIPO CORONA O SIMILAR</t>
  </si>
  <si>
    <t>16.4.14</t>
  </si>
  <si>
    <t>LAVAOJOS DE EMERGENCIA DE SOBREPONER EN LA PARED, RECIPIENTE A.B.S. DE INGENIERÍA RESISTENTE A QUÍMICOS, DE ACCIONAMIENTO MANUAL CON DESAGUE Y SIFÓN CROMADOS , SUMINISTRO Ø 1/2", PRESIÓN ENTRE 40 y 60 PSI  - REF 12-AA-7260-BT DOCOL O  SIMILAR.</t>
  </si>
  <si>
    <t>CIELORASOS Y DIVISIONES</t>
  </si>
  <si>
    <t>17.2.1</t>
  </si>
  <si>
    <t>DIVISIONES PARA BAÑOS EN ACERO INOXIDABLE</t>
  </si>
  <si>
    <t>PINTURA</t>
  </si>
  <si>
    <t>PINTURA SOBRE MAMPOSTERIA</t>
  </si>
  <si>
    <t>18.1.3</t>
  </si>
  <si>
    <t>ESTUCO SOBRE PAÑETE</t>
  </si>
  <si>
    <t>18.1.4</t>
  </si>
  <si>
    <t>PINTURA EN VINILO TIPO 1 MUROS INTERIORES 3 MANOS</t>
  </si>
  <si>
    <t>PINTURA SOBRE METAL</t>
  </si>
  <si>
    <t>18.2.2</t>
  </si>
  <si>
    <t>ANTICORROSIVO S/LAMINA LINEAL</t>
  </si>
  <si>
    <t>18.2.5</t>
  </si>
  <si>
    <t>ESMALTE  S/ MARCOS LAMINA</t>
  </si>
  <si>
    <t>VARIOS - PINTURA</t>
  </si>
  <si>
    <t>18.4.3</t>
  </si>
  <si>
    <t xml:space="preserve">DEMARCACIÓN CON PINTURA TRÁFICO VEHICULAR CANCHA MÚLTIPLE </t>
  </si>
  <si>
    <t>18.4.10</t>
  </si>
  <si>
    <t>SUMINISTRO E INSTALACION DE PINTURA EPOXICA PARA PISOS, MUROS Y TECHOS INCLUYE PREPARACION DE SUPERFICIE Y PRIMER DE ADHERENCIA</t>
  </si>
  <si>
    <t>CERRADURAS Y VIDRIOS</t>
  </si>
  <si>
    <t>CERRADURAS</t>
  </si>
  <si>
    <t>19.1.5</t>
  </si>
  <si>
    <t>CERRADURA PUERTAS ACCESO PRINCIPAL</t>
  </si>
  <si>
    <t>19.1.6</t>
  </si>
  <si>
    <t>SUMINISTRO E INSTALACIÓN DE CERRADURA CILÍNDRICA DE POMO METÁLICO GRADO 2 FUNCIÓN AULA, (POMO INTERIOR SIEMPRE ACTIVO, POMO EXTERIOR SE ACTIVA CON LA LLAVE.) CON AMAESTRAMIENTO SEGÚN ESPECIFICACIÓN. REFERENCIA YALE  LF 5308 O EQUIVALENTE</t>
  </si>
  <si>
    <t>19.1.13</t>
  </si>
  <si>
    <t>CERRADURA SCHLAGE OFICINA A-50 PD</t>
  </si>
  <si>
    <t>19.1.10</t>
  </si>
  <si>
    <t>CERRADURA SCHLAGE BAÑO A-40 S</t>
  </si>
  <si>
    <t>VIDRIOS Y ESPEJOS</t>
  </si>
  <si>
    <t>19.3.1</t>
  </si>
  <si>
    <t>ESPEJO CRISTAL 4 mm - BISELADO 2 cm</t>
  </si>
  <si>
    <t>19.3.2</t>
  </si>
  <si>
    <t>INSTALACION ESPEJOS (M.O.)</t>
  </si>
  <si>
    <t>OBRAS COMPLEMENTARIAS COMPROMETIDAS</t>
  </si>
  <si>
    <t xml:space="preserve">     </t>
  </si>
  <si>
    <t>CERRAMIENTOS Y MOBILIARIO URBANO</t>
  </si>
  <si>
    <t>20.3.1</t>
  </si>
  <si>
    <t>CERRAMIENTO TUBO Y MALLA ONDULADA</t>
  </si>
  <si>
    <t>20.3.5</t>
  </si>
  <si>
    <t xml:space="preserve">CERRAMIENTO TIPICO S.E.D.  INC. CIMENTACIÓN (S/DISEÑO AJUSTADO 2006 - VER PLANOS E IMÁGENES) INCLUYE EXCAVACION, RETIRO DE SOBRANTES Y LOCALIZACION H= 2.40 </t>
  </si>
  <si>
    <t>20.3.4</t>
  </si>
  <si>
    <t>PORTON EN  TUBO Y MALLA ONDULADA</t>
  </si>
  <si>
    <t>20.3.7</t>
  </si>
  <si>
    <t xml:space="preserve">ESTRUCTURA TOTAL PARA CANCHA MÚLTIPLE BALONCESTO - MICROFUTBOL - VOLEIBOL - ÁREA = 32,00 x 18,50 (INC. LOCALIZACIÓN Y REPLANTEO, EXCAVACIÓN MECÁMICA Y RETIRO, SUB-BASE B-400, ACERO DE TRANSMISIÓN DE ESFUERZOS, MALLA 15x15 Ø 5 mm., PLACA CONCRETO 3000 PSI </t>
  </si>
  <si>
    <t>ASEO Y VARIOS</t>
  </si>
  <si>
    <t>ASEO Y LIMPIEZA</t>
  </si>
  <si>
    <t>21.1.1</t>
  </si>
  <si>
    <t>ASEO GENERAL</t>
  </si>
  <si>
    <t>21.1.15</t>
  </si>
  <si>
    <t>CARCAMO EN CONCRETO 3000 PSI (INTERIOR 60 x 20 CM). INCLUYE REJILLA PREFABRICADA</t>
  </si>
  <si>
    <t>21.1.4</t>
  </si>
  <si>
    <t>CARGUE Y RETIRO DE ESCOMBROS Y/O MATERIAL DE EXCAVACIÓN</t>
  </si>
  <si>
    <t>21.1.5</t>
  </si>
  <si>
    <t>LIMPIEZA DE CANALES Y BAJANTES</t>
  </si>
  <si>
    <t>21.1.6</t>
  </si>
  <si>
    <t>SONDEO Y REVISIÓN DE DESAGUES</t>
  </si>
  <si>
    <t>21.1.7</t>
  </si>
  <si>
    <t xml:space="preserve">LIMPIEZA DE CAJAS DE INSPECCIÓN </t>
  </si>
  <si>
    <t>RECUPERACION DE ESTRUCTURAS DE CONCRETO</t>
  </si>
  <si>
    <t>25.8.6</t>
  </si>
  <si>
    <t>PUENTE DE ADHERENCIA PARA LA PEGA DE CONCRETO FRESCO A CONCRETO ENDURECIDO</t>
  </si>
  <si>
    <t>OBRAS COMPLEMENTARIAS (Ver detalle en Anexo Acta Complementaria)</t>
  </si>
  <si>
    <t>27.1</t>
  </si>
  <si>
    <t>Diseño de obras complementarias</t>
  </si>
  <si>
    <t>27.2</t>
  </si>
  <si>
    <t>Ejecución de obras complementarias</t>
  </si>
  <si>
    <t>OBRAS DE MEJORAMIENTO (Ver detalle en Anexo Obras mejoramiento)</t>
  </si>
  <si>
    <t>28.1</t>
  </si>
  <si>
    <t>Ejecución de obras de mejoramiento</t>
  </si>
  <si>
    <t>COSTO DIRECTO FASE DE CONSTRUCCIÓN</t>
  </si>
  <si>
    <t>OBRAS NO PREVISTAS</t>
  </si>
  <si>
    <t>OBRAS NO PREVISTAS EJECUTADA</t>
  </si>
  <si>
    <t>NP-2</t>
  </si>
  <si>
    <t>VIGA CINTA DE CONFINAMIENTO MAMPOSTERIA 0,15 MTS X 0,10 MTS</t>
  </si>
  <si>
    <t>ML</t>
  </si>
  <si>
    <t>NP-3</t>
  </si>
  <si>
    <t>RESANES MUROS (INCLUYE RASQUETEO O RETIRO  DE SUPERFICIE Y NIVELACION)</t>
  </si>
  <si>
    <t>NP-4</t>
  </si>
  <si>
    <t>PISO EN TABLON DE 30 X 30 CM TIPO SAHARA O EQUIVALENTE INCLUYE MATERIAL DE PEGA</t>
  </si>
  <si>
    <t>NP-5</t>
  </si>
  <si>
    <t xml:space="preserve">GUARDAESCOBA EN GRESS TIPO SAHARA </t>
  </si>
  <si>
    <t>NP-6</t>
  </si>
  <si>
    <t>CIELO RASO PLANO BLANCO EN LAMINA DE DRYWALL RESISTENTE AL FUEGO (RF)E:6MMINCLUYE ARMADURA DE SOPORTE REMATES BOCELES)</t>
  </si>
  <si>
    <t>NP-7</t>
  </si>
  <si>
    <t>MEDIA CAÑA EN PERFIL PVC 9CMS</t>
  </si>
  <si>
    <t>NP-8</t>
  </si>
  <si>
    <t>REPARACION DE SUPERFICIE CON RECONSTRUCCION DE FILOS(INCLUYE ESCARIFICACION ,APLICACIÓN DE MEZCLA:INVERCRYL-ESTUCO-PEGACOR-YESO Y DISPOSICION DE MATERIAL</t>
  </si>
  <si>
    <t>NP-9</t>
  </si>
  <si>
    <t>GRANIPLAST FACHADAS</t>
  </si>
  <si>
    <t xml:space="preserve">MAYORES CANTIDADES </t>
  </si>
  <si>
    <t>OBRAS MAYORES CANTIDADES EJECUTADA</t>
  </si>
  <si>
    <t>1.3.7</t>
  </si>
  <si>
    <t>1.3.12</t>
  </si>
  <si>
    <t>1.4.2</t>
  </si>
  <si>
    <t>VALOR  COSTO DIRECTO OBRA</t>
  </si>
  <si>
    <t>ADMINISTRACION</t>
  </si>
  <si>
    <t>(</t>
  </si>
  <si>
    <t xml:space="preserve">  )</t>
  </si>
  <si>
    <t>IMPREVISTOS.</t>
  </si>
  <si>
    <t>UTILIDAD.</t>
  </si>
  <si>
    <t>IVA SOBRE UTILIDAD</t>
  </si>
  <si>
    <t>VALOR TOTAL  OBRA</t>
  </si>
  <si>
    <t>VALOR  COSTO DIRECTO ESTUDIOS Y DISEÑOS</t>
  </si>
  <si>
    <t xml:space="preserve">I.        V.          A.                                                (  </t>
  </si>
  <si>
    <t>VALOR TOTAL  ESTUDIOS Y DISEÑOS</t>
  </si>
  <si>
    <t>VALOR  COSTO DIRECTO IMPLEMENTACIÓN PAPSO</t>
  </si>
  <si>
    <t>VALOR TOTAL IMPLEMENTACIÓN PAPSO</t>
  </si>
  <si>
    <t>VALOR TOTAL  ESTUDIOS , DISEÑOS , PAPSO,  Y OBRA</t>
  </si>
  <si>
    <t xml:space="preserve">VALOR AJUSTE AL PESO </t>
  </si>
  <si>
    <t>VALOR TOTAL  ESTUDIOS , DISEÑOS  Y OBRA AJUSTADA AL PESO</t>
  </si>
  <si>
    <t>AMORTIZACION DEL ANTICIPO                       (</t>
  </si>
  <si>
    <t>VALOR TOTAL ACTA</t>
  </si>
  <si>
    <t>PORCENTAJE EJECUTADO PRESENTE ACTA</t>
  </si>
  <si>
    <t>VALOR A PAGAR AJUSTADO AL PESO</t>
  </si>
  <si>
    <t>SALDO DEL CONTRATO</t>
  </si>
  <si>
    <t>SALDO POR AMORTIZAR</t>
  </si>
  <si>
    <t xml:space="preserve"> RESUMEN PRESENTE ACTA POR TIPOS DE PAGO</t>
  </si>
  <si>
    <t>No.</t>
  </si>
  <si>
    <t>TIPO DE PAGO</t>
  </si>
  <si>
    <t>CONCEPTO</t>
  </si>
  <si>
    <t>VALOR CONCEPTO</t>
  </si>
  <si>
    <t>VALOR AIU</t>
  </si>
  <si>
    <t>VALOR FACTURADO</t>
  </si>
  <si>
    <t>AMORTIZACION ANTICIPO</t>
  </si>
  <si>
    <t>TOTAL A PAGAR</t>
  </si>
  <si>
    <t>B-OBRA - PRIMER PAGO ESTUDIOS Y DISEÑOS 90%</t>
  </si>
  <si>
    <t>18232020005-B-ESTUDIOS Y DISEÑOS TÉCNICOS</t>
  </si>
  <si>
    <t>B-OBRA - AVANCE F2 90%</t>
  </si>
  <si>
    <t>51909501226-B-IMPLEMENTACIÓN PAPSO</t>
  </si>
  <si>
    <t>18231501036-B-OBRA - AVANCE F2 90%</t>
  </si>
  <si>
    <t>B-OBRA - LIQUIDACIÓN F2 10%</t>
  </si>
  <si>
    <t>18231501037-B-OBRA - LIQUIDACIÓN F2 10%</t>
  </si>
  <si>
    <t>TOTALES</t>
  </si>
  <si>
    <t>Obras complementarias</t>
  </si>
  <si>
    <t>Diseño Obras complementarias</t>
  </si>
  <si>
    <t>Obras de Mejoramiento</t>
  </si>
  <si>
    <t>Ejecución de obras de Mejoramiento</t>
  </si>
  <si>
    <t>HECTOR ADALBERTO ORDOÑEZ ORTIZ</t>
  </si>
  <si>
    <t>GERMAN ALFREDO BAZZANI PRADERE</t>
  </si>
  <si>
    <t>REPRESENTANTE LEGAL</t>
  </si>
  <si>
    <t>CONSORCIO  M&amp;E CANAAN FFIE</t>
  </si>
  <si>
    <t>CONSORCIO  INTERFFIE -  2020</t>
  </si>
  <si>
    <t>SUMINISTRO E INSTALACION BANDEJA PORTACABLES TIPO DUCTO CERRADO, EN PINTURA ELECTROSTATICA 20 x  8 CON DIVISION INCLUYE ACCESORIOS CON PINTURA ELECTROSTATICA CON DIVISION INCLUYE TAPA, SOPORTERIA, FIJACIONES Y ACCESORIOS</t>
  </si>
  <si>
    <t>Por favor diligencie la información correspondiente a las obras complementarias incluidas en el acta parcial de obra</t>
  </si>
  <si>
    <t>COSTO DIRECTO OBRAS COMPLEMENTARIAS</t>
  </si>
  <si>
    <t>Por favor diligencie la información correspondiente a las obrasde mejoramiento incluidas en el acta parcial de obra</t>
  </si>
  <si>
    <t>COSTO DIRECTO OBRAS DE MEJORAMIENTO</t>
  </si>
  <si>
    <t>ANEXO No. 1</t>
  </si>
  <si>
    <t>NUMERO DE PERSONAS</t>
  </si>
  <si>
    <t>NUMERO DE MESES</t>
  </si>
  <si>
    <t>Departamento 13- RISARALDA</t>
  </si>
  <si>
    <t xml:space="preserve">POR CADA PERSONA SE PAGARA </t>
  </si>
  <si>
    <t>COSTO FIJO POR ELEMENTOS DE PROTECCION, DOTACIONES, PERSONAL Y TRANSPORTE POR MES</t>
  </si>
  <si>
    <t>COSTO FIJO POR ELEMENTOS DE PROTECCION, DOTACIONES, PERSONAL Y TRANSPORTE POR NUMERO DE MESES</t>
  </si>
  <si>
    <t xml:space="preserve">COSTO VARIABLE  POR ADECUACIONES  </t>
  </si>
  <si>
    <t>VALOR TOTAL POR IMPLEMENTACION DEL PROTOCOLO COVID</t>
  </si>
  <si>
    <t xml:space="preserve"># </t>
  </si>
  <si>
    <t xml:space="preserve">DESCRIPCIÓN </t>
  </si>
  <si>
    <t>UNIDAD DE MEDIDA</t>
  </si>
  <si>
    <t>CANTIDAD TOTAL/MESES</t>
  </si>
  <si>
    <t>VALOR UNIDAD</t>
  </si>
  <si>
    <t xml:space="preserve">VALOR MENSUAL </t>
  </si>
  <si>
    <t xml:space="preserve">ELEMENTOS DE DESINFECCIÓN </t>
  </si>
  <si>
    <t xml:space="preserve">JABON LÍQUIDO  ANTIBACTERIAL </t>
  </si>
  <si>
    <t>LITRO</t>
  </si>
  <si>
    <t xml:space="preserve">DESINFECTANTE </t>
  </si>
  <si>
    <t xml:space="preserve">LITRO </t>
  </si>
  <si>
    <t xml:space="preserve">GEL ANTIBACTERIAL </t>
  </si>
  <si>
    <t xml:space="preserve">ALCOHOL GLICERINADO </t>
  </si>
  <si>
    <t>GALON</t>
  </si>
  <si>
    <t>SUMINISTRO DE AGUA</t>
  </si>
  <si>
    <t>MES</t>
  </si>
  <si>
    <t>TOALLAS DESECHABLES PAQUETE DE 3 X 150 H0JAS</t>
  </si>
  <si>
    <t>PAQUETE</t>
  </si>
  <si>
    <t xml:space="preserve">MEZCLA DE HIPOCLORITO </t>
  </si>
  <si>
    <t>LAVADO Y DESINFECCIÓN DE AREAS DE TRABAJO</t>
  </si>
  <si>
    <t xml:space="preserve">SUB TOTAL </t>
  </si>
  <si>
    <t>DOTACIONES EPPs</t>
  </si>
  <si>
    <t>TAPABOCAS LAVABLES (20 lavadas, entregan 6 por persona)</t>
  </si>
  <si>
    <t>UNIDAD</t>
  </si>
  <si>
    <t>GUANTES DE NITRILO CAJA POR 100</t>
  </si>
  <si>
    <t>ACTIVIDADES DE SEGUIMIENTO</t>
  </si>
  <si>
    <t>EJECUCION DE LAS ACTIVIDADES PARA LA CORRECTA IMPLEMENTACION DE CONTROL Y VIGILANCIA DE MEDIDAS DE PREVENCION DURANTE EL TRABAJO, DE CONFORMIDAD CON EL DECRETO 684 Y 666. INCLUYE EL PERSONAL NECESARIO PARA EL CUMPLIMIENTO DE LAS MISMAS</t>
  </si>
  <si>
    <t>UN/MES</t>
  </si>
  <si>
    <t xml:space="preserve">TRANSPORTE </t>
  </si>
  <si>
    <t xml:space="preserve">DISPOSICIÓN FINAL DE RESIDUOS SOLIDOS </t>
  </si>
  <si>
    <t>TOTAL COSTO MENSUAL POR ELEMENTOS DE DESINFECCION, DOTACIONES, ACTIVIDADES DE SEGUIMIENTO Y TRANSPORTE</t>
  </si>
  <si>
    <t xml:space="preserve">ADECUACIONES (UNA SOLA VEZ) </t>
  </si>
  <si>
    <t>TERMOMETRO  INFRAROJO</t>
  </si>
  <si>
    <t xml:space="preserve">LAVAMANOS  PORTATIL EN AREAS DE TRABAJO FABRICADOS </t>
  </si>
  <si>
    <t>MECANISMO DE RESPUESTA ANTE LA PRESUNTA OCURRENCIA DE CASO DE COVID. ELEMENTOS DE PROTECCION ADICIONALES PARA EL ASEGURAMIENTO DE LA OBRA</t>
  </si>
  <si>
    <t>GLB</t>
  </si>
  <si>
    <t>ADECUACION DE ZONAS DE DESINFECCIÓN ENTRADA Y SALIDA DE LOS TRABAJADORES.</t>
  </si>
  <si>
    <t xml:space="preserve">SEÑALIZACIÓN INTERNA Y EXTERNA </t>
  </si>
  <si>
    <t xml:space="preserve">CANECAS DE PEDAL </t>
  </si>
  <si>
    <t xml:space="preserve">ASPERSORA DE DESINFECCIÓN PARA ESPACIOS </t>
  </si>
  <si>
    <t xml:space="preserve">DOTACIÓN EPPs </t>
  </si>
  <si>
    <t>DOTACIÓN DE UNIFORMES</t>
  </si>
  <si>
    <t>TOTAL COSTO POR ADECUACIONES (UNA SOLA VEZ)</t>
  </si>
  <si>
    <t xml:space="preserve"> </t>
  </si>
  <si>
    <t>TIPO PAGO ESTUDIOS Y DISEÑOS</t>
  </si>
  <si>
    <t>B-OBRA - PRIMER PAGO ESTUDIOS Y DISEÑOS 50%</t>
  </si>
  <si>
    <t>B-OBRA - SEGUNDO PAGO ESTUDIOS Y DISEÑOS 50%</t>
  </si>
  <si>
    <t>B-OBRA - SEGUNDO PAGO ESTUDIOS Y DISEÑOS 40%</t>
  </si>
  <si>
    <t>B-OBRA - PAGO FINAL ESTUDIOS Y DISEÑOS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</si>
</sst>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8">
    <numFmt numFmtId="41" formatCode="_-* #,##0\ _€_-;\-* #,##0\ _€_-;_-* &quot;-&quot;\ _€_-;_-@_-"/>
    <numFmt numFmtId="43" formatCode="_-* #,##0.00\ _€_-;\-* #,##0.00\ _€_-;_-* &quot;-&quot;??\ _€_-;_-@_-"/>
    <numFmt numFmtId="164" formatCode="_-* #,##0_-;\-* #,##0_-;_-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&quot;$&quot;\ #,##0.00"/>
    <numFmt numFmtId="168" formatCode="_-&quot;$&quot;* #,##0_-;\-&quot;$&quot;* #,##0_-;_-&quot;$&quot;* &quot;-&quot;_-;_-@_-"/>
    <numFmt numFmtId="169" formatCode="0_)"/>
    <numFmt numFmtId="170" formatCode="&quot;$&quot;* #,##0.00;&quot;$&quot;* #,##0.00;_(@_)"/>
    <numFmt numFmtId="171" formatCode="_(&quot;$&quot;* #,##0.00_);_(&quot;$&quot;* \(#,##0.00\);_(&quot;$&quot;* &quot;-&quot;??_);_(@_)"/>
    <numFmt numFmtId="172" formatCode="&quot;$&quot;* #,##0.00;&quot;$&quot;* #,##0.00;&quot;$&quot;* &quot;-&quot;;_(@_)"/>
    <numFmt numFmtId="173" formatCode="0.0%"/>
    <numFmt numFmtId="174" formatCode="_(* #,##0.00_);_(* \(#,##0.00\);_(* &quot;-&quot;??_);_(@_)"/>
    <numFmt numFmtId="175" formatCode="#,##0.0"/>
    <numFmt numFmtId="176" formatCode="#,##0.000000000000"/>
    <numFmt numFmtId="177" formatCode="&quot;$&quot;* #,##0.00;\-&quot;$&quot;* #,##0.00;_(@_)"/>
    <numFmt numFmtId="178" formatCode="&quot;$&quot;\ \ \ #,##0.00;&quot;$&quot;* #,##0.00;_(@_)"/>
    <numFmt numFmtId="179" formatCode="#,##0.0000"/>
    <numFmt numFmtId="180" formatCode="#,##0.000"/>
    <numFmt numFmtId="181" formatCode="_-&quot;$&quot;* #,##0.00_-;\-&quot;$&quot;* #,##0.00_-;_-&quot;$&quot;* &quot;-&quot;_-;_-@_-"/>
    <numFmt numFmtId="182" formatCode="_-&quot;$&quot;\ * #,##0_-;\-&quot;$&quot;\ * #,##0_-;_-&quot;$&quot;\ * &quot;-&quot;??_-;_-@_-"/>
    <numFmt numFmtId="183" formatCode="dd\-mm\-yy;@"/>
    <numFmt numFmtId="184" formatCode="[$-C0A]dd\-mmm\-yy;@"/>
    <numFmt numFmtId="185" formatCode="&quot;$&quot;* #,##0;&quot;$&quot;* #,##0;_(@_)"/>
    <numFmt numFmtId="186" formatCode="&quot;$&quot;\ #,##0"/>
    <numFmt numFmtId="187" formatCode="#,##0.00_ ;\-#,##0.00\ "/>
    <numFmt numFmtId="188" formatCode="_-* #,##0.00_-;\-* #,##0.00_-;_-* &quot;-&quot;_-;_-@_-"/>
    <numFmt numFmtId="189" formatCode="#,##0.00000"/>
  </numFmts>
  <fonts count="5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0"/>
      <name val="Arial"/>
      <family val="2"/>
    </font>
    <font>
      <sz val="10"/>
      <color indexed="8"/>
      <name val="MS Sans Serif"/>
      <family val="2"/>
    </font>
    <font>
      <b/>
      <sz val="10"/>
      <color theme="1"/>
      <name val="Arial"/>
      <family val="2"/>
    </font>
    <font>
      <b/>
      <sz val="10"/>
      <color rgb="FF7030A0"/>
      <name val="Arial"/>
      <family val="2"/>
    </font>
    <font>
      <sz val="10"/>
      <color rgb="FF7030A0"/>
      <name val="Arial"/>
      <family val="2"/>
    </font>
    <font>
      <sz val="10"/>
      <color theme="1"/>
      <name val="Verdana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b/>
      <sz val="9"/>
      <color indexed="81"/>
      <name val="Tahoma"/>
      <family val="2"/>
    </font>
    <font>
      <b/>
      <u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sz val="14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ahoma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rgb="FFFF0000"/>
      <name val="Arial Narrow"/>
      <family val="2"/>
    </font>
    <font>
      <sz val="10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9"/>
      <color rgb="FFFF0000"/>
      <name val="Arial Narrow"/>
      <family val="2"/>
    </font>
    <font>
      <sz val="11"/>
      <name val="Courier"/>
      <family val="3"/>
    </font>
    <font>
      <sz val="11"/>
      <name val="Arial"/>
      <family val="2"/>
    </font>
    <font>
      <sz val="14"/>
      <name val="Courier"/>
      <family val="3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3" fillId="0" borderId="0"/>
    <xf numFmtId="168" fontId="3" fillId="0" borderId="0" applyFont="0" applyFill="0" applyBorder="0" applyAlignment="0" applyProtection="0"/>
    <xf numFmtId="169" fontId="4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174" fontId="3" fillId="0" borderId="0" applyFont="0" applyFill="0" applyBorder="0" applyAlignment="0" applyProtection="0"/>
    <xf numFmtId="0" fontId="3" fillId="0" borderId="0"/>
    <xf numFmtId="0" fontId="2" fillId="0" borderId="0"/>
    <xf numFmtId="49" fontId="14" fillId="0" borderId="0" applyFill="0" applyBorder="0" applyProtection="0">
      <alignment horizontal="left" vertical="center"/>
    </xf>
    <xf numFmtId="0" fontId="3" fillId="0" borderId="0"/>
    <xf numFmtId="9" fontId="20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3" fillId="0" borderId="0"/>
    <xf numFmtId="0" fontId="20" fillId="0" borderId="0"/>
    <xf numFmtId="0" fontId="3" fillId="0" borderId="0"/>
    <xf numFmtId="174" fontId="3" fillId="0" borderId="0" applyFont="0" applyFill="0" applyBorder="0" applyAlignment="0" applyProtection="0"/>
    <xf numFmtId="174" fontId="33" fillId="0" borderId="0" applyFon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174" fontId="33" fillId="0" borderId="0" applyFont="0" applyFill="0" applyBorder="0" applyAlignment="0" applyProtection="0"/>
    <xf numFmtId="174" fontId="3" fillId="0" borderId="0" applyFont="0" applyFill="0" applyBorder="0" applyAlignment="0" applyProtection="0"/>
    <xf numFmtId="165" fontId="35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20" fillId="0" borderId="0" applyFont="0" applyFill="0" applyBorder="0" applyAlignment="0" applyProtection="0"/>
  </cellStyleXfs>
  <cellXfs count="811">
    <xf numFmtId="0" fontId="0" fillId="0" borderId="0" xfId="0"/>
    <xf numFmtId="3" fontId="3" fillId="0" borderId="0" xfId="3" applyNumberFormat="1" applyFont="1" applyProtection="1">
      <protection hidden="1"/>
    </xf>
    <xf numFmtId="3" fontId="5" fillId="0" borderId="0" xfId="1" applyNumberFormat="1" applyFont="1" applyAlignment="1" applyProtection="1">
      <alignment horizontal="center"/>
      <protection hidden="1"/>
    </xf>
    <xf numFmtId="4" fontId="3" fillId="0" borderId="0" xfId="3" applyNumberFormat="1" applyFont="1" applyProtection="1">
      <protection hidden="1"/>
    </xf>
    <xf numFmtId="3" fontId="5" fillId="0" borderId="9" xfId="1" applyNumberFormat="1" applyFont="1" applyBorder="1" applyAlignment="1" applyProtection="1">
      <alignment horizontal="center"/>
      <protection hidden="1"/>
    </xf>
    <xf numFmtId="4" fontId="5" fillId="0" borderId="12" xfId="1" applyNumberFormat="1" applyFont="1" applyBorder="1" applyAlignment="1" applyProtection="1">
      <alignment horizontal="centerContinuous"/>
      <protection hidden="1"/>
    </xf>
    <xf numFmtId="3" fontId="5" fillId="0" borderId="11" xfId="1" applyNumberFormat="1" applyFont="1" applyBorder="1" applyAlignment="1" applyProtection="1">
      <alignment horizontal="centerContinuous"/>
      <protection hidden="1"/>
    </xf>
    <xf numFmtId="3" fontId="5" fillId="0" borderId="12" xfId="1" applyNumberFormat="1" applyFont="1" applyBorder="1" applyAlignment="1" applyProtection="1">
      <alignment horizontal="centerContinuous"/>
      <protection hidden="1"/>
    </xf>
    <xf numFmtId="3" fontId="5" fillId="0" borderId="10" xfId="1" applyNumberFormat="1" applyFont="1" applyBorder="1" applyAlignment="1" applyProtection="1">
      <alignment horizontal="centerContinuous"/>
      <protection hidden="1"/>
    </xf>
    <xf numFmtId="3" fontId="5" fillId="0" borderId="13" xfId="1" applyNumberFormat="1" applyFont="1" applyBorder="1" applyAlignment="1" applyProtection="1">
      <alignment horizontal="center"/>
      <protection hidden="1"/>
    </xf>
    <xf numFmtId="3" fontId="5" fillId="0" borderId="11" xfId="1" applyNumberFormat="1" applyFont="1" applyBorder="1" applyAlignment="1" applyProtection="1">
      <alignment horizontal="center"/>
      <protection hidden="1"/>
    </xf>
    <xf numFmtId="3" fontId="7" fillId="0" borderId="10" xfId="3" applyNumberFormat="1" applyFont="1" applyBorder="1" applyAlignment="1" applyProtection="1">
      <alignment horizontal="center" vertical="center"/>
      <protection hidden="1"/>
    </xf>
    <xf numFmtId="4" fontId="3" fillId="0" borderId="10" xfId="3" applyNumberFormat="1" applyFont="1" applyBorder="1" applyAlignment="1" applyProtection="1">
      <alignment horizontal="right" vertical="center"/>
      <protection hidden="1"/>
    </xf>
    <xf numFmtId="3" fontId="7" fillId="0" borderId="0" xfId="3" applyNumberFormat="1" applyFont="1" applyAlignment="1" applyProtection="1">
      <alignment horizontal="center" vertical="center"/>
      <protection hidden="1"/>
    </xf>
    <xf numFmtId="4" fontId="3" fillId="0" borderId="0" xfId="3" applyNumberFormat="1" applyFont="1" applyAlignment="1" applyProtection="1">
      <alignment horizontal="right" vertical="center"/>
      <protection hidden="1"/>
    </xf>
    <xf numFmtId="168" fontId="3" fillId="0" borderId="0" xfId="2" applyFont="1" applyFill="1" applyBorder="1" applyAlignment="1" applyProtection="1">
      <alignment horizontal="centerContinuous" vertical="center"/>
      <protection hidden="1"/>
    </xf>
    <xf numFmtId="168" fontId="3" fillId="0" borderId="10" xfId="2" applyFont="1" applyFill="1" applyBorder="1" applyAlignment="1" applyProtection="1">
      <alignment horizontal="centerContinuous" vertical="center"/>
      <protection hidden="1"/>
    </xf>
    <xf numFmtId="0" fontId="18" fillId="0" borderId="0" xfId="0" applyFont="1"/>
    <xf numFmtId="3" fontId="5" fillId="0" borderId="15" xfId="1" applyNumberFormat="1" applyFont="1" applyBorder="1" applyAlignment="1" applyProtection="1">
      <alignment horizontal="center" vertical="center"/>
      <protection hidden="1"/>
    </xf>
    <xf numFmtId="3" fontId="5" fillId="0" borderId="12" xfId="1" applyNumberFormat="1" applyFont="1" applyBorder="1" applyAlignment="1" applyProtection="1">
      <alignment horizontal="center"/>
      <protection hidden="1"/>
    </xf>
    <xf numFmtId="3" fontId="11" fillId="0" borderId="15" xfId="1" applyNumberFormat="1" applyFont="1" applyBorder="1" applyAlignment="1" applyProtection="1">
      <alignment horizontal="center" vertical="center"/>
      <protection hidden="1"/>
    </xf>
    <xf numFmtId="4" fontId="5" fillId="0" borderId="2" xfId="1" applyNumberFormat="1" applyFont="1" applyBorder="1" applyAlignment="1" applyProtection="1">
      <alignment horizontal="center" vertical="center"/>
      <protection hidden="1"/>
    </xf>
    <xf numFmtId="168" fontId="5" fillId="0" borderId="15" xfId="2" applyFont="1" applyBorder="1" applyAlignment="1" applyProtection="1">
      <alignment horizontal="center" vertical="center"/>
      <protection hidden="1"/>
    </xf>
    <xf numFmtId="170" fontId="3" fillId="0" borderId="13" xfId="3" applyNumberFormat="1" applyFont="1" applyBorder="1" applyAlignment="1" applyProtection="1">
      <alignment vertical="center"/>
      <protection hidden="1"/>
    </xf>
    <xf numFmtId="168" fontId="3" fillId="8" borderId="13" xfId="2" applyFont="1" applyFill="1" applyBorder="1" applyAlignment="1" applyProtection="1">
      <alignment horizontal="center"/>
      <protection hidden="1"/>
    </xf>
    <xf numFmtId="3" fontId="5" fillId="0" borderId="0" xfId="3" applyNumberFormat="1" applyFont="1" applyAlignment="1" applyProtection="1">
      <alignment horizontal="centerContinuous" vertical="center"/>
      <protection hidden="1"/>
    </xf>
    <xf numFmtId="170" fontId="5" fillId="0" borderId="13" xfId="3" applyNumberFormat="1" applyFont="1" applyBorder="1" applyAlignment="1" applyProtection="1">
      <alignment vertical="center"/>
      <protection hidden="1"/>
    </xf>
    <xf numFmtId="3" fontId="7" fillId="8" borderId="15" xfId="1" applyNumberFormat="1" applyFont="1" applyFill="1" applyBorder="1" applyAlignment="1" applyProtection="1">
      <alignment horizontal="center"/>
      <protection hidden="1"/>
    </xf>
    <xf numFmtId="168" fontId="3" fillId="8" borderId="15" xfId="2" applyFont="1" applyFill="1" applyBorder="1" applyAlignment="1" applyProtection="1">
      <alignment horizontal="center"/>
      <protection hidden="1"/>
    </xf>
    <xf numFmtId="168" fontId="3" fillId="8" borderId="15" xfId="2" applyFont="1" applyFill="1" applyBorder="1" applyAlignment="1" applyProtection="1">
      <alignment horizontal="left"/>
      <protection hidden="1"/>
    </xf>
    <xf numFmtId="3" fontId="7" fillId="8" borderId="13" xfId="1" applyNumberFormat="1" applyFont="1" applyFill="1" applyBorder="1" applyAlignment="1" applyProtection="1">
      <alignment horizontal="center"/>
      <protection hidden="1"/>
    </xf>
    <xf numFmtId="168" fontId="3" fillId="8" borderId="13" xfId="2" applyFont="1" applyFill="1" applyBorder="1" applyAlignment="1" applyProtection="1">
      <alignment horizontal="left"/>
      <protection hidden="1"/>
    </xf>
    <xf numFmtId="4" fontId="5" fillId="8" borderId="13" xfId="1" applyNumberFormat="1" applyFont="1" applyFill="1" applyBorder="1" applyAlignment="1" applyProtection="1">
      <alignment horizontal="centerContinuous"/>
      <protection hidden="1"/>
    </xf>
    <xf numFmtId="170" fontId="3" fillId="0" borderId="11" xfId="3" applyNumberFormat="1" applyFont="1" applyBorder="1" applyAlignment="1" applyProtection="1">
      <alignment vertical="center"/>
      <protection hidden="1"/>
    </xf>
    <xf numFmtId="3" fontId="5" fillId="0" borderId="4" xfId="1" applyNumberFormat="1" applyFont="1" applyBorder="1" applyAlignment="1" applyProtection="1">
      <alignment horizontal="center"/>
      <protection hidden="1"/>
    </xf>
    <xf numFmtId="3" fontId="5" fillId="8" borderId="13" xfId="1" applyNumberFormat="1" applyFont="1" applyFill="1" applyBorder="1" applyAlignment="1" applyProtection="1">
      <alignment horizontal="centerContinuous"/>
      <protection hidden="1"/>
    </xf>
    <xf numFmtId="3" fontId="5" fillId="0" borderId="0" xfId="3" applyNumberFormat="1" applyFont="1" applyAlignment="1" applyProtection="1">
      <alignment horizontal="center" vertical="center"/>
      <protection hidden="1"/>
    </xf>
    <xf numFmtId="3" fontId="5" fillId="0" borderId="0" xfId="3" applyNumberFormat="1" applyFont="1"/>
    <xf numFmtId="168" fontId="19" fillId="0" borderId="13" xfId="2" applyFont="1" applyFill="1" applyBorder="1" applyAlignment="1" applyProtection="1">
      <alignment horizontal="center" vertical="center" wrapText="1"/>
    </xf>
    <xf numFmtId="3" fontId="19" fillId="0" borderId="13" xfId="1" applyNumberFormat="1" applyFont="1" applyBorder="1" applyAlignment="1">
      <alignment horizontal="centerContinuous" vertical="center" wrapText="1"/>
    </xf>
    <xf numFmtId="182" fontId="19" fillId="0" borderId="13" xfId="2" applyNumberFormat="1" applyFont="1" applyFill="1" applyBorder="1" applyAlignment="1" applyProtection="1">
      <alignment vertical="center"/>
    </xf>
    <xf numFmtId="182" fontId="19" fillId="0" borderId="13" xfId="3" applyNumberFormat="1" applyFont="1" applyBorder="1" applyAlignment="1">
      <alignment vertical="center"/>
    </xf>
    <xf numFmtId="3" fontId="19" fillId="0" borderId="5" xfId="3" applyNumberFormat="1" applyFont="1" applyBorder="1" applyAlignment="1">
      <alignment horizontal="center"/>
    </xf>
    <xf numFmtId="181" fontId="16" fillId="0" borderId="0" xfId="2" applyNumberFormat="1" applyFont="1" applyFill="1" applyBorder="1" applyProtection="1"/>
    <xf numFmtId="181" fontId="16" fillId="0" borderId="0" xfId="2" applyNumberFormat="1" applyFont="1" applyFill="1" applyBorder="1" applyAlignment="1" applyProtection="1">
      <alignment horizontal="center"/>
    </xf>
    <xf numFmtId="181" fontId="16" fillId="0" borderId="1" xfId="2" applyNumberFormat="1" applyFont="1" applyFill="1" applyBorder="1" applyAlignment="1" applyProtection="1">
      <alignment horizontal="center"/>
    </xf>
    <xf numFmtId="181" fontId="16" fillId="0" borderId="3" xfId="2" applyNumberFormat="1" applyFont="1" applyFill="1" applyBorder="1" applyAlignment="1" applyProtection="1">
      <alignment horizontal="center"/>
    </xf>
    <xf numFmtId="168" fontId="19" fillId="0" borderId="13" xfId="2" applyFont="1" applyFill="1" applyBorder="1" applyAlignment="1" applyProtection="1">
      <alignment vertical="center"/>
    </xf>
    <xf numFmtId="3" fontId="19" fillId="0" borderId="15" xfId="3" quotePrefix="1" applyNumberFormat="1" applyFont="1" applyBorder="1" applyAlignment="1">
      <alignment horizontal="center" vertical="center"/>
    </xf>
    <xf numFmtId="3" fontId="5" fillId="0" borderId="3" xfId="1" applyNumberFormat="1" applyFont="1" applyBorder="1" applyAlignment="1" applyProtection="1">
      <alignment horizontal="center" vertical="center"/>
      <protection hidden="1"/>
    </xf>
    <xf numFmtId="3" fontId="3" fillId="0" borderId="0" xfId="3" applyNumberFormat="1" applyFont="1" applyProtection="1">
      <protection locked="0"/>
    </xf>
    <xf numFmtId="3" fontId="5" fillId="0" borderId="13" xfId="0" applyNumberFormat="1" applyFont="1" applyBorder="1" applyAlignment="1" applyProtection="1">
      <alignment horizontal="center"/>
      <protection locked="0"/>
    </xf>
    <xf numFmtId="3" fontId="5" fillId="0" borderId="11" xfId="0" applyNumberFormat="1" applyFont="1" applyBorder="1" applyAlignment="1" applyProtection="1">
      <alignment horizontal="center"/>
      <protection locked="0"/>
    </xf>
    <xf numFmtId="3" fontId="5" fillId="0" borderId="12" xfId="0" applyNumberFormat="1" applyFont="1" applyBorder="1" applyAlignment="1" applyProtection="1">
      <alignment horizontal="centerContinuous"/>
      <protection locked="0"/>
    </xf>
    <xf numFmtId="3" fontId="5" fillId="0" borderId="11" xfId="0" applyNumberFormat="1" applyFont="1" applyBorder="1" applyAlignment="1" applyProtection="1">
      <alignment horizontal="centerContinuous"/>
      <protection locked="0"/>
    </xf>
    <xf numFmtId="4" fontId="3" fillId="0" borderId="13" xfId="0" applyNumberFormat="1" applyFont="1" applyBorder="1" applyAlignment="1" applyProtection="1">
      <alignment horizontal="centerContinuous"/>
      <protection locked="0"/>
    </xf>
    <xf numFmtId="3" fontId="5" fillId="0" borderId="13" xfId="0" applyNumberFormat="1" applyFont="1" applyBorder="1" applyAlignment="1" applyProtection="1">
      <alignment horizontal="centerContinuous"/>
      <protection locked="0"/>
    </xf>
    <xf numFmtId="170" fontId="3" fillId="0" borderId="11" xfId="3" applyNumberFormat="1" applyFont="1" applyBorder="1" applyAlignment="1" applyProtection="1">
      <alignment vertical="center"/>
      <protection locked="0"/>
    </xf>
    <xf numFmtId="4" fontId="3" fillId="8" borderId="13" xfId="0" applyNumberFormat="1" applyFont="1" applyFill="1" applyBorder="1" applyAlignment="1" applyProtection="1">
      <alignment horizontal="centerContinuous"/>
      <protection locked="0"/>
    </xf>
    <xf numFmtId="4" fontId="5" fillId="8" borderId="13" xfId="0" applyNumberFormat="1" applyFont="1" applyFill="1" applyBorder="1" applyAlignment="1" applyProtection="1">
      <alignment horizontal="centerContinuous"/>
      <protection locked="0"/>
    </xf>
    <xf numFmtId="3" fontId="5" fillId="0" borderId="0" xfId="3" applyNumberFormat="1" applyFont="1" applyProtection="1">
      <protection locked="0"/>
    </xf>
    <xf numFmtId="4" fontId="5" fillId="0" borderId="0" xfId="0" applyNumberFormat="1" applyFont="1" applyAlignment="1" applyProtection="1">
      <alignment horizontal="centerContinuous"/>
      <protection locked="0"/>
    </xf>
    <xf numFmtId="3" fontId="3" fillId="0" borderId="20" xfId="3" applyNumberFormat="1" applyFont="1" applyBorder="1" applyProtection="1">
      <protection locked="0"/>
    </xf>
    <xf numFmtId="4" fontId="5" fillId="0" borderId="21" xfId="0" applyNumberFormat="1" applyFont="1" applyBorder="1" applyAlignment="1" applyProtection="1">
      <alignment horizontal="centerContinuous"/>
      <protection locked="0"/>
    </xf>
    <xf numFmtId="3" fontId="5" fillId="0" borderId="27" xfId="3" applyNumberFormat="1" applyFont="1" applyBorder="1" applyProtection="1">
      <protection locked="0"/>
    </xf>
    <xf numFmtId="4" fontId="5" fillId="0" borderId="27" xfId="0" applyNumberFormat="1" applyFont="1" applyBorder="1" applyAlignment="1" applyProtection="1">
      <alignment horizontal="centerContinuous"/>
      <protection locked="0"/>
    </xf>
    <xf numFmtId="170" fontId="5" fillId="0" borderId="0" xfId="3" applyNumberFormat="1" applyFont="1" applyAlignment="1" applyProtection="1">
      <alignment vertical="center"/>
      <protection locked="0"/>
    </xf>
    <xf numFmtId="3" fontId="5" fillId="0" borderId="30" xfId="0" applyNumberFormat="1" applyFont="1" applyBorder="1" applyAlignment="1" applyProtection="1">
      <alignment horizontal="center"/>
      <protection locked="0"/>
    </xf>
    <xf numFmtId="4" fontId="3" fillId="8" borderId="17" xfId="0" applyNumberFormat="1" applyFont="1" applyFill="1" applyBorder="1" applyAlignment="1" applyProtection="1">
      <alignment horizontal="centerContinuous"/>
      <protection locked="0"/>
    </xf>
    <xf numFmtId="4" fontId="3" fillId="0" borderId="17" xfId="0" applyNumberFormat="1" applyFont="1" applyBorder="1" applyAlignment="1" applyProtection="1">
      <alignment horizontal="centerContinuous"/>
      <protection locked="0"/>
    </xf>
    <xf numFmtId="170" fontId="3" fillId="0" borderId="8" xfId="3" applyNumberFormat="1" applyFont="1" applyBorder="1" applyAlignment="1" applyProtection="1">
      <alignment vertical="center"/>
      <protection locked="0"/>
    </xf>
    <xf numFmtId="3" fontId="6" fillId="0" borderId="10" xfId="3" applyNumberFormat="1" applyFont="1" applyBorder="1" applyAlignment="1" applyProtection="1">
      <alignment horizontal="centerContinuous"/>
      <protection locked="0"/>
    </xf>
    <xf numFmtId="3" fontId="8" fillId="0" borderId="10" xfId="3" applyNumberFormat="1" applyFont="1" applyBorder="1" applyAlignment="1" applyProtection="1">
      <alignment horizontal="center"/>
      <protection locked="0"/>
    </xf>
    <xf numFmtId="4" fontId="9" fillId="0" borderId="10" xfId="3" applyNumberFormat="1" applyFont="1" applyBorder="1" applyAlignment="1" applyProtection="1">
      <alignment horizontal="right"/>
      <protection locked="0"/>
    </xf>
    <xf numFmtId="168" fontId="9" fillId="0" borderId="10" xfId="2" applyFont="1" applyBorder="1" applyAlignment="1" applyProtection="1">
      <alignment horizontal="centerContinuous"/>
      <protection locked="0"/>
    </xf>
    <xf numFmtId="4" fontId="6" fillId="0" borderId="10" xfId="3" applyNumberFormat="1" applyFont="1" applyBorder="1" applyAlignment="1" applyProtection="1">
      <alignment horizontal="centerContinuous"/>
      <protection locked="0"/>
    </xf>
    <xf numFmtId="3" fontId="6" fillId="0" borderId="11" xfId="3" applyNumberFormat="1" applyFont="1" applyBorder="1" applyAlignment="1" applyProtection="1">
      <alignment horizontal="centerContinuous"/>
      <protection locked="0"/>
    </xf>
    <xf numFmtId="3" fontId="7" fillId="0" borderId="0" xfId="3" applyNumberFormat="1" applyFont="1" applyAlignment="1" applyProtection="1">
      <alignment horizontal="center"/>
      <protection locked="0"/>
    </xf>
    <xf numFmtId="4" fontId="3" fillId="0" borderId="0" xfId="3" applyNumberFormat="1" applyFont="1" applyAlignment="1" applyProtection="1">
      <alignment horizontal="right"/>
      <protection locked="0"/>
    </xf>
    <xf numFmtId="168" fontId="3" fillId="0" borderId="0" xfId="2" applyFont="1" applyProtection="1">
      <protection locked="0"/>
    </xf>
    <xf numFmtId="4" fontId="3" fillId="0" borderId="0" xfId="3" applyNumberFormat="1" applyFont="1" applyProtection="1">
      <protection locked="0"/>
    </xf>
    <xf numFmtId="3" fontId="5" fillId="4" borderId="12" xfId="1" applyNumberFormat="1" applyFont="1" applyFill="1" applyBorder="1" applyAlignment="1" applyProtection="1">
      <alignment vertical="center"/>
      <protection locked="0"/>
    </xf>
    <xf numFmtId="3" fontId="5" fillId="4" borderId="10" xfId="1" applyNumberFormat="1" applyFont="1" applyFill="1" applyBorder="1" applyAlignment="1" applyProtection="1">
      <alignment horizontal="centerContinuous"/>
      <protection locked="0"/>
    </xf>
    <xf numFmtId="3" fontId="7" fillId="4" borderId="10" xfId="1" applyNumberFormat="1" applyFont="1" applyFill="1" applyBorder="1" applyAlignment="1" applyProtection="1">
      <alignment horizontal="center"/>
      <protection locked="0"/>
    </xf>
    <xf numFmtId="168" fontId="3" fillId="4" borderId="10" xfId="2" applyFont="1" applyFill="1" applyBorder="1" applyAlignment="1" applyProtection="1">
      <alignment horizontal="centerContinuous"/>
      <protection locked="0"/>
    </xf>
    <xf numFmtId="3" fontId="5" fillId="4" borderId="11" xfId="1" applyNumberFormat="1" applyFont="1" applyFill="1" applyBorder="1" applyAlignment="1" applyProtection="1">
      <alignment horizontal="centerContinuous"/>
      <protection locked="0"/>
    </xf>
    <xf numFmtId="3" fontId="5" fillId="0" borderId="9" xfId="1" applyNumberFormat="1" applyFont="1" applyBorder="1" applyAlignment="1" applyProtection="1">
      <alignment horizontal="center"/>
      <protection locked="0"/>
    </xf>
    <xf numFmtId="4" fontId="5" fillId="4" borderId="10" xfId="1" applyNumberFormat="1" applyFont="1" applyFill="1" applyBorder="1" applyAlignment="1" applyProtection="1">
      <alignment horizontal="centerContinuous"/>
      <protection locked="0"/>
    </xf>
    <xf numFmtId="3" fontId="7" fillId="0" borderId="0" xfId="1" applyNumberFormat="1" applyFont="1" applyAlignment="1" applyProtection="1">
      <alignment horizontal="center"/>
      <protection locked="0"/>
    </xf>
    <xf numFmtId="3" fontId="5" fillId="0" borderId="13" xfId="1" applyNumberFormat="1" applyFont="1" applyBorder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7" fillId="0" borderId="13" xfId="1" applyNumberFormat="1" applyFont="1" applyBorder="1" applyAlignment="1" applyProtection="1">
      <alignment horizontal="center"/>
      <protection locked="0"/>
    </xf>
    <xf numFmtId="168" fontId="3" fillId="0" borderId="13" xfId="2" applyFont="1" applyFill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4" fontId="5" fillId="0" borderId="12" xfId="1" applyNumberFormat="1" applyFont="1" applyBorder="1" applyAlignment="1" applyProtection="1">
      <alignment horizontal="centerContinuous"/>
      <protection locked="0"/>
    </xf>
    <xf numFmtId="3" fontId="5" fillId="0" borderId="11" xfId="1" applyNumberFormat="1" applyFont="1" applyBorder="1" applyAlignment="1" applyProtection="1">
      <alignment horizontal="centerContinuous"/>
      <protection locked="0"/>
    </xf>
    <xf numFmtId="3" fontId="5" fillId="0" borderId="12" xfId="1" applyNumberFormat="1" applyFont="1" applyBorder="1" applyAlignment="1" applyProtection="1">
      <alignment horizontal="centerContinuous"/>
      <protection locked="0"/>
    </xf>
    <xf numFmtId="3" fontId="5" fillId="0" borderId="10" xfId="1" applyNumberFormat="1" applyFont="1" applyBorder="1" applyAlignment="1" applyProtection="1">
      <alignment horizontal="centerContinuous"/>
      <protection locked="0"/>
    </xf>
    <xf numFmtId="168" fontId="3" fillId="0" borderId="0" xfId="2" applyFont="1" applyFill="1" applyProtection="1">
      <protection locked="0"/>
    </xf>
    <xf numFmtId="0" fontId="5" fillId="2" borderId="13" xfId="6" applyFont="1" applyFill="1" applyBorder="1" applyAlignment="1" applyProtection="1">
      <alignment horizontal="left" vertical="center" wrapText="1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0" fontId="11" fillId="0" borderId="13" xfId="1" applyFont="1" applyBorder="1" applyAlignment="1" applyProtection="1">
      <alignment horizontal="left" vertical="center" wrapText="1"/>
      <protection locked="0"/>
    </xf>
    <xf numFmtId="168" fontId="3" fillId="0" borderId="13" xfId="2" applyFont="1" applyFill="1" applyBorder="1" applyProtection="1">
      <protection locked="0"/>
    </xf>
    <xf numFmtId="170" fontId="3" fillId="0" borderId="13" xfId="3" applyNumberFormat="1" applyFont="1" applyBorder="1" applyAlignment="1" applyProtection="1">
      <alignment vertical="center"/>
      <protection locked="0"/>
    </xf>
    <xf numFmtId="4" fontId="5" fillId="0" borderId="13" xfId="1" applyNumberFormat="1" applyFont="1" applyBorder="1" applyAlignment="1" applyProtection="1">
      <alignment horizontal="centerContinuous"/>
      <protection locked="0"/>
    </xf>
    <xf numFmtId="170" fontId="5" fillId="0" borderId="11" xfId="3" applyNumberFormat="1" applyFont="1" applyBorder="1" applyAlignment="1" applyProtection="1">
      <alignment vertical="center"/>
      <protection locked="0"/>
    </xf>
    <xf numFmtId="3" fontId="5" fillId="0" borderId="4" xfId="1" applyNumberFormat="1" applyFont="1" applyBorder="1" applyAlignment="1" applyProtection="1">
      <alignment horizontal="center"/>
      <protection locked="0"/>
    </xf>
    <xf numFmtId="0" fontId="7" fillId="0" borderId="13" xfId="1" applyFont="1" applyBorder="1" applyAlignment="1" applyProtection="1">
      <alignment horizontal="left" vertical="center" wrapText="1"/>
      <protection locked="0"/>
    </xf>
    <xf numFmtId="0" fontId="7" fillId="0" borderId="13" xfId="1" applyFont="1" applyBorder="1" applyAlignment="1" applyProtection="1">
      <alignment horizontal="center" vertical="center" wrapText="1"/>
      <protection locked="0"/>
    </xf>
    <xf numFmtId="3" fontId="5" fillId="8" borderId="13" xfId="1" applyNumberFormat="1" applyFont="1" applyFill="1" applyBorder="1" applyAlignment="1" applyProtection="1">
      <alignment horizontal="centerContinuous"/>
      <protection locked="0"/>
    </xf>
    <xf numFmtId="0" fontId="11" fillId="0" borderId="13" xfId="1" applyFont="1" applyBorder="1" applyAlignment="1" applyProtection="1">
      <alignment horizontal="left" vertical="center"/>
      <protection locked="0"/>
    </xf>
    <xf numFmtId="0" fontId="7" fillId="0" borderId="12" xfId="6" applyFont="1" applyBorder="1" applyAlignment="1" applyProtection="1">
      <alignment horizontal="center" vertical="center" wrapText="1"/>
      <protection locked="0"/>
    </xf>
    <xf numFmtId="3" fontId="12" fillId="0" borderId="0" xfId="3" applyNumberFormat="1" applyFont="1" applyAlignment="1" applyProtection="1">
      <alignment vertical="center"/>
      <protection locked="0"/>
    </xf>
    <xf numFmtId="3" fontId="12" fillId="0" borderId="4" xfId="3" applyNumberFormat="1" applyFont="1" applyBorder="1" applyAlignment="1" applyProtection="1">
      <alignment vertical="center"/>
      <protection locked="0"/>
    </xf>
    <xf numFmtId="3" fontId="3" fillId="0" borderId="0" xfId="3" applyNumberFormat="1" applyFont="1" applyAlignment="1" applyProtection="1">
      <alignment vertical="center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174" fontId="3" fillId="0" borderId="12" xfId="7" applyFont="1" applyFill="1" applyBorder="1" applyAlignment="1" applyProtection="1">
      <alignment horizontal="right" vertical="center"/>
      <protection locked="0"/>
    </xf>
    <xf numFmtId="168" fontId="3" fillId="0" borderId="12" xfId="2" applyFont="1" applyFill="1" applyBorder="1" applyAlignment="1" applyProtection="1">
      <alignment vertical="center"/>
      <protection locked="0"/>
    </xf>
    <xf numFmtId="4" fontId="3" fillId="8" borderId="13" xfId="3" applyNumberFormat="1" applyFont="1" applyFill="1" applyBorder="1" applyAlignment="1" applyProtection="1">
      <alignment horizontal="center" vertical="center"/>
      <protection locked="0"/>
    </xf>
    <xf numFmtId="4" fontId="3" fillId="0" borderId="0" xfId="3" applyNumberFormat="1" applyFont="1" applyAlignment="1" applyProtection="1">
      <alignment vertical="center"/>
      <protection locked="0"/>
    </xf>
    <xf numFmtId="174" fontId="3" fillId="0" borderId="12" xfId="7" applyFont="1" applyFill="1" applyBorder="1" applyAlignment="1" applyProtection="1">
      <alignment horizontal="right" vertical="center" wrapText="1"/>
      <protection locked="0"/>
    </xf>
    <xf numFmtId="3" fontId="13" fillId="0" borderId="0" xfId="3" applyNumberFormat="1" applyFont="1" applyAlignment="1" applyProtection="1">
      <alignment vertical="center"/>
      <protection locked="0"/>
    </xf>
    <xf numFmtId="3" fontId="13" fillId="0" borderId="4" xfId="3" applyNumberFormat="1" applyFont="1" applyBorder="1" applyAlignment="1" applyProtection="1">
      <alignment vertical="center"/>
      <protection locked="0"/>
    </xf>
    <xf numFmtId="4" fontId="5" fillId="8" borderId="13" xfId="1" applyNumberFormat="1" applyFont="1" applyFill="1" applyBorder="1" applyAlignment="1" applyProtection="1">
      <alignment horizontal="centerContinuous"/>
      <protection locked="0"/>
    </xf>
    <xf numFmtId="0" fontId="7" fillId="0" borderId="13" xfId="1" applyFont="1" applyBorder="1" applyAlignment="1" applyProtection="1">
      <alignment horizontal="left" vertical="center"/>
      <protection locked="0"/>
    </xf>
    <xf numFmtId="0" fontId="7" fillId="0" borderId="13" xfId="1" applyFont="1" applyBorder="1" applyAlignment="1" applyProtection="1">
      <alignment horizontal="center" vertical="center"/>
      <protection locked="0"/>
    </xf>
    <xf numFmtId="4" fontId="3" fillId="0" borderId="13" xfId="3" applyNumberFormat="1" applyFont="1" applyBorder="1" applyAlignment="1" applyProtection="1">
      <alignment horizontal="center" vertical="center"/>
      <protection locked="0"/>
    </xf>
    <xf numFmtId="0" fontId="5" fillId="0" borderId="13" xfId="6" applyFont="1" applyBorder="1" applyAlignment="1" applyProtection="1">
      <alignment horizontal="left" vertical="center" wrapText="1"/>
      <protection locked="0"/>
    </xf>
    <xf numFmtId="0" fontId="7" fillId="0" borderId="13" xfId="6" applyFont="1" applyBorder="1" applyAlignment="1" applyProtection="1">
      <alignment horizontal="center" vertical="center"/>
      <protection locked="0"/>
    </xf>
    <xf numFmtId="0" fontId="7" fillId="0" borderId="15" xfId="1" applyFont="1" applyBorder="1" applyAlignment="1" applyProtection="1">
      <alignment horizontal="center" vertical="center"/>
      <protection locked="0"/>
    </xf>
    <xf numFmtId="0" fontId="7" fillId="0" borderId="24" xfId="1" applyFont="1" applyBorder="1" applyAlignment="1" applyProtection="1">
      <alignment horizontal="center" vertical="center"/>
      <protection locked="0"/>
    </xf>
    <xf numFmtId="0" fontId="7" fillId="0" borderId="25" xfId="1" applyFont="1" applyBorder="1" applyAlignment="1" applyProtection="1">
      <alignment horizontal="center" vertical="center"/>
      <protection locked="0"/>
    </xf>
    <xf numFmtId="174" fontId="3" fillId="0" borderId="10" xfId="7" applyFont="1" applyFill="1" applyBorder="1" applyAlignment="1" applyProtection="1">
      <alignment horizontal="right" vertical="center"/>
      <protection locked="0"/>
    </xf>
    <xf numFmtId="0" fontId="7" fillId="0" borderId="28" xfId="1" applyFont="1" applyBorder="1" applyAlignment="1" applyProtection="1">
      <alignment horizontal="center" vertical="center"/>
      <protection locked="0"/>
    </xf>
    <xf numFmtId="49" fontId="7" fillId="0" borderId="25" xfId="10" applyFont="1" applyFill="1" applyBorder="1" applyAlignment="1" applyProtection="1">
      <alignment horizontal="center" vertical="center"/>
      <protection locked="0"/>
    </xf>
    <xf numFmtId="0" fontId="7" fillId="0" borderId="17" xfId="1" applyFont="1" applyBorder="1" applyAlignment="1" applyProtection="1">
      <alignment horizontal="center" vertical="center"/>
      <protection locked="0"/>
    </xf>
    <xf numFmtId="0" fontId="7" fillId="0" borderId="15" xfId="1" applyFont="1" applyBorder="1" applyAlignment="1" applyProtection="1">
      <alignment horizontal="center" vertical="center" wrapText="1"/>
      <protection locked="0"/>
    </xf>
    <xf numFmtId="0" fontId="7" fillId="0" borderId="24" xfId="1" applyFont="1" applyBorder="1" applyAlignment="1" applyProtection="1">
      <alignment horizontal="center" vertical="center" wrapText="1"/>
      <protection locked="0"/>
    </xf>
    <xf numFmtId="0" fontId="7" fillId="0" borderId="25" xfId="1" applyFont="1" applyBorder="1" applyAlignment="1" applyProtection="1">
      <alignment horizontal="center" vertical="center" wrapText="1"/>
      <protection locked="0"/>
    </xf>
    <xf numFmtId="0" fontId="7" fillId="0" borderId="28" xfId="1" applyFont="1" applyBorder="1" applyAlignment="1" applyProtection="1">
      <alignment horizontal="center" vertical="center" wrapText="1"/>
      <protection locked="0"/>
    </xf>
    <xf numFmtId="0" fontId="7" fillId="0" borderId="17" xfId="1" applyFont="1" applyBorder="1" applyAlignment="1" applyProtection="1">
      <alignment horizontal="center" vertical="center" wrapText="1"/>
      <protection locked="0"/>
    </xf>
    <xf numFmtId="0" fontId="7" fillId="0" borderId="13" xfId="6" applyFont="1" applyBorder="1" applyAlignment="1" applyProtection="1">
      <alignment horizontal="center" vertical="center" wrapText="1"/>
      <protection locked="0"/>
    </xf>
    <xf numFmtId="49" fontId="7" fillId="0" borderId="13" xfId="10" applyFont="1" applyFill="1" applyBorder="1" applyAlignment="1" applyProtection="1">
      <alignment horizontal="center" vertical="center"/>
      <protection locked="0"/>
    </xf>
    <xf numFmtId="3" fontId="3" fillId="0" borderId="0" xfId="3" applyNumberFormat="1" applyFont="1" applyAlignment="1" applyProtection="1">
      <alignment horizontal="left" vertical="center"/>
      <protection locked="0"/>
    </xf>
    <xf numFmtId="3" fontId="7" fillId="0" borderId="0" xfId="1" applyNumberFormat="1" applyFont="1" applyAlignment="1" applyProtection="1">
      <alignment horizontal="center" vertical="center"/>
      <protection locked="0"/>
    </xf>
    <xf numFmtId="168" fontId="3" fillId="0" borderId="0" xfId="2" applyFont="1" applyBorder="1" applyAlignment="1" applyProtection="1">
      <alignment horizontal="centerContinuous" vertical="center"/>
      <protection locked="0"/>
    </xf>
    <xf numFmtId="170" fontId="3" fillId="0" borderId="0" xfId="3" applyNumberFormat="1" applyFont="1" applyAlignment="1" applyProtection="1">
      <alignment vertical="center"/>
      <protection locked="0"/>
    </xf>
    <xf numFmtId="3" fontId="3" fillId="0" borderId="0" xfId="3" applyNumberFormat="1" applyFont="1" applyAlignment="1" applyProtection="1">
      <alignment horizontal="center" vertical="center"/>
      <protection locked="0"/>
    </xf>
    <xf numFmtId="4" fontId="3" fillId="0" borderId="0" xfId="3" applyNumberFormat="1" applyFont="1" applyAlignment="1" applyProtection="1">
      <alignment horizontal="center" vertical="center"/>
      <protection locked="0"/>
    </xf>
    <xf numFmtId="173" fontId="3" fillId="0" borderId="0" xfId="3" applyNumberFormat="1" applyFont="1" applyAlignment="1" applyProtection="1">
      <alignment horizontal="centerContinuous" vertical="center"/>
      <protection locked="0"/>
    </xf>
    <xf numFmtId="3" fontId="3" fillId="0" borderId="0" xfId="3" applyNumberFormat="1" applyFont="1" applyAlignment="1" applyProtection="1">
      <alignment horizontal="centerContinuous" vertical="center"/>
      <protection locked="0"/>
    </xf>
    <xf numFmtId="3" fontId="5" fillId="0" borderId="12" xfId="3" applyNumberFormat="1" applyFont="1" applyBorder="1" applyAlignment="1" applyProtection="1">
      <alignment vertical="center"/>
      <protection locked="0"/>
    </xf>
    <xf numFmtId="3" fontId="5" fillId="0" borderId="10" xfId="3" applyNumberFormat="1" applyFont="1" applyBorder="1" applyAlignment="1" applyProtection="1">
      <alignment horizontal="centerContinuous" vertical="center"/>
      <protection locked="0"/>
    </xf>
    <xf numFmtId="3" fontId="7" fillId="0" borderId="10" xfId="3" applyNumberFormat="1" applyFont="1" applyBorder="1" applyAlignment="1" applyProtection="1">
      <alignment horizontal="center" vertical="center"/>
      <protection locked="0"/>
    </xf>
    <xf numFmtId="4" fontId="3" fillId="0" borderId="10" xfId="3" applyNumberFormat="1" applyFont="1" applyBorder="1" applyAlignment="1" applyProtection="1">
      <alignment horizontal="right" vertical="center"/>
      <protection locked="0"/>
    </xf>
    <xf numFmtId="168" fontId="3" fillId="0" borderId="10" xfId="2" applyFont="1" applyBorder="1" applyAlignment="1" applyProtection="1">
      <alignment horizontal="centerContinuous" vertical="center"/>
      <protection locked="0"/>
    </xf>
    <xf numFmtId="170" fontId="5" fillId="0" borderId="13" xfId="3" applyNumberFormat="1" applyFont="1" applyBorder="1" applyAlignment="1" applyProtection="1">
      <alignment vertical="center"/>
      <protection locked="0"/>
    </xf>
    <xf numFmtId="3" fontId="5" fillId="0" borderId="0" xfId="3" applyNumberFormat="1" applyFont="1" applyAlignment="1" applyProtection="1">
      <alignment vertical="center"/>
      <protection locked="0"/>
    </xf>
    <xf numFmtId="3" fontId="5" fillId="0" borderId="0" xfId="3" applyNumberFormat="1" applyFont="1" applyAlignment="1" applyProtection="1">
      <alignment horizontal="centerContinuous" vertical="center"/>
      <protection locked="0"/>
    </xf>
    <xf numFmtId="3" fontId="7" fillId="0" borderId="0" xfId="3" applyNumberFormat="1" applyFont="1" applyAlignment="1" applyProtection="1">
      <alignment horizontal="center" vertical="center"/>
      <protection locked="0"/>
    </xf>
    <xf numFmtId="4" fontId="3" fillId="0" borderId="0" xfId="3" applyNumberFormat="1" applyFont="1" applyAlignment="1" applyProtection="1">
      <alignment horizontal="right" vertical="center"/>
      <protection locked="0"/>
    </xf>
    <xf numFmtId="168" fontId="3" fillId="0" borderId="0" xfId="2" applyFont="1" applyFill="1" applyBorder="1" applyAlignment="1" applyProtection="1">
      <alignment horizontal="centerContinuous" vertical="center"/>
      <protection locked="0"/>
    </xf>
    <xf numFmtId="4" fontId="5" fillId="0" borderId="0" xfId="3" applyNumberFormat="1" applyFont="1" applyAlignment="1" applyProtection="1">
      <alignment vertical="center"/>
      <protection locked="0"/>
    </xf>
    <xf numFmtId="173" fontId="5" fillId="0" borderId="0" xfId="3" applyNumberFormat="1" applyFont="1" applyAlignment="1" applyProtection="1">
      <alignment horizontal="center" vertical="center"/>
      <protection locked="0"/>
    </xf>
    <xf numFmtId="3" fontId="5" fillId="0" borderId="0" xfId="3" applyNumberFormat="1" applyFont="1" applyAlignment="1" applyProtection="1">
      <alignment horizontal="centerContinuous"/>
      <protection locked="0"/>
    </xf>
    <xf numFmtId="168" fontId="3" fillId="0" borderId="0" xfId="2" applyFont="1" applyBorder="1" applyAlignment="1" applyProtection="1">
      <alignment horizontal="centerContinuous"/>
      <protection locked="0"/>
    </xf>
    <xf numFmtId="173" fontId="5" fillId="0" borderId="0" xfId="3" applyNumberFormat="1" applyFont="1" applyProtection="1">
      <protection locked="0"/>
    </xf>
    <xf numFmtId="3" fontId="5" fillId="0" borderId="15" xfId="1" applyNumberFormat="1" applyFont="1" applyBorder="1" applyProtection="1">
      <protection locked="0"/>
    </xf>
    <xf numFmtId="3" fontId="5" fillId="0" borderId="1" xfId="1" applyNumberFormat="1" applyFont="1" applyBorder="1" applyAlignment="1" applyProtection="1">
      <alignment horizontal="centerContinuous"/>
      <protection locked="0"/>
    </xf>
    <xf numFmtId="3" fontId="5" fillId="0" borderId="2" xfId="3" applyNumberFormat="1" applyFont="1" applyBorder="1" applyAlignment="1" applyProtection="1">
      <alignment horizontal="centerContinuous"/>
      <protection locked="0"/>
    </xf>
    <xf numFmtId="3" fontId="5" fillId="0" borderId="3" xfId="3" applyNumberFormat="1" applyFont="1" applyBorder="1" applyAlignment="1" applyProtection="1">
      <alignment horizontal="centerContinuous"/>
      <protection locked="0"/>
    </xf>
    <xf numFmtId="3" fontId="7" fillId="0" borderId="15" xfId="1" applyNumberFormat="1" applyFont="1" applyBorder="1" applyAlignment="1" applyProtection="1">
      <alignment horizontal="center"/>
      <protection locked="0"/>
    </xf>
    <xf numFmtId="168" fontId="3" fillId="0" borderId="15" xfId="2" applyFont="1" applyBorder="1" applyAlignment="1" applyProtection="1">
      <alignment horizontal="center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7" fillId="8" borderId="15" xfId="1" applyNumberFormat="1" applyFont="1" applyFill="1" applyBorder="1" applyAlignment="1" applyProtection="1">
      <alignment horizontal="center"/>
      <protection locked="0"/>
    </xf>
    <xf numFmtId="168" fontId="3" fillId="8" borderId="15" xfId="2" applyFont="1" applyFill="1" applyBorder="1" applyAlignment="1" applyProtection="1">
      <alignment horizontal="center"/>
      <protection locked="0"/>
    </xf>
    <xf numFmtId="4" fontId="5" fillId="0" borderId="0" xfId="3" applyNumberFormat="1" applyFont="1" applyProtection="1">
      <protection locked="0"/>
    </xf>
    <xf numFmtId="3" fontId="7" fillId="8" borderId="13" xfId="1" applyNumberFormat="1" applyFont="1" applyFill="1" applyBorder="1" applyAlignment="1" applyProtection="1">
      <alignment horizontal="center"/>
      <protection locked="0"/>
    </xf>
    <xf numFmtId="168" fontId="3" fillId="8" borderId="13" xfId="2" applyFont="1" applyFill="1" applyBorder="1" applyAlignment="1" applyProtection="1">
      <alignment horizontal="left"/>
      <protection locked="0"/>
    </xf>
    <xf numFmtId="173" fontId="5" fillId="0" borderId="0" xfId="3" applyNumberFormat="1" applyFont="1" applyAlignment="1" applyProtection="1">
      <alignment vertical="center"/>
      <protection locked="0"/>
    </xf>
    <xf numFmtId="3" fontId="5" fillId="0" borderId="10" xfId="3" applyNumberFormat="1" applyFont="1" applyBorder="1" applyAlignment="1" applyProtection="1">
      <alignment horizontal="center" vertical="center"/>
      <protection locked="0"/>
    </xf>
    <xf numFmtId="168" fontId="3" fillId="0" borderId="10" xfId="2" applyFont="1" applyFill="1" applyBorder="1" applyAlignment="1" applyProtection="1">
      <alignment horizontal="centerContinuous" vertical="center"/>
      <protection locked="0"/>
    </xf>
    <xf numFmtId="4" fontId="5" fillId="0" borderId="12" xfId="3" applyNumberFormat="1" applyFont="1" applyBorder="1" applyAlignment="1" applyProtection="1">
      <alignment vertical="center"/>
      <protection locked="0"/>
    </xf>
    <xf numFmtId="3" fontId="5" fillId="0" borderId="13" xfId="3" applyNumberFormat="1" applyFont="1" applyBorder="1" applyAlignment="1" applyProtection="1">
      <alignment vertical="center"/>
      <protection locked="0"/>
    </xf>
    <xf numFmtId="3" fontId="6" fillId="0" borderId="10" xfId="3" applyNumberFormat="1" applyFont="1" applyBorder="1" applyAlignment="1" applyProtection="1">
      <alignment horizontal="center"/>
      <protection locked="0"/>
    </xf>
    <xf numFmtId="168" fontId="9" fillId="0" borderId="10" xfId="2" applyFont="1" applyFill="1" applyBorder="1" applyAlignment="1" applyProtection="1">
      <alignment horizontal="centerContinuous"/>
      <protection locked="0"/>
    </xf>
    <xf numFmtId="173" fontId="6" fillId="0" borderId="10" xfId="3" applyNumberFormat="1" applyFont="1" applyBorder="1" applyAlignment="1" applyProtection="1">
      <alignment horizontal="centerContinuous"/>
      <protection locked="0"/>
    </xf>
    <xf numFmtId="173" fontId="6" fillId="0" borderId="11" xfId="3" applyNumberFormat="1" applyFont="1" applyBorder="1" applyAlignment="1" applyProtection="1">
      <alignment horizontal="centerContinuous"/>
      <protection locked="0"/>
    </xf>
    <xf numFmtId="3" fontId="3" fillId="0" borderId="1" xfId="3" applyNumberFormat="1" applyFont="1" applyBorder="1" applyProtection="1">
      <protection locked="0"/>
    </xf>
    <xf numFmtId="3" fontId="3" fillId="0" borderId="2" xfId="3" applyNumberFormat="1" applyFont="1" applyBorder="1" applyProtection="1">
      <protection locked="0"/>
    </xf>
    <xf numFmtId="3" fontId="3" fillId="0" borderId="3" xfId="3" applyNumberFormat="1" applyFont="1" applyBorder="1" applyProtection="1">
      <protection locked="0"/>
    </xf>
    <xf numFmtId="4" fontId="3" fillId="0" borderId="1" xfId="3" applyNumberFormat="1" applyFont="1" applyBorder="1" applyProtection="1">
      <protection locked="0"/>
    </xf>
    <xf numFmtId="3" fontId="3" fillId="0" borderId="13" xfId="3" applyNumberFormat="1" applyFont="1" applyBorder="1" applyProtection="1">
      <protection locked="0"/>
    </xf>
    <xf numFmtId="3" fontId="3" fillId="0" borderId="12" xfId="3" applyNumberFormat="1" applyFont="1" applyBorder="1" applyProtection="1">
      <protection locked="0"/>
    </xf>
    <xf numFmtId="3" fontId="3" fillId="0" borderId="9" xfId="3" applyNumberFormat="1" applyFont="1" applyBorder="1" applyProtection="1">
      <protection locked="0"/>
    </xf>
    <xf numFmtId="3" fontId="3" fillId="0" borderId="12" xfId="3" applyNumberFormat="1" applyFont="1" applyBorder="1" applyAlignment="1" applyProtection="1">
      <alignment horizontal="center"/>
      <protection locked="0"/>
    </xf>
    <xf numFmtId="173" fontId="3" fillId="0" borderId="12" xfId="3" applyNumberFormat="1" applyFont="1" applyBorder="1" applyAlignment="1" applyProtection="1">
      <alignment horizontal="center"/>
      <protection locked="0"/>
    </xf>
    <xf numFmtId="173" fontId="3" fillId="0" borderId="11" xfId="3" applyNumberFormat="1" applyFont="1" applyBorder="1" applyAlignment="1" applyProtection="1">
      <alignment horizontal="center"/>
      <protection locked="0"/>
    </xf>
    <xf numFmtId="3" fontId="5" fillId="0" borderId="5" xfId="3" applyNumberFormat="1" applyFont="1" applyBorder="1" applyProtection="1">
      <protection locked="0"/>
    </xf>
    <xf numFmtId="3" fontId="5" fillId="0" borderId="0" xfId="3" applyNumberFormat="1" applyFont="1" applyAlignment="1" applyProtection="1">
      <alignment horizontal="left"/>
      <protection locked="0"/>
    </xf>
    <xf numFmtId="170" fontId="5" fillId="3" borderId="21" xfId="3" applyNumberFormat="1" applyFont="1" applyFill="1" applyBorder="1" applyAlignment="1" applyProtection="1">
      <alignment vertical="center"/>
      <protection locked="0"/>
    </xf>
    <xf numFmtId="4" fontId="5" fillId="0" borderId="5" xfId="3" applyNumberFormat="1" applyFont="1" applyBorder="1" applyAlignment="1" applyProtection="1">
      <alignment vertical="center"/>
      <protection locked="0"/>
    </xf>
    <xf numFmtId="170" fontId="5" fillId="3" borderId="13" xfId="3" applyNumberFormat="1" applyFont="1" applyFill="1" applyBorder="1" applyAlignment="1" applyProtection="1">
      <alignment vertical="center"/>
      <protection locked="0"/>
    </xf>
    <xf numFmtId="3" fontId="5" fillId="0" borderId="5" xfId="3" applyNumberFormat="1" applyFont="1" applyBorder="1" applyAlignment="1" applyProtection="1">
      <alignment vertical="center"/>
      <protection locked="0"/>
    </xf>
    <xf numFmtId="3" fontId="5" fillId="0" borderId="9" xfId="3" applyNumberFormat="1" applyFont="1" applyBorder="1" applyAlignment="1" applyProtection="1">
      <alignment vertical="center"/>
      <protection locked="0"/>
    </xf>
    <xf numFmtId="3" fontId="3" fillId="0" borderId="5" xfId="3" applyNumberFormat="1" applyFont="1" applyBorder="1" applyProtection="1">
      <protection locked="0"/>
    </xf>
    <xf numFmtId="170" fontId="3" fillId="0" borderId="4" xfId="3" applyNumberFormat="1" applyFont="1" applyBorder="1" applyAlignment="1" applyProtection="1">
      <alignment vertical="center"/>
      <protection locked="0"/>
    </xf>
    <xf numFmtId="9" fontId="5" fillId="0" borderId="0" xfId="5" applyFont="1" applyFill="1" applyBorder="1" applyAlignment="1" applyProtection="1">
      <alignment horizontal="left"/>
      <protection locked="0"/>
    </xf>
    <xf numFmtId="9" fontId="5" fillId="0" borderId="0" xfId="5" applyFont="1" applyFill="1" applyBorder="1" applyAlignment="1" applyProtection="1">
      <alignment horizontal="right"/>
      <protection locked="0"/>
    </xf>
    <xf numFmtId="10" fontId="5" fillId="8" borderId="19" xfId="5" applyNumberFormat="1" applyFont="1" applyFill="1" applyBorder="1" applyAlignment="1" applyProtection="1">
      <alignment horizontal="center"/>
      <protection locked="0"/>
    </xf>
    <xf numFmtId="10" fontId="5" fillId="8" borderId="20" xfId="5" applyNumberFormat="1" applyFont="1" applyFill="1" applyBorder="1" applyAlignment="1" applyProtection="1">
      <alignment horizontal="center"/>
      <protection locked="0"/>
    </xf>
    <xf numFmtId="10" fontId="5" fillId="0" borderId="12" xfId="5" applyNumberFormat="1" applyFont="1" applyFill="1" applyBorder="1" applyAlignment="1" applyProtection="1">
      <alignment horizontal="center" vertical="center"/>
      <protection locked="0"/>
    </xf>
    <xf numFmtId="10" fontId="5" fillId="0" borderId="11" xfId="5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center"/>
      <protection locked="0"/>
    </xf>
    <xf numFmtId="9" fontId="5" fillId="0" borderId="12" xfId="5" applyFont="1" applyFill="1" applyBorder="1" applyAlignment="1" applyProtection="1">
      <alignment horizontal="center" vertical="center"/>
      <protection locked="0"/>
    </xf>
    <xf numFmtId="9" fontId="5" fillId="0" borderId="11" xfId="5" applyFont="1" applyFill="1" applyBorder="1" applyAlignment="1" applyProtection="1">
      <alignment horizontal="center" vertical="center"/>
      <protection locked="0"/>
    </xf>
    <xf numFmtId="177" fontId="5" fillId="3" borderId="13" xfId="3" applyNumberFormat="1" applyFont="1" applyFill="1" applyBorder="1" applyAlignment="1" applyProtection="1">
      <alignment vertical="center"/>
      <protection locked="0"/>
    </xf>
    <xf numFmtId="10" fontId="5" fillId="3" borderId="19" xfId="5" applyNumberFormat="1" applyFont="1" applyFill="1" applyBorder="1" applyAlignment="1" applyProtection="1">
      <alignment horizontal="center"/>
      <protection locked="0"/>
    </xf>
    <xf numFmtId="10" fontId="5" fillId="3" borderId="20" xfId="5" applyNumberFormat="1" applyFont="1" applyFill="1" applyBorder="1" applyAlignment="1" applyProtection="1">
      <alignment horizontal="center"/>
      <protection locked="0"/>
    </xf>
    <xf numFmtId="9" fontId="5" fillId="3" borderId="21" xfId="12" applyFont="1" applyFill="1" applyBorder="1" applyAlignment="1" applyProtection="1">
      <alignment horizontal="center"/>
    </xf>
    <xf numFmtId="9" fontId="5" fillId="0" borderId="1" xfId="5" applyFont="1" applyFill="1" applyBorder="1" applyAlignment="1" applyProtection="1">
      <alignment horizontal="centerContinuous" vertical="center"/>
      <protection locked="0"/>
    </xf>
    <xf numFmtId="9" fontId="5" fillId="0" borderId="3" xfId="5" applyFont="1" applyFill="1" applyBorder="1" applyAlignment="1" applyProtection="1">
      <alignment horizontal="centerContinuous" vertical="center"/>
      <protection locked="0"/>
    </xf>
    <xf numFmtId="9" fontId="5" fillId="0" borderId="5" xfId="5" applyFont="1" applyFill="1" applyBorder="1" applyAlignment="1" applyProtection="1">
      <alignment horizontal="centerContinuous" vertical="center"/>
      <protection locked="0"/>
    </xf>
    <xf numFmtId="9" fontId="5" fillId="0" borderId="4" xfId="5" applyFont="1" applyFill="1" applyBorder="1" applyAlignment="1" applyProtection="1">
      <alignment horizontal="centerContinuous" vertical="center"/>
      <protection locked="0"/>
    </xf>
    <xf numFmtId="10" fontId="5" fillId="5" borderId="13" xfId="5" applyNumberFormat="1" applyFont="1" applyFill="1" applyBorder="1" applyAlignment="1" applyProtection="1">
      <alignment vertical="center"/>
      <protection locked="0"/>
    </xf>
    <xf numFmtId="3" fontId="3" fillId="0" borderId="6" xfId="3" applyNumberFormat="1" applyFont="1" applyBorder="1" applyProtection="1">
      <protection locked="0"/>
    </xf>
    <xf numFmtId="3" fontId="3" fillId="0" borderId="7" xfId="3" applyNumberFormat="1" applyFont="1" applyBorder="1" applyProtection="1">
      <protection locked="0"/>
    </xf>
    <xf numFmtId="3" fontId="5" fillId="0" borderId="7" xfId="3" applyNumberFormat="1" applyFont="1" applyBorder="1" applyAlignment="1" applyProtection="1">
      <alignment horizontal="center"/>
      <protection locked="0"/>
    </xf>
    <xf numFmtId="3" fontId="3" fillId="0" borderId="8" xfId="3" applyNumberFormat="1" applyFont="1" applyBorder="1" applyProtection="1">
      <protection locked="0"/>
    </xf>
    <xf numFmtId="4" fontId="5" fillId="0" borderId="6" xfId="3" applyNumberFormat="1" applyFont="1" applyBorder="1" applyProtection="1">
      <protection locked="0"/>
    </xf>
    <xf numFmtId="3" fontId="5" fillId="0" borderId="13" xfId="3" applyNumberFormat="1" applyFont="1" applyBorder="1" applyProtection="1">
      <protection locked="0"/>
    </xf>
    <xf numFmtId="3" fontId="5" fillId="0" borderId="6" xfId="3" applyNumberFormat="1" applyFont="1" applyBorder="1" applyProtection="1">
      <protection locked="0"/>
    </xf>
    <xf numFmtId="3" fontId="5" fillId="0" borderId="9" xfId="3" applyNumberFormat="1" applyFont="1" applyBorder="1" applyProtection="1">
      <protection locked="0"/>
    </xf>
    <xf numFmtId="3" fontId="5" fillId="0" borderId="17" xfId="3" applyNumberFormat="1" applyFont="1" applyBorder="1" applyProtection="1">
      <protection locked="0"/>
    </xf>
    <xf numFmtId="3" fontId="5" fillId="0" borderId="6" xfId="3" applyNumberFormat="1" applyFont="1" applyBorder="1" applyAlignment="1" applyProtection="1">
      <alignment horizontal="center"/>
      <protection locked="0"/>
    </xf>
    <xf numFmtId="3" fontId="5" fillId="0" borderId="8" xfId="3" applyNumberFormat="1" applyFont="1" applyBorder="1" applyAlignment="1" applyProtection="1">
      <alignment horizontal="center"/>
      <protection locked="0"/>
    </xf>
    <xf numFmtId="4" fontId="5" fillId="0" borderId="0" xfId="3" applyNumberFormat="1" applyFont="1" applyAlignment="1" applyProtection="1">
      <alignment horizontal="centerContinuous"/>
      <protection locked="0"/>
    </xf>
    <xf numFmtId="3" fontId="5" fillId="0" borderId="12" xfId="3" applyNumberFormat="1" applyFont="1" applyBorder="1" applyProtection="1">
      <protection locked="0"/>
    </xf>
    <xf numFmtId="4" fontId="5" fillId="0" borderId="12" xfId="3" applyNumberFormat="1" applyFont="1" applyBorder="1" applyAlignment="1" applyProtection="1">
      <alignment horizontal="centerContinuous"/>
      <protection locked="0"/>
    </xf>
    <xf numFmtId="3" fontId="5" fillId="0" borderId="11" xfId="3" applyNumberFormat="1" applyFont="1" applyBorder="1" applyAlignment="1" applyProtection="1">
      <alignment horizontal="centerContinuous"/>
      <protection locked="0"/>
    </xf>
    <xf numFmtId="3" fontId="3" fillId="0" borderId="4" xfId="3" applyNumberFormat="1" applyFont="1" applyBorder="1" applyProtection="1">
      <protection locked="0"/>
    </xf>
    <xf numFmtId="3" fontId="5" fillId="0" borderId="4" xfId="3" applyNumberFormat="1" applyFont="1" applyBorder="1" applyProtection="1">
      <protection locked="0"/>
    </xf>
    <xf numFmtId="174" fontId="5" fillId="0" borderId="0" xfId="7" applyFont="1" applyBorder="1" applyProtection="1">
      <protection locked="0"/>
    </xf>
    <xf numFmtId="4" fontId="5" fillId="0" borderId="13" xfId="0" applyNumberFormat="1" applyFont="1" applyBorder="1" applyAlignment="1" applyProtection="1">
      <alignment horizontal="centerContinuous"/>
      <protection locked="0"/>
    </xf>
    <xf numFmtId="3" fontId="5" fillId="4" borderId="12" xfId="1" applyNumberFormat="1" applyFont="1" applyFill="1" applyBorder="1" applyAlignment="1" applyProtection="1">
      <alignment vertical="center" wrapText="1"/>
      <protection locked="0"/>
    </xf>
    <xf numFmtId="3" fontId="5" fillId="4" borderId="10" xfId="1" applyNumberFormat="1" applyFont="1" applyFill="1" applyBorder="1" applyAlignment="1" applyProtection="1">
      <alignment vertical="top" wrapText="1"/>
      <protection locked="0"/>
    </xf>
    <xf numFmtId="3" fontId="5" fillId="0" borderId="15" xfId="0" applyNumberFormat="1" applyFont="1" applyBorder="1" applyAlignment="1" applyProtection="1">
      <alignment horizontal="center"/>
      <protection locked="0"/>
    </xf>
    <xf numFmtId="3" fontId="5" fillId="0" borderId="1" xfId="0" applyNumberFormat="1" applyFont="1" applyBorder="1" applyAlignment="1" applyProtection="1">
      <alignment horizontal="centerContinuous"/>
      <protection locked="0"/>
    </xf>
    <xf numFmtId="3" fontId="5" fillId="0" borderId="3" xfId="0" applyNumberFormat="1" applyFont="1" applyBorder="1" applyAlignment="1" applyProtection="1">
      <alignment horizontal="centerContinuous"/>
      <protection locked="0"/>
    </xf>
    <xf numFmtId="4" fontId="3" fillId="8" borderId="9" xfId="0" applyNumberFormat="1" applyFont="1" applyFill="1" applyBorder="1" applyAlignment="1" applyProtection="1">
      <alignment horizontal="centerContinuous"/>
      <protection locked="0"/>
    </xf>
    <xf numFmtId="4" fontId="3" fillId="0" borderId="9" xfId="0" applyNumberFormat="1" applyFont="1" applyBorder="1" applyAlignment="1" applyProtection="1">
      <alignment horizontal="centerContinuous"/>
      <protection locked="0"/>
    </xf>
    <xf numFmtId="3" fontId="3" fillId="0" borderId="15" xfId="3" applyNumberFormat="1" applyFont="1" applyBorder="1" applyProtection="1">
      <protection locked="0"/>
    </xf>
    <xf numFmtId="0" fontId="21" fillId="0" borderId="10" xfId="13" applyFont="1" applyBorder="1" applyAlignment="1">
      <alignment horizontal="center" vertical="center" wrapText="1"/>
    </xf>
    <xf numFmtId="4" fontId="5" fillId="0" borderId="0" xfId="1" applyNumberFormat="1" applyFont="1" applyAlignment="1" applyProtection="1">
      <alignment horizontal="centerContinuous"/>
      <protection locked="0"/>
    </xf>
    <xf numFmtId="170" fontId="5" fillId="0" borderId="21" xfId="3" applyNumberFormat="1" applyFont="1" applyBorder="1" applyAlignment="1" applyProtection="1">
      <alignment vertical="center"/>
      <protection locked="0"/>
    </xf>
    <xf numFmtId="174" fontId="5" fillId="0" borderId="0" xfId="7" applyFont="1" applyFill="1" applyBorder="1" applyProtection="1">
      <protection locked="0"/>
    </xf>
    <xf numFmtId="0" fontId="3" fillId="0" borderId="12" xfId="6" applyFont="1" applyBorder="1" applyAlignment="1" applyProtection="1">
      <alignment horizontal="justify" vertical="center"/>
      <protection locked="0"/>
    </xf>
    <xf numFmtId="0" fontId="3" fillId="0" borderId="10" xfId="6" applyFont="1" applyBorder="1" applyAlignment="1" applyProtection="1">
      <alignment horizontal="justify" vertical="center"/>
      <protection locked="0"/>
    </xf>
    <xf numFmtId="0" fontId="3" fillId="0" borderId="11" xfId="6" applyFont="1" applyBorder="1" applyAlignment="1" applyProtection="1">
      <alignment horizontal="justify" vertical="center"/>
      <protection locked="0"/>
    </xf>
    <xf numFmtId="173" fontId="3" fillId="0" borderId="12" xfId="3" applyNumberFormat="1" applyFont="1" applyBorder="1" applyAlignment="1" applyProtection="1">
      <alignment horizontal="center" vertical="center"/>
      <protection locked="0"/>
    </xf>
    <xf numFmtId="173" fontId="3" fillId="0" borderId="11" xfId="3" applyNumberFormat="1" applyFont="1" applyBorder="1" applyAlignment="1" applyProtection="1">
      <alignment horizontal="center" vertical="center"/>
      <protection locked="0"/>
    </xf>
    <xf numFmtId="173" fontId="3" fillId="0" borderId="0" xfId="3" applyNumberFormat="1" applyFont="1" applyAlignment="1" applyProtection="1">
      <alignment horizontal="center" vertical="center"/>
      <protection locked="0"/>
    </xf>
    <xf numFmtId="3" fontId="5" fillId="0" borderId="10" xfId="3" applyNumberFormat="1" applyFont="1" applyBorder="1" applyAlignment="1" applyProtection="1">
      <alignment horizontal="left"/>
      <protection locked="0"/>
    </xf>
    <xf numFmtId="0" fontId="3" fillId="0" borderId="12" xfId="6" applyFont="1" applyBorder="1" applyAlignment="1" applyProtection="1">
      <alignment vertical="center"/>
      <protection locked="0"/>
    </xf>
    <xf numFmtId="0" fontId="3" fillId="0" borderId="10" xfId="6" applyFont="1" applyBorder="1" applyAlignment="1" applyProtection="1">
      <alignment vertical="center"/>
      <protection locked="0"/>
    </xf>
    <xf numFmtId="0" fontId="3" fillId="0" borderId="11" xfId="6" applyFont="1" applyBorder="1" applyAlignment="1" applyProtection="1">
      <alignment vertical="center"/>
      <protection locked="0"/>
    </xf>
    <xf numFmtId="10" fontId="5" fillId="0" borderId="12" xfId="3" applyNumberFormat="1" applyFont="1" applyBorder="1" applyAlignment="1" applyProtection="1">
      <alignment horizontal="center" vertical="center"/>
      <protection locked="0"/>
    </xf>
    <xf numFmtId="10" fontId="5" fillId="0" borderId="11" xfId="3" applyNumberFormat="1" applyFont="1" applyBorder="1" applyAlignment="1" applyProtection="1">
      <alignment horizontal="center" vertical="center"/>
      <protection locked="0"/>
    </xf>
    <xf numFmtId="3" fontId="5" fillId="0" borderId="0" xfId="3" applyNumberFormat="1" applyFont="1" applyAlignment="1" applyProtection="1">
      <alignment horizontal="center"/>
      <protection locked="0"/>
    </xf>
    <xf numFmtId="3" fontId="5" fillId="0" borderId="0" xfId="3" applyNumberFormat="1" applyFont="1" applyAlignment="1" applyProtection="1">
      <alignment horizontal="center" vertical="center"/>
      <protection locked="0"/>
    </xf>
    <xf numFmtId="3" fontId="5" fillId="0" borderId="2" xfId="3" applyNumberFormat="1" applyFont="1" applyBorder="1" applyAlignment="1" applyProtection="1">
      <alignment horizontal="center"/>
      <protection locked="0"/>
    </xf>
    <xf numFmtId="3" fontId="19" fillId="0" borderId="13" xfId="1" applyNumberFormat="1" applyFont="1" applyBorder="1" applyAlignment="1">
      <alignment horizontal="center" vertical="center" wrapText="1"/>
    </xf>
    <xf numFmtId="3" fontId="3" fillId="0" borderId="0" xfId="1" applyNumberFormat="1" applyAlignment="1" applyProtection="1">
      <alignment horizontal="center"/>
      <protection locked="0"/>
    </xf>
    <xf numFmtId="3" fontId="3" fillId="0" borderId="0" xfId="1" applyNumberFormat="1" applyProtection="1">
      <protection locked="0"/>
    </xf>
    <xf numFmtId="4" fontId="3" fillId="0" borderId="0" xfId="1" applyNumberFormat="1" applyAlignment="1" applyProtection="1">
      <alignment horizontal="right"/>
      <protection locked="0"/>
    </xf>
    <xf numFmtId="4" fontId="3" fillId="0" borderId="0" xfId="1" applyNumberFormat="1" applyProtection="1">
      <protection locked="0"/>
    </xf>
    <xf numFmtId="3" fontId="5" fillId="8" borderId="2" xfId="1" applyNumberFormat="1" applyFont="1" applyFill="1" applyBorder="1" applyProtection="1">
      <protection locked="0"/>
    </xf>
    <xf numFmtId="3" fontId="5" fillId="0" borderId="0" xfId="1" applyNumberFormat="1" applyFont="1" applyProtection="1">
      <protection locked="0"/>
    </xf>
    <xf numFmtId="4" fontId="3" fillId="4" borderId="10" xfId="1" applyNumberFormat="1" applyFill="1" applyBorder="1" applyAlignment="1" applyProtection="1">
      <alignment horizontal="right"/>
      <protection locked="0"/>
    </xf>
    <xf numFmtId="4" fontId="3" fillId="0" borderId="13" xfId="1" applyNumberFormat="1" applyBorder="1" applyAlignment="1" applyProtection="1">
      <alignment horizontal="right"/>
      <protection locked="0"/>
    </xf>
    <xf numFmtId="0" fontId="3" fillId="0" borderId="14" xfId="1" applyBorder="1" applyProtection="1">
      <protection locked="0"/>
    </xf>
    <xf numFmtId="4" fontId="3" fillId="0" borderId="0" xfId="1" applyNumberFormat="1" applyAlignment="1" applyProtection="1">
      <alignment horizontal="right" vertical="center"/>
      <protection locked="0"/>
    </xf>
    <xf numFmtId="3" fontId="5" fillId="0" borderId="13" xfId="0" applyNumberFormat="1" applyFont="1" applyBorder="1" applyProtection="1">
      <protection locked="0"/>
    </xf>
    <xf numFmtId="4" fontId="5" fillId="0" borderId="13" xfId="0" applyNumberFormat="1" applyFont="1" applyBorder="1" applyAlignment="1" applyProtection="1">
      <alignment horizontal="center"/>
      <protection locked="0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3" fontId="3" fillId="0" borderId="13" xfId="0" applyNumberFormat="1" applyFont="1" applyBorder="1" applyAlignment="1" applyProtection="1">
      <alignment horizontal="center" vertical="center"/>
      <protection locked="0"/>
    </xf>
    <xf numFmtId="174" fontId="3" fillId="8" borderId="12" xfId="7" applyFont="1" applyFill="1" applyBorder="1" applyAlignment="1" applyProtection="1">
      <alignment vertical="center"/>
      <protection locked="0"/>
    </xf>
    <xf numFmtId="167" fontId="7" fillId="8" borderId="13" xfId="0" applyNumberFormat="1" applyFont="1" applyFill="1" applyBorder="1" applyAlignment="1" applyProtection="1">
      <alignment vertical="center" wrapText="1"/>
      <protection locked="0"/>
    </xf>
    <xf numFmtId="4" fontId="3" fillId="8" borderId="13" xfId="0" applyNumberFormat="1" applyFont="1" applyFill="1" applyBorder="1" applyAlignment="1" applyProtection="1">
      <alignment horizontal="right" vertical="center"/>
      <protection locked="0"/>
    </xf>
    <xf numFmtId="3" fontId="5" fillId="0" borderId="22" xfId="0" applyNumberFormat="1" applyFont="1" applyBorder="1" applyAlignment="1" applyProtection="1">
      <alignment horizontal="center" vertical="center"/>
      <protection locked="0"/>
    </xf>
    <xf numFmtId="3" fontId="5" fillId="0" borderId="23" xfId="0" applyNumberFormat="1" applyFont="1" applyBorder="1" applyAlignment="1" applyProtection="1">
      <alignment horizontal="center" vertical="center"/>
      <protection locked="0"/>
    </xf>
    <xf numFmtId="4" fontId="5" fillId="0" borderId="23" xfId="0" applyNumberFormat="1" applyFont="1" applyBorder="1" applyAlignment="1" applyProtection="1">
      <alignment horizontal="right" vertical="center"/>
      <protection locked="0"/>
    </xf>
    <xf numFmtId="167" fontId="11" fillId="0" borderId="23" xfId="0" applyNumberFormat="1" applyFont="1" applyBorder="1" applyAlignment="1" applyProtection="1">
      <alignment vertical="center" wrapText="1"/>
      <protection locked="0"/>
    </xf>
    <xf numFmtId="167" fontId="11" fillId="0" borderId="21" xfId="0" applyNumberFormat="1" applyFont="1" applyBorder="1" applyAlignment="1" applyProtection="1">
      <alignment vertical="center" wrapText="1"/>
      <protection locked="0"/>
    </xf>
    <xf numFmtId="4" fontId="5" fillId="0" borderId="0" xfId="1" applyNumberFormat="1" applyFont="1" applyProtection="1"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5" fillId="0" borderId="0" xfId="0" applyNumberFormat="1" applyFont="1" applyAlignment="1" applyProtection="1">
      <alignment horizontal="left" vertical="center" wrapText="1"/>
      <protection locked="0"/>
    </xf>
    <xf numFmtId="3" fontId="5" fillId="0" borderId="0" xfId="0" applyNumberFormat="1" applyFont="1" applyAlignment="1" applyProtection="1">
      <alignment horizontal="center" vertical="center"/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167" fontId="11" fillId="0" borderId="0" xfId="0" applyNumberFormat="1" applyFont="1" applyAlignment="1" applyProtection="1">
      <alignment vertical="center" wrapText="1"/>
      <protection locked="0"/>
    </xf>
    <xf numFmtId="3" fontId="3" fillId="0" borderId="17" xfId="0" applyNumberFormat="1" applyFont="1" applyBorder="1" applyAlignment="1" applyProtection="1">
      <alignment horizontal="center" vertical="center"/>
      <protection locked="0"/>
    </xf>
    <xf numFmtId="4" fontId="3" fillId="8" borderId="17" xfId="0" applyNumberFormat="1" applyFont="1" applyFill="1" applyBorder="1" applyAlignment="1" applyProtection="1">
      <alignment horizontal="right" vertical="center"/>
      <protection locked="0"/>
    </xf>
    <xf numFmtId="167" fontId="7" fillId="8" borderId="17" xfId="0" applyNumberFormat="1" applyFont="1" applyFill="1" applyBorder="1" applyAlignment="1" applyProtection="1">
      <alignment vertical="center" wrapText="1"/>
      <protection locked="0"/>
    </xf>
    <xf numFmtId="170" fontId="3" fillId="0" borderId="17" xfId="3" applyNumberFormat="1" applyFont="1" applyBorder="1" applyAlignment="1" applyProtection="1">
      <alignment vertic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174" fontId="3" fillId="8" borderId="13" xfId="7" applyFont="1" applyFill="1" applyBorder="1" applyAlignment="1" applyProtection="1">
      <alignment vertical="center"/>
      <protection locked="0"/>
    </xf>
    <xf numFmtId="4" fontId="5" fillId="0" borderId="34" xfId="0" applyNumberFormat="1" applyFont="1" applyBorder="1" applyAlignment="1" applyProtection="1">
      <alignment horizontal="right" vertical="center"/>
      <protection locked="0"/>
    </xf>
    <xf numFmtId="167" fontId="11" fillId="0" borderId="34" xfId="0" applyNumberFormat="1" applyFont="1" applyBorder="1" applyAlignment="1" applyProtection="1">
      <alignment vertical="center" wrapText="1"/>
      <protection locked="0"/>
    </xf>
    <xf numFmtId="167" fontId="11" fillId="0" borderId="27" xfId="0" applyNumberFormat="1" applyFont="1" applyBorder="1" applyAlignment="1" applyProtection="1">
      <alignment vertical="center" wrapText="1"/>
      <protection locked="0"/>
    </xf>
    <xf numFmtId="167" fontId="11" fillId="0" borderId="13" xfId="0" applyNumberFormat="1" applyFont="1" applyBorder="1" applyAlignment="1" applyProtection="1">
      <alignment vertical="center" wrapText="1"/>
      <protection locked="0"/>
    </xf>
    <xf numFmtId="0" fontId="3" fillId="0" borderId="0" xfId="1" applyProtection="1">
      <protection locked="0"/>
    </xf>
    <xf numFmtId="4" fontId="3" fillId="0" borderId="13" xfId="1" applyNumberFormat="1" applyBorder="1" applyAlignment="1" applyProtection="1">
      <alignment horizontal="centerContinuous"/>
      <protection locked="0"/>
    </xf>
    <xf numFmtId="4" fontId="3" fillId="8" borderId="13" xfId="1" applyNumberFormat="1" applyFill="1" applyBorder="1" applyAlignment="1" applyProtection="1">
      <alignment horizontal="centerContinuous"/>
      <protection locked="0"/>
    </xf>
    <xf numFmtId="3" fontId="3" fillId="8" borderId="13" xfId="1" applyNumberFormat="1" applyFill="1" applyBorder="1" applyAlignment="1" applyProtection="1">
      <alignment horizontal="centerContinuous"/>
      <protection locked="0"/>
    </xf>
    <xf numFmtId="3" fontId="3" fillId="8" borderId="0" xfId="1" applyNumberFormat="1" applyFill="1" applyProtection="1">
      <protection locked="0"/>
    </xf>
    <xf numFmtId="3" fontId="3" fillId="0" borderId="13" xfId="1" applyNumberFormat="1" applyBorder="1" applyAlignment="1" applyProtection="1">
      <alignment horizontal="centerContinuous"/>
      <protection locked="0"/>
    </xf>
    <xf numFmtId="49" fontId="3" fillId="0" borderId="0" xfId="1" applyNumberFormat="1" applyAlignment="1" applyProtection="1">
      <alignment vertical="center"/>
      <protection locked="0"/>
    </xf>
    <xf numFmtId="3" fontId="3" fillId="0" borderId="0" xfId="1" applyNumberFormat="1" applyAlignment="1" applyProtection="1">
      <alignment horizontal="left" vertical="center"/>
      <protection locked="0"/>
    </xf>
    <xf numFmtId="3" fontId="3" fillId="0" borderId="0" xfId="1" applyNumberFormat="1" applyAlignment="1" applyProtection="1">
      <alignment vertical="center"/>
      <protection locked="0"/>
    </xf>
    <xf numFmtId="4" fontId="3" fillId="0" borderId="2" xfId="1" applyNumberFormat="1" applyBorder="1" applyAlignment="1" applyProtection="1">
      <alignment horizontal="right"/>
      <protection locked="0"/>
    </xf>
    <xf numFmtId="3" fontId="3" fillId="0" borderId="15" xfId="1" applyNumberFormat="1" applyBorder="1" applyProtection="1">
      <protection locked="0"/>
    </xf>
    <xf numFmtId="4" fontId="3" fillId="8" borderId="2" xfId="1" applyNumberFormat="1" applyFill="1" applyBorder="1" applyAlignment="1" applyProtection="1">
      <alignment horizontal="right"/>
      <protection locked="0"/>
    </xf>
    <xf numFmtId="3" fontId="3" fillId="0" borderId="13" xfId="1" applyNumberFormat="1" applyBorder="1" applyProtection="1">
      <protection locked="0"/>
    </xf>
    <xf numFmtId="4" fontId="3" fillId="8" borderId="10" xfId="1" applyNumberFormat="1" applyFill="1" applyBorder="1" applyAlignment="1" applyProtection="1">
      <alignment horizontal="right"/>
      <protection locked="0"/>
    </xf>
    <xf numFmtId="0" fontId="3" fillId="0" borderId="0" xfId="1" applyAlignment="1" applyProtection="1">
      <alignment wrapText="1"/>
      <protection locked="0"/>
    </xf>
    <xf numFmtId="0" fontId="3" fillId="0" borderId="12" xfId="1" applyBorder="1" applyAlignment="1" applyProtection="1">
      <alignment wrapText="1"/>
      <protection locked="0"/>
    </xf>
    <xf numFmtId="0" fontId="3" fillId="0" borderId="12" xfId="1" applyBorder="1" applyProtection="1">
      <protection locked="0"/>
    </xf>
    <xf numFmtId="4" fontId="3" fillId="8" borderId="13" xfId="1" applyNumberFormat="1" applyFill="1" applyBorder="1" applyAlignment="1" applyProtection="1">
      <alignment horizontal="center"/>
      <protection locked="0"/>
    </xf>
    <xf numFmtId="0" fontId="3" fillId="0" borderId="16" xfId="1" applyBorder="1" applyProtection="1">
      <protection locked="0"/>
    </xf>
    <xf numFmtId="3" fontId="3" fillId="0" borderId="10" xfId="1" applyNumberFormat="1" applyBorder="1" applyProtection="1">
      <protection locked="0"/>
    </xf>
    <xf numFmtId="3" fontId="7" fillId="0" borderId="2" xfId="1" applyNumberFormat="1" applyFont="1" applyBorder="1" applyAlignment="1" applyProtection="1">
      <alignment horizontal="center"/>
      <protection locked="0"/>
    </xf>
    <xf numFmtId="168" fontId="3" fillId="0" borderId="2" xfId="2" applyFont="1" applyBorder="1" applyProtection="1">
      <protection locked="0"/>
    </xf>
    <xf numFmtId="10" fontId="8" fillId="0" borderId="0" xfId="5" applyNumberFormat="1" applyFont="1" applyAlignment="1" applyProtection="1">
      <alignment horizontal="center"/>
      <protection locked="0"/>
    </xf>
    <xf numFmtId="9" fontId="23" fillId="0" borderId="0" xfId="5" applyFont="1" applyAlignment="1" applyProtection="1">
      <alignment horizontal="center"/>
      <protection locked="0"/>
    </xf>
    <xf numFmtId="170" fontId="3" fillId="0" borderId="4" xfId="1" applyNumberFormat="1" applyBorder="1" applyProtection="1">
      <protection locked="0"/>
    </xf>
    <xf numFmtId="176" fontId="3" fillId="0" borderId="0" xfId="1" applyNumberFormat="1" applyProtection="1">
      <protection locked="0"/>
    </xf>
    <xf numFmtId="0" fontId="3" fillId="0" borderId="4" xfId="1" applyBorder="1" applyProtection="1">
      <protection locked="0"/>
    </xf>
    <xf numFmtId="3" fontId="7" fillId="0" borderId="7" xfId="1" applyNumberFormat="1" applyFont="1" applyBorder="1" applyAlignment="1" applyProtection="1">
      <alignment horizontal="center"/>
      <protection locked="0"/>
    </xf>
    <xf numFmtId="4" fontId="3" fillId="0" borderId="7" xfId="1" applyNumberFormat="1" applyBorder="1" applyAlignment="1" applyProtection="1">
      <alignment horizontal="right"/>
      <protection locked="0"/>
    </xf>
    <xf numFmtId="168" fontId="3" fillId="0" borderId="7" xfId="2" applyFont="1" applyBorder="1" applyProtection="1">
      <protection locked="0"/>
    </xf>
    <xf numFmtId="3" fontId="11" fillId="0" borderId="10" xfId="1" applyNumberFormat="1" applyFont="1" applyBorder="1" applyAlignment="1" applyProtection="1">
      <alignment horizontal="center"/>
      <protection locked="0"/>
    </xf>
    <xf numFmtId="4" fontId="5" fillId="0" borderId="10" xfId="1" applyNumberFormat="1" applyFont="1" applyBorder="1" applyAlignment="1" applyProtection="1">
      <alignment horizontal="right"/>
      <protection locked="0"/>
    </xf>
    <xf numFmtId="168" fontId="5" fillId="0" borderId="11" xfId="2" applyFont="1" applyBorder="1" applyProtection="1">
      <protection locked="0"/>
    </xf>
    <xf numFmtId="168" fontId="3" fillId="0" borderId="0" xfId="2" applyFont="1" applyBorder="1" applyProtection="1">
      <protection locked="0"/>
    </xf>
    <xf numFmtId="10" fontId="3" fillId="0" borderId="0" xfId="5" applyNumberFormat="1" applyFont="1" applyProtection="1">
      <protection locked="0"/>
    </xf>
    <xf numFmtId="3" fontId="3" fillId="0" borderId="1" xfId="1" applyNumberFormat="1" applyBorder="1" applyProtection="1">
      <protection locked="0"/>
    </xf>
    <xf numFmtId="3" fontId="3" fillId="0" borderId="2" xfId="1" applyNumberFormat="1" applyBorder="1" applyProtection="1">
      <protection locked="0"/>
    </xf>
    <xf numFmtId="3" fontId="7" fillId="0" borderId="2" xfId="3" applyNumberFormat="1" applyFont="1" applyBorder="1" applyAlignment="1" applyProtection="1">
      <alignment horizontal="center"/>
      <protection locked="0"/>
    </xf>
    <xf numFmtId="4" fontId="3" fillId="0" borderId="2" xfId="3" applyNumberFormat="1" applyFont="1" applyBorder="1" applyAlignment="1" applyProtection="1">
      <alignment horizontal="right"/>
      <protection locked="0"/>
    </xf>
    <xf numFmtId="3" fontId="5" fillId="8" borderId="2" xfId="3" applyNumberFormat="1" applyFont="1" applyFill="1" applyBorder="1" applyAlignment="1" applyProtection="1">
      <alignment horizontal="centerContinuous"/>
      <protection locked="0"/>
    </xf>
    <xf numFmtId="4" fontId="5" fillId="8" borderId="2" xfId="3" applyNumberFormat="1" applyFont="1" applyFill="1" applyBorder="1" applyAlignment="1" applyProtection="1">
      <alignment horizontal="left"/>
      <protection locked="0"/>
    </xf>
    <xf numFmtId="3" fontId="5" fillId="8" borderId="2" xfId="3" applyNumberFormat="1" applyFont="1" applyFill="1" applyBorder="1" applyAlignment="1" applyProtection="1">
      <alignment horizontal="center"/>
      <protection locked="0"/>
    </xf>
    <xf numFmtId="3" fontId="5" fillId="0" borderId="2" xfId="3" applyNumberFormat="1" applyFont="1" applyBorder="1" applyAlignment="1" applyProtection="1">
      <alignment horizontal="left"/>
      <protection locked="0"/>
    </xf>
    <xf numFmtId="3" fontId="5" fillId="0" borderId="3" xfId="3" applyNumberFormat="1" applyFont="1" applyBorder="1" applyAlignment="1" applyProtection="1">
      <alignment horizontal="center"/>
      <protection locked="0"/>
    </xf>
    <xf numFmtId="49" fontId="5" fillId="0" borderId="0" xfId="3" applyNumberFormat="1" applyFont="1" applyAlignment="1" applyProtection="1">
      <alignment horizontal="centerContinuous" vertical="center"/>
      <protection locked="0"/>
    </xf>
    <xf numFmtId="168" fontId="5" fillId="0" borderId="0" xfId="2" applyFont="1" applyFill="1" applyBorder="1" applyAlignment="1" applyProtection="1">
      <alignment horizontal="left" vertical="center"/>
      <protection locked="0"/>
    </xf>
    <xf numFmtId="4" fontId="5" fillId="0" borderId="0" xfId="3" applyNumberFormat="1" applyFont="1" applyAlignment="1" applyProtection="1">
      <alignment horizontal="left"/>
      <protection locked="0"/>
    </xf>
    <xf numFmtId="3" fontId="5" fillId="0" borderId="4" xfId="3" applyNumberFormat="1" applyFont="1" applyBorder="1" applyAlignment="1" applyProtection="1">
      <alignment horizontal="center"/>
      <protection locked="0"/>
    </xf>
    <xf numFmtId="3" fontId="24" fillId="0" borderId="0" xfId="3" applyNumberFormat="1" applyFont="1" applyAlignment="1" applyProtection="1">
      <alignment vertical="center" wrapText="1"/>
      <protection locked="0"/>
    </xf>
    <xf numFmtId="3" fontId="7" fillId="0" borderId="0" xfId="1" applyNumberFormat="1" applyFont="1" applyAlignment="1" applyProtection="1">
      <alignment horizontal="left" vertical="center"/>
      <protection locked="0"/>
    </xf>
    <xf numFmtId="3" fontId="3" fillId="0" borderId="4" xfId="3" applyNumberFormat="1" applyFont="1" applyBorder="1" applyAlignment="1" applyProtection="1">
      <alignment horizontal="centerContinuous"/>
      <protection locked="0"/>
    </xf>
    <xf numFmtId="3" fontId="3" fillId="0" borderId="5" xfId="1" applyNumberFormat="1" applyBorder="1" applyProtection="1">
      <protection locked="0"/>
    </xf>
    <xf numFmtId="3" fontId="5" fillId="0" borderId="0" xfId="3" applyNumberFormat="1" applyFont="1" applyAlignment="1" applyProtection="1">
      <alignment horizontal="left" vertical="center"/>
      <protection locked="0"/>
    </xf>
    <xf numFmtId="3" fontId="3" fillId="0" borderId="0" xfId="3" applyNumberFormat="1" applyFont="1" applyAlignment="1" applyProtection="1">
      <alignment horizontal="center"/>
      <protection locked="0"/>
    </xf>
    <xf numFmtId="3" fontId="3" fillId="0" borderId="0" xfId="1" applyNumberFormat="1" applyAlignment="1" applyProtection="1">
      <alignment vertical="center" wrapText="1"/>
      <protection locked="0"/>
    </xf>
    <xf numFmtId="3" fontId="7" fillId="8" borderId="0" xfId="1" applyNumberFormat="1" applyFont="1" applyFill="1" applyAlignment="1" applyProtection="1">
      <alignment horizontal="left" vertical="center"/>
      <protection locked="0"/>
    </xf>
    <xf numFmtId="3" fontId="3" fillId="0" borderId="0" xfId="1" applyNumberFormat="1" applyAlignment="1" applyProtection="1">
      <alignment horizontal="left" vertical="center" wrapText="1"/>
      <protection locked="0"/>
    </xf>
    <xf numFmtId="3" fontId="24" fillId="0" borderId="0" xfId="3" applyNumberFormat="1" applyFont="1" applyAlignment="1" applyProtection="1">
      <alignment horizontal="justify" vertical="center" wrapText="1"/>
      <protection locked="0"/>
    </xf>
    <xf numFmtId="3" fontId="5" fillId="0" borderId="0" xfId="1" applyNumberFormat="1" applyFont="1" applyAlignment="1" applyProtection="1">
      <alignment horizontal="left" vertical="center"/>
      <protection locked="0"/>
    </xf>
    <xf numFmtId="3" fontId="5" fillId="0" borderId="0" xfId="1" applyNumberFormat="1" applyFont="1" applyAlignment="1" applyProtection="1">
      <alignment horizontal="center" vertical="center"/>
      <protection locked="0"/>
    </xf>
    <xf numFmtId="3" fontId="3" fillId="0" borderId="0" xfId="3" applyNumberFormat="1" applyFont="1" applyAlignment="1" applyProtection="1">
      <alignment horizontal="centerContinuous"/>
      <protection locked="0"/>
    </xf>
    <xf numFmtId="3" fontId="5" fillId="0" borderId="0" xfId="1" applyNumberFormat="1" applyFont="1" applyAlignment="1" applyProtection="1">
      <alignment vertical="center"/>
      <protection locked="0"/>
    </xf>
    <xf numFmtId="49" fontId="7" fillId="0" borderId="0" xfId="3" applyNumberFormat="1" applyFont="1" applyAlignment="1" applyProtection="1">
      <alignment horizontal="center"/>
      <protection locked="0"/>
    </xf>
    <xf numFmtId="168" fontId="3" fillId="0" borderId="0" xfId="2" applyFont="1" applyBorder="1" applyAlignment="1" applyProtection="1">
      <alignment vertical="center"/>
      <protection locked="0"/>
    </xf>
    <xf numFmtId="171" fontId="3" fillId="0" borderId="0" xfId="4" applyFont="1" applyFill="1" applyBorder="1" applyAlignment="1" applyProtection="1">
      <alignment horizontal="left" vertical="center" wrapText="1"/>
      <protection locked="0"/>
    </xf>
    <xf numFmtId="4" fontId="3" fillId="0" borderId="0" xfId="4" applyNumberFormat="1" applyFont="1" applyFill="1" applyBorder="1" applyAlignment="1" applyProtection="1">
      <alignment horizontal="left" vertical="center" wrapText="1"/>
      <protection locked="0"/>
    </xf>
    <xf numFmtId="183" fontId="3" fillId="0" borderId="0" xfId="1" applyNumberFormat="1" applyProtection="1">
      <protection locked="0"/>
    </xf>
    <xf numFmtId="9" fontId="5" fillId="10" borderId="0" xfId="3" applyNumberFormat="1" applyFont="1" applyFill="1" applyAlignment="1" applyProtection="1">
      <alignment horizontal="center" vertical="center"/>
      <protection locked="0"/>
    </xf>
    <xf numFmtId="3" fontId="5" fillId="0" borderId="5" xfId="1" applyNumberFormat="1" applyFont="1" applyBorder="1" applyAlignment="1" applyProtection="1">
      <alignment vertical="center"/>
      <protection locked="0"/>
    </xf>
    <xf numFmtId="168" fontId="3" fillId="0" borderId="0" xfId="2" applyFont="1" applyBorder="1" applyAlignment="1" applyProtection="1">
      <alignment horizontal="left" vertical="center"/>
      <protection locked="0"/>
    </xf>
    <xf numFmtId="172" fontId="3" fillId="0" borderId="0" xfId="3" applyNumberFormat="1" applyFont="1" applyProtection="1">
      <protection locked="0"/>
    </xf>
    <xf numFmtId="3" fontId="25" fillId="0" borderId="0" xfId="1" applyNumberFormat="1" applyFont="1" applyAlignment="1" applyProtection="1">
      <alignment horizontal="left" vertical="center"/>
      <protection locked="0"/>
    </xf>
    <xf numFmtId="3" fontId="5" fillId="0" borderId="5" xfId="1" applyNumberFormat="1" applyFont="1" applyBorder="1" applyAlignment="1" applyProtection="1">
      <alignment horizontal="left" vertical="center"/>
      <protection locked="0"/>
    </xf>
    <xf numFmtId="170" fontId="3" fillId="0" borderId="0" xfId="3" applyNumberFormat="1" applyFont="1" applyAlignment="1" applyProtection="1">
      <alignment horizontal="center"/>
      <protection locked="0"/>
    </xf>
    <xf numFmtId="3" fontId="3" fillId="0" borderId="18" xfId="1" applyNumberFormat="1" applyBorder="1" applyProtection="1">
      <protection locked="0"/>
    </xf>
    <xf numFmtId="0" fontId="3" fillId="0" borderId="0" xfId="1" applyAlignment="1" applyProtection="1">
      <alignment vertical="center"/>
      <protection locked="0"/>
    </xf>
    <xf numFmtId="3" fontId="3" fillId="0" borderId="0" xfId="1" applyNumberFormat="1" applyAlignment="1" applyProtection="1">
      <alignment horizontal="right" vertical="center"/>
      <protection locked="0"/>
    </xf>
    <xf numFmtId="168" fontId="3" fillId="0" borderId="0" xfId="2" applyFont="1" applyBorder="1" applyAlignment="1" applyProtection="1">
      <alignment horizontal="center" vertical="center"/>
      <protection locked="0"/>
    </xf>
    <xf numFmtId="4" fontId="3" fillId="0" borderId="0" xfId="3" applyNumberFormat="1" applyFont="1" applyAlignment="1" applyProtection="1">
      <alignment horizontal="center"/>
      <protection locked="0"/>
    </xf>
    <xf numFmtId="3" fontId="5" fillId="0" borderId="18" xfId="1" applyNumberFormat="1" applyFont="1" applyBorder="1" applyAlignment="1" applyProtection="1">
      <alignment vertical="center"/>
      <protection locked="0"/>
    </xf>
    <xf numFmtId="3" fontId="3" fillId="8" borderId="0" xfId="1" applyNumberFormat="1" applyFill="1" applyAlignment="1" applyProtection="1">
      <alignment horizontal="left" vertical="center" wrapText="1"/>
      <protection locked="0"/>
    </xf>
    <xf numFmtId="170" fontId="3" fillId="0" borderId="0" xfId="3" applyNumberFormat="1" applyFont="1" applyAlignment="1" applyProtection="1">
      <alignment horizontal="center" vertical="center"/>
      <protection locked="0"/>
    </xf>
    <xf numFmtId="184" fontId="3" fillId="0" borderId="0" xfId="1" applyNumberFormat="1" applyAlignment="1" applyProtection="1">
      <alignment horizontal="left" vertical="center"/>
      <protection locked="0"/>
    </xf>
    <xf numFmtId="3" fontId="5" fillId="0" borderId="18" xfId="3" applyNumberFormat="1" applyFont="1" applyBorder="1" applyAlignment="1" applyProtection="1">
      <alignment vertical="center"/>
      <protection locked="0"/>
    </xf>
    <xf numFmtId="3" fontId="19" fillId="0" borderId="0" xfId="1" applyNumberFormat="1" applyFont="1" applyAlignment="1" applyProtection="1">
      <alignment vertical="center" wrapText="1"/>
      <protection locked="0"/>
    </xf>
    <xf numFmtId="170" fontId="3" fillId="9" borderId="11" xfId="3" applyNumberFormat="1" applyFont="1" applyFill="1" applyBorder="1" applyAlignment="1" applyProtection="1">
      <alignment vertical="center"/>
      <protection locked="0"/>
    </xf>
    <xf numFmtId="170" fontId="5" fillId="9" borderId="11" xfId="3" applyNumberFormat="1" applyFont="1" applyFill="1" applyBorder="1" applyAlignment="1" applyProtection="1">
      <alignment vertical="center"/>
      <protection locked="0"/>
    </xf>
    <xf numFmtId="170" fontId="3" fillId="9" borderId="8" xfId="3" applyNumberFormat="1" applyFont="1" applyFill="1" applyBorder="1" applyAlignment="1" applyProtection="1">
      <alignment vertical="center"/>
      <protection locked="0"/>
    </xf>
    <xf numFmtId="170" fontId="3" fillId="9" borderId="4" xfId="3" applyNumberFormat="1" applyFont="1" applyFill="1" applyBorder="1" applyAlignment="1" applyProtection="1">
      <alignment vertical="center"/>
      <protection locked="0"/>
    </xf>
    <xf numFmtId="170" fontId="3" fillId="9" borderId="13" xfId="3" applyNumberFormat="1" applyFont="1" applyFill="1" applyBorder="1" applyAlignment="1" applyProtection="1">
      <alignment vertical="center"/>
      <protection locked="0"/>
    </xf>
    <xf numFmtId="4" fontId="12" fillId="0" borderId="0" xfId="1" applyNumberFormat="1" applyFont="1" applyProtection="1">
      <protection locked="0"/>
    </xf>
    <xf numFmtId="3" fontId="12" fillId="0" borderId="0" xfId="1" applyNumberFormat="1" applyFont="1" applyProtection="1">
      <protection locked="0"/>
    </xf>
    <xf numFmtId="4" fontId="13" fillId="0" borderId="0" xfId="1" applyNumberFormat="1" applyFont="1" applyProtection="1">
      <protection locked="0"/>
    </xf>
    <xf numFmtId="3" fontId="13" fillId="0" borderId="0" xfId="1" applyNumberFormat="1" applyFont="1" applyProtection="1">
      <protection locked="0"/>
    </xf>
    <xf numFmtId="168" fontId="25" fillId="0" borderId="0" xfId="2" applyFont="1" applyProtection="1">
      <protection locked="0"/>
    </xf>
    <xf numFmtId="185" fontId="5" fillId="3" borderId="13" xfId="3" applyNumberFormat="1" applyFont="1" applyFill="1" applyBorder="1" applyAlignment="1">
      <alignment vertical="center"/>
    </xf>
    <xf numFmtId="3" fontId="26" fillId="0" borderId="13" xfId="1" applyNumberFormat="1" applyFont="1" applyBorder="1" applyAlignment="1" applyProtection="1">
      <alignment vertical="center"/>
      <protection locked="0"/>
    </xf>
    <xf numFmtId="3" fontId="19" fillId="0" borderId="0" xfId="3" applyNumberFormat="1" applyFont="1" applyAlignment="1">
      <alignment horizontal="center"/>
    </xf>
    <xf numFmtId="3" fontId="21" fillId="0" borderId="0" xfId="3" applyNumberFormat="1" applyFont="1" applyAlignment="1" applyProtection="1">
      <alignment horizontal="left"/>
      <protection locked="0"/>
    </xf>
    <xf numFmtId="179" fontId="5" fillId="0" borderId="0" xfId="3" applyNumberFormat="1" applyFont="1" applyAlignment="1" applyProtection="1">
      <alignment horizontal="centerContinuous"/>
      <protection locked="0"/>
    </xf>
    <xf numFmtId="180" fontId="5" fillId="0" borderId="0" xfId="3" applyNumberFormat="1" applyFont="1" applyAlignment="1" applyProtection="1">
      <alignment horizontal="centerContinuous"/>
      <protection locked="0"/>
    </xf>
    <xf numFmtId="3" fontId="3" fillId="0" borderId="6" xfId="1" applyNumberFormat="1" applyBorder="1" applyProtection="1">
      <protection locked="0"/>
    </xf>
    <xf numFmtId="3" fontId="3" fillId="0" borderId="7" xfId="1" applyNumberFormat="1" applyBorder="1" applyProtection="1">
      <protection locked="0"/>
    </xf>
    <xf numFmtId="4" fontId="3" fillId="0" borderId="7" xfId="1" applyNumberFormat="1" applyBorder="1" applyProtection="1">
      <protection locked="0"/>
    </xf>
    <xf numFmtId="3" fontId="3" fillId="0" borderId="8" xfId="1" applyNumberFormat="1" applyBorder="1" applyProtection="1">
      <protection locked="0"/>
    </xf>
    <xf numFmtId="3" fontId="3" fillId="8" borderId="13" xfId="1" applyNumberFormat="1" applyFill="1" applyBorder="1" applyProtection="1">
      <protection hidden="1"/>
    </xf>
    <xf numFmtId="4" fontId="3" fillId="8" borderId="13" xfId="1" applyNumberFormat="1" applyFill="1" applyBorder="1" applyAlignment="1" applyProtection="1">
      <alignment horizontal="right"/>
      <protection hidden="1"/>
    </xf>
    <xf numFmtId="4" fontId="3" fillId="8" borderId="13" xfId="1" applyNumberFormat="1" applyFill="1" applyBorder="1" applyAlignment="1" applyProtection="1">
      <alignment horizontal="centerContinuous"/>
      <protection hidden="1"/>
    </xf>
    <xf numFmtId="4" fontId="3" fillId="0" borderId="13" xfId="1" applyNumberFormat="1" applyBorder="1" applyAlignment="1" applyProtection="1">
      <alignment horizontal="centerContinuous"/>
      <protection hidden="1"/>
    </xf>
    <xf numFmtId="0" fontId="3" fillId="0" borderId="12" xfId="1" applyBorder="1" applyAlignment="1" applyProtection="1">
      <alignment wrapText="1"/>
      <protection hidden="1"/>
    </xf>
    <xf numFmtId="3" fontId="3" fillId="8" borderId="15" xfId="1" applyNumberFormat="1" applyFill="1" applyBorder="1" applyProtection="1">
      <protection hidden="1"/>
    </xf>
    <xf numFmtId="4" fontId="3" fillId="8" borderId="2" xfId="1" applyNumberFormat="1" applyFill="1" applyBorder="1" applyAlignment="1" applyProtection="1">
      <alignment horizontal="right"/>
      <protection hidden="1"/>
    </xf>
    <xf numFmtId="175" fontId="3" fillId="8" borderId="15" xfId="1" applyNumberFormat="1" applyFill="1" applyBorder="1" applyProtection="1">
      <protection hidden="1"/>
    </xf>
    <xf numFmtId="4" fontId="3" fillId="8" borderId="10" xfId="1" applyNumberFormat="1" applyFill="1" applyBorder="1" applyAlignment="1" applyProtection="1">
      <alignment horizontal="right"/>
      <protection hidden="1"/>
    </xf>
    <xf numFmtId="0" fontId="3" fillId="0" borderId="0" xfId="1" applyAlignment="1" applyProtection="1">
      <alignment wrapText="1"/>
      <protection hidden="1"/>
    </xf>
    <xf numFmtId="0" fontId="7" fillId="0" borderId="0" xfId="0" applyFont="1"/>
    <xf numFmtId="0" fontId="11" fillId="0" borderId="0" xfId="0" applyFont="1"/>
    <xf numFmtId="0" fontId="7" fillId="0" borderId="0" xfId="13" applyFont="1"/>
    <xf numFmtId="166" fontId="7" fillId="0" borderId="0" xfId="14" applyFont="1" applyProtection="1"/>
    <xf numFmtId="0" fontId="7" fillId="0" borderId="35" xfId="13" applyFont="1" applyBorder="1"/>
    <xf numFmtId="0" fontId="7" fillId="11" borderId="35" xfId="13" applyFont="1" applyFill="1" applyBorder="1" applyProtection="1">
      <protection locked="0"/>
    </xf>
    <xf numFmtId="166" fontId="7" fillId="0" borderId="0" xfId="14" applyFont="1" applyFill="1" applyBorder="1" applyProtection="1"/>
    <xf numFmtId="0" fontId="7" fillId="0" borderId="36" xfId="13" applyFont="1" applyBorder="1"/>
    <xf numFmtId="0" fontId="5" fillId="12" borderId="13" xfId="13" applyFont="1" applyFill="1" applyBorder="1" applyAlignment="1">
      <alignment horizontal="center" vertical="center" wrapText="1"/>
    </xf>
    <xf numFmtId="0" fontId="7" fillId="0" borderId="37" xfId="13" applyFont="1" applyBorder="1" applyAlignment="1">
      <alignment vertical="center"/>
    </xf>
    <xf numFmtId="0" fontId="7" fillId="0" borderId="38" xfId="13" applyFont="1" applyBorder="1"/>
    <xf numFmtId="166" fontId="7" fillId="14" borderId="35" xfId="14" applyFont="1" applyFill="1" applyBorder="1" applyAlignment="1" applyProtection="1">
      <alignment vertical="center"/>
    </xf>
    <xf numFmtId="0" fontId="7" fillId="0" borderId="0" xfId="13" applyFont="1" applyAlignment="1">
      <alignment vertical="center"/>
    </xf>
    <xf numFmtId="186" fontId="7" fillId="15" borderId="35" xfId="14" applyNumberFormat="1" applyFont="1" applyFill="1" applyBorder="1" applyAlignment="1" applyProtection="1">
      <alignment vertical="center"/>
    </xf>
    <xf numFmtId="0" fontId="7" fillId="16" borderId="12" xfId="13" applyFont="1" applyFill="1" applyBorder="1" applyAlignment="1">
      <alignment vertical="center"/>
    </xf>
    <xf numFmtId="0" fontId="7" fillId="16" borderId="10" xfId="13" applyFont="1" applyFill="1" applyBorder="1"/>
    <xf numFmtId="0" fontId="7" fillId="16" borderId="11" xfId="13" applyFont="1" applyFill="1" applyBorder="1"/>
    <xf numFmtId="0" fontId="7" fillId="0" borderId="37" xfId="13" applyFont="1" applyBorder="1" applyAlignment="1">
      <alignment vertical="center" wrapText="1"/>
    </xf>
    <xf numFmtId="0" fontId="7" fillId="17" borderId="37" xfId="13" applyFont="1" applyFill="1" applyBorder="1" applyAlignment="1">
      <alignment vertical="center" wrapText="1"/>
    </xf>
    <xf numFmtId="0" fontId="7" fillId="17" borderId="36" xfId="13" applyFont="1" applyFill="1" applyBorder="1"/>
    <xf numFmtId="0" fontId="7" fillId="17" borderId="38" xfId="13" applyFont="1" applyFill="1" applyBorder="1"/>
    <xf numFmtId="186" fontId="7" fillId="17" borderId="35" xfId="14" applyNumberFormat="1" applyFont="1" applyFill="1" applyBorder="1" applyAlignment="1" applyProtection="1">
      <alignment vertical="center"/>
    </xf>
    <xf numFmtId="0" fontId="11" fillId="18" borderId="39" xfId="13" applyFont="1" applyFill="1" applyBorder="1" applyAlignment="1">
      <alignment horizontal="center" vertical="center" wrapText="1"/>
    </xf>
    <xf numFmtId="0" fontId="11" fillId="18" borderId="40" xfId="13" applyFont="1" applyFill="1" applyBorder="1" applyAlignment="1">
      <alignment horizontal="center" vertical="center" wrapText="1"/>
    </xf>
    <xf numFmtId="0" fontId="11" fillId="18" borderId="41" xfId="13" applyFont="1" applyFill="1" applyBorder="1" applyAlignment="1">
      <alignment horizontal="center" vertical="center" wrapText="1"/>
    </xf>
    <xf numFmtId="0" fontId="11" fillId="18" borderId="42" xfId="13" applyFont="1" applyFill="1" applyBorder="1" applyAlignment="1">
      <alignment horizontal="center" vertical="center" wrapText="1"/>
    </xf>
    <xf numFmtId="0" fontId="11" fillId="0" borderId="0" xfId="13" applyFont="1" applyAlignment="1">
      <alignment horizontal="center" vertical="center" wrapText="1"/>
    </xf>
    <xf numFmtId="0" fontId="11" fillId="0" borderId="13" xfId="13" applyFont="1" applyBorder="1" applyAlignment="1">
      <alignment horizontal="center" vertical="center" wrapText="1"/>
    </xf>
    <xf numFmtId="0" fontId="7" fillId="0" borderId="13" xfId="13" applyFont="1" applyBorder="1"/>
    <xf numFmtId="0" fontId="11" fillId="0" borderId="13" xfId="13" applyFont="1" applyBorder="1" applyAlignment="1">
      <alignment horizontal="left" vertical="center" wrapText="1"/>
    </xf>
    <xf numFmtId="186" fontId="11" fillId="0" borderId="13" xfId="13" applyNumberFormat="1" applyFont="1" applyBorder="1" applyAlignment="1">
      <alignment horizontal="right" vertical="center" wrapText="1"/>
    </xf>
    <xf numFmtId="9" fontId="7" fillId="0" borderId="0" xfId="13" applyNumberFormat="1" applyFont="1"/>
    <xf numFmtId="166" fontId="7" fillId="0" borderId="0" xfId="13" applyNumberFormat="1" applyFont="1"/>
    <xf numFmtId="0" fontId="5" fillId="0" borderId="13" xfId="13" applyFont="1" applyBorder="1" applyAlignment="1">
      <alignment horizontal="left" vertical="center" wrapText="1"/>
    </xf>
    <xf numFmtId="0" fontId="11" fillId="0" borderId="13" xfId="13" applyFont="1" applyBorder="1" applyAlignment="1">
      <alignment horizontal="right" vertical="center" wrapText="1"/>
    </xf>
    <xf numFmtId="0" fontId="7" fillId="0" borderId="13" xfId="13" applyFont="1" applyBorder="1" applyAlignment="1">
      <alignment horizontal="center" vertical="center" wrapText="1"/>
    </xf>
    <xf numFmtId="186" fontId="11" fillId="0" borderId="13" xfId="13" applyNumberFormat="1" applyFont="1" applyBorder="1" applyAlignment="1">
      <alignment horizontal="center" vertical="center" wrapText="1"/>
    </xf>
    <xf numFmtId="0" fontId="11" fillId="16" borderId="13" xfId="13" applyFont="1" applyFill="1" applyBorder="1" applyAlignment="1">
      <alignment horizontal="center" vertical="center" wrapText="1"/>
    </xf>
    <xf numFmtId="0" fontId="11" fillId="16" borderId="13" xfId="13" applyFont="1" applyFill="1" applyBorder="1" applyAlignment="1">
      <alignment horizontal="right" vertical="center" wrapText="1"/>
    </xf>
    <xf numFmtId="186" fontId="11" fillId="16" borderId="13" xfId="13" applyNumberFormat="1" applyFont="1" applyFill="1" applyBorder="1" applyAlignment="1">
      <alignment horizontal="right" vertical="center" wrapText="1"/>
    </xf>
    <xf numFmtId="0" fontId="11" fillId="16" borderId="13" xfId="13" applyFont="1" applyFill="1" applyBorder="1" applyAlignment="1">
      <alignment horizontal="left" vertical="center" wrapText="1"/>
    </xf>
    <xf numFmtId="0" fontId="5" fillId="0" borderId="12" xfId="6" applyFont="1" applyBorder="1" applyAlignment="1" applyProtection="1">
      <alignment vertical="center"/>
      <protection locked="0"/>
    </xf>
    <xf numFmtId="0" fontId="5" fillId="0" borderId="10" xfId="6" applyFont="1" applyBorder="1" applyAlignment="1" applyProtection="1">
      <alignment vertical="center"/>
      <protection locked="0"/>
    </xf>
    <xf numFmtId="0" fontId="5" fillId="0" borderId="11" xfId="6" applyFont="1" applyBorder="1" applyAlignment="1" applyProtection="1">
      <alignment vertical="center"/>
      <protection locked="0"/>
    </xf>
    <xf numFmtId="0" fontId="27" fillId="0" borderId="0" xfId="0" applyFont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27" fillId="19" borderId="13" xfId="0" applyFont="1" applyFill="1" applyBorder="1" applyAlignment="1">
      <alignment horizontal="center" vertical="center"/>
    </xf>
    <xf numFmtId="0" fontId="27" fillId="19" borderId="13" xfId="0" applyFont="1" applyFill="1" applyBorder="1" applyAlignment="1">
      <alignment horizontal="center"/>
    </xf>
    <xf numFmtId="0" fontId="17" fillId="0" borderId="0" xfId="0" applyFont="1" applyAlignment="1">
      <alignment horizontal="center" vertical="top"/>
    </xf>
    <xf numFmtId="168" fontId="29" fillId="8" borderId="2" xfId="2" applyFont="1" applyFill="1" applyBorder="1" applyAlignment="1" applyProtection="1">
      <alignment horizontal="left" vertical="center"/>
      <protection locked="0"/>
    </xf>
    <xf numFmtId="0" fontId="7" fillId="2" borderId="13" xfId="1" applyFont="1" applyFill="1" applyBorder="1" applyAlignment="1" applyProtection="1">
      <alignment horizontal="center" vertical="center" wrapText="1"/>
      <protection locked="0"/>
    </xf>
    <xf numFmtId="174" fontId="3" fillId="2" borderId="12" xfId="7" applyFont="1" applyFill="1" applyBorder="1" applyAlignment="1" applyProtection="1">
      <alignment horizontal="right" vertical="center"/>
      <protection locked="0"/>
    </xf>
    <xf numFmtId="187" fontId="3" fillId="2" borderId="12" xfId="2" applyNumberFormat="1" applyFont="1" applyFill="1" applyBorder="1" applyAlignment="1" applyProtection="1">
      <alignment vertical="center"/>
      <protection locked="0"/>
    </xf>
    <xf numFmtId="170" fontId="3" fillId="2" borderId="13" xfId="3" applyNumberFormat="1" applyFont="1" applyFill="1" applyBorder="1" applyAlignment="1" applyProtection="1">
      <alignment vertical="center"/>
      <protection locked="0"/>
    </xf>
    <xf numFmtId="187" fontId="3" fillId="0" borderId="12" xfId="2" applyNumberFormat="1" applyFont="1" applyFill="1" applyBorder="1" applyAlignment="1" applyProtection="1">
      <alignment vertical="center"/>
      <protection locked="0"/>
    </xf>
    <xf numFmtId="0" fontId="3" fillId="0" borderId="12" xfId="1" applyBorder="1" applyAlignment="1" applyProtection="1">
      <alignment horizontal="left" vertical="center"/>
      <protection locked="0"/>
    </xf>
    <xf numFmtId="0" fontId="3" fillId="0" borderId="10" xfId="1" applyBorder="1" applyAlignment="1" applyProtection="1">
      <alignment horizontal="left" vertical="center"/>
      <protection locked="0"/>
    </xf>
    <xf numFmtId="0" fontId="3" fillId="0" borderId="11" xfId="1" applyBorder="1" applyAlignment="1" applyProtection="1">
      <alignment horizontal="left" vertical="center"/>
      <protection locked="0"/>
    </xf>
    <xf numFmtId="0" fontId="3" fillId="0" borderId="12" xfId="1" applyBorder="1" applyAlignment="1" applyProtection="1">
      <alignment vertical="center"/>
      <protection locked="0"/>
    </xf>
    <xf numFmtId="0" fontId="3" fillId="0" borderId="10" xfId="1" applyBorder="1" applyAlignment="1" applyProtection="1">
      <alignment vertical="center"/>
      <protection locked="0"/>
    </xf>
    <xf numFmtId="0" fontId="3" fillId="0" borderId="11" xfId="1" applyBorder="1" applyAlignment="1" applyProtection="1">
      <alignment vertical="center"/>
      <protection locked="0"/>
    </xf>
    <xf numFmtId="3" fontId="3" fillId="0" borderId="26" xfId="1" applyNumberFormat="1" applyBorder="1" applyAlignment="1" applyProtection="1">
      <alignment horizontal="center"/>
      <protection locked="0"/>
    </xf>
    <xf numFmtId="3" fontId="3" fillId="0" borderId="27" xfId="1" applyNumberFormat="1" applyBorder="1" applyAlignment="1" applyProtection="1">
      <alignment horizontal="center"/>
      <protection locked="0"/>
    </xf>
    <xf numFmtId="3" fontId="3" fillId="0" borderId="21" xfId="1" applyNumberFormat="1" applyBorder="1" applyAlignment="1" applyProtection="1">
      <alignment horizontal="center"/>
      <protection locked="0"/>
    </xf>
    <xf numFmtId="4" fontId="3" fillId="0" borderId="13" xfId="1" applyNumberFormat="1" applyBorder="1" applyAlignment="1" applyProtection="1">
      <alignment horizontal="right" vertical="center"/>
      <protection locked="0"/>
    </xf>
    <xf numFmtId="49" fontId="7" fillId="0" borderId="24" xfId="10" applyFont="1" applyFill="1" applyBorder="1" applyAlignment="1" applyProtection="1">
      <alignment horizontal="center" vertical="center"/>
      <protection locked="0"/>
    </xf>
    <xf numFmtId="0" fontId="7" fillId="2" borderId="13" xfId="1" applyFont="1" applyFill="1" applyBorder="1" applyAlignment="1" applyProtection="1">
      <alignment horizontal="left" vertical="center"/>
      <protection locked="0"/>
    </xf>
    <xf numFmtId="0" fontId="7" fillId="2" borderId="13" xfId="1" applyFont="1" applyFill="1" applyBorder="1" applyAlignment="1" applyProtection="1">
      <alignment horizontal="center" vertical="center"/>
      <protection locked="0"/>
    </xf>
    <xf numFmtId="181" fontId="3" fillId="2" borderId="12" xfId="2" applyNumberFormat="1" applyFont="1" applyFill="1" applyBorder="1" applyAlignment="1" applyProtection="1">
      <alignment vertical="center"/>
      <protection locked="0"/>
    </xf>
    <xf numFmtId="0" fontId="7" fillId="2" borderId="25" xfId="1" applyFont="1" applyFill="1" applyBorder="1" applyAlignment="1" applyProtection="1">
      <alignment horizontal="center" vertical="center"/>
      <protection locked="0"/>
    </xf>
    <xf numFmtId="174" fontId="3" fillId="2" borderId="10" xfId="7" applyFont="1" applyFill="1" applyBorder="1" applyAlignment="1" applyProtection="1">
      <alignment horizontal="right" vertical="center"/>
      <protection locked="0"/>
    </xf>
    <xf numFmtId="3" fontId="3" fillId="2" borderId="26" xfId="1" applyNumberFormat="1" applyFill="1" applyBorder="1" applyAlignment="1" applyProtection="1">
      <alignment horizontal="center"/>
      <protection locked="0"/>
    </xf>
    <xf numFmtId="0" fontId="7" fillId="2" borderId="15" xfId="1" applyFont="1" applyFill="1" applyBorder="1" applyAlignment="1" applyProtection="1">
      <alignment horizontal="center" vertical="center" wrapText="1"/>
      <protection locked="0"/>
    </xf>
    <xf numFmtId="188" fontId="3" fillId="8" borderId="13" xfId="15" applyNumberFormat="1" applyFont="1" applyFill="1" applyBorder="1" applyAlignment="1" applyProtection="1">
      <alignment horizontal="centerContinuous"/>
      <protection locked="0"/>
    </xf>
    <xf numFmtId="188" fontId="3" fillId="0" borderId="13" xfId="15" applyNumberFormat="1" applyFont="1" applyBorder="1" applyAlignment="1" applyProtection="1">
      <alignment horizontal="center" vertical="center"/>
      <protection locked="0"/>
    </xf>
    <xf numFmtId="188" fontId="3" fillId="8" borderId="13" xfId="15" applyNumberFormat="1" applyFont="1" applyFill="1" applyBorder="1" applyAlignment="1" applyProtection="1">
      <alignment horizontal="center" vertical="center"/>
      <protection locked="0"/>
    </xf>
    <xf numFmtId="188" fontId="3" fillId="0" borderId="13" xfId="15" applyNumberFormat="1" applyFont="1" applyBorder="1" applyAlignment="1" applyProtection="1">
      <alignment horizontal="centerContinuous"/>
      <protection locked="0"/>
    </xf>
    <xf numFmtId="181" fontId="3" fillId="0" borderId="12" xfId="2" applyNumberFormat="1" applyFont="1" applyFill="1" applyBorder="1" applyAlignment="1" applyProtection="1">
      <alignment vertical="center"/>
      <protection locked="0"/>
    </xf>
    <xf numFmtId="3" fontId="5" fillId="0" borderId="7" xfId="3" applyNumberFormat="1" applyFont="1" applyBorder="1" applyAlignment="1" applyProtection="1">
      <alignment horizontal="centerContinuous"/>
      <protection locked="0"/>
    </xf>
    <xf numFmtId="3" fontId="7" fillId="2" borderId="15" xfId="1" applyNumberFormat="1" applyFont="1" applyFill="1" applyBorder="1" applyAlignment="1" applyProtection="1">
      <alignment horizontal="center"/>
      <protection locked="0"/>
    </xf>
    <xf numFmtId="4" fontId="3" fillId="2" borderId="2" xfId="1" applyNumberFormat="1" applyFill="1" applyBorder="1" applyAlignment="1" applyProtection="1">
      <alignment horizontal="right"/>
      <protection locked="0"/>
    </xf>
    <xf numFmtId="168" fontId="3" fillId="2" borderId="15" xfId="2" applyFont="1" applyFill="1" applyBorder="1" applyAlignment="1" applyProtection="1">
      <alignment horizontal="left"/>
      <protection locked="0"/>
    </xf>
    <xf numFmtId="3" fontId="7" fillId="2" borderId="13" xfId="1" applyNumberFormat="1" applyFont="1" applyFill="1" applyBorder="1" applyAlignment="1" applyProtection="1">
      <alignment horizontal="center"/>
      <protection locked="0"/>
    </xf>
    <xf numFmtId="4" fontId="3" fillId="2" borderId="10" xfId="1" applyNumberFormat="1" applyFill="1" applyBorder="1" applyAlignment="1" applyProtection="1">
      <alignment horizontal="right"/>
      <protection locked="0"/>
    </xf>
    <xf numFmtId="168" fontId="3" fillId="2" borderId="13" xfId="2" applyFont="1" applyFill="1" applyBorder="1" applyAlignment="1" applyProtection="1">
      <alignment horizontal="left"/>
      <protection locked="0"/>
    </xf>
    <xf numFmtId="189" fontId="3" fillId="0" borderId="0" xfId="1" applyNumberFormat="1" applyAlignment="1" applyProtection="1">
      <alignment vertical="center"/>
      <protection locked="0"/>
    </xf>
    <xf numFmtId="0" fontId="38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0" fillId="2" borderId="0" xfId="0" applyFill="1" applyAlignment="1">
      <alignment horizontal="center"/>
    </xf>
    <xf numFmtId="0" fontId="40" fillId="2" borderId="0" xfId="0" applyFont="1" applyFill="1"/>
    <xf numFmtId="0" fontId="0" fillId="2" borderId="0" xfId="0" applyFill="1"/>
    <xf numFmtId="186" fontId="39" fillId="2" borderId="0" xfId="0" applyNumberFormat="1" applyFont="1" applyFill="1" applyAlignment="1">
      <alignment horizontal="center"/>
    </xf>
    <xf numFmtId="186" fontId="0" fillId="2" borderId="0" xfId="0" applyNumberFormat="1" applyFill="1"/>
    <xf numFmtId="0" fontId="41" fillId="2" borderId="13" xfId="0" applyFont="1" applyFill="1" applyBorder="1" applyAlignment="1" applyProtection="1">
      <alignment horizontal="center" vertical="top" wrapText="1"/>
      <protection hidden="1"/>
    </xf>
    <xf numFmtId="0" fontId="41" fillId="2" borderId="13" xfId="0" applyFont="1" applyFill="1" applyBorder="1" applyAlignment="1" applyProtection="1">
      <alignment vertical="top" wrapText="1"/>
      <protection hidden="1"/>
    </xf>
    <xf numFmtId="0" fontId="36" fillId="2" borderId="0" xfId="0" applyFont="1" applyFill="1" applyProtection="1">
      <protection hidden="1"/>
    </xf>
    <xf numFmtId="3" fontId="42" fillId="11" borderId="13" xfId="0" applyNumberFormat="1" applyFont="1" applyFill="1" applyBorder="1" applyAlignment="1" applyProtection="1">
      <alignment horizontal="center"/>
      <protection hidden="1"/>
    </xf>
    <xf numFmtId="0" fontId="42" fillId="11" borderId="13" xfId="0" applyFont="1" applyFill="1" applyBorder="1" applyAlignment="1" applyProtection="1">
      <alignment horizontal="center"/>
      <protection hidden="1"/>
    </xf>
    <xf numFmtId="1" fontId="42" fillId="11" borderId="13" xfId="0" applyNumberFormat="1" applyFont="1" applyFill="1" applyBorder="1" applyAlignment="1" applyProtection="1">
      <alignment horizontal="center"/>
      <protection hidden="1"/>
    </xf>
    <xf numFmtId="0" fontId="42" fillId="11" borderId="13" xfId="0" applyFont="1" applyFill="1" applyBorder="1" applyProtection="1">
      <protection hidden="1"/>
    </xf>
    <xf numFmtId="3" fontId="42" fillId="20" borderId="13" xfId="0" applyNumberFormat="1" applyFont="1" applyFill="1" applyBorder="1" applyAlignment="1" applyProtection="1">
      <alignment horizontal="center"/>
      <protection hidden="1"/>
    </xf>
    <xf numFmtId="0" fontId="42" fillId="20" borderId="13" xfId="0" applyFont="1" applyFill="1" applyBorder="1" applyAlignment="1" applyProtection="1">
      <alignment horizontal="center"/>
      <protection hidden="1"/>
    </xf>
    <xf numFmtId="1" fontId="42" fillId="20" borderId="13" xfId="0" applyNumberFormat="1" applyFont="1" applyFill="1" applyBorder="1" applyAlignment="1" applyProtection="1">
      <alignment horizontal="center"/>
      <protection hidden="1"/>
    </xf>
    <xf numFmtId="0" fontId="42" fillId="20" borderId="13" xfId="0" applyFont="1" applyFill="1" applyBorder="1" applyProtection="1">
      <protection hidden="1"/>
    </xf>
    <xf numFmtId="3" fontId="42" fillId="18" borderId="13" xfId="0" applyNumberFormat="1" applyFont="1" applyFill="1" applyBorder="1" applyAlignment="1" applyProtection="1">
      <alignment horizontal="center"/>
      <protection hidden="1"/>
    </xf>
    <xf numFmtId="0" fontId="42" fillId="18" borderId="13" xfId="0" applyFont="1" applyFill="1" applyBorder="1" applyAlignment="1" applyProtection="1">
      <alignment horizontal="center"/>
      <protection hidden="1"/>
    </xf>
    <xf numFmtId="1" fontId="42" fillId="18" borderId="13" xfId="0" applyNumberFormat="1" applyFont="1" applyFill="1" applyBorder="1" applyAlignment="1" applyProtection="1">
      <alignment horizontal="center"/>
      <protection hidden="1"/>
    </xf>
    <xf numFmtId="0" fontId="42" fillId="18" borderId="13" xfId="0" applyFont="1" applyFill="1" applyBorder="1" applyProtection="1">
      <protection hidden="1"/>
    </xf>
    <xf numFmtId="3" fontId="42" fillId="21" borderId="13" xfId="0" applyNumberFormat="1" applyFont="1" applyFill="1" applyBorder="1" applyAlignment="1" applyProtection="1">
      <alignment horizontal="center"/>
      <protection hidden="1"/>
    </xf>
    <xf numFmtId="0" fontId="42" fillId="21" borderId="13" xfId="0" applyFont="1" applyFill="1" applyBorder="1" applyAlignment="1" applyProtection="1">
      <alignment horizontal="center"/>
      <protection hidden="1"/>
    </xf>
    <xf numFmtId="1" fontId="42" fillId="21" borderId="13" xfId="0" applyNumberFormat="1" applyFont="1" applyFill="1" applyBorder="1" applyAlignment="1" applyProtection="1">
      <alignment horizontal="center"/>
      <protection hidden="1"/>
    </xf>
    <xf numFmtId="0" fontId="42" fillId="21" borderId="13" xfId="0" applyFont="1" applyFill="1" applyBorder="1" applyProtection="1">
      <protection hidden="1"/>
    </xf>
    <xf numFmtId="3" fontId="42" fillId="22" borderId="13" xfId="0" applyNumberFormat="1" applyFont="1" applyFill="1" applyBorder="1" applyAlignment="1" applyProtection="1">
      <alignment horizontal="center"/>
      <protection hidden="1"/>
    </xf>
    <xf numFmtId="0" fontId="42" fillId="22" borderId="13" xfId="0" applyFont="1" applyFill="1" applyBorder="1" applyAlignment="1" applyProtection="1">
      <alignment horizontal="center"/>
      <protection hidden="1"/>
    </xf>
    <xf numFmtId="1" fontId="42" fillId="22" borderId="13" xfId="0" applyNumberFormat="1" applyFont="1" applyFill="1" applyBorder="1" applyAlignment="1" applyProtection="1">
      <alignment horizontal="center"/>
      <protection hidden="1"/>
    </xf>
    <xf numFmtId="0" fontId="42" fillId="22" borderId="13" xfId="0" applyFont="1" applyFill="1" applyBorder="1" applyProtection="1">
      <protection hidden="1"/>
    </xf>
    <xf numFmtId="0" fontId="4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189" fontId="45" fillId="2" borderId="0" xfId="0" applyNumberFormat="1" applyFont="1" applyFill="1" applyAlignment="1" applyProtection="1">
      <alignment horizontal="center"/>
      <protection hidden="1"/>
    </xf>
    <xf numFmtId="1" fontId="0" fillId="2" borderId="0" xfId="0" applyNumberFormat="1" applyFill="1" applyAlignment="1" applyProtection="1">
      <alignment horizontal="center"/>
      <protection hidden="1"/>
    </xf>
    <xf numFmtId="0" fontId="46" fillId="2" borderId="0" xfId="0" applyFont="1" applyFill="1" applyAlignment="1" applyProtection="1">
      <alignment horizontal="center" vertical="top" wrapText="1"/>
      <protection hidden="1"/>
    </xf>
    <xf numFmtId="0" fontId="46" fillId="2" borderId="0" xfId="0" applyFont="1" applyFill="1" applyAlignment="1" applyProtection="1">
      <alignment vertical="top" wrapText="1"/>
      <protection hidden="1"/>
    </xf>
    <xf numFmtId="0" fontId="47" fillId="2" borderId="0" xfId="0" applyFont="1" applyFill="1" applyProtection="1">
      <protection hidden="1"/>
    </xf>
    <xf numFmtId="189" fontId="5" fillId="0" borderId="0" xfId="1" applyNumberFormat="1" applyFont="1" applyAlignment="1" applyProtection="1">
      <alignment vertical="center"/>
      <protection locked="0"/>
    </xf>
    <xf numFmtId="3" fontId="48" fillId="0" borderId="0" xfId="1" applyNumberFormat="1" applyFont="1" applyAlignment="1" applyProtection="1">
      <alignment vertical="center"/>
      <protection locked="0"/>
    </xf>
    <xf numFmtId="49" fontId="48" fillId="0" borderId="0" xfId="1" applyNumberFormat="1" applyFont="1" applyAlignment="1" applyProtection="1">
      <alignment vertical="center" wrapText="1"/>
      <protection locked="0"/>
    </xf>
    <xf numFmtId="39" fontId="49" fillId="0" borderId="13" xfId="26" applyNumberFormat="1" applyFont="1" applyFill="1" applyBorder="1" applyAlignment="1" applyProtection="1">
      <alignment horizontal="center" vertical="center" wrapText="1"/>
      <protection locked="0"/>
    </xf>
    <xf numFmtId="174" fontId="48" fillId="0" borderId="13" xfId="7" applyFont="1" applyFill="1" applyBorder="1" applyAlignment="1" applyProtection="1">
      <alignment vertical="center" wrapText="1"/>
      <protection locked="0"/>
    </xf>
    <xf numFmtId="49" fontId="48" fillId="0" borderId="13" xfId="7" applyNumberFormat="1" applyFont="1" applyFill="1" applyBorder="1" applyAlignment="1" applyProtection="1">
      <alignment vertical="center" wrapText="1"/>
      <protection locked="0"/>
    </xf>
    <xf numFmtId="39" fontId="48" fillId="0" borderId="13" xfId="27" applyNumberFormat="1" applyFont="1" applyFill="1" applyBorder="1" applyAlignment="1" applyProtection="1">
      <alignment vertical="center" wrapText="1"/>
      <protection locked="0"/>
    </xf>
    <xf numFmtId="0" fontId="11" fillId="0" borderId="13" xfId="0" applyFont="1" applyBorder="1" applyAlignment="1" applyProtection="1">
      <alignment horizontal="left" vertical="center"/>
      <protection locked="0"/>
    </xf>
    <xf numFmtId="0" fontId="5" fillId="0" borderId="12" xfId="6" applyFont="1" applyBorder="1" applyAlignment="1" applyProtection="1">
      <alignment vertical="center" wrapText="1"/>
      <protection locked="0" hidden="1"/>
    </xf>
    <xf numFmtId="0" fontId="5" fillId="0" borderId="10" xfId="6" applyFont="1" applyBorder="1" applyAlignment="1" applyProtection="1">
      <alignment vertical="center" wrapText="1"/>
      <protection locked="0" hidden="1"/>
    </xf>
    <xf numFmtId="0" fontId="5" fillId="0" borderId="11" xfId="6" applyFont="1" applyBorder="1" applyAlignment="1" applyProtection="1">
      <alignment vertical="center" wrapText="1"/>
      <protection locked="0" hidden="1"/>
    </xf>
    <xf numFmtId="3" fontId="3" fillId="5" borderId="0" xfId="1" applyNumberFormat="1" applyFill="1" applyAlignment="1" applyProtection="1">
      <alignment vertical="center"/>
      <protection locked="0"/>
    </xf>
    <xf numFmtId="189" fontId="3" fillId="5" borderId="0" xfId="1" applyNumberFormat="1" applyFill="1" applyAlignment="1" applyProtection="1">
      <alignment vertical="center"/>
      <protection locked="0"/>
    </xf>
    <xf numFmtId="174" fontId="48" fillId="5" borderId="13" xfId="7" applyFont="1" applyFill="1" applyBorder="1" applyAlignment="1" applyProtection="1">
      <alignment vertical="center" wrapText="1"/>
      <protection locked="0"/>
    </xf>
    <xf numFmtId="49" fontId="48" fillId="5" borderId="13" xfId="7" applyNumberFormat="1" applyFont="1" applyFill="1" applyBorder="1" applyAlignment="1" applyProtection="1">
      <alignment vertical="center" wrapText="1"/>
      <protection locked="0"/>
    </xf>
    <xf numFmtId="39" fontId="48" fillId="5" borderId="13" xfId="27" applyNumberFormat="1" applyFont="1" applyFill="1" applyBorder="1" applyAlignment="1" applyProtection="1">
      <alignment vertical="center" wrapText="1"/>
      <protection locked="0"/>
    </xf>
    <xf numFmtId="39" fontId="48" fillId="0" borderId="13" xfId="26" applyNumberFormat="1" applyFont="1" applyFill="1" applyBorder="1" applyAlignment="1" applyProtection="1">
      <alignment vertical="center" wrapText="1"/>
      <protection locked="0"/>
    </xf>
    <xf numFmtId="0" fontId="11" fillId="5" borderId="13" xfId="0" applyFont="1" applyFill="1" applyBorder="1" applyAlignment="1" applyProtection="1">
      <alignment horizontal="left" vertical="center"/>
      <protection locked="0"/>
    </xf>
    <xf numFmtId="0" fontId="5" fillId="5" borderId="12" xfId="6" applyFont="1" applyFill="1" applyBorder="1" applyAlignment="1" applyProtection="1">
      <alignment vertical="center" wrapText="1"/>
      <protection locked="0" hidden="1"/>
    </xf>
    <xf numFmtId="0" fontId="5" fillId="5" borderId="10" xfId="6" applyFont="1" applyFill="1" applyBorder="1" applyAlignment="1" applyProtection="1">
      <alignment vertical="center" wrapText="1"/>
      <protection locked="0" hidden="1"/>
    </xf>
    <xf numFmtId="0" fontId="5" fillId="5" borderId="11" xfId="6" applyFont="1" applyFill="1" applyBorder="1" applyAlignment="1" applyProtection="1">
      <alignment vertical="center" wrapText="1"/>
      <protection locked="0" hidden="1"/>
    </xf>
    <xf numFmtId="3" fontId="50" fillId="0" borderId="0" xfId="1" applyNumberFormat="1" applyFont="1" applyAlignment="1" applyProtection="1">
      <alignment vertical="center"/>
      <protection locked="0"/>
    </xf>
    <xf numFmtId="3" fontId="3" fillId="0" borderId="13" xfId="1" applyNumberFormat="1" applyBorder="1" applyAlignment="1" applyProtection="1">
      <alignment vertical="center"/>
      <protection locked="0"/>
    </xf>
    <xf numFmtId="189" fontId="50" fillId="0" borderId="0" xfId="26" applyNumberFormat="1" applyFont="1" applyAlignment="1" applyProtection="1">
      <alignment vertical="center"/>
      <protection locked="0"/>
    </xf>
    <xf numFmtId="39" fontId="48" fillId="5" borderId="13" xfId="26" applyNumberFormat="1" applyFont="1" applyFill="1" applyBorder="1" applyAlignment="1" applyProtection="1">
      <alignment vertical="center" wrapText="1"/>
      <protection locked="0"/>
    </xf>
    <xf numFmtId="189" fontId="4" fillId="0" borderId="0" xfId="26" applyNumberFormat="1" applyFont="1" applyFill="1" applyAlignment="1" applyProtection="1">
      <alignment vertical="center"/>
      <protection locked="0"/>
    </xf>
    <xf numFmtId="3" fontId="50" fillId="5" borderId="0" xfId="1" applyNumberFormat="1" applyFont="1" applyFill="1" applyAlignment="1" applyProtection="1">
      <alignment vertical="center"/>
      <protection locked="0"/>
    </xf>
    <xf numFmtId="189" fontId="4" fillId="5" borderId="0" xfId="26" applyNumberFormat="1" applyFont="1" applyFill="1" applyAlignment="1" applyProtection="1">
      <alignment vertical="center"/>
      <protection locked="0"/>
    </xf>
    <xf numFmtId="179" fontId="3" fillId="0" borderId="0" xfId="1" applyNumberFormat="1" applyAlignment="1" applyProtection="1">
      <alignment vertical="center"/>
      <protection locked="0"/>
    </xf>
    <xf numFmtId="174" fontId="5" fillId="8" borderId="13" xfId="26" applyFont="1" applyFill="1" applyBorder="1" applyAlignment="1" applyProtection="1">
      <alignment vertical="center"/>
      <protection locked="0"/>
    </xf>
    <xf numFmtId="175" fontId="3" fillId="0" borderId="0" xfId="1" applyNumberFormat="1" applyAlignment="1" applyProtection="1">
      <alignment vertical="center"/>
      <protection locked="0"/>
    </xf>
    <xf numFmtId="174" fontId="38" fillId="0" borderId="0" xfId="0" applyNumberFormat="1" applyFont="1" applyAlignment="1">
      <alignment vertical="center"/>
    </xf>
    <xf numFmtId="0" fontId="27" fillId="0" borderId="0" xfId="0" applyFont="1" applyAlignment="1">
      <alignment horizontal="center" vertical="center"/>
    </xf>
    <xf numFmtId="165" fontId="3" fillId="0" borderId="0" xfId="25" applyFont="1" applyAlignment="1" applyProtection="1">
      <alignment vertical="center"/>
      <protection locked="0"/>
    </xf>
    <xf numFmtId="174" fontId="5" fillId="8" borderId="13" xfId="28" applyFont="1" applyFill="1" applyBorder="1" applyAlignment="1" applyProtection="1">
      <alignment vertical="center"/>
      <protection locked="0"/>
    </xf>
    <xf numFmtId="164" fontId="3" fillId="0" borderId="4" xfId="15" applyFont="1" applyFill="1" applyBorder="1" applyProtection="1">
      <protection locked="0"/>
    </xf>
    <xf numFmtId="0" fontId="0" fillId="2" borderId="0" xfId="0" applyFill="1" applyAlignment="1">
      <alignment horizontal="center"/>
    </xf>
    <xf numFmtId="0" fontId="37" fillId="2" borderId="1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7" fillId="2" borderId="7" xfId="0" applyFont="1" applyFill="1" applyBorder="1" applyAlignment="1">
      <alignment horizontal="center" vertical="center" wrapText="1"/>
    </xf>
    <xf numFmtId="0" fontId="37" fillId="2" borderId="8" xfId="0" applyFont="1" applyFill="1" applyBorder="1" applyAlignment="1">
      <alignment horizontal="center" vertical="center" wrapText="1"/>
    </xf>
    <xf numFmtId="0" fontId="43" fillId="11" borderId="13" xfId="0" applyFont="1" applyFill="1" applyBorder="1" applyAlignment="1" applyProtection="1">
      <alignment horizontal="center" vertical="center"/>
      <protection hidden="1"/>
    </xf>
    <xf numFmtId="0" fontId="43" fillId="20" borderId="13" xfId="0" applyFont="1" applyFill="1" applyBorder="1" applyAlignment="1" applyProtection="1">
      <alignment horizontal="center" vertical="center" wrapText="1"/>
      <protection hidden="1"/>
    </xf>
    <xf numFmtId="0" fontId="43" fillId="18" borderId="13" xfId="0" applyFont="1" applyFill="1" applyBorder="1" applyAlignment="1" applyProtection="1">
      <alignment horizontal="center" vertical="center" wrapText="1"/>
      <protection hidden="1"/>
    </xf>
    <xf numFmtId="0" fontId="43" fillId="21" borderId="13" xfId="0" applyFont="1" applyFill="1" applyBorder="1" applyAlignment="1" applyProtection="1">
      <alignment horizontal="center" vertical="center" wrapText="1"/>
      <protection hidden="1"/>
    </xf>
    <xf numFmtId="0" fontId="43" fillId="22" borderId="13" xfId="0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Alignment="1" applyProtection="1">
      <alignment horizontal="center" vertical="center" wrapText="1"/>
      <protection hidden="1"/>
    </xf>
    <xf numFmtId="186" fontId="39" fillId="2" borderId="13" xfId="0" applyNumberFormat="1" applyFont="1" applyFill="1" applyBorder="1" applyAlignment="1">
      <alignment horizontal="center"/>
    </xf>
    <xf numFmtId="0" fontId="3" fillId="0" borderId="12" xfId="6" applyFont="1" applyBorder="1" applyAlignment="1" applyProtection="1">
      <alignment horizontal="justify" vertical="center"/>
      <protection locked="0"/>
    </xf>
    <xf numFmtId="0" fontId="3" fillId="0" borderId="10" xfId="6" applyFont="1" applyBorder="1" applyAlignment="1" applyProtection="1">
      <alignment horizontal="justify" vertical="center"/>
      <protection locked="0"/>
    </xf>
    <xf numFmtId="0" fontId="3" fillId="0" borderId="11" xfId="6" applyFont="1" applyBorder="1" applyAlignment="1" applyProtection="1">
      <alignment horizontal="justify" vertical="center"/>
      <protection locked="0"/>
    </xf>
    <xf numFmtId="1" fontId="3" fillId="0" borderId="12" xfId="6" applyNumberFormat="1" applyFont="1" applyBorder="1" applyAlignment="1" applyProtection="1">
      <alignment horizontal="justify" vertical="top"/>
      <protection locked="0"/>
    </xf>
    <xf numFmtId="1" fontId="3" fillId="0" borderId="10" xfId="6" applyNumberFormat="1" applyFont="1" applyBorder="1" applyAlignment="1" applyProtection="1">
      <alignment horizontal="justify" vertical="top"/>
      <protection locked="0"/>
    </xf>
    <xf numFmtId="0" fontId="5" fillId="0" borderId="12" xfId="6" applyFont="1" applyBorder="1" applyAlignment="1" applyProtection="1">
      <alignment horizontal="justify" vertical="center"/>
      <protection locked="0"/>
    </xf>
    <xf numFmtId="0" fontId="5" fillId="0" borderId="10" xfId="6" applyFont="1" applyBorder="1" applyAlignment="1" applyProtection="1">
      <alignment horizontal="justify" vertical="center"/>
      <protection locked="0"/>
    </xf>
    <xf numFmtId="0" fontId="5" fillId="0" borderId="11" xfId="6" applyFont="1" applyBorder="1" applyAlignment="1" applyProtection="1">
      <alignment horizontal="justify" vertical="center"/>
      <protection locked="0"/>
    </xf>
    <xf numFmtId="0" fontId="3" fillId="0" borderId="12" xfId="8" applyBorder="1" applyAlignment="1" applyProtection="1">
      <alignment horizontal="justify" vertical="center"/>
      <protection locked="0"/>
    </xf>
    <xf numFmtId="0" fontId="3" fillId="0" borderId="10" xfId="8" applyBorder="1" applyAlignment="1" applyProtection="1">
      <alignment horizontal="justify" vertical="center"/>
      <protection locked="0"/>
    </xf>
    <xf numFmtId="0" fontId="3" fillId="0" borderId="11" xfId="8" applyBorder="1" applyAlignment="1" applyProtection="1">
      <alignment horizontal="justify" vertical="center"/>
      <protection locked="0"/>
    </xf>
    <xf numFmtId="1" fontId="3" fillId="0" borderId="12" xfId="6" applyNumberFormat="1" applyFont="1" applyBorder="1" applyAlignment="1" applyProtection="1">
      <alignment horizontal="justify" vertical="center"/>
      <protection locked="0"/>
    </xf>
    <xf numFmtId="1" fontId="3" fillId="0" borderId="10" xfId="6" applyNumberFormat="1" applyFont="1" applyBorder="1" applyAlignment="1" applyProtection="1">
      <alignment horizontal="justify" vertical="center"/>
      <protection locked="0"/>
    </xf>
    <xf numFmtId="1" fontId="5" fillId="0" borderId="12" xfId="6" applyNumberFormat="1" applyFont="1" applyBorder="1" applyAlignment="1" applyProtection="1">
      <alignment horizontal="left" vertical="center"/>
      <protection locked="0"/>
    </xf>
    <xf numFmtId="1" fontId="5" fillId="0" borderId="10" xfId="6" applyNumberFormat="1" applyFont="1" applyBorder="1" applyAlignment="1" applyProtection="1">
      <alignment horizontal="left" vertical="center"/>
      <protection locked="0"/>
    </xf>
    <xf numFmtId="1" fontId="5" fillId="0" borderId="11" xfId="6" applyNumberFormat="1" applyFont="1" applyBorder="1" applyAlignment="1" applyProtection="1">
      <alignment horizontal="left" vertical="center"/>
      <protection locked="0"/>
    </xf>
    <xf numFmtId="0" fontId="5" fillId="0" borderId="12" xfId="8" applyFont="1" applyBorder="1" applyAlignment="1" applyProtection="1">
      <alignment horizontal="justify" vertical="center"/>
      <protection locked="0"/>
    </xf>
    <xf numFmtId="0" fontId="5" fillId="0" borderId="10" xfId="8" applyFont="1" applyBorder="1" applyAlignment="1" applyProtection="1">
      <alignment horizontal="justify" vertical="center"/>
      <protection locked="0"/>
    </xf>
    <xf numFmtId="0" fontId="5" fillId="0" borderId="11" xfId="8" applyFont="1" applyBorder="1" applyAlignment="1" applyProtection="1">
      <alignment horizontal="justify" vertical="center"/>
      <protection locked="0"/>
    </xf>
    <xf numFmtId="1" fontId="5" fillId="0" borderId="12" xfId="6" applyNumberFormat="1" applyFont="1" applyBorder="1" applyAlignment="1" applyProtection="1">
      <alignment horizontal="justify" vertical="center"/>
      <protection locked="0"/>
    </xf>
    <xf numFmtId="1" fontId="5" fillId="0" borderId="10" xfId="6" applyNumberFormat="1" applyFont="1" applyBorder="1" applyAlignment="1" applyProtection="1">
      <alignment horizontal="justify" vertical="center"/>
      <protection locked="0"/>
    </xf>
    <xf numFmtId="173" fontId="3" fillId="0" borderId="12" xfId="3" applyNumberFormat="1" applyFont="1" applyBorder="1" applyAlignment="1" applyProtection="1">
      <alignment horizontal="center" vertical="center"/>
      <protection locked="0"/>
    </xf>
    <xf numFmtId="173" fontId="3" fillId="0" borderId="11" xfId="3" applyNumberFormat="1" applyFont="1" applyBorder="1" applyAlignment="1" applyProtection="1">
      <alignment horizontal="center" vertical="center"/>
      <protection locked="0"/>
    </xf>
    <xf numFmtId="1" fontId="5" fillId="0" borderId="12" xfId="6" applyNumberFormat="1" applyFont="1" applyBorder="1" applyAlignment="1" applyProtection="1">
      <alignment horizontal="justify" vertical="top"/>
      <protection locked="0"/>
    </xf>
    <xf numFmtId="1" fontId="5" fillId="0" borderId="10" xfId="6" applyNumberFormat="1" applyFont="1" applyBorder="1" applyAlignment="1" applyProtection="1">
      <alignment horizontal="justify" vertical="top"/>
      <protection locked="0"/>
    </xf>
    <xf numFmtId="1" fontId="5" fillId="0" borderId="11" xfId="6" applyNumberFormat="1" applyFont="1" applyBorder="1" applyAlignment="1" applyProtection="1">
      <alignment horizontal="justify" vertical="top"/>
      <protection locked="0"/>
    </xf>
    <xf numFmtId="1" fontId="3" fillId="0" borderId="11" xfId="6" applyNumberFormat="1" applyFont="1" applyBorder="1" applyAlignment="1" applyProtection="1">
      <alignment horizontal="justify" vertical="top"/>
      <protection locked="0"/>
    </xf>
    <xf numFmtId="1" fontId="5" fillId="0" borderId="11" xfId="6" applyNumberFormat="1" applyFont="1" applyBorder="1" applyAlignment="1" applyProtection="1">
      <alignment horizontal="justify" vertical="center"/>
      <protection locked="0"/>
    </xf>
    <xf numFmtId="0" fontId="5" fillId="0" borderId="12" xfId="6" applyFont="1" applyBorder="1" applyAlignment="1" applyProtection="1">
      <alignment horizontal="justify" vertical="top"/>
      <protection locked="0"/>
    </xf>
    <xf numFmtId="0" fontId="5" fillId="0" borderId="10" xfId="6" applyFont="1" applyBorder="1" applyAlignment="1" applyProtection="1">
      <alignment horizontal="justify" vertical="top"/>
      <protection locked="0"/>
    </xf>
    <xf numFmtId="0" fontId="5" fillId="0" borderId="11" xfId="6" applyFont="1" applyBorder="1" applyAlignment="1" applyProtection="1">
      <alignment horizontal="justify" vertical="top"/>
      <protection locked="0"/>
    </xf>
    <xf numFmtId="0" fontId="3" fillId="2" borderId="12" xfId="6" applyFont="1" applyFill="1" applyBorder="1" applyAlignment="1" applyProtection="1">
      <alignment horizontal="justify" vertical="center"/>
      <protection locked="0"/>
    </xf>
    <xf numFmtId="0" fontId="3" fillId="2" borderId="10" xfId="6" applyFont="1" applyFill="1" applyBorder="1" applyAlignment="1" applyProtection="1">
      <alignment horizontal="justify" vertical="center"/>
      <protection locked="0"/>
    </xf>
    <xf numFmtId="0" fontId="3" fillId="2" borderId="11" xfId="6" applyFont="1" applyFill="1" applyBorder="1" applyAlignment="1" applyProtection="1">
      <alignment horizontal="justify" vertical="center"/>
      <protection locked="0"/>
    </xf>
    <xf numFmtId="0" fontId="5" fillId="2" borderId="12" xfId="6" applyFont="1" applyFill="1" applyBorder="1" applyAlignment="1" applyProtection="1">
      <alignment horizontal="justify" vertical="center"/>
      <protection locked="0"/>
    </xf>
    <xf numFmtId="0" fontId="5" fillId="2" borderId="10" xfId="6" applyFont="1" applyFill="1" applyBorder="1" applyAlignment="1" applyProtection="1">
      <alignment horizontal="justify" vertical="center"/>
      <protection locked="0"/>
    </xf>
    <xf numFmtId="0" fontId="5" fillId="2" borderId="11" xfId="6" applyFont="1" applyFill="1" applyBorder="1" applyAlignment="1" applyProtection="1">
      <alignment horizontal="justify" vertical="center"/>
      <protection locked="0"/>
    </xf>
    <xf numFmtId="3" fontId="5" fillId="0" borderId="21" xfId="0" applyNumberFormat="1" applyFont="1" applyBorder="1" applyAlignment="1" applyProtection="1">
      <alignment horizontal="left" vertical="center" wrapText="1"/>
      <protection locked="0"/>
    </xf>
    <xf numFmtId="3" fontId="5" fillId="0" borderId="19" xfId="0" applyNumberFormat="1" applyFont="1" applyBorder="1" applyAlignment="1" applyProtection="1">
      <alignment horizontal="left" vertical="center" wrapText="1"/>
      <protection locked="0"/>
    </xf>
    <xf numFmtId="173" fontId="3" fillId="0" borderId="0" xfId="3" applyNumberFormat="1" applyFont="1" applyAlignment="1" applyProtection="1">
      <alignment horizontal="center" vertical="center"/>
      <protection locked="0"/>
    </xf>
    <xf numFmtId="173" fontId="3" fillId="0" borderId="5" xfId="3" applyNumberFormat="1" applyFont="1" applyBorder="1" applyAlignment="1" applyProtection="1">
      <alignment horizontal="center" vertical="center"/>
      <protection locked="0"/>
    </xf>
    <xf numFmtId="173" fontId="3" fillId="0" borderId="4" xfId="3" applyNumberFormat="1" applyFont="1" applyBorder="1" applyAlignment="1" applyProtection="1">
      <alignment horizontal="center" vertical="center"/>
      <protection locked="0"/>
    </xf>
    <xf numFmtId="3" fontId="3" fillId="0" borderId="13" xfId="1" applyNumberFormat="1" applyBorder="1" applyAlignment="1" applyProtection="1">
      <alignment horizontal="center" vertical="center"/>
      <protection locked="0"/>
    </xf>
    <xf numFmtId="3" fontId="28" fillId="0" borderId="12" xfId="1" applyNumberFormat="1" applyFont="1" applyBorder="1" applyAlignment="1" applyProtection="1">
      <alignment horizontal="center" vertical="center"/>
      <protection locked="0"/>
    </xf>
    <xf numFmtId="3" fontId="28" fillId="0" borderId="10" xfId="1" applyNumberFormat="1" applyFont="1" applyBorder="1" applyAlignment="1" applyProtection="1">
      <alignment horizontal="center" vertical="center"/>
      <protection locked="0"/>
    </xf>
    <xf numFmtId="3" fontId="3" fillId="0" borderId="1" xfId="1" applyNumberFormat="1" applyBorder="1" applyAlignment="1" applyProtection="1">
      <alignment horizontal="center"/>
      <protection locked="0"/>
    </xf>
    <xf numFmtId="3" fontId="3" fillId="0" borderId="2" xfId="1" applyNumberFormat="1" applyBorder="1" applyAlignment="1" applyProtection="1">
      <alignment horizontal="center"/>
      <protection locked="0"/>
    </xf>
    <xf numFmtId="3" fontId="3" fillId="0" borderId="3" xfId="1" applyNumberFormat="1" applyBorder="1" applyAlignment="1" applyProtection="1">
      <alignment horizontal="center"/>
      <protection locked="0"/>
    </xf>
    <xf numFmtId="3" fontId="3" fillId="0" borderId="6" xfId="1" applyNumberFormat="1" applyBorder="1" applyAlignment="1" applyProtection="1">
      <alignment horizontal="center"/>
      <protection locked="0"/>
    </xf>
    <xf numFmtId="3" fontId="3" fillId="0" borderId="7" xfId="1" applyNumberFormat="1" applyBorder="1" applyAlignment="1" applyProtection="1">
      <alignment horizontal="center"/>
      <protection locked="0"/>
    </xf>
    <xf numFmtId="3" fontId="3" fillId="0" borderId="8" xfId="1" applyNumberFormat="1" applyBorder="1" applyAlignment="1" applyProtection="1">
      <alignment horizontal="center"/>
      <protection locked="0"/>
    </xf>
    <xf numFmtId="0" fontId="3" fillId="0" borderId="0" xfId="3" applyNumberFormat="1" applyFont="1" applyAlignment="1" applyProtection="1">
      <alignment horizontal="left" vertical="center"/>
      <protection locked="0"/>
    </xf>
    <xf numFmtId="3" fontId="5" fillId="0" borderId="0" xfId="1" applyNumberFormat="1" applyFont="1" applyAlignment="1" applyProtection="1">
      <alignment horizontal="left" vertical="center"/>
      <protection locked="0"/>
    </xf>
    <xf numFmtId="170" fontId="3" fillId="8" borderId="0" xfId="3" applyNumberFormat="1" applyFont="1" applyFill="1" applyAlignment="1" applyProtection="1">
      <alignment horizontal="center" vertical="center"/>
      <protection locked="0"/>
    </xf>
    <xf numFmtId="170" fontId="3" fillId="8" borderId="0" xfId="3" applyNumberFormat="1" applyFont="1" applyFill="1" applyAlignment="1" applyProtection="1">
      <alignment horizontal="center"/>
      <protection locked="0"/>
    </xf>
    <xf numFmtId="3" fontId="5" fillId="0" borderId="22" xfId="0" applyNumberFormat="1" applyFont="1" applyBorder="1" applyAlignment="1" applyProtection="1">
      <alignment horizontal="center" vertical="center"/>
      <protection locked="0"/>
    </xf>
    <xf numFmtId="3" fontId="5" fillId="0" borderId="23" xfId="0" applyNumberFormat="1" applyFont="1" applyBorder="1" applyAlignment="1" applyProtection="1">
      <alignment horizontal="center" vertical="center"/>
      <protection locked="0"/>
    </xf>
    <xf numFmtId="3" fontId="5" fillId="0" borderId="29" xfId="0" applyNumberFormat="1" applyFont="1" applyBorder="1" applyAlignment="1" applyProtection="1">
      <alignment horizontal="center" vertical="center"/>
      <protection locked="0"/>
    </xf>
    <xf numFmtId="173" fontId="3" fillId="0" borderId="21" xfId="3" applyNumberFormat="1" applyFont="1" applyBorder="1" applyAlignment="1" applyProtection="1">
      <alignment horizontal="center" vertical="center"/>
      <protection locked="0"/>
    </xf>
    <xf numFmtId="3" fontId="3" fillId="0" borderId="12" xfId="0" applyNumberFormat="1" applyFont="1" applyBorder="1" applyAlignment="1" applyProtection="1">
      <alignment horizontal="justify" vertical="center" wrapText="1"/>
      <protection locked="0"/>
    </xf>
    <xf numFmtId="3" fontId="3" fillId="0" borderId="10" xfId="0" applyNumberFormat="1" applyFont="1" applyBorder="1" applyAlignment="1" applyProtection="1">
      <alignment horizontal="justify" vertical="center"/>
      <protection locked="0"/>
    </xf>
    <xf numFmtId="3" fontId="3" fillId="0" borderId="11" xfId="0" applyNumberFormat="1" applyFont="1" applyBorder="1" applyAlignment="1" applyProtection="1">
      <alignment horizontal="justify" vertical="center"/>
      <protection locked="0"/>
    </xf>
    <xf numFmtId="3" fontId="7" fillId="8" borderId="0" xfId="3" applyNumberFormat="1" applyFont="1" applyFill="1" applyAlignment="1" applyProtection="1">
      <alignment horizontal="center" vertical="center"/>
      <protection locked="0"/>
    </xf>
    <xf numFmtId="3" fontId="3" fillId="8" borderId="0" xfId="1" applyNumberFormat="1" applyFill="1" applyAlignment="1" applyProtection="1">
      <alignment horizontal="center" vertical="center" wrapText="1"/>
      <protection locked="0"/>
    </xf>
    <xf numFmtId="3" fontId="5" fillId="0" borderId="0" xfId="3" applyNumberFormat="1" applyFont="1" applyAlignment="1" applyProtection="1">
      <alignment horizontal="center" vertical="center"/>
      <protection locked="0"/>
    </xf>
    <xf numFmtId="184" fontId="3" fillId="8" borderId="0" xfId="1" applyNumberFormat="1" applyFill="1" applyAlignment="1" applyProtection="1">
      <alignment horizontal="left" vertical="center"/>
      <protection locked="0"/>
    </xf>
    <xf numFmtId="184" fontId="3" fillId="0" borderId="0" xfId="1" applyNumberFormat="1" applyAlignment="1" applyProtection="1">
      <alignment horizontal="center"/>
      <protection locked="0"/>
    </xf>
    <xf numFmtId="170" fontId="5" fillId="0" borderId="19" xfId="3" applyNumberFormat="1" applyFont="1" applyBorder="1" applyAlignment="1" applyProtection="1">
      <alignment horizontal="center" vertical="center"/>
      <protection locked="0"/>
    </xf>
    <xf numFmtId="170" fontId="5" fillId="0" borderId="20" xfId="3" applyNumberFormat="1" applyFont="1" applyBorder="1" applyAlignment="1" applyProtection="1">
      <alignment horizontal="center" vertical="center"/>
      <protection locked="0"/>
    </xf>
    <xf numFmtId="3" fontId="19" fillId="8" borderId="0" xfId="1" applyNumberFormat="1" applyFont="1" applyFill="1" applyAlignment="1" applyProtection="1">
      <alignment horizontal="center" vertical="center" wrapText="1"/>
      <protection locked="0"/>
    </xf>
    <xf numFmtId="49" fontId="29" fillId="10" borderId="0" xfId="3" applyNumberFormat="1" applyFont="1" applyFill="1" applyAlignment="1" applyProtection="1">
      <alignment horizontal="center" vertical="center"/>
      <protection locked="0"/>
    </xf>
    <xf numFmtId="3" fontId="34" fillId="8" borderId="0" xfId="3" applyNumberFormat="1" applyFont="1" applyFill="1" applyAlignment="1" applyProtection="1">
      <alignment horizontal="left" vertical="center" wrapText="1"/>
      <protection locked="0"/>
    </xf>
    <xf numFmtId="3" fontId="5" fillId="0" borderId="12" xfId="3" applyNumberFormat="1" applyFont="1" applyBorder="1" applyAlignment="1" applyProtection="1">
      <alignment horizontal="left"/>
      <protection locked="0"/>
    </xf>
    <xf numFmtId="3" fontId="5" fillId="0" borderId="10" xfId="3" applyNumberFormat="1" applyFont="1" applyBorder="1" applyAlignment="1" applyProtection="1">
      <alignment horizontal="left"/>
      <protection locked="0"/>
    </xf>
    <xf numFmtId="3" fontId="5" fillId="0" borderId="5" xfId="1" applyNumberFormat="1" applyFont="1" applyBorder="1" applyAlignment="1" applyProtection="1">
      <alignment horizontal="left" vertical="center"/>
      <protection locked="0"/>
    </xf>
    <xf numFmtId="3" fontId="7" fillId="8" borderId="0" xfId="1" applyNumberFormat="1" applyFont="1" applyFill="1" applyAlignment="1" applyProtection="1">
      <alignment horizontal="center" vertical="center"/>
      <protection locked="0"/>
    </xf>
    <xf numFmtId="170" fontId="3" fillId="0" borderId="19" xfId="3" applyNumberFormat="1" applyFont="1" applyBorder="1" applyAlignment="1" applyProtection="1">
      <alignment horizontal="center" vertical="center"/>
      <protection locked="0"/>
    </xf>
    <xf numFmtId="170" fontId="3" fillId="0" borderId="20" xfId="3" applyNumberFormat="1" applyFont="1" applyBorder="1" applyAlignment="1" applyProtection="1">
      <alignment horizontal="center" vertical="center"/>
      <protection locked="0"/>
    </xf>
    <xf numFmtId="49" fontId="7" fillId="0" borderId="0" xfId="1" applyNumberFormat="1" applyFont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173" fontId="3" fillId="0" borderId="6" xfId="3" applyNumberFormat="1" applyFont="1" applyBorder="1" applyAlignment="1" applyProtection="1">
      <alignment horizontal="center" vertical="center"/>
      <protection locked="0"/>
    </xf>
    <xf numFmtId="173" fontId="3" fillId="0" borderId="8" xfId="3" applyNumberFormat="1" applyFont="1" applyBorder="1" applyAlignment="1" applyProtection="1">
      <alignment horizontal="center" vertical="center"/>
      <protection locked="0"/>
    </xf>
    <xf numFmtId="0" fontId="3" fillId="0" borderId="12" xfId="6" applyFont="1" applyBorder="1" applyAlignment="1" applyProtection="1">
      <alignment horizontal="left" vertical="center"/>
      <protection locked="0"/>
    </xf>
    <xf numFmtId="0" fontId="3" fillId="0" borderId="10" xfId="6" applyFont="1" applyBorder="1" applyAlignment="1" applyProtection="1">
      <alignment horizontal="left" vertical="center"/>
      <protection locked="0"/>
    </xf>
    <xf numFmtId="0" fontId="3" fillId="0" borderId="11" xfId="6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3" fontId="5" fillId="4" borderId="12" xfId="1" applyNumberFormat="1" applyFont="1" applyFill="1" applyBorder="1" applyAlignment="1" applyProtection="1">
      <alignment horizontal="center" vertical="center" wrapText="1"/>
      <protection locked="0"/>
    </xf>
    <xf numFmtId="3" fontId="5" fillId="4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" xfId="0" applyNumberFormat="1" applyFont="1" applyBorder="1" applyAlignment="1" applyProtection="1">
      <alignment horizontal="center"/>
      <protection locked="0"/>
    </xf>
    <xf numFmtId="3" fontId="5" fillId="0" borderId="10" xfId="0" applyNumberFormat="1" applyFont="1" applyBorder="1" applyAlignment="1" applyProtection="1">
      <alignment horizontal="center"/>
      <protection locked="0"/>
    </xf>
    <xf numFmtId="3" fontId="5" fillId="0" borderId="11" xfId="0" applyNumberFormat="1" applyFont="1" applyBorder="1" applyAlignment="1" applyProtection="1">
      <alignment horizontal="center"/>
      <protection locked="0"/>
    </xf>
    <xf numFmtId="170" fontId="3" fillId="9" borderId="12" xfId="3" applyNumberFormat="1" applyFont="1" applyFill="1" applyBorder="1" applyAlignment="1" applyProtection="1">
      <alignment horizontal="center" vertical="center"/>
      <protection locked="0"/>
    </xf>
    <xf numFmtId="170" fontId="3" fillId="9" borderId="10" xfId="3" applyNumberFormat="1" applyFont="1" applyFill="1" applyBorder="1" applyAlignment="1" applyProtection="1">
      <alignment horizontal="center" vertical="center"/>
      <protection locked="0"/>
    </xf>
    <xf numFmtId="170" fontId="3" fillId="9" borderId="11" xfId="3" applyNumberFormat="1" applyFont="1" applyFill="1" applyBorder="1" applyAlignment="1" applyProtection="1">
      <alignment horizontal="center" vertical="center"/>
      <protection locked="0"/>
    </xf>
    <xf numFmtId="1" fontId="3" fillId="0" borderId="11" xfId="6" applyNumberFormat="1" applyFont="1" applyBorder="1" applyAlignment="1" applyProtection="1">
      <alignment horizontal="justify" vertical="center"/>
      <protection locked="0"/>
    </xf>
    <xf numFmtId="0" fontId="15" fillId="0" borderId="12" xfId="1" applyFont="1" applyBorder="1" applyAlignment="1" applyProtection="1">
      <alignment vertical="center"/>
      <protection locked="0"/>
    </xf>
    <xf numFmtId="0" fontId="15" fillId="0" borderId="10" xfId="1" applyFont="1" applyBorder="1" applyAlignment="1" applyProtection="1">
      <alignment vertical="center"/>
      <protection locked="0"/>
    </xf>
    <xf numFmtId="0" fontId="15" fillId="0" borderId="11" xfId="1" applyFont="1" applyBorder="1" applyAlignment="1" applyProtection="1">
      <alignment vertical="center"/>
      <protection locked="0"/>
    </xf>
    <xf numFmtId="0" fontId="5" fillId="0" borderId="12" xfId="8" applyFont="1" applyBorder="1" applyAlignment="1" applyProtection="1">
      <alignment horizontal="justify" vertical="top"/>
      <protection locked="0"/>
    </xf>
    <xf numFmtId="0" fontId="5" fillId="0" borderId="10" xfId="8" applyFont="1" applyBorder="1" applyAlignment="1" applyProtection="1">
      <alignment horizontal="justify" vertical="top"/>
      <protection locked="0"/>
    </xf>
    <xf numFmtId="0" fontId="5" fillId="0" borderId="11" xfId="8" applyFont="1" applyBorder="1" applyAlignment="1" applyProtection="1">
      <alignment horizontal="justify" vertical="top"/>
      <protection locked="0"/>
    </xf>
    <xf numFmtId="0" fontId="32" fillId="0" borderId="12" xfId="1" applyFont="1" applyBorder="1" applyAlignment="1" applyProtection="1">
      <alignment vertical="center"/>
      <protection locked="0"/>
    </xf>
    <xf numFmtId="0" fontId="32" fillId="0" borderId="10" xfId="1" applyFont="1" applyBorder="1" applyAlignment="1" applyProtection="1">
      <alignment vertical="center"/>
      <protection locked="0"/>
    </xf>
    <xf numFmtId="0" fontId="32" fillId="0" borderId="11" xfId="1" applyFont="1" applyBorder="1" applyAlignment="1" applyProtection="1">
      <alignment vertical="center"/>
      <protection locked="0"/>
    </xf>
    <xf numFmtId="0" fontId="3" fillId="2" borderId="12" xfId="8" applyFill="1" applyBorder="1" applyAlignment="1" applyProtection="1">
      <alignment horizontal="justify" vertical="center"/>
      <protection locked="0"/>
    </xf>
    <xf numFmtId="0" fontId="3" fillId="2" borderId="10" xfId="8" applyFill="1" applyBorder="1" applyAlignment="1" applyProtection="1">
      <alignment horizontal="justify" vertical="center"/>
      <protection locked="0"/>
    </xf>
    <xf numFmtId="0" fontId="3" fillId="2" borderId="11" xfId="8" applyFill="1" applyBorder="1" applyAlignment="1" applyProtection="1">
      <alignment horizontal="justify" vertical="center"/>
      <protection locked="0"/>
    </xf>
    <xf numFmtId="0" fontId="3" fillId="0" borderId="12" xfId="6" applyFont="1" applyBorder="1" applyAlignment="1" applyProtection="1">
      <alignment vertical="center"/>
      <protection locked="0"/>
    </xf>
    <xf numFmtId="0" fontId="3" fillId="0" borderId="10" xfId="6" applyFont="1" applyBorder="1" applyAlignment="1" applyProtection="1">
      <alignment vertical="center"/>
      <protection locked="0"/>
    </xf>
    <xf numFmtId="0" fontId="3" fillId="0" borderId="11" xfId="6" applyFont="1" applyBorder="1" applyAlignment="1" applyProtection="1">
      <alignment vertical="center"/>
      <protection locked="0"/>
    </xf>
    <xf numFmtId="10" fontId="5" fillId="0" borderId="12" xfId="3" applyNumberFormat="1" applyFont="1" applyBorder="1" applyAlignment="1" applyProtection="1">
      <alignment horizontal="center" vertical="center"/>
      <protection locked="0"/>
    </xf>
    <xf numFmtId="10" fontId="5" fillId="0" borderId="11" xfId="3" applyNumberFormat="1" applyFont="1" applyBorder="1" applyAlignment="1" applyProtection="1">
      <alignment horizontal="center" vertical="center"/>
      <protection locked="0"/>
    </xf>
    <xf numFmtId="3" fontId="5" fillId="6" borderId="12" xfId="1" applyNumberFormat="1" applyFont="1" applyFill="1" applyBorder="1" applyAlignment="1" applyProtection="1">
      <alignment horizontal="center" vertical="center"/>
      <protection locked="0"/>
    </xf>
    <xf numFmtId="3" fontId="5" fillId="6" borderId="10" xfId="1" applyNumberFormat="1" applyFont="1" applyFill="1" applyBorder="1" applyAlignment="1" applyProtection="1">
      <alignment horizontal="center" vertical="center"/>
      <protection locked="0"/>
    </xf>
    <xf numFmtId="3" fontId="5" fillId="6" borderId="11" xfId="1" applyNumberFormat="1" applyFont="1" applyFill="1" applyBorder="1" applyAlignment="1" applyProtection="1">
      <alignment horizontal="center" vertical="center"/>
      <protection locked="0"/>
    </xf>
    <xf numFmtId="3" fontId="5" fillId="7" borderId="12" xfId="1" applyNumberFormat="1" applyFont="1" applyFill="1" applyBorder="1" applyAlignment="1" applyProtection="1">
      <alignment horizontal="center" vertical="center"/>
      <protection locked="0"/>
    </xf>
    <xf numFmtId="3" fontId="5" fillId="7" borderId="10" xfId="1" applyNumberFormat="1" applyFont="1" applyFill="1" applyBorder="1" applyAlignment="1" applyProtection="1">
      <alignment horizontal="center" vertical="center"/>
      <protection locked="0"/>
    </xf>
    <xf numFmtId="3" fontId="5" fillId="7" borderId="11" xfId="1" applyNumberFormat="1" applyFont="1" applyFill="1" applyBorder="1" applyAlignment="1" applyProtection="1">
      <alignment horizontal="center" vertical="center"/>
      <protection locked="0"/>
    </xf>
    <xf numFmtId="10" fontId="3" fillId="0" borderId="12" xfId="3" applyNumberFormat="1" applyFont="1" applyBorder="1" applyAlignment="1" applyProtection="1">
      <alignment horizontal="center" vertical="center"/>
      <protection locked="0"/>
    </xf>
    <xf numFmtId="10" fontId="3" fillId="0" borderId="11" xfId="3" applyNumberFormat="1" applyFont="1" applyBorder="1" applyAlignment="1" applyProtection="1">
      <alignment horizontal="center" vertical="center"/>
      <protection locked="0"/>
    </xf>
    <xf numFmtId="10" fontId="5" fillId="3" borderId="12" xfId="3" applyNumberFormat="1" applyFont="1" applyFill="1" applyBorder="1" applyAlignment="1" applyProtection="1">
      <alignment horizontal="center" vertical="center"/>
      <protection locked="0"/>
    </xf>
    <xf numFmtId="10" fontId="5" fillId="3" borderId="11" xfId="3" applyNumberFormat="1" applyFont="1" applyFill="1" applyBorder="1" applyAlignment="1" applyProtection="1">
      <alignment horizontal="center" vertical="center"/>
      <protection locked="0"/>
    </xf>
    <xf numFmtId="3" fontId="19" fillId="8" borderId="5" xfId="3" applyNumberFormat="1" applyFont="1" applyFill="1" applyBorder="1" applyAlignment="1" applyProtection="1">
      <alignment horizontal="left" vertical="center"/>
      <protection locked="0"/>
    </xf>
    <xf numFmtId="3" fontId="19" fillId="8" borderId="0" xfId="3" applyNumberFormat="1" applyFont="1" applyFill="1" applyAlignment="1" applyProtection="1">
      <alignment horizontal="left" vertical="center"/>
      <protection locked="0"/>
    </xf>
    <xf numFmtId="3" fontId="19" fillId="8" borderId="4" xfId="3" applyNumberFormat="1" applyFont="1" applyFill="1" applyBorder="1" applyAlignment="1" applyProtection="1">
      <alignment horizontal="left" vertical="center"/>
      <protection locked="0"/>
    </xf>
    <xf numFmtId="0" fontId="19" fillId="0" borderId="43" xfId="0" applyFont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170" fontId="3" fillId="0" borderId="12" xfId="3" applyNumberFormat="1" applyFont="1" applyBorder="1" applyAlignment="1" applyProtection="1">
      <alignment horizontal="center" vertical="center"/>
      <protection locked="0"/>
    </xf>
    <xf numFmtId="170" fontId="3" fillId="0" borderId="11" xfId="3" applyNumberFormat="1" applyFont="1" applyBorder="1" applyAlignment="1" applyProtection="1">
      <alignment horizontal="center" vertical="center"/>
      <protection locked="0"/>
    </xf>
    <xf numFmtId="3" fontId="3" fillId="0" borderId="12" xfId="1" applyNumberFormat="1" applyBorder="1" applyAlignment="1" applyProtection="1">
      <alignment horizontal="left"/>
      <protection locked="0"/>
    </xf>
    <xf numFmtId="3" fontId="3" fillId="0" borderId="10" xfId="1" applyNumberFormat="1" applyBorder="1" applyAlignment="1" applyProtection="1">
      <alignment horizontal="left"/>
      <protection locked="0"/>
    </xf>
    <xf numFmtId="3" fontId="3" fillId="0" borderId="11" xfId="1" applyNumberFormat="1" applyBorder="1" applyAlignment="1" applyProtection="1">
      <alignment horizontal="left"/>
      <protection locked="0"/>
    </xf>
    <xf numFmtId="3" fontId="3" fillId="0" borderId="0" xfId="1" applyNumberFormat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182" fontId="19" fillId="0" borderId="12" xfId="3" applyNumberFormat="1" applyFont="1" applyBorder="1" applyAlignment="1">
      <alignment horizontal="center" vertical="center"/>
    </xf>
    <xf numFmtId="182" fontId="19" fillId="0" borderId="11" xfId="3" applyNumberFormat="1" applyFont="1" applyBorder="1" applyAlignment="1">
      <alignment horizontal="center" vertical="center"/>
    </xf>
    <xf numFmtId="3" fontId="19" fillId="0" borderId="22" xfId="3" applyNumberFormat="1" applyFont="1" applyBorder="1" applyAlignment="1">
      <alignment horizontal="left" vertical="center"/>
    </xf>
    <xf numFmtId="3" fontId="19" fillId="0" borderId="23" xfId="3" applyNumberFormat="1" applyFont="1" applyBorder="1" applyAlignment="1">
      <alignment horizontal="left" vertical="center"/>
    </xf>
    <xf numFmtId="3" fontId="19" fillId="0" borderId="20" xfId="3" applyNumberFormat="1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3" fontId="5" fillId="0" borderId="2" xfId="3" applyNumberFormat="1" applyFont="1" applyBorder="1" applyAlignment="1" applyProtection="1">
      <alignment horizontal="center"/>
      <protection locked="0"/>
    </xf>
    <xf numFmtId="3" fontId="19" fillId="0" borderId="13" xfId="3" applyNumberFormat="1" applyFont="1" applyBorder="1" applyAlignment="1">
      <alignment horizontal="left" vertical="center"/>
    </xf>
    <xf numFmtId="3" fontId="19" fillId="0" borderId="12" xfId="3" applyNumberFormat="1" applyFont="1" applyBorder="1" applyAlignment="1">
      <alignment horizontal="left" vertical="center"/>
    </xf>
    <xf numFmtId="3" fontId="19" fillId="0" borderId="10" xfId="3" applyNumberFormat="1" applyFont="1" applyBorder="1" applyAlignment="1">
      <alignment horizontal="left" vertical="center"/>
    </xf>
    <xf numFmtId="3" fontId="19" fillId="0" borderId="11" xfId="3" applyNumberFormat="1" applyFont="1" applyBorder="1" applyAlignment="1">
      <alignment horizontal="left" vertical="center"/>
    </xf>
    <xf numFmtId="182" fontId="19" fillId="8" borderId="12" xfId="3" applyNumberFormat="1" applyFont="1" applyFill="1" applyBorder="1" applyAlignment="1" applyProtection="1">
      <alignment horizontal="center" vertical="center"/>
      <protection locked="0"/>
    </xf>
    <xf numFmtId="182" fontId="19" fillId="8" borderId="11" xfId="3" applyNumberFormat="1" applyFont="1" applyFill="1" applyBorder="1" applyAlignment="1" applyProtection="1">
      <alignment horizontal="center" vertical="center"/>
      <protection locked="0"/>
    </xf>
    <xf numFmtId="3" fontId="19" fillId="0" borderId="13" xfId="3" applyNumberFormat="1" applyFont="1" applyBorder="1" applyAlignment="1">
      <alignment horizontal="center" vertical="center"/>
    </xf>
    <xf numFmtId="3" fontId="19" fillId="0" borderId="12" xfId="1" applyNumberFormat="1" applyFont="1" applyBorder="1" applyAlignment="1">
      <alignment horizontal="center" vertical="center" wrapText="1"/>
    </xf>
    <xf numFmtId="3" fontId="19" fillId="0" borderId="10" xfId="1" applyNumberFormat="1" applyFont="1" applyBorder="1" applyAlignment="1">
      <alignment horizontal="center" vertical="center" wrapText="1"/>
    </xf>
    <xf numFmtId="3" fontId="19" fillId="0" borderId="11" xfId="1" applyNumberFormat="1" applyFont="1" applyBorder="1" applyAlignment="1">
      <alignment horizontal="center" vertical="center" wrapText="1"/>
    </xf>
    <xf numFmtId="3" fontId="19" fillId="0" borderId="13" xfId="3" applyNumberFormat="1" applyFont="1" applyBorder="1" applyAlignment="1">
      <alignment horizontal="center"/>
    </xf>
    <xf numFmtId="185" fontId="5" fillId="3" borderId="12" xfId="3" applyNumberFormat="1" applyFont="1" applyFill="1" applyBorder="1" applyAlignment="1">
      <alignment horizontal="center" vertical="center"/>
    </xf>
    <xf numFmtId="185" fontId="5" fillId="3" borderId="11" xfId="3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3" fontId="5" fillId="0" borderId="12" xfId="0" applyNumberFormat="1" applyFont="1" applyBorder="1" applyAlignment="1" applyProtection="1">
      <alignment horizontal="left" vertical="center" wrapText="1"/>
      <protection locked="0"/>
    </xf>
    <xf numFmtId="3" fontId="5" fillId="0" borderId="10" xfId="0" applyNumberFormat="1" applyFont="1" applyBorder="1" applyAlignment="1" applyProtection="1">
      <alignment horizontal="left" vertical="center" wrapText="1"/>
      <protection locked="0"/>
    </xf>
    <xf numFmtId="3" fontId="5" fillId="0" borderId="11" xfId="0" applyNumberFormat="1" applyFont="1" applyBorder="1" applyAlignment="1" applyProtection="1">
      <alignment horizontal="left" vertical="center" wrapText="1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0" fontId="3" fillId="0" borderId="12" xfId="8" applyBorder="1" applyAlignment="1" applyProtection="1">
      <alignment horizontal="left" vertical="center"/>
      <protection locked="0"/>
    </xf>
    <xf numFmtId="0" fontId="3" fillId="0" borderId="10" xfId="8" applyBorder="1" applyAlignment="1" applyProtection="1">
      <alignment horizontal="left" vertical="center"/>
      <protection locked="0"/>
    </xf>
    <xf numFmtId="0" fontId="3" fillId="0" borderId="44" xfId="8" applyBorder="1" applyAlignment="1" applyProtection="1">
      <alignment horizontal="left" vertical="center"/>
      <protection locked="0"/>
    </xf>
    <xf numFmtId="0" fontId="5" fillId="0" borderId="12" xfId="6" applyFont="1" applyBorder="1" applyAlignment="1" applyProtection="1">
      <alignment vertical="center"/>
      <protection locked="0"/>
    </xf>
    <xf numFmtId="0" fontId="5" fillId="0" borderId="10" xfId="6" applyFont="1" applyBorder="1" applyAlignment="1" applyProtection="1">
      <alignment vertical="center"/>
      <protection locked="0"/>
    </xf>
    <xf numFmtId="0" fontId="5" fillId="0" borderId="11" xfId="6" applyFont="1" applyBorder="1" applyAlignment="1" applyProtection="1">
      <alignment vertical="center"/>
      <protection locked="0"/>
    </xf>
    <xf numFmtId="0" fontId="27" fillId="0" borderId="0" xfId="0" applyFont="1" applyAlignment="1">
      <alignment horizontal="left" vertical="center"/>
    </xf>
    <xf numFmtId="3" fontId="19" fillId="0" borderId="31" xfId="3" applyNumberFormat="1" applyFont="1" applyBorder="1" applyAlignment="1">
      <alignment horizontal="left" vertical="center"/>
    </xf>
    <xf numFmtId="3" fontId="19" fillId="0" borderId="32" xfId="3" applyNumberFormat="1" applyFont="1" applyBorder="1" applyAlignment="1">
      <alignment horizontal="left" vertical="center"/>
    </xf>
    <xf numFmtId="3" fontId="19" fillId="0" borderId="33" xfId="3" applyNumberFormat="1" applyFont="1" applyBorder="1" applyAlignment="1">
      <alignment horizontal="left" vertical="center"/>
    </xf>
    <xf numFmtId="173" fontId="5" fillId="3" borderId="12" xfId="3" applyNumberFormat="1" applyFont="1" applyFill="1" applyBorder="1" applyAlignment="1" applyProtection="1">
      <alignment horizontal="center" vertical="center"/>
      <protection locked="0"/>
    </xf>
    <xf numFmtId="173" fontId="5" fillId="3" borderId="11" xfId="3" applyNumberFormat="1" applyFont="1" applyFill="1" applyBorder="1" applyAlignment="1" applyProtection="1">
      <alignment horizontal="center" vertical="center"/>
      <protection locked="0"/>
    </xf>
    <xf numFmtId="170" fontId="19" fillId="0" borderId="12" xfId="3" applyNumberFormat="1" applyFont="1" applyBorder="1" applyAlignment="1">
      <alignment horizontal="center" vertical="center"/>
    </xf>
    <xf numFmtId="170" fontId="19" fillId="0" borderId="10" xfId="3" applyNumberFormat="1" applyFont="1" applyBorder="1" applyAlignment="1">
      <alignment horizontal="center" vertical="center"/>
    </xf>
    <xf numFmtId="170" fontId="19" fillId="0" borderId="11" xfId="3" applyNumberFormat="1" applyFont="1" applyBorder="1" applyAlignment="1">
      <alignment horizontal="center" vertical="center"/>
    </xf>
    <xf numFmtId="3" fontId="5" fillId="0" borderId="6" xfId="3" applyNumberFormat="1" applyFont="1" applyBorder="1" applyAlignment="1">
      <alignment horizontal="center"/>
    </xf>
    <xf numFmtId="3" fontId="5" fillId="0" borderId="7" xfId="3" applyNumberFormat="1" applyFont="1" applyBorder="1" applyAlignment="1">
      <alignment horizontal="center"/>
    </xf>
    <xf numFmtId="178" fontId="5" fillId="3" borderId="12" xfId="3" applyNumberFormat="1" applyFont="1" applyFill="1" applyBorder="1" applyAlignment="1" applyProtection="1">
      <alignment horizontal="center" vertical="center"/>
      <protection locked="0"/>
    </xf>
    <xf numFmtId="178" fontId="5" fillId="3" borderId="11" xfId="3" applyNumberFormat="1" applyFont="1" applyFill="1" applyBorder="1" applyAlignment="1" applyProtection="1">
      <alignment horizontal="center" vertical="center"/>
      <protection locked="0"/>
    </xf>
    <xf numFmtId="3" fontId="19" fillId="0" borderId="13" xfId="1" applyNumberFormat="1" applyFont="1" applyBorder="1" applyAlignment="1">
      <alignment horizontal="center" vertical="center" wrapText="1"/>
    </xf>
    <xf numFmtId="3" fontId="5" fillId="0" borderId="12" xfId="1" applyNumberFormat="1" applyFont="1" applyBorder="1" applyAlignment="1" applyProtection="1">
      <alignment horizontal="center" vertical="center"/>
      <protection hidden="1"/>
    </xf>
    <xf numFmtId="3" fontId="5" fillId="0" borderId="10" xfId="1" applyNumberFormat="1" applyFont="1" applyBorder="1" applyAlignment="1" applyProtection="1">
      <alignment horizontal="center" vertical="center"/>
      <protection hidden="1"/>
    </xf>
    <xf numFmtId="3" fontId="5" fillId="0" borderId="11" xfId="1" applyNumberFormat="1" applyFont="1" applyBorder="1" applyAlignment="1" applyProtection="1">
      <alignment horizontal="center" vertical="center"/>
      <protection hidden="1"/>
    </xf>
    <xf numFmtId="3" fontId="3" fillId="8" borderId="12" xfId="1" applyNumberFormat="1" applyFill="1" applyBorder="1" applyAlignment="1" applyProtection="1">
      <alignment horizontal="left"/>
      <protection hidden="1"/>
    </xf>
    <xf numFmtId="3" fontId="3" fillId="8" borderId="10" xfId="1" applyNumberFormat="1" applyFill="1" applyBorder="1" applyAlignment="1" applyProtection="1">
      <alignment horizontal="left"/>
      <protection hidden="1"/>
    </xf>
    <xf numFmtId="3" fontId="3" fillId="8" borderId="11" xfId="1" applyNumberFormat="1" applyFill="1" applyBorder="1" applyAlignment="1" applyProtection="1">
      <alignment horizontal="left"/>
      <protection hidden="1"/>
    </xf>
    <xf numFmtId="3" fontId="3" fillId="8" borderId="13" xfId="1" applyNumberFormat="1" applyFill="1" applyBorder="1" applyAlignment="1" applyProtection="1">
      <alignment horizontal="left"/>
      <protection hidden="1"/>
    </xf>
    <xf numFmtId="173" fontId="3" fillId="0" borderId="12" xfId="3" applyNumberFormat="1" applyFont="1" applyBorder="1" applyAlignment="1" applyProtection="1">
      <alignment horizontal="center" vertical="center"/>
      <protection hidden="1"/>
    </xf>
    <xf numFmtId="173" fontId="3" fillId="0" borderId="11" xfId="3" applyNumberFormat="1" applyFont="1" applyBorder="1" applyAlignment="1" applyProtection="1">
      <alignment horizontal="center" vertical="center"/>
      <protection hidden="1"/>
    </xf>
    <xf numFmtId="3" fontId="5" fillId="0" borderId="12" xfId="1" applyNumberFormat="1" applyFont="1" applyBorder="1" applyAlignment="1" applyProtection="1">
      <alignment horizontal="left"/>
      <protection hidden="1"/>
    </xf>
    <xf numFmtId="3" fontId="5" fillId="0" borderId="10" xfId="1" applyNumberFormat="1" applyFont="1" applyBorder="1" applyAlignment="1" applyProtection="1">
      <alignment horizontal="left"/>
      <protection hidden="1"/>
    </xf>
    <xf numFmtId="3" fontId="5" fillId="0" borderId="11" xfId="1" applyNumberFormat="1" applyFont="1" applyBorder="1" applyAlignment="1" applyProtection="1">
      <alignment horizontal="left"/>
      <protection hidden="1"/>
    </xf>
    <xf numFmtId="10" fontId="5" fillId="0" borderId="12" xfId="3" applyNumberFormat="1" applyFont="1" applyBorder="1" applyAlignment="1" applyProtection="1">
      <alignment horizontal="center" vertical="center"/>
      <protection hidden="1"/>
    </xf>
    <xf numFmtId="10" fontId="5" fillId="0" borderId="11" xfId="3" applyNumberFormat="1" applyFont="1" applyBorder="1" applyAlignment="1" applyProtection="1">
      <alignment horizontal="center" vertical="center"/>
      <protection hidden="1"/>
    </xf>
    <xf numFmtId="0" fontId="11" fillId="13" borderId="12" xfId="13" applyFont="1" applyFill="1" applyBorder="1" applyAlignment="1">
      <alignment horizontal="left" vertical="center" wrapText="1"/>
    </xf>
    <xf numFmtId="0" fontId="11" fillId="13" borderId="10" xfId="13" applyFont="1" applyFill="1" applyBorder="1" applyAlignment="1">
      <alignment horizontal="left" vertical="center" wrapText="1"/>
    </xf>
    <xf numFmtId="0" fontId="11" fillId="13" borderId="11" xfId="13" applyFont="1" applyFill="1" applyBorder="1" applyAlignment="1">
      <alignment horizontal="left" vertical="center" wrapText="1"/>
    </xf>
    <xf numFmtId="0" fontId="7" fillId="0" borderId="37" xfId="13" applyFont="1" applyBorder="1" applyAlignment="1">
      <alignment horizontal="left" vertical="center" wrapText="1"/>
    </xf>
    <xf numFmtId="0" fontId="7" fillId="0" borderId="36" xfId="13" applyFont="1" applyBorder="1" applyAlignment="1">
      <alignment horizontal="left" vertical="center" wrapText="1"/>
    </xf>
    <xf numFmtId="0" fontId="7" fillId="0" borderId="38" xfId="13" applyFont="1" applyBorder="1" applyAlignment="1">
      <alignment horizontal="left" vertical="center" wrapText="1"/>
    </xf>
    <xf numFmtId="0" fontId="11" fillId="16" borderId="12" xfId="13" applyFont="1" applyFill="1" applyBorder="1" applyAlignment="1">
      <alignment horizontal="center" vertical="center" wrapText="1"/>
    </xf>
    <xf numFmtId="0" fontId="11" fillId="16" borderId="11" xfId="13" applyFont="1" applyFill="1" applyBorder="1" applyAlignment="1">
      <alignment horizontal="center" vertical="center" wrapText="1"/>
    </xf>
    <xf numFmtId="0" fontId="11" fillId="0" borderId="0" xfId="13" applyFont="1" applyAlignment="1">
      <alignment horizontal="center" vertical="center"/>
    </xf>
  </cellXfs>
  <cellStyles count="29">
    <cellStyle name="BodyStyle" xfId="10" xr:uid="{13062457-D255-4AFD-930B-67BF38C199D8}"/>
    <cellStyle name="Millares [0]" xfId="15" builtinId="6"/>
    <cellStyle name="Millares [0] 6" xfId="22" xr:uid="{4DE31555-718A-4BD0-8060-4487AFEE463C}"/>
    <cellStyle name="Millares 10" xfId="26" xr:uid="{B6035252-4501-4C60-8B6B-6EADA12ED4B0}"/>
    <cellStyle name="Millares 10 3" xfId="28" xr:uid="{3AC4BE87-CC24-4913-B9FC-BFAD95D4DE29}"/>
    <cellStyle name="Millares 10 5 2" xfId="20" xr:uid="{E1882E1F-E1C9-4F80-82F1-AB73F60BF252}"/>
    <cellStyle name="Millares 2" xfId="7" xr:uid="{75597B68-B91F-4F3F-A1FA-FFBF0B80A253}"/>
    <cellStyle name="Millares 2 10 2 11" xfId="19" xr:uid="{36A359C7-5C49-4368-A4B1-6EB112FB0568}"/>
    <cellStyle name="Millares 2 10 2 7 2" xfId="24" xr:uid="{71EC4AE2-169C-4D4D-8EEA-A767B1AD0DD9}"/>
    <cellStyle name="Millares 3" xfId="14" xr:uid="{4BCE0363-E6C1-4A98-8291-AE9132262ACE}"/>
    <cellStyle name="Millares 31 2" xfId="23" xr:uid="{2E61B136-8E6A-4C78-8F80-8597AAF948AB}"/>
    <cellStyle name="Millares 5" xfId="27" xr:uid="{4E248479-91EE-4593-82EC-C385B5B654B3}"/>
    <cellStyle name="Millares 7" xfId="21" xr:uid="{CE72F5CA-F406-4962-9212-F33C171F6094}"/>
    <cellStyle name="Moneda" xfId="25" builtinId="4"/>
    <cellStyle name="Moneda [0] 2" xfId="2" xr:uid="{EBF6A6B1-7608-4BEA-A472-236CEEA995D3}"/>
    <cellStyle name="Moneda 2" xfId="4" xr:uid="{BDD9956F-0EF3-4DEA-A4DB-54C2FA44A522}"/>
    <cellStyle name="Normal" xfId="0" builtinId="0"/>
    <cellStyle name="Normal 12" xfId="9" xr:uid="{79407866-9653-4F87-B890-91938672AFCC}"/>
    <cellStyle name="Normal 2" xfId="1" xr:uid="{C682981C-C4E8-4700-96C1-7AFEF02C8866}"/>
    <cellStyle name="Normal 2 2" xfId="17" xr:uid="{D3062152-31E3-4A8B-B850-A66A960BF035}"/>
    <cellStyle name="Normal 2 2 2" xfId="8" xr:uid="{0D427D03-34E7-452D-9A2B-65AC4B280CEC}"/>
    <cellStyle name="Normal 3" xfId="13" xr:uid="{A3650D03-0EAE-4539-8008-ABB85AED4161}"/>
    <cellStyle name="Normal 3 2 3" xfId="11" xr:uid="{8943AD9A-8E0A-4A47-A1F8-E05215BF0F7A}"/>
    <cellStyle name="Normal 4 2 2 2" xfId="18" xr:uid="{A4592EFB-DB01-48FA-A42A-27CB9D698FC5}"/>
    <cellStyle name="Normal 4 2 3" xfId="16" xr:uid="{813FB4AA-94F5-4EC2-88C3-F77F6524653E}"/>
    <cellStyle name="Normal_LISTA S.E.D" xfId="3" xr:uid="{2CC32E33-8E6A-4598-93C9-E36A31529F34}"/>
    <cellStyle name="Normal_precios 2001-2 y 2002-1" xfId="6" xr:uid="{C5E011D6-F8E6-43D6-9E80-257A35DB05C5}"/>
    <cellStyle name="Porcentaje" xfId="12" builtinId="5"/>
    <cellStyle name="Porcentaje 2" xfId="5" xr:uid="{A7029588-9EEF-43E5-B0E6-E8713900996C}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ill>
        <patternFill>
          <bgColor rgb="FFFF0000"/>
        </patternFill>
      </fill>
    </dxf>
  </dxfs>
  <tableStyles count="1" defaultTableStyle="TableStyleMedium2" defaultPivotStyle="PivotStyleLight16">
    <tableStyle name="Invisible" pivot="0" table="0" count="0" xr9:uid="{2990AFA6-AC20-435B-B005-AD70D06A508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styles" Target="styles.xml"/><Relationship Id="rId30" Type="http://schemas.openxmlformats.org/officeDocument/2006/relationships/calcChain" Target="calcChain.xml"/><Relationship Id="rId8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179294</xdr:colOff>
      <xdr:row>2</xdr:row>
      <xdr:rowOff>56031</xdr:rowOff>
    </xdr:from>
    <xdr:to>
      <xdr:col>4</xdr:col>
      <xdr:colOff>1133395</xdr:colOff>
      <xdr:row>3</xdr:row>
      <xdr:rowOff>198505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C851C51C-96D8-4367-B59A-EA59331D0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3" y="369796"/>
          <a:ext cx="3933265" cy="5154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448236</xdr:colOff>
      <xdr:row>2</xdr:row>
      <xdr:rowOff>44823</xdr:rowOff>
    </xdr:from>
    <xdr:to>
      <xdr:col>22</xdr:col>
      <xdr:colOff>0</xdr:colOff>
      <xdr:row>3</xdr:row>
      <xdr:rowOff>243326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454E9D2-47C2-4B40-A8F8-7736FAC88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43677" y="358588"/>
          <a:ext cx="1949823" cy="571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quipo2/E/DIANA/CPC/NEREIDAS/PRESUPUESTO%20DE%20TRABAJO%20NEREIDAS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CHIVOS%20FINALES%20UMNG\26JUL2016%20PRESUPUESTO%20PY282%20-%20MILITAR%20V25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Trv_1/datos%20(e)/COLEGIO%20TOMAS/PRESUPUESTO/APU%20CORTE%205%20definitivo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dinador_cyp\public\COORDINADOR%20CYP\PLINCO%20S.A\LICITACIONES\2011\PRESUPUESTOS%20APROXIMADOS\PL-DIS-3355-APROX-11.%20SORTIS%20HOTEL%20AND%20BUSINESS\PL-DIS-3355-APROX-11.%20%20SORTIS%20HOTEL%20AND%20BUSINES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cho\GRUIA%20CACOM%203\PRESENTACION\APU%20GAITANA\APU%20PRESUPUESTO%2020-01-07%20(NO%20ABRIR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btdatos\BT-CONSULTORES\PROYECTOS%20EN%20CURSO\DESIGN\BT-D-764%20COOPETROL%20ED%201335\PLANEACION%20DE%20PROYECTOS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dinador_cyp\Public\COORDINADOR%20CYP\PLINCO%20S.A\LICITACIONES\2011\PRESENTADAS%20PLINCO%20S.A\PL-CYP-COT-064-11.%20TORRE%20TIERRA%20FIRME\PL-CYP-COT-064-11.%20TORRE%20TIERRA%20FIRM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10FFCE8\PY-246-%20PRESUPUESTO%20MINSALUD-%20VB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quitecto%20Proyecto/Desktop/I.E.ASC/CANAAN/I.E.ALBERTO%20SANTOFIMIO/ACTA%202%20CANAAN/FO-SP-00-03%20ACTA%20PARCIAL%20#2 I.E ASC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CANAAM/I.E.ALBERTO%20SANTOFIMIO/PPTO%20Y%20MEMORIAS/Ppto%20Obra%20Alberto%20Santofimio%20-V-26%20de%20Agosto%20-%202022.(FFIE-Interv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wnloads/FE-1-026%20ACTA%20PARCIAL%20Y%20APROBACI&#211;N%20DE%20PAGO%20DE%20OBRA%20TIPO%20B%20ACTA%2013%20CT%201012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quipo2/e/SED%20062%202007/SED%20062%20CONSORCIO%20SABANA/PRESUPUESTO/economico%20BRASILI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rocha_ffie_com_co/Documents/Descargas/20200728_Anexo%20No.%201%20OBRA%20(PAPS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quipo2/e/SED%20062%202007/SED%20062%20CONSORCIO%20SABANA/PRESUPUESTO/economica%20MONTEBLAN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esupuestis\obras\Inst.%20Electricas%20presupuesto%20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413_340_07/grupo%20evaluador/Documents%20and%20Settings/SHERRERA/Escritorio/BASE%20DE%20DATOS%202005/h/Presupuesto/Para%20Pliegos/Presupuesto-Tintal-Plieg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ECC\Carpeta%20compartida\Users\jcalderon\AppData\Local\Microsoft\Windows\Temporary%20Internet%20Files\Content.Outlook\98NM2555\Revisi&#243;n%20de%20presupuestos%2042%20proyectos%20(Corregido%202014-11-26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413_340_07\grupo%20evaluador\Documents%20and%20Settings\SHERRERA\Escritorio\BASE%20DE%20DATOS%202005\h\Presupuesto\Para%20Pliegos\Presupuesto-Tintal-Pliego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quipo2/E/DATOS/LICITACIONES/ERVIN%20PEREZ/2007/PRIVADAS/SIKA%20TOCANCIPA/presupuesto/PRESUPUESTO%20DE%20TRABAJ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esupuestis\licitaciones%202009\ENA\ABS\Numeros-ABS-ENA\Speed-Zone-CLAUDIA%20MENDE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PDETRABAJO"/>
      <sheetName val="ENCH"/>
      <sheetName val="PAÑ"/>
      <sheetName val="CIMENTACION"/>
      <sheetName val="ESTRUCTURA"/>
      <sheetName val="PRELIMINARES"/>
      <sheetName val="INSBASICOS"/>
      <sheetName val="MAMP"/>
      <sheetName val="PISOS"/>
      <sheetName val="CIELO"/>
      <sheetName val="VENT"/>
      <sheetName val="CARPMET"/>
      <sheetName val="CARPMAD"/>
      <sheetName val="DOTBAÑOS"/>
      <sheetName val="COCINAS"/>
      <sheetName val="CERRADURAS"/>
      <sheetName val="PINTURA"/>
      <sheetName val="NP 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1.1"/>
      <sheetName val="1.1.2"/>
      <sheetName val="1.1.3"/>
      <sheetName val="1.2.1"/>
      <sheetName val="1.2.2"/>
      <sheetName val="1.3.1"/>
      <sheetName val="2.1.1"/>
      <sheetName val="2.1.2"/>
      <sheetName val="2.1.3"/>
      <sheetName val="2.2.1"/>
      <sheetName val="2.2.2"/>
      <sheetName val="2.2.3"/>
      <sheetName val="2.3.1"/>
      <sheetName val="3.1.1"/>
      <sheetName val="3.1.2"/>
      <sheetName val="3.1.3"/>
      <sheetName val="3.1.4"/>
      <sheetName val="3.1.5"/>
      <sheetName val="3.2.1"/>
      <sheetName val="3.2.2"/>
      <sheetName val="3.2.3"/>
      <sheetName val="3.2.4"/>
      <sheetName val="3.2.5"/>
      <sheetName val="3.2.6"/>
      <sheetName val="3.2.7"/>
      <sheetName val="3.2.8"/>
      <sheetName val="3.2.9"/>
      <sheetName val="3.2.10"/>
      <sheetName val="4.1.1"/>
      <sheetName val="4.1.2"/>
      <sheetName val="4.1.3"/>
      <sheetName val="4.2.1"/>
      <sheetName val="4.2.2"/>
      <sheetName val="4.3.1"/>
      <sheetName val="4.3.2"/>
      <sheetName val="4.4.1"/>
      <sheetName val="4.4.2"/>
      <sheetName val="4.4.3"/>
      <sheetName val="4.4.4"/>
      <sheetName val="4.4.5"/>
      <sheetName val="4.4.6"/>
      <sheetName val="4.4.7"/>
      <sheetName val="4.4.8"/>
      <sheetName val="4.5.1"/>
      <sheetName val="4.5.2"/>
      <sheetName val="4.6.1"/>
      <sheetName val="4.6.2"/>
      <sheetName val="4.7.1"/>
      <sheetName val="4.7.2"/>
      <sheetName val="4.7.3"/>
      <sheetName val="4.7.4"/>
      <sheetName val="4.7.5"/>
      <sheetName val="4.7.6"/>
      <sheetName val="4.7.7"/>
      <sheetName val="4.7.8"/>
      <sheetName val="4.7.9"/>
      <sheetName val="5.1.1"/>
      <sheetName val="5.1.2"/>
      <sheetName val="5.1.3"/>
      <sheetName val="5.1.4"/>
      <sheetName val="5.1.5"/>
      <sheetName val="5.1.6"/>
      <sheetName val="5.1.7"/>
      <sheetName val="5.1.8"/>
      <sheetName val="5.1.9"/>
      <sheetName val="5.1.10"/>
      <sheetName val="5.1.11"/>
      <sheetName val="5.2.1"/>
      <sheetName val="5.2.2"/>
      <sheetName val="5.2.3"/>
      <sheetName val="5.2.4"/>
      <sheetName val="5.3.1"/>
      <sheetName val="5.3.2"/>
      <sheetName val="5.3.3"/>
      <sheetName val="5.3.4"/>
      <sheetName val="5.3.5"/>
      <sheetName val="5.3.6"/>
      <sheetName val="5.3.7"/>
      <sheetName val="5.3.8"/>
      <sheetName val="5.3.9"/>
      <sheetName val="5.3.10"/>
      <sheetName val="5.3.11"/>
      <sheetName val="5.3.12"/>
      <sheetName val="5.3.13"/>
      <sheetName val="5.4.1"/>
      <sheetName val="5.4.2"/>
      <sheetName val="5.4.3"/>
      <sheetName val="5.4.4"/>
      <sheetName val="5.5.1"/>
      <sheetName val="5.5.2"/>
      <sheetName val="6.1.1"/>
      <sheetName val="6.1.2"/>
      <sheetName val="6.1.3"/>
      <sheetName val="6.1.4"/>
      <sheetName val="6.1.5"/>
      <sheetName val="6.1.6"/>
      <sheetName val="6.1.7"/>
      <sheetName val="6.1.8"/>
      <sheetName val="7.1.1"/>
      <sheetName val="7.1.2"/>
      <sheetName val="7.1.3"/>
      <sheetName val="7.1.4"/>
      <sheetName val="7.2.1"/>
      <sheetName val="7.2.2"/>
      <sheetName val="7.2.3"/>
      <sheetName val="7.2.4"/>
      <sheetName val="7.3.1"/>
      <sheetName val="8.1.1"/>
      <sheetName val="8.1.2"/>
      <sheetName val="8.1.3"/>
      <sheetName val="8.2.1"/>
      <sheetName val="8.2.2"/>
      <sheetName val="8.2.3"/>
      <sheetName val="8.2.4"/>
      <sheetName val="8.2.5"/>
      <sheetName val="8.2.6"/>
      <sheetName val="8.2.7"/>
      <sheetName val="8.2.8"/>
      <sheetName val="8.2.9"/>
      <sheetName val="8.2.10"/>
      <sheetName val="8.2.11"/>
      <sheetName val="8.2.12"/>
      <sheetName val="8.2.13"/>
      <sheetName val="8.2.14"/>
      <sheetName val="8.2.15"/>
      <sheetName val="8.2.16"/>
      <sheetName val="8.2.17"/>
      <sheetName val="8.2.18"/>
      <sheetName val="9.1.1"/>
      <sheetName val="9.1.2"/>
      <sheetName val="9.1.3"/>
      <sheetName val="9.1.4"/>
      <sheetName val="10.1.1"/>
      <sheetName val="10.1.2"/>
      <sheetName val="10.1.3"/>
      <sheetName val="10.1.4"/>
      <sheetName val="10.1.5"/>
      <sheetName val="11.1.1.1"/>
      <sheetName val="11.1.1.2"/>
      <sheetName val="11.1.1.3"/>
      <sheetName val="11.1.2.1"/>
      <sheetName val="11.1.2.2"/>
      <sheetName val="11.1.2.3"/>
      <sheetName val="11.1.2.4"/>
      <sheetName val="11.1.2.5"/>
      <sheetName val="11.1.2.6"/>
      <sheetName val="11.1.2.7"/>
      <sheetName val="11.1.2.8"/>
      <sheetName val="11.1.2.9"/>
      <sheetName val="11.1.2.10"/>
      <sheetName val="11.1.2.11"/>
      <sheetName val="11.1.2.12"/>
      <sheetName val="11.1.2.13"/>
      <sheetName val="11.1.2.14"/>
      <sheetName val="11.1.2.15"/>
      <sheetName val="11.1.2.16"/>
      <sheetName val="11.1.2.17"/>
      <sheetName val="11.1.2.18"/>
      <sheetName val="11.1.2.19"/>
      <sheetName val="11.1.2.20"/>
      <sheetName val="11.1.2.21"/>
      <sheetName val="11.1.2.22"/>
      <sheetName val="11.1.2.23"/>
      <sheetName val="11.1.2.24"/>
      <sheetName val="11.1.2.25"/>
      <sheetName val="11.1.2.26"/>
      <sheetName val="11.1.2.27"/>
      <sheetName val="11.1.2.28"/>
      <sheetName val="11.1.2.29"/>
      <sheetName val="11.1.2.30"/>
      <sheetName val="11.1.2.31"/>
      <sheetName val="11.1.2.32"/>
      <sheetName val="11.1.2.33"/>
      <sheetName val="11.1.2.34"/>
      <sheetName val="11.1.2.35"/>
      <sheetName val="11.1.2.36"/>
      <sheetName val="11.1.2.37"/>
      <sheetName val="11.1.2.38"/>
      <sheetName val="11.1.2.39"/>
      <sheetName val="11.1.2.40"/>
      <sheetName val="11.1.2.41"/>
      <sheetName val="11.1.3.1"/>
      <sheetName val="11.1.3.2"/>
      <sheetName val="11.1.3.3"/>
      <sheetName val="11.1.3.4"/>
      <sheetName val="11.1.3.5"/>
      <sheetName val="11.1.3.6"/>
      <sheetName val="11.1.3.7"/>
      <sheetName val="11.1.3.8"/>
      <sheetName val="11.1.3.9"/>
      <sheetName val="11.2.1.1"/>
      <sheetName val="11.2.1.2"/>
      <sheetName val="11.2.1.3"/>
      <sheetName val="11.2.1.4"/>
      <sheetName val="11.2.1.5"/>
      <sheetName val="11.2.1.6"/>
      <sheetName val="11.2.1.7"/>
      <sheetName val="11.2.2.1"/>
      <sheetName val="11.3.1.1"/>
      <sheetName val="11.3.1.2"/>
      <sheetName val="11.3.1.3"/>
      <sheetName val="11.3.1.4"/>
      <sheetName val="11.3.1.5"/>
      <sheetName val="11.3.1.6"/>
      <sheetName val="11.3.1.7"/>
      <sheetName val="11.3.1.8"/>
      <sheetName val="11.3.1.9"/>
      <sheetName val="11.3.1.10"/>
      <sheetName val="11.3.2.1"/>
      <sheetName val="11.3.2.2"/>
      <sheetName val="11.3.2.3"/>
      <sheetName val="11.4.1.1"/>
      <sheetName val="11.4.1.2"/>
      <sheetName val="11.4.1.3"/>
      <sheetName val="11.4.1.4"/>
      <sheetName val="11.4.1.5"/>
      <sheetName val="11.4.1.6"/>
      <sheetName val="11.4.1.7"/>
      <sheetName val="11.4.1.8"/>
      <sheetName val="11.4.1.9"/>
      <sheetName val="12.1.1"/>
      <sheetName val="12.1.2"/>
      <sheetName val="12.1.3"/>
      <sheetName val="12.1.4"/>
      <sheetName val="12.1.5"/>
      <sheetName val="12.1.6"/>
      <sheetName val="12.2.1"/>
      <sheetName val="13.1.1"/>
      <sheetName val="13.1.2"/>
      <sheetName val="13.1.3"/>
      <sheetName val="13.1.4"/>
      <sheetName val="13.1.5"/>
      <sheetName val="13.1.6"/>
      <sheetName val="13.2.1"/>
      <sheetName val="13.2.2"/>
      <sheetName val="13.3.1"/>
      <sheetName val="13.3.2"/>
      <sheetName val="13.3.3"/>
      <sheetName val="13.4.1"/>
      <sheetName val="13.4.2"/>
      <sheetName val="13.4.3"/>
      <sheetName val="13.4.4"/>
      <sheetName val="13.4.5"/>
      <sheetName val="13.4.6"/>
      <sheetName val="13.4.7"/>
      <sheetName val="13.4.8"/>
      <sheetName val="13.4.9"/>
      <sheetName val="13.4.10"/>
      <sheetName val="14.1.1"/>
      <sheetName val="14.1.2"/>
      <sheetName val="14.1.3"/>
      <sheetName val="14.1.4"/>
      <sheetName val="14.1.5"/>
      <sheetName val="14.1.6"/>
      <sheetName val="14.1.7"/>
      <sheetName val="14.1.8"/>
      <sheetName val="14.2.1"/>
      <sheetName val="14.2.2"/>
      <sheetName val="14.3.1"/>
      <sheetName val="14.3.2"/>
      <sheetName val="14.3.3"/>
      <sheetName val="15.1.1"/>
      <sheetName val="15.1.2"/>
      <sheetName val="15.1.3"/>
      <sheetName val="15.2.1"/>
      <sheetName val="16.1.1"/>
      <sheetName val="16.1.2"/>
      <sheetName val="16.1.3"/>
      <sheetName val="16.1.4"/>
      <sheetName val="16.1.5"/>
      <sheetName val="16.1.6"/>
      <sheetName val="16.1.7"/>
      <sheetName val="16.1.8"/>
      <sheetName val="16.1.9"/>
      <sheetName val="16.1.10"/>
      <sheetName val="16.1.11"/>
      <sheetName val="16.1.12"/>
      <sheetName val="16.1.13"/>
      <sheetName val="16.1.14"/>
      <sheetName val="16.1.15"/>
      <sheetName val="16.1.16"/>
      <sheetName val="16.1.17"/>
      <sheetName val="16.2.1"/>
      <sheetName val="17.1.1"/>
      <sheetName val="000"/>
      <sheetName val="DATOS GENERALES"/>
      <sheetName val="EQUIPOS Y HERRAMIENTAS"/>
      <sheetName val="INSUMOS"/>
      <sheetName val="ITEMS ESPECIALES"/>
      <sheetName val="MANO DE OBRA"/>
      <sheetName val="PRESUPUESTO"/>
      <sheetName val="RESUMEN APU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"/>
      <sheetName val="INSBASICOS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APU HYS Hotel N400-N2500"/>
      <sheetName val="PPTO HYS Hotel N400-N2500"/>
      <sheetName val="APU HYS N000-N350"/>
      <sheetName val="PPTO HYS N000-N350"/>
      <sheetName val="APU HYS N-500-N-100"/>
      <sheetName val="PPTO HYS N-500-N-100"/>
      <sheetName val="APU HYS Ofinas N400-N2500"/>
      <sheetName val="PPTO HYS Ofinas N400-N2500"/>
      <sheetName val="APU INC Torre Hotel"/>
      <sheetName val="PPTO INC Torre Hotel"/>
      <sheetName val="APU INC N000-N350"/>
      <sheetName val="PPTO INC N000-N350"/>
      <sheetName val="APU INC Oficinas"/>
      <sheetName val="PPTO INC Oficinas"/>
      <sheetName val="APU INC Sotano"/>
      <sheetName val="PPTO INC Sotano"/>
      <sheetName val="APU GAS"/>
      <sheetName val="PPTO G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1"/>
      <sheetName val="2"/>
      <sheetName val="3"/>
      <sheetName val="3 PREE"/>
      <sheetName val="4"/>
      <sheetName val="4 PREE"/>
      <sheetName val="5"/>
      <sheetName val="5 PREE"/>
      <sheetName val="6"/>
      <sheetName val="6 PREE"/>
      <sheetName val="7"/>
      <sheetName val="7 PREE"/>
      <sheetName val="8"/>
      <sheetName val="9 PREE"/>
      <sheetName val="9"/>
      <sheetName val="10"/>
      <sheetName val="10 PREE"/>
      <sheetName val="11 PREE"/>
      <sheetName val="11"/>
      <sheetName val="12 PREE"/>
      <sheetName val="12"/>
      <sheetName val="13 PREE"/>
      <sheetName val="13"/>
      <sheetName val="14"/>
      <sheetName val="14 PREE"/>
      <sheetName val="15 PREE"/>
      <sheetName val="15"/>
      <sheetName val="16 PREE"/>
      <sheetName val="16"/>
      <sheetName val="17 PREE"/>
      <sheetName val="17"/>
      <sheetName val="18 PREE"/>
      <sheetName val="18"/>
      <sheetName val="19"/>
      <sheetName val="20"/>
      <sheetName val="21"/>
      <sheetName val="PRESUPUESTO"/>
      <sheetName val="INSUM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s"/>
      <sheetName val="CARATULA"/>
      <sheetName val="DATOS E"/>
      <sheetName val="VISITA"/>
      <sheetName val="SEG PROY2"/>
      <sheetName val="C. CAMBIOS"/>
      <sheetName val="A. REUNI"/>
      <sheetName val="ENTREGA"/>
      <sheetName val="CHECK L"/>
      <sheetName val="CERTIFICACION"/>
      <sheetName val="VALIDACIO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HYS OFICINAS"/>
      <sheetName val="PPTO HYS OFICINAS"/>
      <sheetName val="APU INC SOTANO"/>
      <sheetName val="PPTO INC SOTANO"/>
      <sheetName val="APU INC OFICINAS"/>
      <sheetName val="PPTO INC OFICINAS"/>
      <sheetName val="APU INC HOTEL"/>
      <sheetName val="PPTO INC HOTEL"/>
      <sheetName val="AIU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APUS EDITAR"/>
      <sheetName val="COSTO REFORZAMIENTO"/>
    </sheetNames>
    <sheetDataSet>
      <sheetData sheetId="0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PARCIAL OBRA 01"/>
      <sheetName val="ACTA PARCIAL OBRA 02"/>
      <sheetName val="2.3.2 Acero de ref.60000PSI"/>
      <sheetName val="2.3.3.Grafill de 4,0 mm"/>
      <sheetName val="2.3.6 Grouting concreto fluido."/>
      <sheetName val="5.2.21 Muro en ladrillo est"/>
      <sheetName val="5.4.1 Anclaje para ref. 9cms"/>
      <sheetName val="5.4.2 Anclaje ref. d1-2&quot;"/>
      <sheetName val="9.1.7 Pañete liso sobre muros"/>
      <sheetName val="Anexo Acta Complementaria"/>
      <sheetName val="Anexo Obras mejoramiento"/>
      <sheetName val="Anexo 1 PAPSO - Base Risaralda"/>
      <sheetName val="Hoja1"/>
      <sheetName val="1.3.7 Dem.Orinal Lavamanos"/>
      <sheetName val="1.3.8 Demolicion muros "/>
      <sheetName val="1.3.12 Demolicion pañetes"/>
      <sheetName val="1.4.2 Retiro de sobrantes  "/>
      <sheetName val="2.3.3.Grafill de 4,0 mm "/>
      <sheetName val="6.1.4 Alfajias en concreto"/>
      <sheetName val="6.1.6 Dintel conC. 0,15 x 0,10"/>
      <sheetName val="9.1.1 Filos y dilataciones "/>
      <sheetName val="9.1.2 Pañete Impermeabilizado"/>
      <sheetName val="21.1.1 Aseo gral"/>
      <sheetName val="N.P-2 Viga cinta de conf."/>
    </sheetNames>
    <sheetDataSet>
      <sheetData sheetId="0"/>
      <sheetData sheetId="1">
        <row r="24">
          <cell r="M24">
            <v>3427718970</v>
          </cell>
          <cell r="N24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TO ALBERTO SANTOFIMIO."/>
    </sheetNames>
    <sheetDataSet>
      <sheetData sheetId="0" refreshError="1">
        <row r="30">
          <cell r="D30" t="str">
            <v>M</v>
          </cell>
        </row>
        <row r="72">
          <cell r="C72" t="str">
            <v>MAMPOSTERIA EN LADRILLO TOLETE Y HUECO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IE"/>
      <sheetName val="ACTA PARCIAL OBRA"/>
      <sheetName val="2.1.12"/>
      <sheetName val="1.2.1"/>
      <sheetName val="1.2.2"/>
      <sheetName val="2.1.6"/>
      <sheetName val="2.1.14"/>
      <sheetName val="2.3.6"/>
      <sheetName val="3.2.1"/>
      <sheetName val="3.2.2"/>
      <sheetName val="3.2.3"/>
      <sheetName val="3.2.5"/>
      <sheetName val="3.2.6"/>
      <sheetName val="3.2.7"/>
      <sheetName val="4.4.1 "/>
      <sheetName val="5.2.7"/>
      <sheetName val="6.1.6"/>
      <sheetName val="7.4.1"/>
      <sheetName val="7.4.2"/>
      <sheetName val="7.4.3"/>
      <sheetName val="7.4.46"/>
      <sheetName val="7.4.48"/>
      <sheetName val="7.4.50"/>
      <sheetName val="7.6.3"/>
      <sheetName val="7.7.1"/>
      <sheetName val="7.7.2"/>
      <sheetName val="8.1.9"/>
      <sheetName val="8.1.18"/>
      <sheetName val="8.1.26"/>
      <sheetName val="8.3.2"/>
      <sheetName val="2.2.5"/>
      <sheetName val="2.2.6"/>
      <sheetName val="2.2.10"/>
      <sheetName val="4.1.1"/>
      <sheetName val="4.3.5"/>
      <sheetName val="6.2.5"/>
      <sheetName val="10.2.9"/>
      <sheetName val="11.2.18"/>
      <sheetName val="11.2.22"/>
      <sheetName val="11.3.6"/>
      <sheetName val="APU EVE 003 "/>
      <sheetName val="21.1.3"/>
      <sheetName val="12.1.1"/>
      <sheetName val="12.2.15"/>
      <sheetName val="12.2.12"/>
      <sheetName val="12.2.2"/>
      <sheetName val="12.2.5"/>
      <sheetName val="12.2.16"/>
      <sheetName val="Anexo Obras mejoramiento"/>
      <sheetName val="11.3.6M"/>
      <sheetName val="11.2.9M"/>
      <sheetName val="11.1.6M"/>
      <sheetName val="8,1,9"/>
      <sheetName val="8,1,18"/>
      <sheetName val="8.3.9"/>
      <sheetName val="8.3.10"/>
      <sheetName val="8.4.1"/>
      <sheetName val="8.4.7"/>
      <sheetName val="8.4.8"/>
      <sheetName val="8.4.13"/>
      <sheetName val="8.3.15"/>
      <sheetName val="8.7.1"/>
      <sheetName val="8.14.19"/>
      <sheetName val="9.1.10"/>
      <sheetName val="15.1.3"/>
      <sheetName val="11.3.12M"/>
      <sheetName val="Anexo Acta Complementaria"/>
      <sheetName val="2.3.2 C"/>
      <sheetName val="2.4.8 C"/>
      <sheetName val="2.4.9 C "/>
      <sheetName val="Anexo 1 PAPSO - Base Risaralda"/>
      <sheetName val="Hoja1"/>
    </sheetNames>
    <sheetDataSet>
      <sheetData sheetId="0" refreshError="1"/>
      <sheetData sheetId="1" refreshError="1">
        <row r="122">
          <cell r="B122" t="str">
            <v>1.1</v>
          </cell>
          <cell r="C122" t="str">
            <v>OBRAS PRELIMINARES</v>
          </cell>
          <cell r="L122">
            <v>0</v>
          </cell>
          <cell r="R122">
            <v>0</v>
          </cell>
          <cell r="T122">
            <v>0</v>
          </cell>
          <cell r="U122">
            <v>0</v>
          </cell>
          <cell r="V122">
            <v>0</v>
          </cell>
        </row>
        <row r="123">
          <cell r="B123" t="str">
            <v>1.1.1</v>
          </cell>
          <cell r="C123" t="str">
            <v xml:space="preserve">LIMPIEZA, DESCAPOTE, RETIRO SOBR. - MANUAL   H = 0,20 mts </v>
          </cell>
          <cell r="I123" t="str">
            <v>M2</v>
          </cell>
          <cell r="J123">
            <v>2217.7800000000002</v>
          </cell>
          <cell r="K123">
            <v>9235</v>
          </cell>
          <cell r="L123">
            <v>20481198.300000001</v>
          </cell>
          <cell r="N123">
            <v>0</v>
          </cell>
          <cell r="O123">
            <v>0</v>
          </cell>
          <cell r="Q123">
            <v>2217.7800000000002</v>
          </cell>
          <cell r="R123">
            <v>20481198.300000001</v>
          </cell>
          <cell r="T123">
            <v>2217.7800000000002</v>
          </cell>
          <cell r="U123">
            <v>20481198.300000001</v>
          </cell>
          <cell r="V123">
            <v>1</v>
          </cell>
        </row>
        <row r="124">
          <cell r="B124" t="str">
            <v>1.1.3</v>
          </cell>
          <cell r="C124" t="str">
            <v>LOCALIZACIÓN Y REPLANTEO TOPOGRÁFICO</v>
          </cell>
          <cell r="I124" t="str">
            <v>M2</v>
          </cell>
          <cell r="J124">
            <v>1557.85</v>
          </cell>
          <cell r="K124">
            <v>2445</v>
          </cell>
          <cell r="L124">
            <v>3808943.25</v>
          </cell>
          <cell r="N124">
            <v>0</v>
          </cell>
          <cell r="O124">
            <v>0</v>
          </cell>
          <cell r="Q124">
            <v>784.22</v>
          </cell>
          <cell r="R124">
            <v>1917417.9</v>
          </cell>
          <cell r="T124">
            <v>784.22</v>
          </cell>
          <cell r="U124">
            <v>1917417.9</v>
          </cell>
          <cell r="V124">
            <v>0.50339891517155055</v>
          </cell>
        </row>
        <row r="125">
          <cell r="B125" t="str">
            <v>1.2.1</v>
          </cell>
          <cell r="C125" t="str">
            <v>INSTALACIÓN PROVISIONAL DE REDES DE ACUEDUCTO Y ALCANTARILLADO</v>
          </cell>
          <cell r="I125" t="str">
            <v>UN</v>
          </cell>
          <cell r="J125">
            <v>1</v>
          </cell>
          <cell r="K125">
            <v>1228108</v>
          </cell>
          <cell r="L125">
            <v>1228108</v>
          </cell>
          <cell r="N125">
            <v>0</v>
          </cell>
          <cell r="O125">
            <v>0</v>
          </cell>
          <cell r="Q125">
            <v>0</v>
          </cell>
          <cell r="R125">
            <v>0</v>
          </cell>
          <cell r="T125">
            <v>0</v>
          </cell>
          <cell r="U125">
            <v>0</v>
          </cell>
          <cell r="V125">
            <v>0</v>
          </cell>
        </row>
        <row r="126">
          <cell r="B126" t="str">
            <v>1.2.2</v>
          </cell>
          <cell r="C126" t="str">
            <v>INSTALACION PROVISIONAL DE REDES DE ENERGIA ELECTRICA</v>
          </cell>
          <cell r="I126" t="str">
            <v>UN</v>
          </cell>
          <cell r="J126">
            <v>1</v>
          </cell>
          <cell r="K126">
            <v>1629883</v>
          </cell>
          <cell r="L126">
            <v>1629883</v>
          </cell>
          <cell r="N126">
            <v>0</v>
          </cell>
          <cell r="O126">
            <v>0</v>
          </cell>
          <cell r="Q126">
            <v>0</v>
          </cell>
          <cell r="R126">
            <v>0</v>
          </cell>
          <cell r="T126">
            <v>0</v>
          </cell>
          <cell r="U126">
            <v>0</v>
          </cell>
          <cell r="V126">
            <v>0</v>
          </cell>
        </row>
        <row r="127">
          <cell r="B127" t="str">
            <v>1.2.3</v>
          </cell>
          <cell r="C127" t="str">
            <v>INSTALACION PROVISIONAL DE RED TELEFONICA</v>
          </cell>
          <cell r="I127" t="str">
            <v>UN</v>
          </cell>
          <cell r="J127">
            <v>1</v>
          </cell>
          <cell r="K127">
            <v>543280</v>
          </cell>
          <cell r="L127">
            <v>543280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T127">
            <v>0</v>
          </cell>
          <cell r="U127">
            <v>0</v>
          </cell>
          <cell r="V127">
            <v>0</v>
          </cell>
        </row>
        <row r="128">
          <cell r="B128" t="str">
            <v>1.3.8</v>
          </cell>
          <cell r="C128" t="str">
            <v>DEMOLICION MUROS EN BLOQUE; E = 12 cm (INC. RETIRO DE SOBR.)</v>
          </cell>
          <cell r="I128" t="str">
            <v>M2</v>
          </cell>
          <cell r="K128">
            <v>18678</v>
          </cell>
          <cell r="L128">
            <v>0</v>
          </cell>
          <cell r="N128">
            <v>0</v>
          </cell>
          <cell r="O128">
            <v>0</v>
          </cell>
          <cell r="Q128">
            <v>0</v>
          </cell>
          <cell r="R128">
            <v>0</v>
          </cell>
          <cell r="T128">
            <v>0</v>
          </cell>
          <cell r="U128">
            <v>0</v>
          </cell>
          <cell r="V128">
            <v>0</v>
          </cell>
        </row>
        <row r="129">
          <cell r="B129" t="str">
            <v>1.3</v>
          </cell>
          <cell r="C129" t="str">
            <v>DEMOLICIONES - DESMONTES - RETIROS</v>
          </cell>
          <cell r="L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T129">
            <v>0</v>
          </cell>
          <cell r="U129">
            <v>0</v>
          </cell>
          <cell r="V129">
            <v>0</v>
          </cell>
        </row>
        <row r="130">
          <cell r="B130" t="str">
            <v>1.3.3</v>
          </cell>
          <cell r="C130" t="str">
            <v>DEMOLICIÓN DE ESTRUCTURAS EN CONCRETO (INC. RETIRO DE SOBR.)</v>
          </cell>
          <cell r="I130" t="str">
            <v>M3</v>
          </cell>
          <cell r="J130">
            <v>26.38</v>
          </cell>
          <cell r="K130">
            <v>224924</v>
          </cell>
          <cell r="L130">
            <v>5933495.1200000001</v>
          </cell>
          <cell r="N130">
            <v>0</v>
          </cell>
          <cell r="O130">
            <v>0</v>
          </cell>
          <cell r="Q130">
            <v>26.38</v>
          </cell>
          <cell r="R130">
            <v>5933495.1200000001</v>
          </cell>
          <cell r="T130">
            <v>26.38</v>
          </cell>
          <cell r="U130">
            <v>5933495.1200000001</v>
          </cell>
          <cell r="V130">
            <v>1</v>
          </cell>
        </row>
        <row r="131">
          <cell r="B131">
            <v>2</v>
          </cell>
          <cell r="C131" t="str">
            <v>CIMENTACIÓN</v>
          </cell>
          <cell r="L131">
            <v>0</v>
          </cell>
          <cell r="N131">
            <v>0</v>
          </cell>
          <cell r="Q131">
            <v>0</v>
          </cell>
          <cell r="R131">
            <v>0</v>
          </cell>
          <cell r="T131">
            <v>0</v>
          </cell>
          <cell r="U131">
            <v>0</v>
          </cell>
          <cell r="V131">
            <v>0</v>
          </cell>
        </row>
        <row r="132">
          <cell r="B132" t="str">
            <v>2.1</v>
          </cell>
          <cell r="C132" t="str">
            <v>EXCAVACIONES, RELLENOS Y REEMPLAZOS</v>
          </cell>
          <cell r="L132">
            <v>0</v>
          </cell>
          <cell r="N132">
            <v>0</v>
          </cell>
          <cell r="O132">
            <v>0</v>
          </cell>
          <cell r="Q132">
            <v>0</v>
          </cell>
          <cell r="R132">
            <v>0</v>
          </cell>
          <cell r="T132">
            <v>0</v>
          </cell>
          <cell r="U132">
            <v>0</v>
          </cell>
          <cell r="V132">
            <v>0</v>
          </cell>
        </row>
        <row r="133">
          <cell r="B133" t="str">
            <v>2.1.4</v>
          </cell>
          <cell r="C133" t="str">
            <v>EXCAVACION MANUAL TIERRA H=2.50-3.50 m. (INC. CARGUE, TRANSPORTE Y DISPOSICION FINAL)</v>
          </cell>
          <cell r="I133" t="str">
            <v>M3</v>
          </cell>
          <cell r="J133">
            <v>10</v>
          </cell>
          <cell r="K133">
            <v>59583</v>
          </cell>
          <cell r="L133">
            <v>595830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T133">
            <v>0</v>
          </cell>
          <cell r="U133">
            <v>0</v>
          </cell>
          <cell r="V133">
            <v>0</v>
          </cell>
        </row>
        <row r="134">
          <cell r="B134" t="str">
            <v>2.1.6</v>
          </cell>
          <cell r="C134" t="str">
            <v xml:space="preserve">EXCAVACION MANUAL EN MATERIAL COMUN (incluye cargue y retiro) </v>
          </cell>
          <cell r="I134" t="str">
            <v>M3</v>
          </cell>
          <cell r="J134">
            <v>510.89</v>
          </cell>
          <cell r="K134">
            <v>42794</v>
          </cell>
          <cell r="L134">
            <v>21863026.66</v>
          </cell>
          <cell r="N134">
            <v>0</v>
          </cell>
          <cell r="O134">
            <v>0</v>
          </cell>
          <cell r="Q134">
            <v>28.949999999999996</v>
          </cell>
          <cell r="R134">
            <v>1238886.3</v>
          </cell>
          <cell r="T134">
            <v>28.949999999999996</v>
          </cell>
          <cell r="U134">
            <v>1238886.3</v>
          </cell>
          <cell r="V134">
            <v>5.6665818473644033E-2</v>
          </cell>
        </row>
        <row r="135">
          <cell r="B135" t="str">
            <v>2.1.9</v>
          </cell>
          <cell r="C135" t="str">
            <v>EXCAVACIÓN MECÁNICA (INC. CARGUE, TRANSPORTE Y DISPOSICIÓN FINAL)</v>
          </cell>
          <cell r="I135" t="str">
            <v>M3</v>
          </cell>
          <cell r="J135">
            <v>2040.38</v>
          </cell>
          <cell r="K135">
            <v>38137</v>
          </cell>
          <cell r="L135">
            <v>77813972.060000002</v>
          </cell>
          <cell r="N135">
            <v>0</v>
          </cell>
          <cell r="O135">
            <v>0</v>
          </cell>
          <cell r="Q135">
            <v>1987.0700000000002</v>
          </cell>
          <cell r="R135">
            <v>75780888.590000004</v>
          </cell>
          <cell r="T135">
            <v>1987.0700000000002</v>
          </cell>
          <cell r="U135">
            <v>75780888.590000004</v>
          </cell>
          <cell r="V135">
            <v>0.97387251394348118</v>
          </cell>
        </row>
        <row r="136">
          <cell r="B136" t="str">
            <v>2.1.12</v>
          </cell>
          <cell r="C136" t="str">
            <v xml:space="preserve">RELLENO EN SUB-BASE GRANULAR B-400 (Suministro, Extendido, Humedecimiento y Compactación)  </v>
          </cell>
          <cell r="I136" t="str">
            <v>M3</v>
          </cell>
          <cell r="J136">
            <v>64</v>
          </cell>
          <cell r="K136">
            <v>92491</v>
          </cell>
          <cell r="L136">
            <v>5919424</v>
          </cell>
          <cell r="N136">
            <v>0</v>
          </cell>
          <cell r="O136">
            <v>0</v>
          </cell>
          <cell r="Q136">
            <v>64</v>
          </cell>
          <cell r="R136">
            <v>5919424</v>
          </cell>
          <cell r="T136">
            <v>64</v>
          </cell>
          <cell r="U136">
            <v>5919424</v>
          </cell>
          <cell r="V136">
            <v>1</v>
          </cell>
        </row>
        <row r="137">
          <cell r="B137" t="str">
            <v>2.1.14</v>
          </cell>
          <cell r="C137" t="str">
            <v>RELLENOS COMPACTOS EN MATERIAL SELECCIONADO</v>
          </cell>
          <cell r="I137" t="str">
            <v>M3</v>
          </cell>
          <cell r="J137">
            <v>260.31</v>
          </cell>
          <cell r="K137">
            <v>10240</v>
          </cell>
          <cell r="L137">
            <v>2665574.3999999999</v>
          </cell>
          <cell r="N137">
            <v>0</v>
          </cell>
          <cell r="O137">
            <v>0</v>
          </cell>
          <cell r="Q137">
            <v>244.47500000000002</v>
          </cell>
          <cell r="R137">
            <v>2503372.7999999998</v>
          </cell>
          <cell r="T137">
            <v>244.47500000000002</v>
          </cell>
          <cell r="U137">
            <v>2503372.7999999998</v>
          </cell>
          <cell r="V137">
            <v>0.939149475625216</v>
          </cell>
        </row>
        <row r="138">
          <cell r="B138" t="str">
            <v>2.2</v>
          </cell>
          <cell r="C138" t="str">
            <v>CONCRETOS PARA CIMENTACION</v>
          </cell>
          <cell r="L138">
            <v>0</v>
          </cell>
          <cell r="N138">
            <v>0</v>
          </cell>
          <cell r="O138">
            <v>0</v>
          </cell>
          <cell r="Q138">
            <v>0</v>
          </cell>
          <cell r="R138">
            <v>0</v>
          </cell>
          <cell r="T138">
            <v>0</v>
          </cell>
          <cell r="U138">
            <v>0</v>
          </cell>
          <cell r="V138">
            <v>0</v>
          </cell>
        </row>
        <row r="139">
          <cell r="B139" t="str">
            <v>2.2.5</v>
          </cell>
          <cell r="C139" t="str">
            <v>CONCRETO DE LIMPIEZA 1500 PSI</v>
          </cell>
          <cell r="I139" t="str">
            <v>M3</v>
          </cell>
          <cell r="J139">
            <v>24.16</v>
          </cell>
          <cell r="K139">
            <v>452635</v>
          </cell>
          <cell r="L139">
            <v>10935661.6</v>
          </cell>
          <cell r="N139">
            <v>0</v>
          </cell>
          <cell r="O139">
            <v>0</v>
          </cell>
          <cell r="Q139">
            <v>24.16</v>
          </cell>
          <cell r="R139">
            <v>10935661.6</v>
          </cell>
          <cell r="T139">
            <v>24.16</v>
          </cell>
          <cell r="U139">
            <v>10935661.6</v>
          </cell>
          <cell r="V139">
            <v>1</v>
          </cell>
        </row>
        <row r="140">
          <cell r="B140" t="str">
            <v>2.2.6</v>
          </cell>
          <cell r="C140" t="str">
            <v>CONCRETO PARA VIGAS DE CIMENTACIÓN 3000 PSI</v>
          </cell>
          <cell r="I140" t="str">
            <v>M3</v>
          </cell>
          <cell r="J140">
            <v>24.5</v>
          </cell>
          <cell r="K140">
            <v>709385</v>
          </cell>
          <cell r="L140">
            <v>17379932.5</v>
          </cell>
          <cell r="N140">
            <v>4.54</v>
          </cell>
          <cell r="O140">
            <v>3220607.9</v>
          </cell>
          <cell r="Q140">
            <v>7.96</v>
          </cell>
          <cell r="R140">
            <v>5646704.5999999996</v>
          </cell>
          <cell r="T140">
            <v>12.5</v>
          </cell>
          <cell r="U140">
            <v>8867312.5</v>
          </cell>
          <cell r="V140">
            <v>0.51020408163265307</v>
          </cell>
        </row>
        <row r="141">
          <cell r="B141" t="str">
            <v>2.2.8</v>
          </cell>
          <cell r="C141" t="str">
            <v>CONCRETO PARA MUROS DE CONTENCION 3000 PSI</v>
          </cell>
          <cell r="I141" t="str">
            <v>M3</v>
          </cell>
          <cell r="J141">
            <v>50</v>
          </cell>
          <cell r="K141">
            <v>824458</v>
          </cell>
          <cell r="L141">
            <v>41222900</v>
          </cell>
          <cell r="N141">
            <v>0</v>
          </cell>
          <cell r="O141">
            <v>0</v>
          </cell>
          <cell r="Q141">
            <v>2.79</v>
          </cell>
          <cell r="R141">
            <v>2300237.8199999998</v>
          </cell>
          <cell r="T141">
            <v>2.79</v>
          </cell>
          <cell r="U141">
            <v>2300237.8199999998</v>
          </cell>
          <cell r="V141">
            <v>5.5799999999999995E-2</v>
          </cell>
        </row>
        <row r="142">
          <cell r="B142" t="str">
            <v>2.2.10</v>
          </cell>
          <cell r="C142" t="str">
            <v>PLACA CONTRAPISO DE 10 cm - CONCRETO 3000 PSI. INCLUYE CORTE Y DILATACION</v>
          </cell>
          <cell r="I142" t="str">
            <v>M2</v>
          </cell>
          <cell r="J142">
            <v>69.7</v>
          </cell>
          <cell r="K142">
            <v>72573</v>
          </cell>
          <cell r="L142">
            <v>5058338.1000000006</v>
          </cell>
          <cell r="N142">
            <v>50.82</v>
          </cell>
          <cell r="O142">
            <v>3688159.86</v>
          </cell>
          <cell r="Q142">
            <v>18.88</v>
          </cell>
          <cell r="R142">
            <v>1370178.24</v>
          </cell>
          <cell r="T142">
            <v>69.7</v>
          </cell>
          <cell r="U142">
            <v>5058338.0999999996</v>
          </cell>
          <cell r="V142">
            <v>0.99999999999999978</v>
          </cell>
        </row>
        <row r="143">
          <cell r="B143" t="str">
            <v>2.3</v>
          </cell>
          <cell r="C143" t="str">
            <v>ACERO DE REFUERZO PARA CIMENTACION - ESTRUCTURA - MAMPOSTERIA Y OTROS</v>
          </cell>
          <cell r="L143">
            <v>0</v>
          </cell>
          <cell r="N143">
            <v>0</v>
          </cell>
          <cell r="O143">
            <v>0</v>
          </cell>
          <cell r="Q143">
            <v>0</v>
          </cell>
          <cell r="R143">
            <v>0</v>
          </cell>
          <cell r="T143">
            <v>0</v>
          </cell>
          <cell r="U143">
            <v>0</v>
          </cell>
          <cell r="V143">
            <v>0</v>
          </cell>
        </row>
        <row r="144">
          <cell r="B144" t="str">
            <v>2.3.1</v>
          </cell>
          <cell r="C144" t="str">
            <v>ACERO DE REFUERZO 37000 PSI</v>
          </cell>
          <cell r="I144" t="str">
            <v>KG</v>
          </cell>
          <cell r="J144">
            <v>6710.6949170147363</v>
          </cell>
          <cell r="K144">
            <v>3492</v>
          </cell>
          <cell r="L144">
            <v>23433746.650215458</v>
          </cell>
          <cell r="N144">
            <v>0</v>
          </cell>
          <cell r="O144">
            <v>0</v>
          </cell>
          <cell r="Q144">
            <v>0</v>
          </cell>
          <cell r="R144">
            <v>0</v>
          </cell>
          <cell r="T144">
            <v>0</v>
          </cell>
          <cell r="U144">
            <v>0</v>
          </cell>
          <cell r="V144">
            <v>0</v>
          </cell>
        </row>
        <row r="145">
          <cell r="B145" t="str">
            <v>2.3.2</v>
          </cell>
          <cell r="C145" t="str">
            <v>ACERO DE REFUERZO 60000 PSI</v>
          </cell>
          <cell r="I145" t="str">
            <v>KG</v>
          </cell>
          <cell r="J145">
            <v>81008.280000000013</v>
          </cell>
          <cell r="K145">
            <v>3492</v>
          </cell>
          <cell r="L145">
            <v>282880913.76000005</v>
          </cell>
          <cell r="N145">
            <v>0</v>
          </cell>
          <cell r="O145">
            <v>0</v>
          </cell>
          <cell r="Q145">
            <v>81008.280000000013</v>
          </cell>
          <cell r="R145">
            <v>282880913.75999999</v>
          </cell>
          <cell r="T145">
            <v>81008.280000000013</v>
          </cell>
          <cell r="U145">
            <v>282880913.75999999</v>
          </cell>
          <cell r="V145">
            <v>0.99999999999999978</v>
          </cell>
        </row>
        <row r="146">
          <cell r="B146" t="str">
            <v>2.3.3</v>
          </cell>
          <cell r="C146" t="str">
            <v>GRAFIL DE 4,0 mm A 8,5 mm</v>
          </cell>
          <cell r="I146" t="str">
            <v>KG</v>
          </cell>
          <cell r="J146">
            <v>586.08000000000004</v>
          </cell>
          <cell r="K146">
            <v>3911</v>
          </cell>
          <cell r="L146">
            <v>2292158.8800000004</v>
          </cell>
          <cell r="N146">
            <v>0</v>
          </cell>
          <cell r="O146">
            <v>0</v>
          </cell>
          <cell r="Q146">
            <v>554.87</v>
          </cell>
          <cell r="R146">
            <v>2170096.5699999998</v>
          </cell>
          <cell r="T146">
            <v>554.87</v>
          </cell>
          <cell r="U146">
            <v>2170096.5699999998</v>
          </cell>
          <cell r="V146">
            <v>0.94674788424788403</v>
          </cell>
        </row>
        <row r="147">
          <cell r="B147" t="str">
            <v>2.3.4</v>
          </cell>
          <cell r="C147" t="str">
            <v xml:space="preserve">MALLA ELECTROSOLDADA ESTÁNDAR. </v>
          </cell>
          <cell r="I147" t="str">
            <v>KG</v>
          </cell>
          <cell r="J147">
            <v>4836.87</v>
          </cell>
          <cell r="K147">
            <v>3911</v>
          </cell>
          <cell r="L147">
            <v>18916998.57</v>
          </cell>
          <cell r="N147">
            <v>0</v>
          </cell>
          <cell r="O147">
            <v>0</v>
          </cell>
          <cell r="Q147">
            <v>3714.2</v>
          </cell>
          <cell r="R147">
            <v>14526236.199999999</v>
          </cell>
          <cell r="T147">
            <v>3714.2</v>
          </cell>
          <cell r="U147">
            <v>14526236.199999999</v>
          </cell>
          <cell r="V147">
            <v>0.76789328636080767</v>
          </cell>
        </row>
        <row r="148">
          <cell r="B148" t="str">
            <v>2.3.6</v>
          </cell>
          <cell r="C148" t="str">
            <v>GROUTING CONCRETO FLUIDO. 1500 PSI. DOSIFICACION 1:3:6 GRAVILLA FINA</v>
          </cell>
          <cell r="I148" t="str">
            <v>M3</v>
          </cell>
          <cell r="J148">
            <v>14.25</v>
          </cell>
          <cell r="K148">
            <v>613891</v>
          </cell>
          <cell r="L148">
            <v>8747946.75</v>
          </cell>
          <cell r="N148">
            <v>0</v>
          </cell>
          <cell r="O148">
            <v>0</v>
          </cell>
          <cell r="Q148">
            <v>7.73</v>
          </cell>
          <cell r="R148">
            <v>4745377.43</v>
          </cell>
          <cell r="T148">
            <v>7.73</v>
          </cell>
          <cell r="U148">
            <v>4745377.43</v>
          </cell>
          <cell r="V148">
            <v>0.54245614035087719</v>
          </cell>
        </row>
        <row r="149">
          <cell r="B149" t="str">
            <v>2.4</v>
          </cell>
          <cell r="C149" t="str">
            <v>VARIOS - CIMENTACION</v>
          </cell>
          <cell r="L149">
            <v>0</v>
          </cell>
          <cell r="N149">
            <v>0</v>
          </cell>
          <cell r="O149">
            <v>0</v>
          </cell>
          <cell r="Q149">
            <v>0</v>
          </cell>
          <cell r="R149">
            <v>0</v>
          </cell>
          <cell r="T149">
            <v>0</v>
          </cell>
          <cell r="U149">
            <v>0</v>
          </cell>
          <cell r="V149">
            <v>0</v>
          </cell>
        </row>
        <row r="150">
          <cell r="B150" t="str">
            <v>2.4.1</v>
          </cell>
          <cell r="C150" t="str">
            <v>DEMOLICION CABEZAS PILOTES</v>
          </cell>
          <cell r="I150" t="str">
            <v>M3</v>
          </cell>
          <cell r="J150">
            <v>26.38944</v>
          </cell>
          <cell r="K150">
            <v>269236</v>
          </cell>
          <cell r="L150">
            <v>7104987.2678399999</v>
          </cell>
          <cell r="N150">
            <v>0</v>
          </cell>
          <cell r="O150">
            <v>0</v>
          </cell>
          <cell r="Q150">
            <v>0</v>
          </cell>
          <cell r="R150">
            <v>0</v>
          </cell>
          <cell r="T150">
            <v>0</v>
          </cell>
          <cell r="U150">
            <v>0</v>
          </cell>
          <cell r="V150">
            <v>0</v>
          </cell>
        </row>
        <row r="151">
          <cell r="B151" t="str">
            <v>2.4.2</v>
          </cell>
          <cell r="C151" t="str">
            <v>PREHUECOS PARA PILOTES</v>
          </cell>
          <cell r="I151" t="str">
            <v>UN</v>
          </cell>
          <cell r="J151">
            <v>56</v>
          </cell>
          <cell r="K151">
            <v>22309</v>
          </cell>
          <cell r="L151">
            <v>1249304</v>
          </cell>
          <cell r="N151">
            <v>0</v>
          </cell>
          <cell r="O151">
            <v>0</v>
          </cell>
          <cell r="Q151">
            <v>40</v>
          </cell>
          <cell r="R151">
            <v>892360</v>
          </cell>
          <cell r="T151">
            <v>40</v>
          </cell>
          <cell r="U151">
            <v>892360</v>
          </cell>
          <cell r="V151">
            <v>0.7142857142857143</v>
          </cell>
        </row>
        <row r="152">
          <cell r="B152" t="str">
            <v>2.4.3</v>
          </cell>
          <cell r="C152" t="str">
            <v xml:space="preserve">PROCESO PILOTE Ø 40 CM INCLUYE MANO DE OBRA Y EQUIPO PARA  PERFORACION, HORMIGONADO Y FUNDIDA DE PILOTE </v>
          </cell>
          <cell r="I152" t="str">
            <v>M</v>
          </cell>
          <cell r="J152">
            <v>168</v>
          </cell>
          <cell r="K152">
            <v>130917</v>
          </cell>
          <cell r="L152">
            <v>21994056</v>
          </cell>
          <cell r="N152">
            <v>0</v>
          </cell>
          <cell r="O152">
            <v>0</v>
          </cell>
          <cell r="Q152">
            <v>168</v>
          </cell>
          <cell r="R152">
            <v>21994056</v>
          </cell>
          <cell r="T152">
            <v>168</v>
          </cell>
          <cell r="U152">
            <v>21994056</v>
          </cell>
          <cell r="V152">
            <v>1</v>
          </cell>
        </row>
        <row r="153">
          <cell r="B153" t="str">
            <v>2.4.7</v>
          </cell>
          <cell r="C153" t="str">
            <v>CONCRETO TREMIE 3000 PSI PILOTES</v>
          </cell>
          <cell r="I153" t="str">
            <v>M3</v>
          </cell>
          <cell r="J153">
            <v>192.14000000000001</v>
          </cell>
          <cell r="K153">
            <v>602680</v>
          </cell>
          <cell r="L153">
            <v>115798935.2</v>
          </cell>
          <cell r="N153">
            <v>0</v>
          </cell>
          <cell r="O153">
            <v>0</v>
          </cell>
          <cell r="Q153">
            <v>192.14000000000001</v>
          </cell>
          <cell r="R153">
            <v>115798935.2</v>
          </cell>
          <cell r="T153">
            <v>192.14000000000001</v>
          </cell>
          <cell r="U153">
            <v>115798935.2</v>
          </cell>
          <cell r="V153">
            <v>1</v>
          </cell>
        </row>
        <row r="154">
          <cell r="B154" t="str">
            <v>2.4.8</v>
          </cell>
          <cell r="C154" t="str">
            <v>EXCAVACION PARA CAISSONS HASTA 7 M</v>
          </cell>
          <cell r="I154" t="str">
            <v>M3</v>
          </cell>
          <cell r="J154">
            <v>251.43</v>
          </cell>
          <cell r="K154">
            <v>99420</v>
          </cell>
          <cell r="L154">
            <v>24997170.600000001</v>
          </cell>
          <cell r="N154">
            <v>0</v>
          </cell>
          <cell r="O154">
            <v>0</v>
          </cell>
          <cell r="Q154">
            <v>251.43</v>
          </cell>
          <cell r="R154">
            <v>24997170.600000001</v>
          </cell>
          <cell r="T154">
            <v>251.43</v>
          </cell>
          <cell r="U154">
            <v>24997170.600000001</v>
          </cell>
          <cell r="V154">
            <v>1</v>
          </cell>
        </row>
        <row r="155">
          <cell r="B155" t="str">
            <v>2.4.9</v>
          </cell>
          <cell r="C155" t="str">
            <v>ANILLOS EN CONCRETO DE 3000 PSI PARA CAISSONS</v>
          </cell>
          <cell r="I155" t="str">
            <v>M3</v>
          </cell>
          <cell r="J155">
            <v>58.43</v>
          </cell>
          <cell r="K155">
            <v>773707</v>
          </cell>
          <cell r="L155">
            <v>45207700.009999998</v>
          </cell>
          <cell r="N155">
            <v>0</v>
          </cell>
          <cell r="O155">
            <v>0</v>
          </cell>
          <cell r="Q155">
            <v>58.43</v>
          </cell>
          <cell r="R155">
            <v>45207700.009999998</v>
          </cell>
          <cell r="T155">
            <v>58.43</v>
          </cell>
          <cell r="U155">
            <v>45207700.009999998</v>
          </cell>
          <cell r="V155">
            <v>1</v>
          </cell>
        </row>
        <row r="156">
          <cell r="B156">
            <v>3</v>
          </cell>
          <cell r="C156" t="str">
            <v>DESAGÜES E INSTALACIONES SUBTERRANEAS</v>
          </cell>
          <cell r="L156">
            <v>0</v>
          </cell>
          <cell r="N156">
            <v>0</v>
          </cell>
          <cell r="O156">
            <v>0</v>
          </cell>
          <cell r="Q156">
            <v>0</v>
          </cell>
          <cell r="R156">
            <v>0</v>
          </cell>
          <cell r="T156">
            <v>0</v>
          </cell>
          <cell r="U156">
            <v>0</v>
          </cell>
          <cell r="V156">
            <v>0</v>
          </cell>
        </row>
        <row r="157">
          <cell r="B157" t="str">
            <v>3.1</v>
          </cell>
          <cell r="C157" t="str">
            <v>DESAGÜES PARA AGUAS NEGRAS</v>
          </cell>
          <cell r="L157">
            <v>0</v>
          </cell>
          <cell r="N157">
            <v>0</v>
          </cell>
          <cell r="O157">
            <v>0</v>
          </cell>
          <cell r="Q157">
            <v>0</v>
          </cell>
          <cell r="R157">
            <v>0</v>
          </cell>
          <cell r="T157">
            <v>0</v>
          </cell>
          <cell r="U157">
            <v>0</v>
          </cell>
          <cell r="V157">
            <v>0</v>
          </cell>
        </row>
        <row r="158">
          <cell r="B158" t="str">
            <v>3.1.2</v>
          </cell>
          <cell r="C158" t="str">
            <v xml:space="preserve">TUBERIA PVC CORRUGADA PARA FILTRO DIAMETRO 4" </v>
          </cell>
          <cell r="I158" t="str">
            <v>M</v>
          </cell>
          <cell r="J158">
            <v>50.01</v>
          </cell>
          <cell r="K158">
            <v>43750</v>
          </cell>
          <cell r="L158">
            <v>2187937.5</v>
          </cell>
          <cell r="N158">
            <v>0</v>
          </cell>
          <cell r="O158">
            <v>0</v>
          </cell>
          <cell r="Q158">
            <v>0</v>
          </cell>
          <cell r="R158">
            <v>0</v>
          </cell>
          <cell r="T158">
            <v>0</v>
          </cell>
          <cell r="U158">
            <v>0</v>
          </cell>
          <cell r="V158">
            <v>0</v>
          </cell>
        </row>
        <row r="159">
          <cell r="B159" t="str">
            <v>3.1.4</v>
          </cell>
          <cell r="C159" t="str">
            <v>TUBERIA PVC-L Ø 4" (INC. ACCESORIOS)</v>
          </cell>
          <cell r="I159" t="str">
            <v>M</v>
          </cell>
          <cell r="J159">
            <v>163.63999999999999</v>
          </cell>
          <cell r="K159">
            <v>26460</v>
          </cell>
          <cell r="L159">
            <v>4329914.3999999994</v>
          </cell>
          <cell r="N159">
            <v>0</v>
          </cell>
          <cell r="O159">
            <v>0</v>
          </cell>
          <cell r="Q159">
            <v>0</v>
          </cell>
          <cell r="R159">
            <v>0</v>
          </cell>
          <cell r="T159">
            <v>0</v>
          </cell>
          <cell r="U159">
            <v>0</v>
          </cell>
          <cell r="V159">
            <v>0</v>
          </cell>
        </row>
        <row r="160">
          <cell r="B160" t="str">
            <v>3.2</v>
          </cell>
          <cell r="C160" t="str">
            <v>DESAGÜES PARA AGUAS NEGRAS</v>
          </cell>
          <cell r="L160">
            <v>0</v>
          </cell>
          <cell r="N160">
            <v>0</v>
          </cell>
          <cell r="O160">
            <v>0</v>
          </cell>
          <cell r="Q160">
            <v>0</v>
          </cell>
          <cell r="R160">
            <v>0</v>
          </cell>
          <cell r="T160">
            <v>0</v>
          </cell>
          <cell r="U160">
            <v>0</v>
          </cell>
          <cell r="V160">
            <v>0</v>
          </cell>
        </row>
        <row r="161">
          <cell r="B161" t="str">
            <v>3.2.1</v>
          </cell>
          <cell r="C161" t="str">
            <v>ACCESORIO PVC-S Ø 2"</v>
          </cell>
          <cell r="I161" t="str">
            <v>UND</v>
          </cell>
          <cell r="J161">
            <v>130</v>
          </cell>
          <cell r="K161">
            <v>12911</v>
          </cell>
          <cell r="L161">
            <v>1678430</v>
          </cell>
          <cell r="N161">
            <v>0</v>
          </cell>
          <cell r="O161">
            <v>0</v>
          </cell>
          <cell r="Q161">
            <v>130</v>
          </cell>
          <cell r="R161">
            <v>1678430</v>
          </cell>
          <cell r="T161">
            <v>130</v>
          </cell>
          <cell r="U161">
            <v>1678430</v>
          </cell>
          <cell r="V161">
            <v>1</v>
          </cell>
        </row>
        <row r="162">
          <cell r="B162" t="str">
            <v>3.2.2</v>
          </cell>
          <cell r="C162" t="str">
            <v>ACCESORIO PVC-S Ø 3"</v>
          </cell>
          <cell r="I162" t="str">
            <v>UND</v>
          </cell>
          <cell r="J162">
            <v>36</v>
          </cell>
          <cell r="K162">
            <v>36988</v>
          </cell>
          <cell r="L162">
            <v>1331568</v>
          </cell>
          <cell r="N162">
            <v>0</v>
          </cell>
          <cell r="O162">
            <v>0</v>
          </cell>
          <cell r="Q162">
            <v>36</v>
          </cell>
          <cell r="R162">
            <v>1331568</v>
          </cell>
          <cell r="T162">
            <v>36</v>
          </cell>
          <cell r="U162">
            <v>1331568</v>
          </cell>
          <cell r="V162">
            <v>1</v>
          </cell>
        </row>
        <row r="163">
          <cell r="B163" t="str">
            <v>3.2.3</v>
          </cell>
          <cell r="C163" t="str">
            <v>ACCESORIO PVC-S Ø 4"</v>
          </cell>
          <cell r="I163" t="str">
            <v>UND</v>
          </cell>
          <cell r="J163">
            <v>69</v>
          </cell>
          <cell r="K163">
            <v>65915</v>
          </cell>
          <cell r="L163">
            <v>4548135</v>
          </cell>
          <cell r="N163">
            <v>0</v>
          </cell>
          <cell r="O163">
            <v>0</v>
          </cell>
          <cell r="Q163">
            <v>54</v>
          </cell>
          <cell r="R163">
            <v>3559410</v>
          </cell>
          <cell r="T163">
            <v>54</v>
          </cell>
          <cell r="U163">
            <v>3559410</v>
          </cell>
          <cell r="V163">
            <v>0.78260869565217395</v>
          </cell>
        </row>
        <row r="164">
          <cell r="B164" t="str">
            <v>3.2.4</v>
          </cell>
          <cell r="C164" t="str">
            <v>ACCESORIO PVC-S Ø 6"</v>
          </cell>
          <cell r="I164" t="str">
            <v>UND</v>
          </cell>
          <cell r="J164">
            <v>12</v>
          </cell>
          <cell r="K164">
            <v>96115</v>
          </cell>
          <cell r="L164">
            <v>1153380</v>
          </cell>
          <cell r="N164">
            <v>0</v>
          </cell>
          <cell r="O164">
            <v>0</v>
          </cell>
          <cell r="Q164">
            <v>0</v>
          </cell>
          <cell r="R164">
            <v>0</v>
          </cell>
          <cell r="T164">
            <v>0</v>
          </cell>
          <cell r="U164">
            <v>0</v>
          </cell>
          <cell r="V164">
            <v>0</v>
          </cell>
        </row>
        <row r="165">
          <cell r="B165" t="str">
            <v>3.2.5</v>
          </cell>
          <cell r="C165" t="str">
            <v>TUBERIA PVC SANITARIA DE 2" (incluye atraque en concreto)</v>
          </cell>
          <cell r="I165" t="str">
            <v>M</v>
          </cell>
          <cell r="J165">
            <v>76</v>
          </cell>
          <cell r="K165">
            <v>26050</v>
          </cell>
          <cell r="L165">
            <v>1979800</v>
          </cell>
          <cell r="N165">
            <v>0</v>
          </cell>
          <cell r="O165">
            <v>0</v>
          </cell>
          <cell r="Q165">
            <v>68</v>
          </cell>
          <cell r="R165">
            <v>1771400</v>
          </cell>
          <cell r="T165">
            <v>68</v>
          </cell>
          <cell r="U165">
            <v>1771400</v>
          </cell>
          <cell r="V165">
            <v>0.89473684210526316</v>
          </cell>
        </row>
        <row r="166">
          <cell r="B166" t="str">
            <v>3.2.6</v>
          </cell>
          <cell r="C166" t="str">
            <v>TUBERIA PVC SANITARIA DE 3" (incluye atraque en concreto)</v>
          </cell>
          <cell r="I166" t="str">
            <v>M</v>
          </cell>
          <cell r="J166">
            <v>36</v>
          </cell>
          <cell r="K166">
            <v>34517</v>
          </cell>
          <cell r="L166">
            <v>1242612</v>
          </cell>
          <cell r="N166">
            <v>0</v>
          </cell>
          <cell r="O166">
            <v>0</v>
          </cell>
          <cell r="Q166">
            <v>36</v>
          </cell>
          <cell r="R166">
            <v>1242612</v>
          </cell>
          <cell r="T166">
            <v>36</v>
          </cell>
          <cell r="U166">
            <v>1242612</v>
          </cell>
          <cell r="V166">
            <v>1</v>
          </cell>
        </row>
        <row r="167">
          <cell r="B167" t="str">
            <v>3.2.7</v>
          </cell>
          <cell r="C167" t="str">
            <v>TUBERIA PVC SANITARIA DE 4" (incluye atraque en concreto)</v>
          </cell>
          <cell r="I167" t="str">
            <v>M</v>
          </cell>
          <cell r="J167">
            <v>56</v>
          </cell>
          <cell r="K167">
            <v>47284</v>
          </cell>
          <cell r="L167">
            <v>2647904</v>
          </cell>
          <cell r="N167">
            <v>0</v>
          </cell>
          <cell r="O167">
            <v>0</v>
          </cell>
          <cell r="Q167">
            <v>56</v>
          </cell>
          <cell r="R167">
            <v>2647904</v>
          </cell>
          <cell r="T167">
            <v>56</v>
          </cell>
          <cell r="U167">
            <v>2647904</v>
          </cell>
          <cell r="V167">
            <v>1</v>
          </cell>
        </row>
        <row r="168">
          <cell r="B168" t="str">
            <v>3.2.8</v>
          </cell>
          <cell r="C168" t="str">
            <v>TUBERIA PVC SANITARIA DE 6" (incluye atraque en concreto)</v>
          </cell>
          <cell r="I168" t="str">
            <v>M</v>
          </cell>
          <cell r="J168">
            <v>32.799999999999997</v>
          </cell>
          <cell r="K168">
            <v>126043</v>
          </cell>
          <cell r="L168">
            <v>4134210.3999999994</v>
          </cell>
          <cell r="N168">
            <v>0</v>
          </cell>
          <cell r="O168">
            <v>0</v>
          </cell>
          <cell r="Q168">
            <v>6</v>
          </cell>
          <cell r="R168">
            <v>756258</v>
          </cell>
          <cell r="T168">
            <v>6</v>
          </cell>
          <cell r="U168">
            <v>756258</v>
          </cell>
          <cell r="V168">
            <v>0.18292682926829271</v>
          </cell>
        </row>
        <row r="169">
          <cell r="B169" t="str">
            <v>3.2.12</v>
          </cell>
          <cell r="C169" t="str">
            <v xml:space="preserve">TUBERIA NOVAFORT - D = 160 MM - EQ  Ø 6" - (INC. HIDROSELLOS y ACCESORIOS) </v>
          </cell>
          <cell r="I169" t="str">
            <v>M</v>
          </cell>
          <cell r="J169">
            <v>150</v>
          </cell>
          <cell r="K169">
            <v>56806</v>
          </cell>
          <cell r="L169">
            <v>8520900</v>
          </cell>
          <cell r="N169">
            <v>0</v>
          </cell>
          <cell r="O169">
            <v>0</v>
          </cell>
          <cell r="Q169">
            <v>0</v>
          </cell>
          <cell r="R169">
            <v>0</v>
          </cell>
          <cell r="T169">
            <v>0</v>
          </cell>
          <cell r="U169">
            <v>0</v>
          </cell>
          <cell r="V169">
            <v>0</v>
          </cell>
        </row>
        <row r="170">
          <cell r="B170" t="str">
            <v>3.2.13</v>
          </cell>
          <cell r="C170" t="str">
            <v>TUBERIA NOVAFORT - D = 200 MM - EQ  Ø 8" - (INC. HIDROSELLOS y ACCESORIOS)</v>
          </cell>
          <cell r="I170" t="str">
            <v>M</v>
          </cell>
          <cell r="J170">
            <v>90</v>
          </cell>
          <cell r="K170">
            <v>66840</v>
          </cell>
          <cell r="L170">
            <v>6015600</v>
          </cell>
          <cell r="N170">
            <v>0</v>
          </cell>
          <cell r="O170">
            <v>0</v>
          </cell>
          <cell r="Q170">
            <v>0</v>
          </cell>
          <cell r="R170">
            <v>0</v>
          </cell>
          <cell r="T170">
            <v>0</v>
          </cell>
          <cell r="U170">
            <v>0</v>
          </cell>
          <cell r="V170">
            <v>0</v>
          </cell>
        </row>
        <row r="171">
          <cell r="B171" t="str">
            <v>3.2.14</v>
          </cell>
          <cell r="C171" t="str">
            <v>TUBERIA NOVAFORT - D = 250 MM - EQ  Ø 10" - (INC. HIDROSELLOS y ACCESORIOS)</v>
          </cell>
          <cell r="I171" t="str">
            <v>M</v>
          </cell>
          <cell r="J171">
            <v>9</v>
          </cell>
          <cell r="K171">
            <v>102599</v>
          </cell>
          <cell r="L171">
            <v>923391</v>
          </cell>
          <cell r="N171">
            <v>0</v>
          </cell>
          <cell r="O171">
            <v>0</v>
          </cell>
          <cell r="Q171">
            <v>0</v>
          </cell>
          <cell r="R171">
            <v>0</v>
          </cell>
          <cell r="T171">
            <v>0</v>
          </cell>
          <cell r="U171">
            <v>0</v>
          </cell>
          <cell r="V171">
            <v>0</v>
          </cell>
        </row>
        <row r="172">
          <cell r="B172" t="str">
            <v>3.4</v>
          </cell>
          <cell r="C172" t="str">
            <v>CONSTRUCCIONES EN MAMPOSTERIA</v>
          </cell>
          <cell r="L172">
            <v>0</v>
          </cell>
          <cell r="N172">
            <v>0</v>
          </cell>
          <cell r="O172">
            <v>0</v>
          </cell>
          <cell r="Q172">
            <v>0</v>
          </cell>
          <cell r="R172">
            <v>0</v>
          </cell>
          <cell r="T172">
            <v>0</v>
          </cell>
          <cell r="U172">
            <v>0</v>
          </cell>
          <cell r="V172">
            <v>0</v>
          </cell>
        </row>
        <row r="173">
          <cell r="B173" t="str">
            <v>3.4.3</v>
          </cell>
          <cell r="C173" t="str">
            <v>CAJA INSPECCION  80 x 80 x 95 cm (INC. BASE y CAÑUELA Y TAPA CON MARCO METALICO)</v>
          </cell>
          <cell r="I173" t="str">
            <v>UND</v>
          </cell>
          <cell r="J173">
            <v>18</v>
          </cell>
          <cell r="K173">
            <v>558932</v>
          </cell>
          <cell r="L173">
            <v>10060776</v>
          </cell>
          <cell r="N173">
            <v>0</v>
          </cell>
          <cell r="O173">
            <v>0</v>
          </cell>
          <cell r="Q173">
            <v>1</v>
          </cell>
          <cell r="R173">
            <v>558932</v>
          </cell>
          <cell r="T173">
            <v>1</v>
          </cell>
          <cell r="U173">
            <v>558932</v>
          </cell>
          <cell r="V173">
            <v>5.5555555555555552E-2</v>
          </cell>
        </row>
        <row r="174">
          <cell r="B174" t="str">
            <v>3.4.4</v>
          </cell>
          <cell r="C174" t="str">
            <v>CAJA INSPECCION  100 x 100 x 100 cm (INC. BASE y CAÑUELA Y TAPA CON MARCO METALICO)</v>
          </cell>
          <cell r="I174" t="str">
            <v>UN</v>
          </cell>
          <cell r="K174">
            <v>791982</v>
          </cell>
          <cell r="L174">
            <v>0</v>
          </cell>
          <cell r="N174">
            <v>0</v>
          </cell>
          <cell r="O174">
            <v>0</v>
          </cell>
          <cell r="Q174">
            <v>0</v>
          </cell>
          <cell r="R174">
            <v>0</v>
          </cell>
          <cell r="T174">
            <v>0</v>
          </cell>
          <cell r="U174">
            <v>0</v>
          </cell>
          <cell r="V174">
            <v>0</v>
          </cell>
        </row>
        <row r="175">
          <cell r="B175" t="str">
            <v>3.4.6</v>
          </cell>
          <cell r="C175" t="str">
            <v xml:space="preserve">TRAMPA DE GRASAS 1.2 X 1.5 M </v>
          </cell>
          <cell r="I175" t="str">
            <v>UND</v>
          </cell>
          <cell r="J175">
            <v>1</v>
          </cell>
          <cell r="K175">
            <v>599555</v>
          </cell>
          <cell r="L175">
            <v>599555</v>
          </cell>
          <cell r="N175">
            <v>0</v>
          </cell>
          <cell r="O175">
            <v>0</v>
          </cell>
          <cell r="Q175">
            <v>0</v>
          </cell>
          <cell r="R175">
            <v>0</v>
          </cell>
          <cell r="T175">
            <v>0</v>
          </cell>
          <cell r="U175">
            <v>0</v>
          </cell>
          <cell r="V175">
            <v>0</v>
          </cell>
        </row>
        <row r="176">
          <cell r="B176">
            <v>4</v>
          </cell>
          <cell r="C176" t="str">
            <v>ESTRUCTURA</v>
          </cell>
          <cell r="L176">
            <v>0</v>
          </cell>
          <cell r="N176">
            <v>0</v>
          </cell>
          <cell r="O176">
            <v>0</v>
          </cell>
          <cell r="Q176">
            <v>0</v>
          </cell>
          <cell r="R176">
            <v>0</v>
          </cell>
          <cell r="T176">
            <v>0</v>
          </cell>
          <cell r="U176">
            <v>0</v>
          </cell>
          <cell r="V176">
            <v>0</v>
          </cell>
        </row>
        <row r="177">
          <cell r="B177" t="str">
            <v>4.1.1</v>
          </cell>
          <cell r="C177" t="str">
            <v>COLUMNAS EN CONCRETO DE 3000 PSI</v>
          </cell>
          <cell r="I177" t="str">
            <v>M3</v>
          </cell>
          <cell r="J177">
            <v>57.024000000000001</v>
          </cell>
          <cell r="K177">
            <v>773099</v>
          </cell>
          <cell r="L177">
            <v>44085197.376000002</v>
          </cell>
          <cell r="N177">
            <v>5.38</v>
          </cell>
          <cell r="O177">
            <v>4159272.62</v>
          </cell>
          <cell r="Q177">
            <v>5.0500000000000016</v>
          </cell>
          <cell r="R177">
            <v>3904149.95</v>
          </cell>
          <cell r="T177">
            <v>10.430000000000001</v>
          </cell>
          <cell r="U177">
            <v>8063422.5700000003</v>
          </cell>
          <cell r="V177">
            <v>0.18290544332210998</v>
          </cell>
        </row>
        <row r="178">
          <cell r="B178" t="str">
            <v>4.1.2</v>
          </cell>
          <cell r="C178" t="str">
            <v>MUROS DE CONTENCION EN CONCRETO DE 3000 PSI</v>
          </cell>
          <cell r="I178" t="str">
            <v>M3</v>
          </cell>
          <cell r="J178">
            <v>56.29</v>
          </cell>
          <cell r="K178">
            <v>778590</v>
          </cell>
          <cell r="L178">
            <v>43826831.100000001</v>
          </cell>
          <cell r="N178">
            <v>0</v>
          </cell>
          <cell r="O178">
            <v>0</v>
          </cell>
          <cell r="Q178">
            <v>56.29</v>
          </cell>
          <cell r="R178">
            <v>43826831.100000001</v>
          </cell>
          <cell r="T178">
            <v>56.29</v>
          </cell>
          <cell r="U178">
            <v>43826831.100000001</v>
          </cell>
          <cell r="V178">
            <v>1</v>
          </cell>
        </row>
        <row r="179">
          <cell r="B179" t="str">
            <v>4.2.1</v>
          </cell>
          <cell r="C179" t="str">
            <v>VIGAS AÉREAS EN CONCRETO DE 3000 PSI</v>
          </cell>
          <cell r="I179" t="str">
            <v>M3</v>
          </cell>
          <cell r="J179">
            <v>34.453499999999998</v>
          </cell>
          <cell r="K179">
            <v>803688</v>
          </cell>
          <cell r="L179">
            <v>27689864.507999998</v>
          </cell>
          <cell r="N179">
            <v>0</v>
          </cell>
          <cell r="O179">
            <v>0</v>
          </cell>
          <cell r="Q179">
            <v>26.807499999999997</v>
          </cell>
          <cell r="R179">
            <v>21538838.399999999</v>
          </cell>
          <cell r="T179">
            <v>26.807499999999997</v>
          </cell>
          <cell r="U179">
            <v>21538838.399999999</v>
          </cell>
          <cell r="V179">
            <v>0.77786001422206741</v>
          </cell>
        </row>
        <row r="180">
          <cell r="B180" t="str">
            <v>4.3.5</v>
          </cell>
          <cell r="C180" t="str">
            <v>LOSA ALIGERADA ENTREPISO H = 50 cm - CONCRETO 3000 PSI</v>
          </cell>
          <cell r="I180" t="str">
            <v>M2</v>
          </cell>
          <cell r="J180">
            <v>1472.85</v>
          </cell>
          <cell r="K180">
            <v>227743</v>
          </cell>
          <cell r="L180">
            <v>335431277.54999995</v>
          </cell>
          <cell r="N180">
            <v>76.12</v>
          </cell>
          <cell r="O180">
            <v>17335797.16</v>
          </cell>
          <cell r="Q180">
            <v>1305.31</v>
          </cell>
          <cell r="R180">
            <v>297275215.32999998</v>
          </cell>
          <cell r="T180">
            <v>1381.4299999999998</v>
          </cell>
          <cell r="U180">
            <v>314611012.49000001</v>
          </cell>
          <cell r="V180">
            <v>0.93792986386936905</v>
          </cell>
        </row>
        <row r="181">
          <cell r="B181" t="str">
            <v>4.4.1</v>
          </cell>
          <cell r="C181" t="str">
            <v>CONCRETO PARA ESCALERAS 3000 PSI</v>
          </cell>
          <cell r="I181" t="str">
            <v>M3</v>
          </cell>
          <cell r="J181">
            <v>30.15</v>
          </cell>
          <cell r="K181">
            <v>815904</v>
          </cell>
          <cell r="L181">
            <v>24599505.599999998</v>
          </cell>
          <cell r="N181">
            <v>0</v>
          </cell>
          <cell r="O181">
            <v>0</v>
          </cell>
          <cell r="Q181">
            <v>30.15</v>
          </cell>
          <cell r="R181">
            <v>24599505.600000001</v>
          </cell>
          <cell r="T181">
            <v>30.15</v>
          </cell>
          <cell r="U181">
            <v>24599505.600000001</v>
          </cell>
          <cell r="V181">
            <v>1.0000000000000002</v>
          </cell>
        </row>
        <row r="182">
          <cell r="B182" t="str">
            <v>4.4.2</v>
          </cell>
          <cell r="C182" t="str">
            <v>CONCRETO IMPERMEABILIZADO PARA TANQUE SUBTERRANEO 3500 PSI</v>
          </cell>
          <cell r="I182" t="str">
            <v>M3</v>
          </cell>
          <cell r="J182">
            <v>66.34</v>
          </cell>
          <cell r="K182">
            <v>803688</v>
          </cell>
          <cell r="L182">
            <v>53316661.920000002</v>
          </cell>
          <cell r="N182">
            <v>0</v>
          </cell>
          <cell r="O182">
            <v>0</v>
          </cell>
          <cell r="Q182">
            <v>0</v>
          </cell>
          <cell r="R182">
            <v>0</v>
          </cell>
          <cell r="T182">
            <v>0</v>
          </cell>
          <cell r="U182">
            <v>0</v>
          </cell>
          <cell r="V182">
            <v>0</v>
          </cell>
        </row>
        <row r="183">
          <cell r="B183">
            <v>5</v>
          </cell>
          <cell r="C183" t="str">
            <v>MAMPOSTERÍA</v>
          </cell>
          <cell r="L183">
            <v>0</v>
          </cell>
          <cell r="N183">
            <v>0</v>
          </cell>
          <cell r="O183">
            <v>0</v>
          </cell>
          <cell r="Q183">
            <v>0</v>
          </cell>
          <cell r="R183">
            <v>0</v>
          </cell>
          <cell r="T183">
            <v>0</v>
          </cell>
          <cell r="U183">
            <v>0</v>
          </cell>
          <cell r="V183">
            <v>0</v>
          </cell>
        </row>
        <row r="184">
          <cell r="B184" t="str">
            <v>5.1.1</v>
          </cell>
          <cell r="C184" t="str">
            <v>MURO EN BLOQUE CONCRETO - E = 10 cm</v>
          </cell>
          <cell r="I184" t="str">
            <v>M2</v>
          </cell>
          <cell r="J184">
            <v>2104.8401256693528</v>
          </cell>
          <cell r="K184">
            <v>82916</v>
          </cell>
          <cell r="L184">
            <v>174524923.86000004</v>
          </cell>
          <cell r="N184">
            <v>0</v>
          </cell>
          <cell r="O184">
            <v>0</v>
          </cell>
          <cell r="Q184">
            <v>0</v>
          </cell>
          <cell r="R184">
            <v>0</v>
          </cell>
          <cell r="T184">
            <v>0</v>
          </cell>
          <cell r="U184">
            <v>0</v>
          </cell>
          <cell r="V184">
            <v>0</v>
          </cell>
        </row>
        <row r="185">
          <cell r="B185" t="str">
            <v>5.2.4</v>
          </cell>
          <cell r="C185" t="str">
            <v>CORTE LADRILLO</v>
          </cell>
          <cell r="I185" t="str">
            <v>UN</v>
          </cell>
          <cell r="J185">
            <v>1634</v>
          </cell>
          <cell r="K185">
            <v>310</v>
          </cell>
          <cell r="L185">
            <v>506540</v>
          </cell>
          <cell r="N185">
            <v>0</v>
          </cell>
          <cell r="O185">
            <v>0</v>
          </cell>
          <cell r="Q185">
            <v>792</v>
          </cell>
          <cell r="R185">
            <v>245520</v>
          </cell>
          <cell r="T185">
            <v>792</v>
          </cell>
          <cell r="U185">
            <v>245520</v>
          </cell>
          <cell r="V185">
            <v>0.48470012239902083</v>
          </cell>
        </row>
        <row r="186">
          <cell r="B186" t="str">
            <v>5.4</v>
          </cell>
          <cell r="C186" t="str">
            <v>ELEMENTOS ESTRUCTURALES Y NO ESTRUCTURALES</v>
          </cell>
          <cell r="L186">
            <v>0</v>
          </cell>
          <cell r="N186">
            <v>0</v>
          </cell>
          <cell r="O186">
            <v>0</v>
          </cell>
          <cell r="Q186">
            <v>0</v>
          </cell>
          <cell r="R186">
            <v>0</v>
          </cell>
          <cell r="T186">
            <v>0</v>
          </cell>
          <cell r="U186">
            <v>0</v>
          </cell>
          <cell r="V186">
            <v>0</v>
          </cell>
        </row>
        <row r="187">
          <cell r="B187" t="str">
            <v>5.4.1</v>
          </cell>
          <cell r="C187" t="str">
            <v>ANCLAJE PARA REFORZAMIENTO EN CONCRETO Y EPOXICO PARA Ø 3/8" - 9 cm. DE PROFUNDIDAD ESTÁNDAR (PERFORACIÓN - LIMPIEZA - EPÓXICO)</v>
          </cell>
          <cell r="I187" t="str">
            <v>CM</v>
          </cell>
          <cell r="K187">
            <v>602</v>
          </cell>
          <cell r="L187">
            <v>0</v>
          </cell>
          <cell r="N187">
            <v>0</v>
          </cell>
          <cell r="O187">
            <v>0</v>
          </cell>
          <cell r="Q187">
            <v>0</v>
          </cell>
          <cell r="R187">
            <v>0</v>
          </cell>
          <cell r="T187">
            <v>0</v>
          </cell>
          <cell r="U187">
            <v>0</v>
          </cell>
          <cell r="V187">
            <v>0</v>
          </cell>
        </row>
        <row r="188">
          <cell r="B188" t="str">
            <v>5.4.2</v>
          </cell>
          <cell r="C188" t="str">
            <v>ANCLAJE PARA REFORZAMIENTO EN CONCRETO Y EPOXICO PARA Ø 1/2" - 11 cm. DE PROFUNDIDAD ESTÁNDAR (PERFORACIÓN - LIMPIEZA - EPÓXICO))</v>
          </cell>
          <cell r="I188" t="str">
            <v>CM</v>
          </cell>
          <cell r="J188">
            <v>9820.4399999999987</v>
          </cell>
          <cell r="K188">
            <v>613</v>
          </cell>
          <cell r="L188">
            <v>6019929.7199999988</v>
          </cell>
          <cell r="N188">
            <v>0</v>
          </cell>
          <cell r="O188">
            <v>0</v>
          </cell>
          <cell r="Q188">
            <v>9820.4399999999987</v>
          </cell>
          <cell r="R188">
            <v>6019929.7199999997</v>
          </cell>
          <cell r="T188">
            <v>9820.4399999999987</v>
          </cell>
          <cell r="U188">
            <v>6019929.7199999997</v>
          </cell>
          <cell r="V188">
            <v>1.0000000000000002</v>
          </cell>
        </row>
        <row r="189">
          <cell r="B189" t="str">
            <v>5.4.3</v>
          </cell>
          <cell r="C189" t="str">
            <v>ANCLAJE PARA REFORZAMIENTO EN CONCRETO Y EPOXICO PARA Ø 5/8" - 14 cm. DE PROFUNDIDAD ESTÁNDAR (PERFORACIÓN - LIMPIEZA - EPÓXICO)</v>
          </cell>
          <cell r="I189" t="str">
            <v>CM</v>
          </cell>
          <cell r="J189">
            <v>20425.650000000001</v>
          </cell>
          <cell r="K189">
            <v>616</v>
          </cell>
          <cell r="L189">
            <v>12582200.4</v>
          </cell>
          <cell r="N189">
            <v>0</v>
          </cell>
          <cell r="O189">
            <v>0</v>
          </cell>
          <cell r="Q189">
            <v>5975</v>
          </cell>
          <cell r="R189">
            <v>3680600</v>
          </cell>
          <cell r="T189">
            <v>5975</v>
          </cell>
          <cell r="U189">
            <v>3680600</v>
          </cell>
          <cell r="V189">
            <v>0.29252435051026526</v>
          </cell>
        </row>
        <row r="190">
          <cell r="B190" t="str">
            <v>5.4.8</v>
          </cell>
          <cell r="C190" t="str">
            <v>JUNTA DILATACION ICOPOR 2 CM. H = 0.50</v>
          </cell>
          <cell r="I190" t="str">
            <v>M</v>
          </cell>
          <cell r="J190">
            <v>482.40000000000003</v>
          </cell>
          <cell r="K190">
            <v>5998</v>
          </cell>
          <cell r="L190">
            <v>2893435.2</v>
          </cell>
          <cell r="N190">
            <v>0</v>
          </cell>
          <cell r="O190">
            <v>0</v>
          </cell>
          <cell r="Q190">
            <v>482.40000000000003</v>
          </cell>
          <cell r="R190">
            <v>2893435.2</v>
          </cell>
          <cell r="T190">
            <v>482.40000000000003</v>
          </cell>
          <cell r="U190">
            <v>2893435.2</v>
          </cell>
          <cell r="V190">
            <v>1</v>
          </cell>
        </row>
        <row r="191">
          <cell r="B191" t="str">
            <v>5.6</v>
          </cell>
          <cell r="C191" t="str">
            <v>VARIOS - MAMPOSTERIA</v>
          </cell>
          <cell r="L191">
            <v>0</v>
          </cell>
          <cell r="N191">
            <v>0</v>
          </cell>
          <cell r="O191">
            <v>0</v>
          </cell>
          <cell r="Q191">
            <v>0</v>
          </cell>
          <cell r="R191">
            <v>0</v>
          </cell>
          <cell r="T191">
            <v>0</v>
          </cell>
          <cell r="U191">
            <v>0</v>
          </cell>
          <cell r="V191">
            <v>0</v>
          </cell>
        </row>
        <row r="192">
          <cell r="B192" t="str">
            <v>5.6.1</v>
          </cell>
          <cell r="C192" t="str">
            <v>BORDILLO PARA ASEOS. H = 0.40 M</v>
          </cell>
          <cell r="I192" t="str">
            <v>M</v>
          </cell>
          <cell r="J192">
            <v>10</v>
          </cell>
          <cell r="K192">
            <v>40231</v>
          </cell>
          <cell r="L192">
            <v>402310</v>
          </cell>
          <cell r="N192">
            <v>0</v>
          </cell>
          <cell r="O192">
            <v>0</v>
          </cell>
          <cell r="Q192">
            <v>0</v>
          </cell>
          <cell r="R192">
            <v>0</v>
          </cell>
          <cell r="T192">
            <v>0</v>
          </cell>
          <cell r="U192">
            <v>0</v>
          </cell>
          <cell r="V192">
            <v>0</v>
          </cell>
        </row>
        <row r="193">
          <cell r="B193">
            <v>6</v>
          </cell>
          <cell r="C193" t="str">
            <v>PREFABRICADOS EN CONCRETO Y OTROS</v>
          </cell>
          <cell r="L193">
            <v>0</v>
          </cell>
          <cell r="N193">
            <v>0</v>
          </cell>
          <cell r="O193">
            <v>0</v>
          </cell>
          <cell r="Q193">
            <v>0</v>
          </cell>
          <cell r="R193">
            <v>0</v>
          </cell>
          <cell r="T193">
            <v>0</v>
          </cell>
          <cell r="U193">
            <v>0</v>
          </cell>
          <cell r="V193">
            <v>0</v>
          </cell>
        </row>
        <row r="194">
          <cell r="B194" t="str">
            <v>6.1.4</v>
          </cell>
          <cell r="C194" t="str">
            <v>ALFAJÍAS EN CONCRETO 0,15 M INC. GOTERO</v>
          </cell>
          <cell r="I194" t="str">
            <v>M</v>
          </cell>
          <cell r="J194">
            <v>152.01</v>
          </cell>
          <cell r="K194">
            <v>26352</v>
          </cell>
          <cell r="L194">
            <v>4005767.5199999996</v>
          </cell>
          <cell r="N194">
            <v>0</v>
          </cell>
          <cell r="O194">
            <v>0</v>
          </cell>
          <cell r="Q194">
            <v>66.61</v>
          </cell>
          <cell r="R194">
            <v>1755306.72</v>
          </cell>
          <cell r="T194">
            <v>66.61</v>
          </cell>
          <cell r="U194">
            <v>1755306.72</v>
          </cell>
          <cell r="V194">
            <v>0.4381948556016052</v>
          </cell>
        </row>
        <row r="195">
          <cell r="B195" t="str">
            <v>6.2.5</v>
          </cell>
          <cell r="C195" t="str">
            <v>MESONES EN CONCRETO DE 60 cm,INCLUYE ESTRUCTURA DE SOPORTE EMPOTRADA EN LA PARED, SIN FALDON Y SIN SALPICADERO</v>
          </cell>
          <cell r="I195" t="str">
            <v>M</v>
          </cell>
          <cell r="J195">
            <v>30</v>
          </cell>
          <cell r="K195">
            <v>60849</v>
          </cell>
          <cell r="L195">
            <v>1825470</v>
          </cell>
          <cell r="N195">
            <v>13.56</v>
          </cell>
          <cell r="O195">
            <v>825112.44</v>
          </cell>
          <cell r="Q195">
            <v>0</v>
          </cell>
          <cell r="R195">
            <v>0</v>
          </cell>
          <cell r="T195">
            <v>13.56</v>
          </cell>
          <cell r="U195">
            <v>825112.44</v>
          </cell>
          <cell r="V195">
            <v>0.45199999999999996</v>
          </cell>
        </row>
        <row r="196">
          <cell r="B196">
            <v>0</v>
          </cell>
          <cell r="C196" t="str">
            <v>INSTALACIÓN HIDRAULICA SANITARIA Y DE GAS</v>
          </cell>
          <cell r="L196">
            <v>0</v>
          </cell>
          <cell r="N196">
            <v>0</v>
          </cell>
          <cell r="O196">
            <v>0</v>
          </cell>
          <cell r="Q196">
            <v>0</v>
          </cell>
          <cell r="R196">
            <v>0</v>
          </cell>
          <cell r="T196">
            <v>0</v>
          </cell>
          <cell r="U196">
            <v>0</v>
          </cell>
          <cell r="V196">
            <v>0</v>
          </cell>
        </row>
        <row r="197">
          <cell r="B197" t="str">
            <v>7.1</v>
          </cell>
          <cell r="C197" t="str">
            <v>ACOMETIDA</v>
          </cell>
          <cell r="L197">
            <v>0</v>
          </cell>
          <cell r="N197">
            <v>0</v>
          </cell>
          <cell r="O197">
            <v>0</v>
          </cell>
          <cell r="Q197">
            <v>0</v>
          </cell>
          <cell r="R197">
            <v>0</v>
          </cell>
          <cell r="T197">
            <v>0</v>
          </cell>
          <cell r="U197">
            <v>0</v>
          </cell>
          <cell r="V197">
            <v>0</v>
          </cell>
        </row>
        <row r="198">
          <cell r="B198" t="str">
            <v>7.1.5</v>
          </cell>
          <cell r="C198" t="str">
            <v xml:space="preserve">INSTALACIÓN ACOMETIDA DE 2" (MANO DE OBRA) </v>
          </cell>
          <cell r="I198" t="str">
            <v>UN</v>
          </cell>
          <cell r="J198">
            <v>1</v>
          </cell>
          <cell r="K198">
            <v>293793</v>
          </cell>
          <cell r="L198">
            <v>293793</v>
          </cell>
          <cell r="N198">
            <v>0</v>
          </cell>
          <cell r="O198">
            <v>0</v>
          </cell>
          <cell r="Q198">
            <v>0</v>
          </cell>
          <cell r="R198">
            <v>0</v>
          </cell>
          <cell r="T198">
            <v>0</v>
          </cell>
          <cell r="U198">
            <v>0</v>
          </cell>
          <cell r="V198">
            <v>0</v>
          </cell>
        </row>
        <row r="199">
          <cell r="B199" t="str">
            <v>7.4</v>
          </cell>
          <cell r="C199" t="str">
            <v>RED GENERAL DE AGUA FRIA</v>
          </cell>
          <cell r="L199">
            <v>0</v>
          </cell>
          <cell r="N199">
            <v>0</v>
          </cell>
          <cell r="O199">
            <v>0</v>
          </cell>
          <cell r="Q199">
            <v>0</v>
          </cell>
          <cell r="R199">
            <v>0</v>
          </cell>
          <cell r="T199">
            <v>0</v>
          </cell>
          <cell r="U199">
            <v>0</v>
          </cell>
          <cell r="V199">
            <v>0</v>
          </cell>
        </row>
        <row r="200">
          <cell r="B200" t="str">
            <v>7.4.24</v>
          </cell>
          <cell r="C200" t="str">
            <v>REGISTRO P/D RED WHITE  Ø 1/2" o EQUIVALENTE</v>
          </cell>
          <cell r="I200" t="str">
            <v>UND</v>
          </cell>
          <cell r="J200">
            <v>4</v>
          </cell>
          <cell r="K200">
            <v>60342</v>
          </cell>
          <cell r="L200">
            <v>241368</v>
          </cell>
          <cell r="N200">
            <v>0</v>
          </cell>
          <cell r="O200">
            <v>0</v>
          </cell>
          <cell r="Q200">
            <v>0</v>
          </cell>
          <cell r="R200">
            <v>0</v>
          </cell>
          <cell r="T200">
            <v>0</v>
          </cell>
          <cell r="U200">
            <v>0</v>
          </cell>
          <cell r="V200">
            <v>0</v>
          </cell>
        </row>
        <row r="201">
          <cell r="B201" t="str">
            <v>7.4.25</v>
          </cell>
          <cell r="C201" t="str">
            <v>REGISTRO P/D RED WHITE  Ø 3/4" o EQUIVALENTE</v>
          </cell>
          <cell r="I201" t="str">
            <v>UND</v>
          </cell>
          <cell r="J201">
            <v>6</v>
          </cell>
          <cell r="K201">
            <v>75340</v>
          </cell>
          <cell r="L201">
            <v>452040</v>
          </cell>
          <cell r="N201">
            <v>0</v>
          </cell>
          <cell r="O201">
            <v>0</v>
          </cell>
          <cell r="Q201">
            <v>0</v>
          </cell>
          <cell r="R201">
            <v>0</v>
          </cell>
          <cell r="T201">
            <v>0</v>
          </cell>
          <cell r="U201">
            <v>0</v>
          </cell>
          <cell r="V201">
            <v>0</v>
          </cell>
        </row>
        <row r="202">
          <cell r="B202" t="str">
            <v>7.4.26</v>
          </cell>
          <cell r="C202" t="str">
            <v>REGISTRO P/D RED WHITE  Ø 1" o EQUIVALENTE</v>
          </cell>
          <cell r="I202" t="str">
            <v>UND</v>
          </cell>
          <cell r="J202">
            <v>14</v>
          </cell>
          <cell r="K202">
            <v>110782</v>
          </cell>
          <cell r="L202">
            <v>1550948</v>
          </cell>
          <cell r="N202">
            <v>0</v>
          </cell>
          <cell r="O202">
            <v>0</v>
          </cell>
          <cell r="Q202">
            <v>0</v>
          </cell>
          <cell r="R202">
            <v>0</v>
          </cell>
          <cell r="T202">
            <v>0</v>
          </cell>
          <cell r="U202">
            <v>0</v>
          </cell>
          <cell r="V202">
            <v>0</v>
          </cell>
        </row>
        <row r="203">
          <cell r="B203" t="str">
            <v>7.4.29</v>
          </cell>
          <cell r="C203" t="str">
            <v xml:space="preserve">REGISTRO RED WHITE DE 1 1/2" O EQUIVALENTE </v>
          </cell>
          <cell r="I203" t="str">
            <v>UND</v>
          </cell>
          <cell r="J203">
            <v>4</v>
          </cell>
          <cell r="K203">
            <v>213259</v>
          </cell>
          <cell r="L203">
            <v>853036</v>
          </cell>
          <cell r="N203">
            <v>0</v>
          </cell>
          <cell r="O203">
            <v>0</v>
          </cell>
          <cell r="Q203">
            <v>0</v>
          </cell>
          <cell r="R203">
            <v>0</v>
          </cell>
          <cell r="T203">
            <v>0</v>
          </cell>
          <cell r="U203">
            <v>0</v>
          </cell>
          <cell r="V203">
            <v>0</v>
          </cell>
        </row>
        <row r="204">
          <cell r="B204" t="str">
            <v>7.4.31</v>
          </cell>
          <cell r="C204" t="str">
            <v xml:space="preserve">REGISTRO PASO DIRECTO DE 2" KITZ O SIMILAR </v>
          </cell>
          <cell r="I204" t="str">
            <v>UND</v>
          </cell>
          <cell r="J204">
            <v>4</v>
          </cell>
          <cell r="K204">
            <v>230899</v>
          </cell>
          <cell r="L204">
            <v>923596</v>
          </cell>
          <cell r="N204">
            <v>0</v>
          </cell>
          <cell r="O204">
            <v>0</v>
          </cell>
          <cell r="Q204">
            <v>0</v>
          </cell>
          <cell r="R204">
            <v>0</v>
          </cell>
          <cell r="T204">
            <v>0</v>
          </cell>
          <cell r="U204">
            <v>0</v>
          </cell>
          <cell r="V204">
            <v>0</v>
          </cell>
        </row>
        <row r="205">
          <cell r="B205" t="str">
            <v>7.4.32</v>
          </cell>
          <cell r="C205" t="str">
            <v xml:space="preserve">REGISTRO PASO DIRECTO DE 3" KITZ O SIMILAR </v>
          </cell>
          <cell r="I205" t="str">
            <v>UND</v>
          </cell>
          <cell r="J205">
            <v>5</v>
          </cell>
          <cell r="K205">
            <v>441660</v>
          </cell>
          <cell r="L205">
            <v>2208300</v>
          </cell>
          <cell r="N205">
            <v>0</v>
          </cell>
          <cell r="O205">
            <v>0</v>
          </cell>
          <cell r="Q205">
            <v>0</v>
          </cell>
          <cell r="R205">
            <v>0</v>
          </cell>
          <cell r="T205">
            <v>0</v>
          </cell>
          <cell r="U205">
            <v>0</v>
          </cell>
          <cell r="V205">
            <v>0</v>
          </cell>
        </row>
        <row r="206">
          <cell r="B206" t="str">
            <v>7.4.38</v>
          </cell>
          <cell r="C206" t="str">
            <v>CHEQUE P/D RED WHITE  Ø 2" o EQUIVALENTE</v>
          </cell>
          <cell r="I206" t="str">
            <v>UND</v>
          </cell>
          <cell r="J206">
            <v>3</v>
          </cell>
          <cell r="K206">
            <v>178712</v>
          </cell>
          <cell r="L206">
            <v>536136</v>
          </cell>
          <cell r="N206">
            <v>0</v>
          </cell>
          <cell r="O206">
            <v>0</v>
          </cell>
          <cell r="Q206">
            <v>0</v>
          </cell>
          <cell r="R206">
            <v>0</v>
          </cell>
          <cell r="T206">
            <v>0</v>
          </cell>
          <cell r="U206">
            <v>0</v>
          </cell>
          <cell r="V206">
            <v>0</v>
          </cell>
        </row>
        <row r="207">
          <cell r="B207" t="str">
            <v>7.4.46</v>
          </cell>
          <cell r="C207" t="str">
            <v>TUBERIA PVCP RDE 9 DE 1/2"</v>
          </cell>
          <cell r="I207" t="str">
            <v>M</v>
          </cell>
          <cell r="J207">
            <v>114</v>
          </cell>
          <cell r="K207">
            <v>7692</v>
          </cell>
          <cell r="L207">
            <v>876888</v>
          </cell>
          <cell r="N207">
            <v>0</v>
          </cell>
          <cell r="O207">
            <v>0</v>
          </cell>
          <cell r="Q207">
            <v>114</v>
          </cell>
          <cell r="R207">
            <v>876888</v>
          </cell>
          <cell r="T207">
            <v>114</v>
          </cell>
          <cell r="U207">
            <v>876888</v>
          </cell>
          <cell r="V207">
            <v>1</v>
          </cell>
        </row>
        <row r="208">
          <cell r="B208" t="str">
            <v>7.4.48</v>
          </cell>
          <cell r="C208" t="str">
            <v>TUBERIA PVCP RDE 21 DE 3/4".</v>
          </cell>
          <cell r="I208" t="str">
            <v>M</v>
          </cell>
          <cell r="J208">
            <v>88</v>
          </cell>
          <cell r="K208">
            <v>6611</v>
          </cell>
          <cell r="L208">
            <v>581768</v>
          </cell>
          <cell r="N208">
            <v>0</v>
          </cell>
          <cell r="O208">
            <v>0</v>
          </cell>
          <cell r="Q208">
            <v>88</v>
          </cell>
          <cell r="R208">
            <v>581768</v>
          </cell>
          <cell r="T208">
            <v>88</v>
          </cell>
          <cell r="U208">
            <v>581768</v>
          </cell>
          <cell r="V208">
            <v>1</v>
          </cell>
        </row>
        <row r="209">
          <cell r="B209" t="str">
            <v>7.4.49</v>
          </cell>
          <cell r="C209" t="str">
            <v>TUBERIA PVCP RDE 13.5 DE 1"</v>
          </cell>
          <cell r="I209" t="str">
            <v>M</v>
          </cell>
          <cell r="J209">
            <v>25.228038655825625</v>
          </cell>
          <cell r="K209">
            <v>9501</v>
          </cell>
          <cell r="L209">
            <v>239691.59526899926</v>
          </cell>
          <cell r="N209">
            <v>0</v>
          </cell>
          <cell r="O209">
            <v>0</v>
          </cell>
          <cell r="Q209">
            <v>0</v>
          </cell>
          <cell r="R209">
            <v>0</v>
          </cell>
          <cell r="T209">
            <v>0</v>
          </cell>
          <cell r="U209">
            <v>0</v>
          </cell>
          <cell r="V209">
            <v>0</v>
          </cell>
        </row>
        <row r="210">
          <cell r="B210" t="str">
            <v>7.4.50</v>
          </cell>
          <cell r="C210" t="str">
            <v xml:space="preserve">TUBERIA PVCP RDE 21 Ø 1" </v>
          </cell>
          <cell r="I210" t="str">
            <v>M</v>
          </cell>
          <cell r="J210">
            <v>88</v>
          </cell>
          <cell r="K210">
            <v>12184</v>
          </cell>
          <cell r="L210">
            <v>1072192</v>
          </cell>
          <cell r="N210">
            <v>0</v>
          </cell>
          <cell r="O210">
            <v>0</v>
          </cell>
          <cell r="Q210">
            <v>88</v>
          </cell>
          <cell r="R210">
            <v>1072192</v>
          </cell>
          <cell r="T210">
            <v>88</v>
          </cell>
          <cell r="U210">
            <v>1072192</v>
          </cell>
          <cell r="V210">
            <v>1</v>
          </cell>
        </row>
        <row r="211">
          <cell r="B211" t="str">
            <v>7.4.51</v>
          </cell>
          <cell r="C211" t="str">
            <v>TUBERIA PVCP RDE 21 Ø 1 1/4"</v>
          </cell>
          <cell r="I211" t="str">
            <v>M</v>
          </cell>
          <cell r="J211">
            <v>22</v>
          </cell>
          <cell r="K211">
            <v>15928</v>
          </cell>
          <cell r="L211">
            <v>350416</v>
          </cell>
          <cell r="N211">
            <v>0</v>
          </cell>
          <cell r="O211">
            <v>0</v>
          </cell>
          <cell r="Q211">
            <v>22</v>
          </cell>
          <cell r="R211">
            <v>350416</v>
          </cell>
          <cell r="T211">
            <v>22</v>
          </cell>
          <cell r="U211">
            <v>350416</v>
          </cell>
          <cell r="V211">
            <v>1</v>
          </cell>
        </row>
        <row r="212">
          <cell r="B212" t="str">
            <v>7.4.52</v>
          </cell>
          <cell r="C212" t="str">
            <v>TUBERIA PVCP RDE 21 Ø 1 1/2"</v>
          </cell>
          <cell r="I212" t="str">
            <v>M</v>
          </cell>
          <cell r="J212">
            <v>12</v>
          </cell>
          <cell r="K212">
            <v>18413</v>
          </cell>
          <cell r="L212">
            <v>220956</v>
          </cell>
          <cell r="N212">
            <v>0</v>
          </cell>
          <cell r="O212">
            <v>0</v>
          </cell>
          <cell r="Q212">
            <v>12</v>
          </cell>
          <cell r="R212">
            <v>220956</v>
          </cell>
          <cell r="T212">
            <v>12</v>
          </cell>
          <cell r="U212">
            <v>220956</v>
          </cell>
          <cell r="V212">
            <v>1</v>
          </cell>
        </row>
        <row r="213">
          <cell r="B213" t="str">
            <v>7.4.53</v>
          </cell>
          <cell r="C213" t="str">
            <v>TUBERIA PVCP RDE 21 Ø 2"</v>
          </cell>
          <cell r="I213" t="str">
            <v>M</v>
          </cell>
          <cell r="J213">
            <v>43.260491016114685</v>
          </cell>
          <cell r="K213">
            <v>26811</v>
          </cell>
          <cell r="L213">
            <v>1159857.0246330509</v>
          </cell>
          <cell r="N213">
            <v>0</v>
          </cell>
          <cell r="O213">
            <v>0</v>
          </cell>
          <cell r="Q213">
            <v>0</v>
          </cell>
          <cell r="R213">
            <v>0</v>
          </cell>
          <cell r="T213">
            <v>0</v>
          </cell>
          <cell r="U213">
            <v>0</v>
          </cell>
          <cell r="V213">
            <v>0</v>
          </cell>
        </row>
        <row r="214">
          <cell r="B214" t="str">
            <v>7.4.54</v>
          </cell>
          <cell r="C214" t="str">
            <v>TUBERIA PVCP RDE-21 Ø 2 1/2"</v>
          </cell>
          <cell r="I214" t="str">
            <v>M</v>
          </cell>
          <cell r="J214">
            <v>8.3204402369822503</v>
          </cell>
          <cell r="K214">
            <v>42506</v>
          </cell>
          <cell r="L214">
            <v>353668.63271316752</v>
          </cell>
          <cell r="N214">
            <v>0</v>
          </cell>
          <cell r="O214">
            <v>0</v>
          </cell>
          <cell r="Q214">
            <v>0</v>
          </cell>
          <cell r="R214">
            <v>0</v>
          </cell>
          <cell r="T214">
            <v>0</v>
          </cell>
          <cell r="U214">
            <v>0</v>
          </cell>
          <cell r="V214">
            <v>0</v>
          </cell>
        </row>
        <row r="215">
          <cell r="B215" t="str">
            <v>7.4.55</v>
          </cell>
          <cell r="C215" t="str">
            <v>TUBERIA PVCP RDE-21Ø 3"</v>
          </cell>
          <cell r="I215" t="str">
            <v>M</v>
          </cell>
          <cell r="J215">
            <v>25.030899305262981</v>
          </cell>
          <cell r="K215">
            <v>54029</v>
          </cell>
          <cell r="L215">
            <v>1352394.4585640535</v>
          </cell>
          <cell r="N215">
            <v>0</v>
          </cell>
          <cell r="O215">
            <v>0</v>
          </cell>
          <cell r="Q215">
            <v>0</v>
          </cell>
          <cell r="R215">
            <v>0</v>
          </cell>
          <cell r="T215">
            <v>0</v>
          </cell>
          <cell r="U215">
            <v>0</v>
          </cell>
          <cell r="V215">
            <v>0</v>
          </cell>
        </row>
        <row r="216">
          <cell r="B216" t="str">
            <v>7.6</v>
          </cell>
          <cell r="C216" t="str">
            <v>PUNTOS HIDRAULICOS</v>
          </cell>
          <cell r="L216">
            <v>0</v>
          </cell>
          <cell r="N216">
            <v>0</v>
          </cell>
          <cell r="O216">
            <v>0</v>
          </cell>
          <cell r="Q216">
            <v>0</v>
          </cell>
          <cell r="R216">
            <v>0</v>
          </cell>
          <cell r="T216">
            <v>0</v>
          </cell>
          <cell r="U216">
            <v>0</v>
          </cell>
          <cell r="V216">
            <v>0</v>
          </cell>
        </row>
        <row r="217">
          <cell r="B217" t="str">
            <v>7.6.3</v>
          </cell>
          <cell r="C217" t="str">
            <v>PUNTO AGUA FRIA  PVC (INC. ACCESORIOS)</v>
          </cell>
          <cell r="I217" t="str">
            <v>UND</v>
          </cell>
          <cell r="J217">
            <v>66</v>
          </cell>
          <cell r="K217">
            <v>54348</v>
          </cell>
          <cell r="L217">
            <v>3586968</v>
          </cell>
          <cell r="N217">
            <v>0</v>
          </cell>
          <cell r="O217">
            <v>0</v>
          </cell>
          <cell r="Q217">
            <v>16</v>
          </cell>
          <cell r="R217">
            <v>869568</v>
          </cell>
          <cell r="T217">
            <v>16</v>
          </cell>
          <cell r="U217">
            <v>869568</v>
          </cell>
          <cell r="V217">
            <v>0.24242424242424243</v>
          </cell>
        </row>
        <row r="218">
          <cell r="B218" t="str">
            <v>7.7</v>
          </cell>
          <cell r="C218" t="str">
            <v>SALIDAS SANITARIAS</v>
          </cell>
          <cell r="L218">
            <v>0</v>
          </cell>
          <cell r="N218">
            <v>0</v>
          </cell>
          <cell r="O218">
            <v>0</v>
          </cell>
          <cell r="Q218">
            <v>0</v>
          </cell>
          <cell r="R218">
            <v>0</v>
          </cell>
          <cell r="T218">
            <v>0</v>
          </cell>
          <cell r="U218">
            <v>0</v>
          </cell>
          <cell r="V218">
            <v>0</v>
          </cell>
        </row>
        <row r="219">
          <cell r="B219" t="str">
            <v>7.7.1</v>
          </cell>
          <cell r="C219" t="str">
            <v>PUNTO DESAGUE PVC Ø 2"</v>
          </cell>
          <cell r="I219" t="str">
            <v>UND</v>
          </cell>
          <cell r="J219">
            <v>39</v>
          </cell>
          <cell r="K219">
            <v>65620</v>
          </cell>
          <cell r="L219">
            <v>2559180</v>
          </cell>
          <cell r="N219">
            <v>0</v>
          </cell>
          <cell r="O219">
            <v>0</v>
          </cell>
          <cell r="Q219">
            <v>14</v>
          </cell>
          <cell r="R219">
            <v>918680</v>
          </cell>
          <cell r="T219">
            <v>14</v>
          </cell>
          <cell r="U219">
            <v>918680</v>
          </cell>
          <cell r="V219">
            <v>0.35897435897435898</v>
          </cell>
        </row>
        <row r="220">
          <cell r="B220" t="str">
            <v>7.7.2</v>
          </cell>
          <cell r="C220" t="str">
            <v>PUNTO DESAGUE PVC Ø 3" - Ø 4"</v>
          </cell>
          <cell r="I220" t="str">
            <v>UND</v>
          </cell>
          <cell r="J220">
            <v>27</v>
          </cell>
          <cell r="K220">
            <v>90486</v>
          </cell>
          <cell r="L220">
            <v>2443122</v>
          </cell>
          <cell r="N220">
            <v>0</v>
          </cell>
          <cell r="O220">
            <v>0</v>
          </cell>
          <cell r="Q220">
            <v>4</v>
          </cell>
          <cell r="R220">
            <v>361944</v>
          </cell>
          <cell r="T220">
            <v>4</v>
          </cell>
          <cell r="U220">
            <v>361944</v>
          </cell>
          <cell r="V220">
            <v>0.14814814814814814</v>
          </cell>
        </row>
        <row r="221">
          <cell r="B221" t="str">
            <v>7.8</v>
          </cell>
          <cell r="C221" t="str">
            <v>BAJANTES - VENTILACIONES - REVENTILACIONES A.N.</v>
          </cell>
          <cell r="L221">
            <v>0</v>
          </cell>
          <cell r="N221">
            <v>0</v>
          </cell>
          <cell r="O221">
            <v>0</v>
          </cell>
          <cell r="Q221">
            <v>0</v>
          </cell>
          <cell r="R221">
            <v>0</v>
          </cell>
          <cell r="T221">
            <v>0</v>
          </cell>
          <cell r="U221">
            <v>0</v>
          </cell>
          <cell r="V221">
            <v>0</v>
          </cell>
        </row>
        <row r="222">
          <cell r="B222" t="str">
            <v>7.8.2</v>
          </cell>
          <cell r="C222" t="str">
            <v>BAJANTE A.N.  PVC Ø 4" (INC. ACCESORIOS)</v>
          </cell>
          <cell r="I222" t="str">
            <v>M</v>
          </cell>
          <cell r="J222">
            <v>53</v>
          </cell>
          <cell r="K222">
            <v>32719</v>
          </cell>
          <cell r="L222">
            <v>1734107</v>
          </cell>
          <cell r="N222">
            <v>0</v>
          </cell>
          <cell r="O222">
            <v>0</v>
          </cell>
          <cell r="Q222">
            <v>0</v>
          </cell>
          <cell r="R222">
            <v>0</v>
          </cell>
          <cell r="T222">
            <v>0</v>
          </cell>
          <cell r="U222">
            <v>0</v>
          </cell>
          <cell r="V222">
            <v>0</v>
          </cell>
        </row>
        <row r="223">
          <cell r="B223" t="str">
            <v>7.8.4</v>
          </cell>
          <cell r="C223" t="str">
            <v>VENTILACION Y REVENTILACION PVC Ø 2" (INC. ACCESORIOS)</v>
          </cell>
          <cell r="I223" t="str">
            <v>M</v>
          </cell>
          <cell r="J223">
            <v>24</v>
          </cell>
          <cell r="K223">
            <v>16882</v>
          </cell>
          <cell r="L223">
            <v>405168</v>
          </cell>
          <cell r="N223">
            <v>0</v>
          </cell>
          <cell r="O223">
            <v>0</v>
          </cell>
          <cell r="Q223">
            <v>0</v>
          </cell>
          <cell r="R223">
            <v>0</v>
          </cell>
          <cell r="T223">
            <v>0</v>
          </cell>
          <cell r="U223">
            <v>0</v>
          </cell>
          <cell r="V223">
            <v>0</v>
          </cell>
        </row>
        <row r="224">
          <cell r="B224" t="str">
            <v>7.8.5</v>
          </cell>
          <cell r="C224" t="str">
            <v>VENTILACION Y REVENTILACION PVC Ø 3" (INC. ACCESORIOS)</v>
          </cell>
          <cell r="I224" t="str">
            <v>M</v>
          </cell>
          <cell r="K224">
            <v>19413</v>
          </cell>
          <cell r="L224">
            <v>0</v>
          </cell>
          <cell r="N224">
            <v>0</v>
          </cell>
          <cell r="O224">
            <v>0</v>
          </cell>
          <cell r="Q224">
            <v>0</v>
          </cell>
          <cell r="R224">
            <v>0</v>
          </cell>
          <cell r="T224">
            <v>0</v>
          </cell>
          <cell r="U224">
            <v>0</v>
          </cell>
          <cell r="V224">
            <v>0</v>
          </cell>
        </row>
        <row r="225">
          <cell r="B225" t="str">
            <v>7.9</v>
          </cell>
          <cell r="C225" t="str">
            <v>RED DE GAS</v>
          </cell>
          <cell r="L225">
            <v>0</v>
          </cell>
          <cell r="N225">
            <v>0</v>
          </cell>
          <cell r="O225">
            <v>0</v>
          </cell>
          <cell r="Q225">
            <v>0</v>
          </cell>
          <cell r="R225">
            <v>0</v>
          </cell>
          <cell r="T225">
            <v>0</v>
          </cell>
          <cell r="U225">
            <v>0</v>
          </cell>
          <cell r="V225">
            <v>0</v>
          </cell>
        </row>
        <row r="226">
          <cell r="B226" t="str">
            <v>7.9.2</v>
          </cell>
          <cell r="C226" t="str">
            <v xml:space="preserve">ACCESORIO DE COBRE DE 1" </v>
          </cell>
          <cell r="I226" t="str">
            <v>UND</v>
          </cell>
          <cell r="J226">
            <v>21</v>
          </cell>
          <cell r="K226">
            <v>15103</v>
          </cell>
          <cell r="L226">
            <v>317163</v>
          </cell>
          <cell r="N226">
            <v>0</v>
          </cell>
          <cell r="O226">
            <v>0</v>
          </cell>
          <cell r="Q226">
            <v>0</v>
          </cell>
          <cell r="R226">
            <v>0</v>
          </cell>
          <cell r="T226">
            <v>0</v>
          </cell>
          <cell r="U226">
            <v>0</v>
          </cell>
          <cell r="V226">
            <v>0</v>
          </cell>
        </row>
        <row r="227">
          <cell r="B227" t="str">
            <v>7.9.3</v>
          </cell>
          <cell r="C227" t="str">
            <v xml:space="preserve">ACCESORIO DE COBRE DE 3/4" </v>
          </cell>
          <cell r="I227" t="str">
            <v>UND</v>
          </cell>
          <cell r="J227">
            <v>2</v>
          </cell>
          <cell r="K227">
            <v>7743</v>
          </cell>
          <cell r="L227">
            <v>15486</v>
          </cell>
          <cell r="N227">
            <v>0</v>
          </cell>
          <cell r="O227">
            <v>0</v>
          </cell>
          <cell r="Q227">
            <v>0</v>
          </cell>
          <cell r="R227">
            <v>0</v>
          </cell>
          <cell r="T227">
            <v>0</v>
          </cell>
          <cell r="U227">
            <v>0</v>
          </cell>
          <cell r="V227">
            <v>0</v>
          </cell>
        </row>
        <row r="228">
          <cell r="B228" t="str">
            <v>7.9.14</v>
          </cell>
          <cell r="C228" t="str">
            <v xml:space="preserve">ACCESORIO HG DE 1" </v>
          </cell>
          <cell r="I228" t="str">
            <v>UND</v>
          </cell>
          <cell r="J228">
            <v>12</v>
          </cell>
          <cell r="K228">
            <v>11207</v>
          </cell>
          <cell r="L228">
            <v>134484</v>
          </cell>
          <cell r="N228">
            <v>0</v>
          </cell>
          <cell r="O228">
            <v>0</v>
          </cell>
          <cell r="Q228">
            <v>0</v>
          </cell>
          <cell r="R228">
            <v>0</v>
          </cell>
          <cell r="T228">
            <v>0</v>
          </cell>
          <cell r="U228">
            <v>0</v>
          </cell>
          <cell r="V228">
            <v>0</v>
          </cell>
        </row>
        <row r="229">
          <cell r="B229" t="str">
            <v>7.9.21</v>
          </cell>
          <cell r="C229" t="str">
            <v xml:space="preserve">COPA DE COBRE 1" x 1/2" </v>
          </cell>
          <cell r="I229" t="str">
            <v>UND</v>
          </cell>
          <cell r="J229">
            <v>6</v>
          </cell>
          <cell r="K229">
            <v>7700</v>
          </cell>
          <cell r="L229">
            <v>46200</v>
          </cell>
          <cell r="N229">
            <v>0</v>
          </cell>
          <cell r="O229">
            <v>0</v>
          </cell>
          <cell r="Q229">
            <v>0</v>
          </cell>
          <cell r="R229">
            <v>0</v>
          </cell>
          <cell r="T229">
            <v>0</v>
          </cell>
          <cell r="U229">
            <v>0</v>
          </cell>
          <cell r="V229">
            <v>0</v>
          </cell>
        </row>
        <row r="230">
          <cell r="B230" t="str">
            <v>7.9.25</v>
          </cell>
          <cell r="C230" t="str">
            <v xml:space="preserve">ELEVADOR DE GAS Ø 1/2" </v>
          </cell>
          <cell r="I230" t="str">
            <v>UND</v>
          </cell>
          <cell r="J230">
            <v>1</v>
          </cell>
          <cell r="K230">
            <v>14548</v>
          </cell>
          <cell r="L230">
            <v>14548</v>
          </cell>
          <cell r="N230">
            <v>0</v>
          </cell>
          <cell r="O230">
            <v>0</v>
          </cell>
          <cell r="Q230">
            <v>0</v>
          </cell>
          <cell r="R230">
            <v>0</v>
          </cell>
          <cell r="T230">
            <v>0</v>
          </cell>
          <cell r="U230">
            <v>0</v>
          </cell>
          <cell r="V230">
            <v>0</v>
          </cell>
        </row>
        <row r="231">
          <cell r="B231" t="str">
            <v>7.9.26</v>
          </cell>
          <cell r="C231" t="str">
            <v xml:space="preserve">MANGUERA DE CONEXION FLEXIBLE </v>
          </cell>
          <cell r="I231" t="str">
            <v>UND</v>
          </cell>
          <cell r="J231">
            <v>1</v>
          </cell>
          <cell r="K231">
            <v>9000</v>
          </cell>
          <cell r="L231">
            <v>9000</v>
          </cell>
          <cell r="N231">
            <v>0</v>
          </cell>
          <cell r="O231">
            <v>0</v>
          </cell>
          <cell r="Q231">
            <v>0</v>
          </cell>
          <cell r="R231">
            <v>0</v>
          </cell>
          <cell r="T231">
            <v>0</v>
          </cell>
          <cell r="U231">
            <v>0</v>
          </cell>
          <cell r="V231">
            <v>0</v>
          </cell>
        </row>
        <row r="232">
          <cell r="B232" t="str">
            <v>7.9.28</v>
          </cell>
          <cell r="C232" t="str">
            <v>REGULADOR 143 E-METER</v>
          </cell>
          <cell r="I232" t="str">
            <v>UND</v>
          </cell>
          <cell r="J232">
            <v>3</v>
          </cell>
          <cell r="K232">
            <v>195098</v>
          </cell>
          <cell r="L232">
            <v>585294</v>
          </cell>
          <cell r="N232">
            <v>0</v>
          </cell>
          <cell r="O232">
            <v>0</v>
          </cell>
          <cell r="Q232">
            <v>0</v>
          </cell>
          <cell r="R232">
            <v>0</v>
          </cell>
          <cell r="T232">
            <v>0</v>
          </cell>
          <cell r="U232">
            <v>0</v>
          </cell>
          <cell r="V232">
            <v>0</v>
          </cell>
        </row>
        <row r="233">
          <cell r="B233" t="str">
            <v>7.9.38</v>
          </cell>
          <cell r="C233" t="str">
            <v xml:space="preserve">TEE DE COBRE Ø 1" </v>
          </cell>
          <cell r="I233" t="str">
            <v>UND</v>
          </cell>
          <cell r="J233">
            <v>4</v>
          </cell>
          <cell r="K233">
            <v>11482</v>
          </cell>
          <cell r="L233">
            <v>45928</v>
          </cell>
          <cell r="N233">
            <v>0</v>
          </cell>
          <cell r="O233">
            <v>0</v>
          </cell>
          <cell r="Q233">
            <v>0</v>
          </cell>
          <cell r="R233">
            <v>0</v>
          </cell>
          <cell r="T233">
            <v>0</v>
          </cell>
          <cell r="U233">
            <v>0</v>
          </cell>
          <cell r="V233">
            <v>0</v>
          </cell>
        </row>
        <row r="234">
          <cell r="B234" t="str">
            <v>7.9.41</v>
          </cell>
          <cell r="C234" t="str">
            <v xml:space="preserve">TEE HG Ø 1" </v>
          </cell>
          <cell r="I234" t="str">
            <v>UND</v>
          </cell>
          <cell r="J234">
            <v>5</v>
          </cell>
          <cell r="K234">
            <v>16608</v>
          </cell>
          <cell r="L234">
            <v>83040</v>
          </cell>
          <cell r="N234">
            <v>0</v>
          </cell>
          <cell r="O234">
            <v>0</v>
          </cell>
          <cell r="Q234">
            <v>0</v>
          </cell>
          <cell r="R234">
            <v>0</v>
          </cell>
          <cell r="T234">
            <v>0</v>
          </cell>
          <cell r="U234">
            <v>0</v>
          </cell>
          <cell r="V234">
            <v>0</v>
          </cell>
        </row>
        <row r="235">
          <cell r="B235" t="str">
            <v>7.9.45</v>
          </cell>
          <cell r="C235" t="str">
            <v xml:space="preserve">TUBERIA HG DE Ø 1" </v>
          </cell>
          <cell r="I235" t="str">
            <v>M</v>
          </cell>
          <cell r="J235">
            <v>32</v>
          </cell>
          <cell r="K235">
            <v>48165</v>
          </cell>
          <cell r="L235">
            <v>1541280</v>
          </cell>
          <cell r="N235">
            <v>0</v>
          </cell>
          <cell r="O235">
            <v>0</v>
          </cell>
          <cell r="Q235">
            <v>0</v>
          </cell>
          <cell r="R235">
            <v>0</v>
          </cell>
          <cell r="T235">
            <v>0</v>
          </cell>
          <cell r="U235">
            <v>0</v>
          </cell>
          <cell r="V235">
            <v>0</v>
          </cell>
        </row>
        <row r="236">
          <cell r="B236" t="str">
            <v>7.9.53</v>
          </cell>
          <cell r="C236" t="str">
            <v xml:space="preserve">TUBERIA DE POLIETILENO Ø 3/4" </v>
          </cell>
          <cell r="I236" t="str">
            <v>M</v>
          </cell>
          <cell r="J236">
            <v>2</v>
          </cell>
          <cell r="K236">
            <v>19592</v>
          </cell>
          <cell r="L236">
            <v>39184</v>
          </cell>
          <cell r="N236">
            <v>0</v>
          </cell>
          <cell r="O236">
            <v>0</v>
          </cell>
          <cell r="Q236">
            <v>0</v>
          </cell>
          <cell r="R236">
            <v>0</v>
          </cell>
          <cell r="T236">
            <v>0</v>
          </cell>
          <cell r="U236">
            <v>0</v>
          </cell>
          <cell r="V236">
            <v>0</v>
          </cell>
        </row>
        <row r="237">
          <cell r="B237" t="str">
            <v>7.9.65</v>
          </cell>
          <cell r="C237" t="str">
            <v>VALVULA DE BOLA Ø 1/2" HNPT</v>
          </cell>
          <cell r="I237" t="str">
            <v>UND</v>
          </cell>
          <cell r="J237">
            <v>4</v>
          </cell>
          <cell r="K237">
            <v>20367</v>
          </cell>
          <cell r="L237">
            <v>81468</v>
          </cell>
          <cell r="N237">
            <v>0</v>
          </cell>
          <cell r="O237">
            <v>0</v>
          </cell>
          <cell r="Q237">
            <v>0</v>
          </cell>
          <cell r="R237">
            <v>0</v>
          </cell>
          <cell r="T237">
            <v>0</v>
          </cell>
          <cell r="U237">
            <v>0</v>
          </cell>
          <cell r="V237">
            <v>0</v>
          </cell>
        </row>
        <row r="238">
          <cell r="B238" t="str">
            <v>7.9.66</v>
          </cell>
          <cell r="C238" t="str">
            <v>VALVULA DE BOLA PARA MEDIDOR GAS</v>
          </cell>
          <cell r="I238" t="str">
            <v>UND</v>
          </cell>
          <cell r="J238">
            <v>1</v>
          </cell>
          <cell r="K238">
            <v>18618</v>
          </cell>
          <cell r="L238">
            <v>18618</v>
          </cell>
          <cell r="N238">
            <v>0</v>
          </cell>
          <cell r="O238">
            <v>0</v>
          </cell>
          <cell r="Q238">
            <v>0</v>
          </cell>
          <cell r="R238">
            <v>0</v>
          </cell>
          <cell r="T238">
            <v>0</v>
          </cell>
          <cell r="U238">
            <v>0</v>
          </cell>
          <cell r="V238">
            <v>0</v>
          </cell>
        </row>
        <row r="239">
          <cell r="B239" t="str">
            <v>7.9.76</v>
          </cell>
          <cell r="C239" t="str">
            <v xml:space="preserve">REGISTRO DE BOLA PARA GAS DE 1" </v>
          </cell>
          <cell r="I239" t="str">
            <v>UND</v>
          </cell>
          <cell r="J239">
            <v>5</v>
          </cell>
          <cell r="K239">
            <v>58267</v>
          </cell>
          <cell r="L239">
            <v>291335</v>
          </cell>
          <cell r="N239">
            <v>0</v>
          </cell>
          <cell r="O239">
            <v>0</v>
          </cell>
          <cell r="Q239">
            <v>0</v>
          </cell>
          <cell r="R239">
            <v>0</v>
          </cell>
          <cell r="T239">
            <v>0</v>
          </cell>
          <cell r="U239">
            <v>0</v>
          </cell>
          <cell r="V239">
            <v>0</v>
          </cell>
        </row>
        <row r="240">
          <cell r="B240" t="str">
            <v>7.11</v>
          </cell>
          <cell r="C240" t="str">
            <v>TANQUE ALMACENAMIENTO EN CONCRETO</v>
          </cell>
          <cell r="L240">
            <v>0</v>
          </cell>
          <cell r="N240">
            <v>0</v>
          </cell>
          <cell r="O240">
            <v>0</v>
          </cell>
          <cell r="Q240">
            <v>0</v>
          </cell>
          <cell r="R240">
            <v>0</v>
          </cell>
          <cell r="T240">
            <v>0</v>
          </cell>
          <cell r="U240">
            <v>0</v>
          </cell>
          <cell r="V240">
            <v>0</v>
          </cell>
        </row>
        <row r="241">
          <cell r="B241" t="str">
            <v>7.11.1</v>
          </cell>
          <cell r="C241" t="str">
            <v>ESCALERA DE GATO, TUBERIA EN ACERO INOXIDABLE 1 1/2"</v>
          </cell>
          <cell r="I241" t="str">
            <v>M</v>
          </cell>
          <cell r="J241">
            <v>3.4</v>
          </cell>
          <cell r="K241">
            <v>179493</v>
          </cell>
          <cell r="L241">
            <v>610276.19999999995</v>
          </cell>
          <cell r="N241">
            <v>0</v>
          </cell>
          <cell r="O241">
            <v>0</v>
          </cell>
          <cell r="Q241">
            <v>0</v>
          </cell>
          <cell r="R241">
            <v>0</v>
          </cell>
          <cell r="T241">
            <v>0</v>
          </cell>
          <cell r="U241">
            <v>0</v>
          </cell>
          <cell r="V241">
            <v>0</v>
          </cell>
        </row>
        <row r="242">
          <cell r="B242" t="str">
            <v>7.11.2</v>
          </cell>
          <cell r="C242" t="str">
            <v>FLOTADOR MECANICO 1 1/2"</v>
          </cell>
          <cell r="I242" t="str">
            <v>UND</v>
          </cell>
          <cell r="J242">
            <v>3</v>
          </cell>
          <cell r="K242">
            <v>253580</v>
          </cell>
          <cell r="L242">
            <v>760740</v>
          </cell>
          <cell r="N242">
            <v>0</v>
          </cell>
          <cell r="O242">
            <v>0</v>
          </cell>
          <cell r="Q242">
            <v>0</v>
          </cell>
          <cell r="R242">
            <v>0</v>
          </cell>
          <cell r="T242">
            <v>0</v>
          </cell>
          <cell r="U242">
            <v>0</v>
          </cell>
          <cell r="V242">
            <v>0</v>
          </cell>
        </row>
        <row r="243">
          <cell r="B243" t="str">
            <v>7.11.6</v>
          </cell>
          <cell r="C243" t="str">
            <v xml:space="preserve">SUMINISTRO E INSTALACION DE COMPUERTA DE ACCESO ABATIBLE 80 X 80 CM, LAMINA ALFAJOR E=1/8". INCLUYE MARCO, ESTRUCTURA, REFUERZOS ACCESORIOS, PROTECCION ANTICORROSIVA Y PINTURA PARA EXTERIORES   </v>
          </cell>
          <cell r="I243" t="str">
            <v>UND</v>
          </cell>
          <cell r="J243">
            <v>3</v>
          </cell>
          <cell r="K243">
            <v>464827</v>
          </cell>
          <cell r="L243">
            <v>1394481</v>
          </cell>
          <cell r="N243">
            <v>0</v>
          </cell>
          <cell r="O243">
            <v>0</v>
          </cell>
          <cell r="Q243">
            <v>0</v>
          </cell>
          <cell r="R243">
            <v>0</v>
          </cell>
          <cell r="T243">
            <v>0</v>
          </cell>
          <cell r="U243">
            <v>0</v>
          </cell>
          <cell r="V243">
            <v>0</v>
          </cell>
        </row>
        <row r="244">
          <cell r="B244" t="str">
            <v>7.12</v>
          </cell>
          <cell r="C244" t="str">
            <v>TUBERIA Y ACCESORIOS RED CONTRAINCENDIO</v>
          </cell>
          <cell r="L244">
            <v>0</v>
          </cell>
          <cell r="N244">
            <v>0</v>
          </cell>
          <cell r="O244">
            <v>0</v>
          </cell>
          <cell r="Q244">
            <v>0</v>
          </cell>
          <cell r="R244">
            <v>0</v>
          </cell>
          <cell r="T244">
            <v>0</v>
          </cell>
          <cell r="U244">
            <v>0</v>
          </cell>
          <cell r="V244">
            <v>0</v>
          </cell>
        </row>
        <row r="245">
          <cell r="B245" t="str">
            <v>7.12.1</v>
          </cell>
          <cell r="C245" t="str">
            <v>SUMINISTRO E INSTALACION DE TUBERIA ACERO AL CARBON SCH 40 1" ROSCADA</v>
          </cell>
          <cell r="I245" t="str">
            <v>M</v>
          </cell>
          <cell r="J245">
            <v>246</v>
          </cell>
          <cell r="K245">
            <v>25141</v>
          </cell>
          <cell r="L245">
            <v>6184686</v>
          </cell>
          <cell r="N245">
            <v>0</v>
          </cell>
          <cell r="O245">
            <v>0</v>
          </cell>
          <cell r="Q245">
            <v>0</v>
          </cell>
          <cell r="R245">
            <v>0</v>
          </cell>
          <cell r="T245">
            <v>0</v>
          </cell>
          <cell r="U245">
            <v>0</v>
          </cell>
          <cell r="V245">
            <v>0</v>
          </cell>
        </row>
        <row r="246">
          <cell r="B246" t="str">
            <v>7.12.2</v>
          </cell>
          <cell r="C246" t="str">
            <v>SUMINISTRO E INSTALACION DE TUBERIA ACERO AL CARBON C/C SCH 10 1 1/4" RANURADA</v>
          </cell>
          <cell r="I246" t="str">
            <v>M</v>
          </cell>
          <cell r="J246">
            <v>38</v>
          </cell>
          <cell r="K246">
            <v>30308</v>
          </cell>
          <cell r="L246">
            <v>1151704</v>
          </cell>
          <cell r="N246">
            <v>0</v>
          </cell>
          <cell r="O246">
            <v>0</v>
          </cell>
          <cell r="Q246">
            <v>0</v>
          </cell>
          <cell r="R246">
            <v>0</v>
          </cell>
          <cell r="T246">
            <v>0</v>
          </cell>
          <cell r="U246">
            <v>0</v>
          </cell>
          <cell r="V246">
            <v>0</v>
          </cell>
        </row>
        <row r="247">
          <cell r="B247" t="str">
            <v>7.12.3</v>
          </cell>
          <cell r="C247" t="str">
            <v>SUMINISTRO E INSTALACION DE TUBERIA ACERO AL CARBON C/C SCH 10 1 1/2" RANURADA</v>
          </cell>
          <cell r="I247" t="str">
            <v>M</v>
          </cell>
          <cell r="J247">
            <v>65</v>
          </cell>
          <cell r="K247">
            <v>33640</v>
          </cell>
          <cell r="L247">
            <v>2186600</v>
          </cell>
          <cell r="N247">
            <v>0</v>
          </cell>
          <cell r="O247">
            <v>0</v>
          </cell>
          <cell r="Q247">
            <v>0</v>
          </cell>
          <cell r="R247">
            <v>0</v>
          </cell>
          <cell r="T247">
            <v>0</v>
          </cell>
          <cell r="U247">
            <v>0</v>
          </cell>
          <cell r="V247">
            <v>0</v>
          </cell>
        </row>
        <row r="248">
          <cell r="B248" t="str">
            <v>7.12.4</v>
          </cell>
          <cell r="C248" t="str">
            <v>SUMINISTRO E INSTALACION DE TUBERIA ACERO AL CARBON C/C SCH 10 2" RANURADA</v>
          </cell>
          <cell r="I248" t="str">
            <v>M</v>
          </cell>
          <cell r="J248">
            <v>70</v>
          </cell>
          <cell r="K248">
            <v>40755</v>
          </cell>
          <cell r="L248">
            <v>2852850</v>
          </cell>
          <cell r="N248">
            <v>0</v>
          </cell>
          <cell r="O248">
            <v>0</v>
          </cell>
          <cell r="Q248">
            <v>0</v>
          </cell>
          <cell r="R248">
            <v>0</v>
          </cell>
          <cell r="T248">
            <v>0</v>
          </cell>
          <cell r="U248">
            <v>0</v>
          </cell>
          <cell r="V248">
            <v>0</v>
          </cell>
        </row>
        <row r="249">
          <cell r="B249" t="str">
            <v>7.12.6</v>
          </cell>
          <cell r="C249" t="str">
            <v>SUMINISTRO E INSTALACION DE TUBERIA ACERO AL CARBON C/C SCH 10 2 1/2" RANURADA</v>
          </cell>
          <cell r="I249" t="str">
            <v>M</v>
          </cell>
          <cell r="J249">
            <v>2</v>
          </cell>
          <cell r="K249">
            <v>51554</v>
          </cell>
          <cell r="L249">
            <v>103108</v>
          </cell>
          <cell r="N249">
            <v>0</v>
          </cell>
          <cell r="O249">
            <v>0</v>
          </cell>
          <cell r="Q249">
            <v>0</v>
          </cell>
          <cell r="R249">
            <v>0</v>
          </cell>
          <cell r="T249">
            <v>0</v>
          </cell>
          <cell r="U249">
            <v>0</v>
          </cell>
          <cell r="V249">
            <v>0</v>
          </cell>
        </row>
        <row r="250">
          <cell r="B250" t="str">
            <v>7.12.7</v>
          </cell>
          <cell r="C250" t="str">
            <v>SUMINISTRO E INSTALACION DE TUBERIA ACERO AL CARBON C/C SCH 10 4" RANURADA</v>
          </cell>
          <cell r="I250" t="str">
            <v>M</v>
          </cell>
          <cell r="J250">
            <v>72.380391919781516</v>
          </cell>
          <cell r="K250">
            <v>78509</v>
          </cell>
          <cell r="L250">
            <v>5682512.1892301273</v>
          </cell>
          <cell r="N250">
            <v>0</v>
          </cell>
          <cell r="O250">
            <v>0</v>
          </cell>
          <cell r="Q250">
            <v>0</v>
          </cell>
          <cell r="R250">
            <v>0</v>
          </cell>
          <cell r="T250">
            <v>0</v>
          </cell>
          <cell r="U250">
            <v>0</v>
          </cell>
          <cell r="V250">
            <v>0</v>
          </cell>
        </row>
        <row r="251">
          <cell r="B251" t="str">
            <v>7.12.8</v>
          </cell>
          <cell r="C251" t="str">
            <v>SUMINISTRO E INSTALACION DE TUBERIA PVC C 900 4"</v>
          </cell>
          <cell r="I251" t="str">
            <v>M</v>
          </cell>
          <cell r="K251">
            <v>140417</v>
          </cell>
          <cell r="L251">
            <v>0</v>
          </cell>
          <cell r="N251">
            <v>0</v>
          </cell>
          <cell r="O251">
            <v>0</v>
          </cell>
          <cell r="Q251">
            <v>0</v>
          </cell>
          <cell r="R251">
            <v>0</v>
          </cell>
          <cell r="T251">
            <v>0</v>
          </cell>
          <cell r="U251">
            <v>0</v>
          </cell>
          <cell r="V251">
            <v>0</v>
          </cell>
        </row>
        <row r="252">
          <cell r="B252" t="str">
            <v>7.12.9</v>
          </cell>
          <cell r="C252" t="str">
            <v>SUMINISTRO E INSTALACION DE ACCESORIOS TUBERIA ACERO NEGRO 1"</v>
          </cell>
          <cell r="I252" t="str">
            <v>UND</v>
          </cell>
          <cell r="K252">
            <v>12222</v>
          </cell>
          <cell r="L252">
            <v>0</v>
          </cell>
          <cell r="N252">
            <v>0</v>
          </cell>
          <cell r="O252">
            <v>0</v>
          </cell>
          <cell r="Q252">
            <v>0</v>
          </cell>
          <cell r="R252">
            <v>0</v>
          </cell>
          <cell r="T252">
            <v>0</v>
          </cell>
          <cell r="U252">
            <v>0</v>
          </cell>
          <cell r="V252">
            <v>0</v>
          </cell>
        </row>
        <row r="253">
          <cell r="B253" t="str">
            <v>7.12.10</v>
          </cell>
          <cell r="C253" t="str">
            <v>SUMINISTRO E INSTALACION DE ACCESORIOS TUBERIA ACERO NEGRO 1 1/4"</v>
          </cell>
          <cell r="I253" t="str">
            <v>UND</v>
          </cell>
          <cell r="K253">
            <v>18006</v>
          </cell>
          <cell r="L253">
            <v>0</v>
          </cell>
          <cell r="N253">
            <v>0</v>
          </cell>
          <cell r="O253">
            <v>0</v>
          </cell>
          <cell r="Q253">
            <v>0</v>
          </cell>
          <cell r="R253">
            <v>0</v>
          </cell>
          <cell r="T253">
            <v>0</v>
          </cell>
          <cell r="U253">
            <v>0</v>
          </cell>
          <cell r="V253">
            <v>0</v>
          </cell>
        </row>
        <row r="254">
          <cell r="B254" t="str">
            <v>7.12.11</v>
          </cell>
          <cell r="C254" t="str">
            <v>SUMINISTRO E INSTALACION DE ACCESORIOS TUBERIA ACERO NEGRO 1 1/2"</v>
          </cell>
          <cell r="I254" t="str">
            <v>UND</v>
          </cell>
          <cell r="K254">
            <v>19124</v>
          </cell>
          <cell r="L254">
            <v>0</v>
          </cell>
          <cell r="N254">
            <v>0</v>
          </cell>
          <cell r="O254">
            <v>0</v>
          </cell>
          <cell r="Q254">
            <v>0</v>
          </cell>
          <cell r="R254">
            <v>0</v>
          </cell>
          <cell r="T254">
            <v>0</v>
          </cell>
          <cell r="U254">
            <v>0</v>
          </cell>
          <cell r="V254">
            <v>0</v>
          </cell>
        </row>
        <row r="255">
          <cell r="B255" t="str">
            <v>7.12.12</v>
          </cell>
          <cell r="C255" t="str">
            <v>SUMINISTRO E INSTALACION DE ACCESORIOS TUBERIA ACERO NEGRO 2"</v>
          </cell>
          <cell r="I255" t="str">
            <v>UND</v>
          </cell>
          <cell r="K255">
            <v>26220</v>
          </cell>
          <cell r="L255">
            <v>0</v>
          </cell>
          <cell r="N255">
            <v>0</v>
          </cell>
          <cell r="O255">
            <v>0</v>
          </cell>
          <cell r="Q255">
            <v>0</v>
          </cell>
          <cell r="R255">
            <v>0</v>
          </cell>
          <cell r="T255">
            <v>0</v>
          </cell>
          <cell r="U255">
            <v>0</v>
          </cell>
          <cell r="V255">
            <v>0</v>
          </cell>
        </row>
        <row r="256">
          <cell r="B256" t="str">
            <v>7.12.13</v>
          </cell>
          <cell r="C256" t="str">
            <v>SUMINISTRO E INSTALACION DE ACCESORIOS TUBERIA ACERO NEGRO 2 1/2"</v>
          </cell>
          <cell r="I256" t="str">
            <v>UND</v>
          </cell>
          <cell r="K256">
            <v>34652</v>
          </cell>
          <cell r="L256">
            <v>0</v>
          </cell>
          <cell r="N256">
            <v>0</v>
          </cell>
          <cell r="O256">
            <v>0</v>
          </cell>
          <cell r="Q256">
            <v>0</v>
          </cell>
          <cell r="R256">
            <v>0</v>
          </cell>
          <cell r="T256">
            <v>0</v>
          </cell>
          <cell r="U256">
            <v>0</v>
          </cell>
          <cell r="V256">
            <v>0</v>
          </cell>
        </row>
        <row r="257">
          <cell r="B257" t="str">
            <v>7.12.15</v>
          </cell>
          <cell r="C257" t="str">
            <v>SUMINISTRO E INSTALACION DE ACCESORIOS TUBERIA ACERO NEGRO 4"</v>
          </cell>
          <cell r="I257" t="str">
            <v>UND</v>
          </cell>
          <cell r="K257">
            <v>66041</v>
          </cell>
          <cell r="L257">
            <v>0</v>
          </cell>
          <cell r="N257">
            <v>0</v>
          </cell>
          <cell r="O257">
            <v>0</v>
          </cell>
          <cell r="Q257">
            <v>0</v>
          </cell>
          <cell r="R257">
            <v>0</v>
          </cell>
          <cell r="T257">
            <v>0</v>
          </cell>
          <cell r="U257">
            <v>0</v>
          </cell>
          <cell r="V257">
            <v>0</v>
          </cell>
        </row>
        <row r="258">
          <cell r="B258" t="str">
            <v>7.12.16</v>
          </cell>
          <cell r="C258" t="str">
            <v>SUMINISTRO E INSTALACION DE ACOPLAMIENTO COUPLING RIGIDO Ø 2"</v>
          </cell>
          <cell r="I258" t="str">
            <v>UND</v>
          </cell>
          <cell r="K258">
            <v>23092</v>
          </cell>
          <cell r="L258">
            <v>0</v>
          </cell>
          <cell r="N258">
            <v>0</v>
          </cell>
          <cell r="O258">
            <v>0</v>
          </cell>
          <cell r="Q258">
            <v>0</v>
          </cell>
          <cell r="R258">
            <v>0</v>
          </cell>
          <cell r="T258">
            <v>0</v>
          </cell>
          <cell r="U258">
            <v>0</v>
          </cell>
          <cell r="V258">
            <v>0</v>
          </cell>
        </row>
        <row r="259">
          <cell r="B259" t="str">
            <v>7.12.17</v>
          </cell>
          <cell r="C259" t="str">
            <v>SUMINISTRO E INSTALACION DE ACOPLAMIENTO COUPLING RIGIDO Ø 2 1/2"</v>
          </cell>
          <cell r="I259" t="str">
            <v>UND</v>
          </cell>
          <cell r="K259">
            <v>24036</v>
          </cell>
          <cell r="L259">
            <v>0</v>
          </cell>
          <cell r="N259">
            <v>0</v>
          </cell>
          <cell r="O259">
            <v>0</v>
          </cell>
          <cell r="Q259">
            <v>0</v>
          </cell>
          <cell r="R259">
            <v>0</v>
          </cell>
          <cell r="T259">
            <v>0</v>
          </cell>
          <cell r="U259">
            <v>0</v>
          </cell>
          <cell r="V259">
            <v>0</v>
          </cell>
        </row>
        <row r="260">
          <cell r="B260" t="str">
            <v>7.12.19</v>
          </cell>
          <cell r="C260" t="str">
            <v>SUMINISTRO E INSTALACION DE ACOPLAMIENTO COUPLING RIGIDO Ø 4"</v>
          </cell>
          <cell r="I260" t="str">
            <v>UND</v>
          </cell>
          <cell r="K260">
            <v>38403</v>
          </cell>
          <cell r="L260">
            <v>0</v>
          </cell>
          <cell r="N260">
            <v>0</v>
          </cell>
          <cell r="O260">
            <v>0</v>
          </cell>
          <cell r="Q260">
            <v>0</v>
          </cell>
          <cell r="R260">
            <v>0</v>
          </cell>
          <cell r="T260">
            <v>0</v>
          </cell>
          <cell r="U260">
            <v>0</v>
          </cell>
          <cell r="V260">
            <v>0</v>
          </cell>
        </row>
        <row r="261">
          <cell r="B261" t="str">
            <v>7.12.22</v>
          </cell>
          <cell r="C261" t="str">
            <v>SUMINISTRO E INSTALACIÓN DE ACOPLAMIENTO COUPLING RIGIDO Ø 1½"</v>
          </cell>
          <cell r="I261" t="str">
            <v>UND</v>
          </cell>
          <cell r="K261">
            <v>21287</v>
          </cell>
          <cell r="L261">
            <v>0</v>
          </cell>
          <cell r="N261">
            <v>0</v>
          </cell>
          <cell r="O261">
            <v>0</v>
          </cell>
          <cell r="Q261">
            <v>0</v>
          </cell>
          <cell r="R261">
            <v>0</v>
          </cell>
          <cell r="T261">
            <v>0</v>
          </cell>
          <cell r="U261">
            <v>0</v>
          </cell>
          <cell r="V261">
            <v>0</v>
          </cell>
        </row>
        <row r="262">
          <cell r="B262" t="str">
            <v>7.13</v>
          </cell>
          <cell r="C262" t="str">
            <v>VALVULAS Y ADITAMENTOS RED CONTRAINCENDIO</v>
          </cell>
          <cell r="L262">
            <v>0</v>
          </cell>
          <cell r="N262">
            <v>0</v>
          </cell>
          <cell r="O262">
            <v>0</v>
          </cell>
          <cell r="Q262">
            <v>0</v>
          </cell>
          <cell r="R262">
            <v>0</v>
          </cell>
          <cell r="T262">
            <v>0</v>
          </cell>
          <cell r="U262">
            <v>0</v>
          </cell>
          <cell r="V262">
            <v>0</v>
          </cell>
        </row>
        <row r="263">
          <cell r="B263" t="str">
            <v>7.13.1</v>
          </cell>
          <cell r="C263" t="str">
            <v>SUMINISTRO E INSTALACION DE ROCIADOR PENDIENTE RESPUESTA RAPIDA 1/2"</v>
          </cell>
          <cell r="I263" t="str">
            <v>UND</v>
          </cell>
          <cell r="K263">
            <v>69616</v>
          </cell>
          <cell r="L263">
            <v>0</v>
          </cell>
          <cell r="N263">
            <v>0</v>
          </cell>
          <cell r="O263">
            <v>0</v>
          </cell>
          <cell r="Q263">
            <v>0</v>
          </cell>
          <cell r="R263">
            <v>0</v>
          </cell>
          <cell r="T263">
            <v>0</v>
          </cell>
          <cell r="U263">
            <v>0</v>
          </cell>
          <cell r="V263">
            <v>0</v>
          </cell>
        </row>
        <row r="264">
          <cell r="B264" t="str">
            <v>7.13.2</v>
          </cell>
          <cell r="C264" t="str">
            <v>PUNTO ROCIADOR 1/2"</v>
          </cell>
          <cell r="I264" t="str">
            <v>UND</v>
          </cell>
          <cell r="K264">
            <v>76295</v>
          </cell>
          <cell r="L264">
            <v>0</v>
          </cell>
          <cell r="N264">
            <v>0</v>
          </cell>
          <cell r="O264">
            <v>0</v>
          </cell>
          <cell r="Q264">
            <v>0</v>
          </cell>
          <cell r="R264">
            <v>0</v>
          </cell>
          <cell r="T264">
            <v>0</v>
          </cell>
          <cell r="U264">
            <v>0</v>
          </cell>
          <cell r="V264">
            <v>0</v>
          </cell>
        </row>
        <row r="265">
          <cell r="B265" t="str">
            <v>7.13.3</v>
          </cell>
          <cell r="C265" t="str">
            <v>SUMINISTRO E INSTALACION GABINETE CONTRA INCENDIO TIPO III</v>
          </cell>
          <cell r="I265" t="str">
            <v>UND</v>
          </cell>
          <cell r="K265">
            <v>1225540</v>
          </cell>
          <cell r="L265">
            <v>0</v>
          </cell>
          <cell r="N265">
            <v>0</v>
          </cell>
          <cell r="O265">
            <v>0</v>
          </cell>
          <cell r="Q265">
            <v>0</v>
          </cell>
          <cell r="R265">
            <v>0</v>
          </cell>
          <cell r="T265">
            <v>0</v>
          </cell>
          <cell r="U265">
            <v>0</v>
          </cell>
          <cell r="V265">
            <v>0</v>
          </cell>
        </row>
        <row r="266">
          <cell r="B266" t="str">
            <v>7.13.4</v>
          </cell>
          <cell r="C266" t="str">
            <v>SUMINISTRO E INSTALACION ESTACION DE CONTROL PRUEBA Y DRENAJE 4"</v>
          </cell>
          <cell r="I266" t="str">
            <v>UND</v>
          </cell>
          <cell r="K266">
            <v>2261637</v>
          </cell>
          <cell r="L266">
            <v>0</v>
          </cell>
          <cell r="N266">
            <v>0</v>
          </cell>
          <cell r="O266">
            <v>0</v>
          </cell>
          <cell r="Q266">
            <v>0</v>
          </cell>
          <cell r="R266">
            <v>0</v>
          </cell>
          <cell r="T266">
            <v>0</v>
          </cell>
          <cell r="U266">
            <v>0</v>
          </cell>
          <cell r="V266">
            <v>0</v>
          </cell>
        </row>
        <row r="267">
          <cell r="B267" t="str">
            <v>7.13.5</v>
          </cell>
          <cell r="C267" t="str">
            <v>SUMINISTRO E INSTALACION SIAMESA EN BRONCE 4" X 2 1/2" X 2 1/2"</v>
          </cell>
          <cell r="I267" t="str">
            <v>UND</v>
          </cell>
          <cell r="K267">
            <v>984888</v>
          </cell>
          <cell r="L267">
            <v>0</v>
          </cell>
          <cell r="N267">
            <v>0</v>
          </cell>
          <cell r="O267">
            <v>0</v>
          </cell>
          <cell r="Q267">
            <v>0</v>
          </cell>
          <cell r="R267">
            <v>0</v>
          </cell>
          <cell r="T267">
            <v>0</v>
          </cell>
          <cell r="U267">
            <v>0</v>
          </cell>
          <cell r="V267">
            <v>0</v>
          </cell>
        </row>
        <row r="268">
          <cell r="B268" t="str">
            <v>7.13.6</v>
          </cell>
          <cell r="C268" t="str">
            <v>SUMINISTRO E INSTALACION CABEZAL DE PRUEBAS 4 X 2 1/2" (2)</v>
          </cell>
          <cell r="I268" t="str">
            <v>UND</v>
          </cell>
          <cell r="K268">
            <v>5386829</v>
          </cell>
          <cell r="L268">
            <v>0</v>
          </cell>
          <cell r="N268">
            <v>0</v>
          </cell>
          <cell r="O268">
            <v>0</v>
          </cell>
          <cell r="Q268">
            <v>0</v>
          </cell>
          <cell r="R268">
            <v>0</v>
          </cell>
          <cell r="T268">
            <v>0</v>
          </cell>
          <cell r="U268">
            <v>0</v>
          </cell>
          <cell r="V268">
            <v>0</v>
          </cell>
        </row>
        <row r="269">
          <cell r="B269" t="str">
            <v>7.13.9</v>
          </cell>
          <cell r="C269" t="str">
            <v>SUMINISTRO E INSTALACIÓN VÁLVULA TOMA Y DESCARGA DE AIRE Ø UL/FM</v>
          </cell>
          <cell r="I269" t="str">
            <v>UND</v>
          </cell>
          <cell r="K269">
            <v>621333</v>
          </cell>
          <cell r="L269">
            <v>0</v>
          </cell>
          <cell r="N269">
            <v>0</v>
          </cell>
          <cell r="O269">
            <v>0</v>
          </cell>
          <cell r="Q269">
            <v>0</v>
          </cell>
          <cell r="R269">
            <v>0</v>
          </cell>
          <cell r="T269">
            <v>0</v>
          </cell>
          <cell r="U269">
            <v>0</v>
          </cell>
          <cell r="V269">
            <v>0</v>
          </cell>
        </row>
        <row r="270">
          <cell r="B270" t="str">
            <v>7.13.10</v>
          </cell>
          <cell r="C270" t="str">
            <v>SUMINISTRO E INSTALACIÓN SOPORTE ANTISISMICO LONGITUDINAL /  TRANSVERSAL 2½"</v>
          </cell>
          <cell r="I270" t="str">
            <v>UN</v>
          </cell>
          <cell r="K270">
            <v>155482</v>
          </cell>
          <cell r="L270">
            <v>0</v>
          </cell>
          <cell r="N270">
            <v>0</v>
          </cell>
          <cell r="O270">
            <v>0</v>
          </cell>
          <cell r="Q270">
            <v>0</v>
          </cell>
          <cell r="R270">
            <v>0</v>
          </cell>
          <cell r="T270">
            <v>0</v>
          </cell>
          <cell r="U270">
            <v>0</v>
          </cell>
          <cell r="V270">
            <v>0</v>
          </cell>
        </row>
        <row r="271">
          <cell r="B271" t="str">
            <v>7.13.11</v>
          </cell>
          <cell r="C271" t="str">
            <v>SUMINISTRO E INSTALACIÓN SOPORTE ANTISISMICO LONGITUDINAL /  TRANSVERSAL 3"</v>
          </cell>
          <cell r="I271" t="str">
            <v>UN</v>
          </cell>
          <cell r="K271">
            <v>167747</v>
          </cell>
          <cell r="L271">
            <v>0</v>
          </cell>
          <cell r="N271">
            <v>0</v>
          </cell>
          <cell r="O271">
            <v>0</v>
          </cell>
          <cell r="Q271">
            <v>0</v>
          </cell>
          <cell r="R271">
            <v>0</v>
          </cell>
          <cell r="T271">
            <v>0</v>
          </cell>
          <cell r="U271">
            <v>0</v>
          </cell>
          <cell r="V271">
            <v>0</v>
          </cell>
        </row>
        <row r="272">
          <cell r="B272" t="str">
            <v>7.13.12</v>
          </cell>
          <cell r="C272" t="str">
            <v>SUMINISTRO E INSTALACIÓN SOPORTE ANTISISMICO LONGITUDINAL /  TRANSVERSAL 4"</v>
          </cell>
          <cell r="I272" t="str">
            <v>UN</v>
          </cell>
          <cell r="K272">
            <v>204498</v>
          </cell>
          <cell r="L272">
            <v>0</v>
          </cell>
          <cell r="N272">
            <v>0</v>
          </cell>
          <cell r="O272">
            <v>0</v>
          </cell>
          <cell r="Q272">
            <v>0</v>
          </cell>
          <cell r="R272">
            <v>0</v>
          </cell>
          <cell r="T272">
            <v>0</v>
          </cell>
          <cell r="U272">
            <v>0</v>
          </cell>
          <cell r="V272">
            <v>0</v>
          </cell>
        </row>
        <row r="273">
          <cell r="B273" t="str">
            <v>7.13.13</v>
          </cell>
          <cell r="C273" t="str">
            <v>SUMINISTRO E INSTALACIÓN SOPORTE ANTISISMICO 4 vías 3"</v>
          </cell>
          <cell r="I273" t="str">
            <v>UN</v>
          </cell>
          <cell r="K273">
            <v>296488</v>
          </cell>
          <cell r="L273">
            <v>0</v>
          </cell>
          <cell r="N273">
            <v>0</v>
          </cell>
          <cell r="O273">
            <v>0</v>
          </cell>
          <cell r="Q273">
            <v>0</v>
          </cell>
          <cell r="R273">
            <v>0</v>
          </cell>
          <cell r="T273">
            <v>0</v>
          </cell>
          <cell r="U273">
            <v>0</v>
          </cell>
          <cell r="V273">
            <v>0</v>
          </cell>
        </row>
        <row r="274">
          <cell r="B274" t="str">
            <v>7.13.14</v>
          </cell>
          <cell r="C274" t="str">
            <v>SUMINISTRO E INSTALACIÓN SOPORTE ANTISISMICO 4 vías 4"</v>
          </cell>
          <cell r="I274" t="str">
            <v>UN</v>
          </cell>
          <cell r="K274">
            <v>357815</v>
          </cell>
          <cell r="L274">
            <v>0</v>
          </cell>
          <cell r="N274">
            <v>0</v>
          </cell>
          <cell r="O274">
            <v>0</v>
          </cell>
          <cell r="Q274">
            <v>0</v>
          </cell>
          <cell r="R274">
            <v>0</v>
          </cell>
          <cell r="T274">
            <v>0</v>
          </cell>
          <cell r="U274">
            <v>0</v>
          </cell>
          <cell r="V274">
            <v>0</v>
          </cell>
        </row>
        <row r="275">
          <cell r="B275">
            <v>4</v>
          </cell>
          <cell r="C275" t="str">
            <v>INSTALACIÓN ELECTRICA, TELEFÓNICA Y COMUNICACIONES</v>
          </cell>
          <cell r="L275">
            <v>0</v>
          </cell>
          <cell r="N275">
            <v>0</v>
          </cell>
          <cell r="O275">
            <v>0</v>
          </cell>
          <cell r="Q275">
            <v>0</v>
          </cell>
          <cell r="R275">
            <v>0</v>
          </cell>
          <cell r="T275">
            <v>0</v>
          </cell>
          <cell r="U275">
            <v>0</v>
          </cell>
          <cell r="V275">
            <v>0</v>
          </cell>
        </row>
        <row r="276">
          <cell r="B276" t="str">
            <v>8.1</v>
          </cell>
          <cell r="C276" t="str">
            <v>SALIDAS PARA ALUMBRADO Y TOMAS</v>
          </cell>
          <cell r="L276">
            <v>0</v>
          </cell>
          <cell r="N276">
            <v>0</v>
          </cell>
          <cell r="O276">
            <v>0</v>
          </cell>
          <cell r="Q276">
            <v>0</v>
          </cell>
          <cell r="R276">
            <v>0</v>
          </cell>
          <cell r="T276">
            <v>0</v>
          </cell>
          <cell r="U276">
            <v>0</v>
          </cell>
          <cell r="V276">
            <v>0</v>
          </cell>
        </row>
        <row r="277">
          <cell r="B277" t="str">
            <v>8.1.1</v>
          </cell>
          <cell r="C277" t="str">
            <v>SALIDA + INTERRUPTOR SENCILLO LUMINEX O EQUIVALENTE - PVC</v>
          </cell>
          <cell r="I277" t="str">
            <v>UN</v>
          </cell>
          <cell r="K277">
            <v>86706</v>
          </cell>
          <cell r="L277">
            <v>0</v>
          </cell>
          <cell r="N277">
            <v>0</v>
          </cell>
          <cell r="O277">
            <v>0</v>
          </cell>
          <cell r="Q277">
            <v>0</v>
          </cell>
          <cell r="R277">
            <v>0</v>
          </cell>
          <cell r="T277">
            <v>0</v>
          </cell>
          <cell r="U277">
            <v>0</v>
          </cell>
          <cell r="V277">
            <v>0</v>
          </cell>
        </row>
        <row r="278">
          <cell r="B278" t="str">
            <v>8.1.2</v>
          </cell>
          <cell r="C278" t="str">
            <v>SALIDA + INTERRUPTOR DOBLE LUMINEX O EQUIVALENTE - PVC</v>
          </cell>
          <cell r="I278" t="str">
            <v>UN</v>
          </cell>
          <cell r="K278">
            <v>98844</v>
          </cell>
          <cell r="L278">
            <v>0</v>
          </cell>
          <cell r="N278">
            <v>0</v>
          </cell>
          <cell r="O278">
            <v>0</v>
          </cell>
          <cell r="Q278">
            <v>0</v>
          </cell>
          <cell r="R278">
            <v>0</v>
          </cell>
          <cell r="T278">
            <v>0</v>
          </cell>
          <cell r="U278">
            <v>0</v>
          </cell>
          <cell r="V278">
            <v>0</v>
          </cell>
        </row>
        <row r="279">
          <cell r="B279" t="str">
            <v>8.1.6</v>
          </cell>
          <cell r="C279" t="str">
            <v>SALIDA + INTERRUPTOR DOBLE LUMINEX O EQUIVALENTE - PVC</v>
          </cell>
          <cell r="I279" t="str">
            <v>UN</v>
          </cell>
          <cell r="K279">
            <v>90290</v>
          </cell>
          <cell r="L279">
            <v>0</v>
          </cell>
          <cell r="N279">
            <v>0</v>
          </cell>
          <cell r="O279">
            <v>0</v>
          </cell>
          <cell r="Q279">
            <v>0</v>
          </cell>
          <cell r="R279">
            <v>0</v>
          </cell>
          <cell r="T279">
            <v>0</v>
          </cell>
          <cell r="U279">
            <v>0</v>
          </cell>
          <cell r="V279">
            <v>0</v>
          </cell>
        </row>
        <row r="280">
          <cell r="B280" t="str">
            <v>8.1.8</v>
          </cell>
          <cell r="C280" t="str">
            <v>SALIDA + TOMACORRIENTE DOBLE MONOFASICA - PVC</v>
          </cell>
          <cell r="I280" t="str">
            <v>UN</v>
          </cell>
          <cell r="K280">
            <v>90303</v>
          </cell>
          <cell r="L280">
            <v>0</v>
          </cell>
          <cell r="N280">
            <v>0</v>
          </cell>
          <cell r="O280">
            <v>0</v>
          </cell>
          <cell r="Q280">
            <v>0</v>
          </cell>
          <cell r="R280">
            <v>0</v>
          </cell>
          <cell r="T280">
            <v>0</v>
          </cell>
          <cell r="U280">
            <v>0</v>
          </cell>
          <cell r="V280">
            <v>0</v>
          </cell>
        </row>
        <row r="281">
          <cell r="B281" t="str">
            <v>8.1.9</v>
          </cell>
          <cell r="C281" t="str">
            <v>SALIDA + TOMACORRIENTE DOBLE (GFCI) PARA BAÑOS, LABORATORIOS Y COCINAS - INCLUYE PROTECCION PARA EXTERIORES</v>
          </cell>
          <cell r="I281" t="str">
            <v>UN</v>
          </cell>
          <cell r="J281">
            <v>19.25</v>
          </cell>
          <cell r="K281">
            <v>96342</v>
          </cell>
          <cell r="L281">
            <v>1854583.5</v>
          </cell>
          <cell r="N281">
            <v>0</v>
          </cell>
          <cell r="O281">
            <v>0</v>
          </cell>
          <cell r="Q281">
            <v>19.25</v>
          </cell>
          <cell r="R281">
            <v>1854583.5</v>
          </cell>
          <cell r="T281">
            <v>19.25</v>
          </cell>
          <cell r="U281">
            <v>1854583.5</v>
          </cell>
          <cell r="V281">
            <v>1</v>
          </cell>
        </row>
        <row r="282">
          <cell r="B282" t="str">
            <v>8.1.15</v>
          </cell>
          <cell r="C282" t="str">
            <v>SALIDA + TOMA BIFASICA 20 A 250V (GFCI) - PVC</v>
          </cell>
          <cell r="I282" t="str">
            <v>UN</v>
          </cell>
          <cell r="J282">
            <v>0.75</v>
          </cell>
          <cell r="K282">
            <v>113041</v>
          </cell>
          <cell r="L282">
            <v>84780.75</v>
          </cell>
          <cell r="N282">
            <v>0</v>
          </cell>
          <cell r="O282">
            <v>0</v>
          </cell>
          <cell r="Q282">
            <v>0.75</v>
          </cell>
          <cell r="R282">
            <v>84780.75</v>
          </cell>
          <cell r="T282">
            <v>0.75</v>
          </cell>
          <cell r="U282">
            <v>84780.75</v>
          </cell>
          <cell r="V282">
            <v>1</v>
          </cell>
        </row>
        <row r="283">
          <cell r="B283" t="str">
            <v>8.1.18</v>
          </cell>
          <cell r="C283" t="str">
            <v>SALIDA PARA LAMPARA FLUORESCENTE - EMT</v>
          </cell>
          <cell r="I283" t="str">
            <v>UN</v>
          </cell>
          <cell r="J283">
            <v>376</v>
          </cell>
          <cell r="K283">
            <v>101739</v>
          </cell>
          <cell r="L283">
            <v>38253864</v>
          </cell>
          <cell r="N283">
            <v>0</v>
          </cell>
          <cell r="O283">
            <v>0</v>
          </cell>
          <cell r="Q283">
            <v>145</v>
          </cell>
          <cell r="R283">
            <v>14752155</v>
          </cell>
          <cell r="T283">
            <v>145</v>
          </cell>
          <cell r="U283">
            <v>14752155</v>
          </cell>
          <cell r="V283">
            <v>0.38563829787234044</v>
          </cell>
        </row>
        <row r="284">
          <cell r="B284" t="str">
            <v>8.1.21</v>
          </cell>
          <cell r="C284" t="str">
            <v>SALIDA + INTERRUPTOR SENCILLO CONMUTABLE - PVC</v>
          </cell>
          <cell r="I284" t="str">
            <v>UN</v>
          </cell>
          <cell r="K284">
            <v>85701</v>
          </cell>
          <cell r="L284">
            <v>0</v>
          </cell>
          <cell r="N284">
            <v>0</v>
          </cell>
          <cell r="O284">
            <v>0</v>
          </cell>
          <cell r="Q284">
            <v>0</v>
          </cell>
          <cell r="R284">
            <v>0</v>
          </cell>
          <cell r="T284">
            <v>0</v>
          </cell>
          <cell r="U284">
            <v>0</v>
          </cell>
          <cell r="V284">
            <v>0</v>
          </cell>
        </row>
        <row r="285">
          <cell r="B285" t="str">
            <v>8.1.26</v>
          </cell>
          <cell r="C285" t="str">
            <v>SALIDA ELECTRICA PVC 120 V. INCLUYE CAJA 5800, TUBERIA DE 1/2", CABLEADO LSZH Y ACCESORIOS</v>
          </cell>
          <cell r="I285" t="str">
            <v>UN</v>
          </cell>
          <cell r="J285">
            <v>113</v>
          </cell>
          <cell r="K285">
            <v>104644</v>
          </cell>
          <cell r="L285">
            <v>11824772</v>
          </cell>
          <cell r="N285">
            <v>0</v>
          </cell>
          <cell r="O285">
            <v>0</v>
          </cell>
          <cell r="Q285">
            <v>73</v>
          </cell>
          <cell r="R285">
            <v>7639012</v>
          </cell>
          <cell r="T285">
            <v>73</v>
          </cell>
          <cell r="U285">
            <v>7639012</v>
          </cell>
          <cell r="V285">
            <v>0.64601769911504425</v>
          </cell>
        </row>
        <row r="286">
          <cell r="B286" t="str">
            <v>8.1.27</v>
          </cell>
          <cell r="C286" t="str">
            <v>SALIDA ELECTRICA EMT 120 V. INCLUYE CAJA 5800, TUBERIA DE 1/2", CABLEADO LSZH Y ACCESORIOS</v>
          </cell>
          <cell r="I286" t="str">
            <v>UN</v>
          </cell>
          <cell r="L286">
            <v>0</v>
          </cell>
          <cell r="N286">
            <v>0</v>
          </cell>
          <cell r="O286">
            <v>0</v>
          </cell>
          <cell r="Q286">
            <v>0</v>
          </cell>
          <cell r="R286">
            <v>0</v>
          </cell>
          <cell r="T286">
            <v>0</v>
          </cell>
          <cell r="U286">
            <v>0</v>
          </cell>
          <cell r="V286">
            <v>0</v>
          </cell>
        </row>
        <row r="287">
          <cell r="B287" t="str">
            <v>8.2</v>
          </cell>
          <cell r="C287" t="str">
            <v>BANDEJAS DE DISTRIBUCION</v>
          </cell>
          <cell r="L287">
            <v>0</v>
          </cell>
          <cell r="N287">
            <v>0</v>
          </cell>
          <cell r="O287">
            <v>0</v>
          </cell>
          <cell r="Q287">
            <v>0</v>
          </cell>
          <cell r="R287">
            <v>0</v>
          </cell>
          <cell r="T287">
            <v>0</v>
          </cell>
          <cell r="U287">
            <v>0</v>
          </cell>
          <cell r="V287">
            <v>0</v>
          </cell>
        </row>
        <row r="288">
          <cell r="B288" t="str">
            <v>8.2.3</v>
          </cell>
          <cell r="C288" t="str">
            <v>DUCTO CANALETA PLASTICA 10 x 4 CON TAPA REMOVIBLE CON DIVISION INCLUYE FIJACIONES,  ANCLAJE Y ACCESORIOS</v>
          </cell>
          <cell r="I288" t="str">
            <v>M</v>
          </cell>
          <cell r="J288">
            <v>15</v>
          </cell>
          <cell r="K288">
            <v>71987</v>
          </cell>
          <cell r="L288">
            <v>1079805</v>
          </cell>
          <cell r="N288">
            <v>0</v>
          </cell>
          <cell r="O288">
            <v>0</v>
          </cell>
          <cell r="Q288">
            <v>0</v>
          </cell>
          <cell r="R288">
            <v>0</v>
          </cell>
          <cell r="T288">
            <v>0</v>
          </cell>
          <cell r="U288">
            <v>0</v>
          </cell>
          <cell r="V288">
            <v>0</v>
          </cell>
        </row>
        <row r="289">
          <cell r="B289" t="str">
            <v>8.3</v>
          </cell>
          <cell r="C289" t="str">
            <v>ACOMETIDAS Y CONDUCTORES</v>
          </cell>
          <cell r="L289">
            <v>0</v>
          </cell>
          <cell r="N289">
            <v>0</v>
          </cell>
          <cell r="O289">
            <v>0</v>
          </cell>
          <cell r="Q289">
            <v>0</v>
          </cell>
          <cell r="R289">
            <v>0</v>
          </cell>
          <cell r="T289">
            <v>0</v>
          </cell>
          <cell r="U289">
            <v>0</v>
          </cell>
          <cell r="V289">
            <v>0</v>
          </cell>
        </row>
        <row r="290">
          <cell r="B290" t="str">
            <v>8.3.1</v>
          </cell>
          <cell r="C290" t="str">
            <v>TUBERIA PVC 1/2" EMBEBIDA. INC. ACCESORIOS</v>
          </cell>
          <cell r="I290" t="str">
            <v>M</v>
          </cell>
          <cell r="K290">
            <v>5502</v>
          </cell>
          <cell r="L290">
            <v>0</v>
          </cell>
          <cell r="N290">
            <v>0</v>
          </cell>
          <cell r="O290">
            <v>0</v>
          </cell>
          <cell r="Q290">
            <v>0</v>
          </cell>
          <cell r="R290">
            <v>0</v>
          </cell>
          <cell r="T290">
            <v>0</v>
          </cell>
          <cell r="U290">
            <v>0</v>
          </cell>
          <cell r="V290">
            <v>0</v>
          </cell>
        </row>
        <row r="291">
          <cell r="B291" t="str">
            <v>8.3.2</v>
          </cell>
          <cell r="C291" t="str">
            <v>TUBERIA PVC 3/4" EMBEBIDA. INC. ACCESORIOS</v>
          </cell>
          <cell r="I291" t="str">
            <v>M</v>
          </cell>
          <cell r="J291">
            <v>200</v>
          </cell>
          <cell r="K291">
            <v>6763</v>
          </cell>
          <cell r="L291">
            <v>1352600</v>
          </cell>
          <cell r="N291">
            <v>0</v>
          </cell>
          <cell r="O291">
            <v>0</v>
          </cell>
          <cell r="Q291">
            <v>183</v>
          </cell>
          <cell r="R291">
            <v>1237629</v>
          </cell>
          <cell r="T291">
            <v>183</v>
          </cell>
          <cell r="U291">
            <v>1237629</v>
          </cell>
          <cell r="V291">
            <v>0.91500000000000004</v>
          </cell>
        </row>
        <row r="292">
          <cell r="B292" t="str">
            <v>8.3.3</v>
          </cell>
          <cell r="C292" t="str">
            <v>TUBERIA PVC 1" EMBEBIDA. INC. ACCESORIOS</v>
          </cell>
          <cell r="I292" t="str">
            <v>M</v>
          </cell>
          <cell r="J292">
            <v>300</v>
          </cell>
          <cell r="K292">
            <v>7886</v>
          </cell>
          <cell r="L292">
            <v>2365800</v>
          </cell>
          <cell r="N292">
            <v>0</v>
          </cell>
          <cell r="O292">
            <v>0</v>
          </cell>
          <cell r="Q292">
            <v>0</v>
          </cell>
          <cell r="R292">
            <v>0</v>
          </cell>
          <cell r="T292">
            <v>0</v>
          </cell>
          <cell r="U292">
            <v>0</v>
          </cell>
          <cell r="V292">
            <v>0</v>
          </cell>
        </row>
        <row r="293">
          <cell r="B293" t="str">
            <v>8.3.5</v>
          </cell>
          <cell r="C293" t="str">
            <v>TUBERIA PVC 1 1/2"  EMBEBIDA. INC. ACCESORIOS</v>
          </cell>
          <cell r="I293" t="str">
            <v>M</v>
          </cell>
          <cell r="K293">
            <v>11482</v>
          </cell>
          <cell r="L293">
            <v>0</v>
          </cell>
          <cell r="N293">
            <v>0</v>
          </cell>
          <cell r="O293">
            <v>0</v>
          </cell>
          <cell r="Q293">
            <v>0</v>
          </cell>
          <cell r="R293">
            <v>0</v>
          </cell>
          <cell r="T293">
            <v>0</v>
          </cell>
          <cell r="U293">
            <v>0</v>
          </cell>
          <cell r="V293">
            <v>0</v>
          </cell>
        </row>
        <row r="294">
          <cell r="B294" t="str">
            <v>8.3.9</v>
          </cell>
          <cell r="C294" t="str">
            <v>TUBERIA EMT 3/4" - SUSPENDIDA INCLUYE ACCESORIOS Y FIJACIONES</v>
          </cell>
          <cell r="I294" t="str">
            <v>M</v>
          </cell>
          <cell r="J294">
            <v>160</v>
          </cell>
          <cell r="K294">
            <v>12663</v>
          </cell>
          <cell r="L294">
            <v>2026080</v>
          </cell>
          <cell r="N294">
            <v>0</v>
          </cell>
          <cell r="O294">
            <v>0</v>
          </cell>
          <cell r="Q294">
            <v>0</v>
          </cell>
          <cell r="R294">
            <v>0</v>
          </cell>
          <cell r="T294">
            <v>0</v>
          </cell>
          <cell r="U294">
            <v>0</v>
          </cell>
          <cell r="V294">
            <v>0</v>
          </cell>
        </row>
        <row r="295">
          <cell r="B295" t="str">
            <v>8.3.10</v>
          </cell>
          <cell r="C295" t="str">
            <v>TUBERIA EMT 1" - SUSPENDIDA INCLUYE ACCESORIOS Y FIJACIONES</v>
          </cell>
          <cell r="I295" t="str">
            <v>M</v>
          </cell>
          <cell r="J295">
            <v>100</v>
          </cell>
          <cell r="K295">
            <v>15773</v>
          </cell>
          <cell r="L295">
            <v>1577300</v>
          </cell>
          <cell r="N295">
            <v>0</v>
          </cell>
          <cell r="O295">
            <v>0</v>
          </cell>
          <cell r="Q295">
            <v>0</v>
          </cell>
          <cell r="R295">
            <v>0</v>
          </cell>
          <cell r="T295">
            <v>0</v>
          </cell>
          <cell r="U295">
            <v>0</v>
          </cell>
          <cell r="V295">
            <v>0</v>
          </cell>
        </row>
        <row r="296">
          <cell r="B296" t="str">
            <v>8.3.14</v>
          </cell>
          <cell r="C296" t="str">
            <v>CABLEADO 1#12</v>
          </cell>
          <cell r="I296" t="str">
            <v>M</v>
          </cell>
          <cell r="K296">
            <v>2699</v>
          </cell>
          <cell r="L296">
            <v>0</v>
          </cell>
          <cell r="N296">
            <v>0</v>
          </cell>
          <cell r="O296">
            <v>0</v>
          </cell>
          <cell r="Q296">
            <v>0</v>
          </cell>
          <cell r="R296">
            <v>0</v>
          </cell>
          <cell r="T296">
            <v>0</v>
          </cell>
          <cell r="U296">
            <v>0</v>
          </cell>
          <cell r="V296">
            <v>0</v>
          </cell>
        </row>
        <row r="297">
          <cell r="B297" t="str">
            <v>8.3.19</v>
          </cell>
          <cell r="C297" t="str">
            <v>CABLEADO 3#10</v>
          </cell>
          <cell r="I297" t="str">
            <v>M</v>
          </cell>
          <cell r="J297">
            <v>100</v>
          </cell>
          <cell r="K297">
            <v>9688</v>
          </cell>
          <cell r="L297">
            <v>968800</v>
          </cell>
          <cell r="N297">
            <v>0</v>
          </cell>
          <cell r="O297">
            <v>0</v>
          </cell>
          <cell r="Q297">
            <v>0</v>
          </cell>
          <cell r="R297">
            <v>0</v>
          </cell>
          <cell r="T297">
            <v>0</v>
          </cell>
          <cell r="U297">
            <v>0</v>
          </cell>
          <cell r="V297">
            <v>0</v>
          </cell>
        </row>
        <row r="298">
          <cell r="B298" t="str">
            <v>8.3.22</v>
          </cell>
          <cell r="C298" t="str">
            <v>CABLEADO 3#10</v>
          </cell>
          <cell r="I298" t="str">
            <v>M</v>
          </cell>
          <cell r="K298">
            <v>13360</v>
          </cell>
          <cell r="L298">
            <v>0</v>
          </cell>
          <cell r="N298">
            <v>0</v>
          </cell>
          <cell r="O298">
            <v>0</v>
          </cell>
          <cell r="Q298">
            <v>0</v>
          </cell>
          <cell r="R298">
            <v>0</v>
          </cell>
          <cell r="T298">
            <v>0</v>
          </cell>
          <cell r="U298">
            <v>0</v>
          </cell>
          <cell r="V298">
            <v>0</v>
          </cell>
        </row>
        <row r="299">
          <cell r="B299" t="str">
            <v>8.3.28</v>
          </cell>
          <cell r="C299" t="str">
            <v>CABLEADO 3#8 + 2#10</v>
          </cell>
          <cell r="I299" t="str">
            <v>M</v>
          </cell>
          <cell r="J299">
            <v>200</v>
          </cell>
          <cell r="K299">
            <v>24282</v>
          </cell>
          <cell r="L299">
            <v>4856400</v>
          </cell>
          <cell r="N299">
            <v>0</v>
          </cell>
          <cell r="O299">
            <v>0</v>
          </cell>
          <cell r="Q299">
            <v>0</v>
          </cell>
          <cell r="R299">
            <v>0</v>
          </cell>
          <cell r="T299">
            <v>0</v>
          </cell>
          <cell r="U299">
            <v>0</v>
          </cell>
          <cell r="V299">
            <v>0</v>
          </cell>
        </row>
        <row r="300">
          <cell r="B300" t="str">
            <v>8.3.36</v>
          </cell>
          <cell r="C300" t="str">
            <v>CABLEADO 3#8 + 1#6 + 2#10</v>
          </cell>
          <cell r="I300" t="str">
            <v>M</v>
          </cell>
          <cell r="J300">
            <v>60</v>
          </cell>
          <cell r="K300">
            <v>34279</v>
          </cell>
          <cell r="L300">
            <v>2056740</v>
          </cell>
          <cell r="N300">
            <v>0</v>
          </cell>
          <cell r="O300">
            <v>0</v>
          </cell>
          <cell r="Q300">
            <v>0</v>
          </cell>
          <cell r="R300">
            <v>0</v>
          </cell>
          <cell r="T300">
            <v>0</v>
          </cell>
          <cell r="U300">
            <v>0</v>
          </cell>
          <cell r="V300">
            <v>0</v>
          </cell>
        </row>
        <row r="301">
          <cell r="B301" t="str">
            <v>8.3.39</v>
          </cell>
          <cell r="C301" t="str">
            <v>CABLEADO 3#6 + 1#8 + 1#10T</v>
          </cell>
          <cell r="I301" t="str">
            <v>M</v>
          </cell>
          <cell r="K301">
            <v>35853</v>
          </cell>
          <cell r="L301">
            <v>0</v>
          </cell>
          <cell r="N301">
            <v>0</v>
          </cell>
          <cell r="O301">
            <v>0</v>
          </cell>
          <cell r="Q301">
            <v>0</v>
          </cell>
          <cell r="R301">
            <v>0</v>
          </cell>
          <cell r="T301">
            <v>0</v>
          </cell>
          <cell r="U301">
            <v>0</v>
          </cell>
          <cell r="V301">
            <v>0</v>
          </cell>
        </row>
        <row r="302">
          <cell r="B302" t="str">
            <v>8.3.43</v>
          </cell>
          <cell r="C302" t="str">
            <v>CABLEADO 3#4 + 1#6 + 1#6T</v>
          </cell>
          <cell r="I302" t="str">
            <v>M</v>
          </cell>
          <cell r="J302">
            <v>10</v>
          </cell>
          <cell r="K302">
            <v>58356</v>
          </cell>
          <cell r="L302">
            <v>583560</v>
          </cell>
          <cell r="N302">
            <v>0</v>
          </cell>
          <cell r="O302">
            <v>0</v>
          </cell>
          <cell r="Q302">
            <v>0</v>
          </cell>
          <cell r="R302">
            <v>0</v>
          </cell>
          <cell r="T302">
            <v>0</v>
          </cell>
          <cell r="U302">
            <v>0</v>
          </cell>
          <cell r="V302">
            <v>0</v>
          </cell>
        </row>
        <row r="303">
          <cell r="B303" t="str">
            <v>8.3.45</v>
          </cell>
          <cell r="C303" t="str">
            <v>CABLEADO 3#4 + 1#2 + 2#6T</v>
          </cell>
          <cell r="I303" t="str">
            <v>M</v>
          </cell>
          <cell r="J303">
            <v>40</v>
          </cell>
          <cell r="K303">
            <v>82261</v>
          </cell>
          <cell r="L303">
            <v>3290440</v>
          </cell>
          <cell r="N303">
            <v>0</v>
          </cell>
          <cell r="O303">
            <v>0</v>
          </cell>
          <cell r="Q303">
            <v>0</v>
          </cell>
          <cell r="R303">
            <v>0</v>
          </cell>
          <cell r="T303">
            <v>0</v>
          </cell>
          <cell r="U303">
            <v>0</v>
          </cell>
          <cell r="V303">
            <v>0</v>
          </cell>
        </row>
        <row r="304">
          <cell r="B304" t="str">
            <v>8.3.47</v>
          </cell>
          <cell r="C304" t="str">
            <v>CABLEADO 3#2 + 1#4 + 1#6T</v>
          </cell>
          <cell r="I304" t="str">
            <v>M</v>
          </cell>
          <cell r="K304">
            <v>93659</v>
          </cell>
          <cell r="L304">
            <v>0</v>
          </cell>
          <cell r="N304">
            <v>0</v>
          </cell>
          <cell r="O304">
            <v>0</v>
          </cell>
          <cell r="Q304">
            <v>0</v>
          </cell>
          <cell r="R304">
            <v>0</v>
          </cell>
          <cell r="T304">
            <v>0</v>
          </cell>
          <cell r="U304">
            <v>0</v>
          </cell>
          <cell r="V304">
            <v>0</v>
          </cell>
        </row>
        <row r="305">
          <cell r="B305" t="str">
            <v>8.3.52</v>
          </cell>
          <cell r="C305" t="str">
            <v>CABLEADO 3#1/0 + 1#2 + 1#4T</v>
          </cell>
          <cell r="I305" t="str">
            <v>M</v>
          </cell>
          <cell r="J305">
            <v>60</v>
          </cell>
          <cell r="K305">
            <v>151316</v>
          </cell>
          <cell r="L305">
            <v>9078960</v>
          </cell>
          <cell r="N305">
            <v>0</v>
          </cell>
          <cell r="O305">
            <v>0</v>
          </cell>
          <cell r="Q305">
            <v>0</v>
          </cell>
          <cell r="R305">
            <v>0</v>
          </cell>
          <cell r="T305">
            <v>0</v>
          </cell>
          <cell r="U305">
            <v>0</v>
          </cell>
          <cell r="V305">
            <v>0</v>
          </cell>
        </row>
        <row r="306">
          <cell r="B306" t="str">
            <v>8.3.53</v>
          </cell>
          <cell r="C306" t="str">
            <v>CABLEADO 3#2/0 + 1#1/0 + 1#6</v>
          </cell>
          <cell r="I306" t="str">
            <v>M</v>
          </cell>
          <cell r="J306">
            <v>20</v>
          </cell>
          <cell r="K306">
            <v>177630</v>
          </cell>
          <cell r="L306">
            <v>3552600</v>
          </cell>
          <cell r="N306">
            <v>0</v>
          </cell>
          <cell r="O306">
            <v>0</v>
          </cell>
          <cell r="Q306">
            <v>0</v>
          </cell>
          <cell r="R306">
            <v>0</v>
          </cell>
          <cell r="T306">
            <v>0</v>
          </cell>
          <cell r="U306">
            <v>0</v>
          </cell>
          <cell r="V306">
            <v>0</v>
          </cell>
        </row>
        <row r="307">
          <cell r="B307" t="str">
            <v>8.4</v>
          </cell>
          <cell r="C307" t="str">
            <v>TABLEROS E INTERRUPTORES</v>
          </cell>
          <cell r="L307">
            <v>0</v>
          </cell>
          <cell r="N307">
            <v>0</v>
          </cell>
          <cell r="O307">
            <v>0</v>
          </cell>
          <cell r="Q307">
            <v>0</v>
          </cell>
          <cell r="R307">
            <v>0</v>
          </cell>
          <cell r="T307">
            <v>0</v>
          </cell>
          <cell r="U307">
            <v>0</v>
          </cell>
        </row>
        <row r="308">
          <cell r="B308" t="str">
            <v>8.4.1</v>
          </cell>
          <cell r="C308" t="str">
            <v>TABLERO DE AUTOMÁTICOS DE 12 CIRCUITOS TIPO PESADO CON PUERTA Y CERRADURA DE CIERRE, CERRADURA Y ESPACIO TOTALIZADOR INDUSTRIAL NTQ-412T Y BARRAJE DE TIERRA AISLADA.</v>
          </cell>
          <cell r="I308" t="str">
            <v>UN</v>
          </cell>
          <cell r="J308">
            <v>3</v>
          </cell>
          <cell r="K308">
            <v>344333</v>
          </cell>
          <cell r="L308">
            <v>1032999</v>
          </cell>
          <cell r="N308">
            <v>0</v>
          </cell>
          <cell r="O308">
            <v>0</v>
          </cell>
          <cell r="Q308">
            <v>0</v>
          </cell>
          <cell r="R308">
            <v>0</v>
          </cell>
          <cell r="T308">
            <v>0</v>
          </cell>
          <cell r="U308">
            <v>0</v>
          </cell>
          <cell r="V308">
            <v>0</v>
          </cell>
        </row>
        <row r="309">
          <cell r="B309" t="str">
            <v>8.4.3</v>
          </cell>
          <cell r="C309" t="str">
            <v>TABLERO DE AUTOMÁTICOS DE 24 CIRCUITOS TIPO PESADO CON PUERTA Y CERRADURA DE CIERRE, CERRADURA Y ESPACIO TOTALIZADOR INDUSTRIAL NTQ-412T Y BARRAJE DE TIERRA AISLADA.</v>
          </cell>
          <cell r="I309" t="str">
            <v>UN</v>
          </cell>
          <cell r="J309">
            <v>1</v>
          </cell>
          <cell r="K309">
            <v>502231</v>
          </cell>
          <cell r="L309">
            <v>502231</v>
          </cell>
          <cell r="N309">
            <v>0</v>
          </cell>
          <cell r="O309">
            <v>0</v>
          </cell>
          <cell r="Q309">
            <v>1</v>
          </cell>
          <cell r="R309">
            <v>502231</v>
          </cell>
          <cell r="T309">
            <v>1</v>
          </cell>
          <cell r="U309">
            <v>502231</v>
          </cell>
          <cell r="V309">
            <v>1</v>
          </cell>
        </row>
        <row r="310">
          <cell r="B310" t="str">
            <v>8.4.6</v>
          </cell>
          <cell r="C310" t="str">
            <v>TABLERO DE AUTOMÁTICOS DE 42 CIRCUITOS TIPO PESADO CON PUERTA Y CERRADURA DE CIERRE, CERRADURA Y ESPACIO TOTALIZADOR INDUSTRIAL NTQ-412T Y BARRAJE DE TIERRA AISLADA.</v>
          </cell>
          <cell r="I310" t="str">
            <v>UN</v>
          </cell>
          <cell r="J310">
            <v>1</v>
          </cell>
          <cell r="K310">
            <v>666248</v>
          </cell>
          <cell r="L310">
            <v>666248</v>
          </cell>
          <cell r="N310">
            <v>0</v>
          </cell>
          <cell r="O310">
            <v>0</v>
          </cell>
          <cell r="Q310">
            <v>0</v>
          </cell>
          <cell r="R310">
            <v>0</v>
          </cell>
          <cell r="T310">
            <v>0</v>
          </cell>
          <cell r="U310">
            <v>0</v>
          </cell>
          <cell r="V310">
            <v>0</v>
          </cell>
        </row>
        <row r="311">
          <cell r="B311" t="str">
            <v>8.4.7</v>
          </cell>
          <cell r="C311" t="str">
            <v>INTERRUPTOR AUTOMATICO ENCHUFABLE 1 POLO 15/60 A</v>
          </cell>
          <cell r="I311" t="str">
            <v>UN</v>
          </cell>
          <cell r="J311">
            <v>100</v>
          </cell>
          <cell r="K311">
            <v>17657</v>
          </cell>
          <cell r="L311">
            <v>1765700</v>
          </cell>
          <cell r="N311">
            <v>0</v>
          </cell>
          <cell r="O311">
            <v>0</v>
          </cell>
          <cell r="Q311">
            <v>0</v>
          </cell>
          <cell r="R311">
            <v>0</v>
          </cell>
          <cell r="T311">
            <v>0</v>
          </cell>
          <cell r="U311">
            <v>0</v>
          </cell>
          <cell r="V311">
            <v>0</v>
          </cell>
        </row>
        <row r="312">
          <cell r="B312" t="str">
            <v>8.4.8</v>
          </cell>
          <cell r="C312" t="str">
            <v>INTERRUPTOR AUTOMATICO ENCHUFABLE 2 POLO 15/30 A</v>
          </cell>
          <cell r="I312" t="str">
            <v>UN</v>
          </cell>
          <cell r="J312">
            <v>20</v>
          </cell>
          <cell r="K312">
            <v>35785</v>
          </cell>
          <cell r="L312">
            <v>715700</v>
          </cell>
          <cell r="N312">
            <v>0</v>
          </cell>
          <cell r="O312">
            <v>0</v>
          </cell>
          <cell r="Q312">
            <v>0</v>
          </cell>
          <cell r="R312">
            <v>0</v>
          </cell>
          <cell r="T312">
            <v>0</v>
          </cell>
          <cell r="U312">
            <v>0</v>
          </cell>
          <cell r="V312">
            <v>0</v>
          </cell>
        </row>
        <row r="313">
          <cell r="B313" t="str">
            <v>8.4.13</v>
          </cell>
          <cell r="C313" t="str">
            <v>BREAKER INDUSTRIAL 3 X 15/60 A</v>
          </cell>
          <cell r="I313" t="str">
            <v>UN</v>
          </cell>
          <cell r="J313">
            <v>5</v>
          </cell>
          <cell r="K313">
            <v>327327</v>
          </cell>
          <cell r="L313">
            <v>1636635</v>
          </cell>
          <cell r="N313">
            <v>0</v>
          </cell>
          <cell r="O313">
            <v>0</v>
          </cell>
          <cell r="Q313">
            <v>0</v>
          </cell>
          <cell r="R313">
            <v>0</v>
          </cell>
          <cell r="T313">
            <v>0</v>
          </cell>
          <cell r="U313">
            <v>0</v>
          </cell>
          <cell r="V313">
            <v>0</v>
          </cell>
        </row>
        <row r="314">
          <cell r="B314" t="str">
            <v>8.4.14</v>
          </cell>
          <cell r="C314" t="str">
            <v>BREAKER INDUSTRIAL 3 X 75/100 A</v>
          </cell>
          <cell r="I314" t="str">
            <v>UN</v>
          </cell>
          <cell r="J314">
            <v>1</v>
          </cell>
          <cell r="K314">
            <v>364560</v>
          </cell>
          <cell r="L314">
            <v>364560</v>
          </cell>
          <cell r="N314">
            <v>0</v>
          </cell>
          <cell r="O314">
            <v>0</v>
          </cell>
          <cell r="Q314">
            <v>0</v>
          </cell>
          <cell r="R314">
            <v>0</v>
          </cell>
          <cell r="T314">
            <v>0</v>
          </cell>
          <cell r="U314">
            <v>0</v>
          </cell>
          <cell r="V314">
            <v>0</v>
          </cell>
        </row>
        <row r="315">
          <cell r="B315" t="str">
            <v>8.4.15</v>
          </cell>
          <cell r="C315" t="str">
            <v>BREAKER INDUSTRIAL 3 X 125/225 A</v>
          </cell>
          <cell r="I315" t="str">
            <v>UN</v>
          </cell>
          <cell r="J315">
            <v>2</v>
          </cell>
          <cell r="K315">
            <v>546977</v>
          </cell>
          <cell r="L315">
            <v>1093954</v>
          </cell>
          <cell r="N315">
            <v>0</v>
          </cell>
          <cell r="O315">
            <v>0</v>
          </cell>
          <cell r="Q315">
            <v>0</v>
          </cell>
          <cell r="R315">
            <v>0</v>
          </cell>
          <cell r="T315">
            <v>0</v>
          </cell>
          <cell r="U315">
            <v>0</v>
          </cell>
          <cell r="V315">
            <v>0</v>
          </cell>
        </row>
        <row r="316">
          <cell r="B316" t="str">
            <v>8.6</v>
          </cell>
          <cell r="C316" t="str">
            <v>CABLEADO ESTRUCTURADO, VOZ Y DATOS</v>
          </cell>
          <cell r="L316">
            <v>0</v>
          </cell>
          <cell r="N316">
            <v>0</v>
          </cell>
          <cell r="O316">
            <v>0</v>
          </cell>
          <cell r="Q316">
            <v>0</v>
          </cell>
          <cell r="R316">
            <v>0</v>
          </cell>
          <cell r="T316">
            <v>0</v>
          </cell>
          <cell r="U316">
            <v>0</v>
          </cell>
          <cell r="V316">
            <v>0</v>
          </cell>
        </row>
        <row r="317">
          <cell r="B317" t="str">
            <v>8.6.1</v>
          </cell>
          <cell r="C317" t="str">
            <v>CABLE UTP CAT 6 TENDIDO Y CERTIFICADO. INCLUYE TERMINALES RJ45 Y MARCACION</v>
          </cell>
          <cell r="I317" t="str">
            <v>M</v>
          </cell>
          <cell r="K317">
            <v>4462</v>
          </cell>
          <cell r="L317">
            <v>0</v>
          </cell>
          <cell r="N317">
            <v>0</v>
          </cell>
          <cell r="O317">
            <v>0</v>
          </cell>
          <cell r="Q317">
            <v>0</v>
          </cell>
          <cell r="R317">
            <v>0</v>
          </cell>
          <cell r="T317">
            <v>0</v>
          </cell>
          <cell r="U317">
            <v>0</v>
          </cell>
          <cell r="V317">
            <v>0</v>
          </cell>
        </row>
        <row r="318">
          <cell r="B318" t="str">
            <v>8.6.5</v>
          </cell>
          <cell r="C318" t="str">
            <v>SALIDA DE VOZ Y DATOS EN CANALETA</v>
          </cell>
          <cell r="I318" t="str">
            <v>UN</v>
          </cell>
          <cell r="K318">
            <v>79483</v>
          </cell>
          <cell r="L318">
            <v>0</v>
          </cell>
          <cell r="N318">
            <v>0</v>
          </cell>
          <cell r="O318">
            <v>0</v>
          </cell>
          <cell r="Q318">
            <v>0</v>
          </cell>
          <cell r="R318">
            <v>0</v>
          </cell>
          <cell r="T318">
            <v>0</v>
          </cell>
          <cell r="U318">
            <v>0</v>
          </cell>
        </row>
        <row r="319">
          <cell r="B319" t="str">
            <v>8.6.8</v>
          </cell>
          <cell r="C319" t="str">
            <v>ACCES POINT 3COM O EQUIVALENTE</v>
          </cell>
          <cell r="I319" t="str">
            <v>UN</v>
          </cell>
          <cell r="J319">
            <v>3.6538075809813328</v>
          </cell>
          <cell r="K319">
            <v>2192576</v>
          </cell>
          <cell r="L319">
            <v>8011250.8106777268</v>
          </cell>
          <cell r="N319">
            <v>0</v>
          </cell>
          <cell r="O319">
            <v>0</v>
          </cell>
          <cell r="Q319">
            <v>0</v>
          </cell>
          <cell r="R319">
            <v>0</v>
          </cell>
          <cell r="T319">
            <v>0</v>
          </cell>
          <cell r="U319">
            <v>0</v>
          </cell>
          <cell r="V319">
            <v>0</v>
          </cell>
        </row>
        <row r="320">
          <cell r="B320" t="str">
            <v>8.6.9</v>
          </cell>
          <cell r="C320" t="str">
            <v>SALIDA PARA TOMACORRIENTE DOBLE MONOFASICA EN CANALETA</v>
          </cell>
          <cell r="I320" t="str">
            <v>UN</v>
          </cell>
          <cell r="K320">
            <v>51113</v>
          </cell>
          <cell r="L320">
            <v>0</v>
          </cell>
          <cell r="N320">
            <v>0</v>
          </cell>
          <cell r="O320">
            <v>0</v>
          </cell>
          <cell r="Q320">
            <v>0</v>
          </cell>
          <cell r="R320">
            <v>0</v>
          </cell>
          <cell r="T320">
            <v>0</v>
          </cell>
          <cell r="U320">
            <v>0</v>
          </cell>
          <cell r="V320">
            <v>0</v>
          </cell>
        </row>
        <row r="321">
          <cell r="B321" t="str">
            <v>8.6.10</v>
          </cell>
          <cell r="C321" t="str">
            <v>TOMACORRIENTE DOBLE  POLO A TIERRA REGULADA COLOR NARANJA EN CANALETA</v>
          </cell>
          <cell r="I321" t="str">
            <v>UN</v>
          </cell>
          <cell r="K321">
            <v>81676</v>
          </cell>
          <cell r="L321">
            <v>0</v>
          </cell>
          <cell r="N321">
            <v>0</v>
          </cell>
          <cell r="O321">
            <v>0</v>
          </cell>
          <cell r="Q321">
            <v>0</v>
          </cell>
          <cell r="R321">
            <v>0</v>
          </cell>
          <cell r="T321">
            <v>0</v>
          </cell>
          <cell r="U321">
            <v>0</v>
          </cell>
          <cell r="V321">
            <v>0</v>
          </cell>
        </row>
        <row r="322">
          <cell r="B322" t="str">
            <v>8.6.11</v>
          </cell>
          <cell r="C322" t="str">
            <v>TOMACORRIENTE DOBLE POLO A TIERRA REGULADA</v>
          </cell>
          <cell r="I322" t="str">
            <v>UN</v>
          </cell>
          <cell r="K322">
            <v>98064</v>
          </cell>
          <cell r="L322">
            <v>0</v>
          </cell>
          <cell r="N322">
            <v>0</v>
          </cell>
          <cell r="O322">
            <v>0</v>
          </cell>
          <cell r="Q322">
            <v>0</v>
          </cell>
          <cell r="R322">
            <v>0</v>
          </cell>
          <cell r="T322">
            <v>0</v>
          </cell>
          <cell r="U322">
            <v>0</v>
          </cell>
          <cell r="V322">
            <v>0</v>
          </cell>
        </row>
        <row r="323">
          <cell r="B323" t="str">
            <v>8.6.13</v>
          </cell>
          <cell r="C323" t="str">
            <v>GABINETE 90X90 HOMOLOGADO INCLUYE VENTILADOR Y MULTITOMA</v>
          </cell>
          <cell r="I323" t="str">
            <v>UN</v>
          </cell>
          <cell r="K323">
            <v>1063333</v>
          </cell>
          <cell r="L323">
            <v>0</v>
          </cell>
          <cell r="N323">
            <v>0</v>
          </cell>
          <cell r="O323">
            <v>0</v>
          </cell>
          <cell r="Q323">
            <v>0</v>
          </cell>
          <cell r="R323">
            <v>0</v>
          </cell>
          <cell r="T323">
            <v>0</v>
          </cell>
          <cell r="U323">
            <v>0</v>
          </cell>
          <cell r="V323">
            <v>0</v>
          </cell>
        </row>
        <row r="324">
          <cell r="B324" t="str">
            <v>8.6.16</v>
          </cell>
          <cell r="C324" t="str">
            <v>REGULADOR TRIFASICO DE 5 KVA</v>
          </cell>
          <cell r="I324" t="str">
            <v>UN</v>
          </cell>
          <cell r="K324">
            <v>6051999</v>
          </cell>
          <cell r="L324">
            <v>0</v>
          </cell>
          <cell r="N324">
            <v>0</v>
          </cell>
          <cell r="O324">
            <v>0</v>
          </cell>
          <cell r="Q324">
            <v>0</v>
          </cell>
          <cell r="R324">
            <v>0</v>
          </cell>
          <cell r="T324">
            <v>0</v>
          </cell>
          <cell r="U324">
            <v>0</v>
          </cell>
          <cell r="V324">
            <v>0</v>
          </cell>
        </row>
        <row r="325">
          <cell r="B325" t="str">
            <v>8.7</v>
          </cell>
          <cell r="C325" t="str">
            <v>PUESTA A TIERRA Y PROTECCIÓN CONTRA DESCARGAS ATMOSFÉRICAS</v>
          </cell>
          <cell r="L325">
            <v>0</v>
          </cell>
          <cell r="N325">
            <v>0</v>
          </cell>
          <cell r="O325">
            <v>0</v>
          </cell>
          <cell r="Q325">
            <v>0</v>
          </cell>
          <cell r="R325">
            <v>0</v>
          </cell>
          <cell r="T325">
            <v>0</v>
          </cell>
          <cell r="U325">
            <v>0</v>
          </cell>
          <cell r="V325">
            <v>0</v>
          </cell>
        </row>
        <row r="326">
          <cell r="B326" t="str">
            <v>8.7.1</v>
          </cell>
          <cell r="C326" t="str">
            <v>ELECTRODO DE PUESTA A TIERRA EN CU DE 5/8"X 8' + CONECTOR</v>
          </cell>
          <cell r="I326" t="str">
            <v>UN</v>
          </cell>
          <cell r="K326">
            <v>144473</v>
          </cell>
          <cell r="L326">
            <v>0</v>
          </cell>
          <cell r="N326">
            <v>0</v>
          </cell>
          <cell r="O326">
            <v>0</v>
          </cell>
          <cell r="Q326">
            <v>0</v>
          </cell>
          <cell r="R326">
            <v>0</v>
          </cell>
          <cell r="T326">
            <v>0</v>
          </cell>
          <cell r="U326">
            <v>0</v>
          </cell>
          <cell r="V326">
            <v>0</v>
          </cell>
        </row>
        <row r="327">
          <cell r="B327" t="str">
            <v>8.7.3</v>
          </cell>
          <cell r="C327" t="str">
            <v>SUMINISTRO  DE UN KIT DE MONTAJE PARA PUNTA CAPTADORA COMPUESTO DE LOS SIGUIENTES ELEMENTOS: BASE EN BRONCE CON TORNILLOS DE FIJACIÓN A LA SUPERFICIE DE CONCRETO. PUNTA CAPTADORA FRANKLIN DE 0.80 M. DE ALTURA. EN ACERO INOXIDABLE DE Ø 3/8 “ TIPO 1 “. ABRA</v>
          </cell>
          <cell r="I327" t="str">
            <v>UN</v>
          </cell>
          <cell r="K327">
            <v>155708</v>
          </cell>
          <cell r="L327">
            <v>0</v>
          </cell>
          <cell r="N327">
            <v>0</v>
          </cell>
          <cell r="O327">
            <v>0</v>
          </cell>
          <cell r="Q327">
            <v>0</v>
          </cell>
          <cell r="R327">
            <v>0</v>
          </cell>
          <cell r="T327">
            <v>0</v>
          </cell>
          <cell r="U327">
            <v>0</v>
          </cell>
          <cell r="V327">
            <v>0</v>
          </cell>
        </row>
        <row r="328">
          <cell r="B328" t="str">
            <v>8.7.4</v>
          </cell>
          <cell r="C328" t="str">
            <v>SUMINISTRO  DE UN KIT DE MONTAJE PARA PUNTA CAPTADORA COMPUESTO DE LOS SIGUIENTES ELEMENTOS: BASE EN BRONCE CON TORNILLOS DE FIJACIÓN A LA SUPERFICIE DE CONCRETO. PUNTA CAPTADORA FRANKLIN DE 1.00 M. DE ALTURA. EN ACERO INOXIDABLE DE Ø 3/8 “ TIPO 1 “. ABRA</v>
          </cell>
          <cell r="I328" t="str">
            <v>UN</v>
          </cell>
          <cell r="K328">
            <v>173684</v>
          </cell>
          <cell r="L328">
            <v>0</v>
          </cell>
          <cell r="N328">
            <v>0</v>
          </cell>
          <cell r="O328">
            <v>0</v>
          </cell>
          <cell r="Q328">
            <v>0</v>
          </cell>
          <cell r="R328">
            <v>0</v>
          </cell>
          <cell r="T328">
            <v>0</v>
          </cell>
          <cell r="U328">
            <v>0</v>
          </cell>
          <cell r="V328">
            <v>0</v>
          </cell>
        </row>
        <row r="329">
          <cell r="B329" t="str">
            <v>8.7.5</v>
          </cell>
          <cell r="C329" t="str">
            <v>BAJANTE PARARRAYOS EN 3/4" X 3m GALVANIZADO Y CABLE #2 AWG  DESNUDO</v>
          </cell>
          <cell r="I329" t="str">
            <v>UN</v>
          </cell>
          <cell r="K329">
            <v>323698</v>
          </cell>
          <cell r="L329">
            <v>0</v>
          </cell>
          <cell r="N329">
            <v>0</v>
          </cell>
          <cell r="O329">
            <v>0</v>
          </cell>
          <cell r="Q329">
            <v>0</v>
          </cell>
          <cell r="R329">
            <v>0</v>
          </cell>
          <cell r="T329">
            <v>0</v>
          </cell>
          <cell r="U329">
            <v>0</v>
          </cell>
          <cell r="V329">
            <v>0</v>
          </cell>
        </row>
        <row r="330">
          <cell r="B330" t="str">
            <v>8.7.6</v>
          </cell>
          <cell r="C330" t="str">
            <v>TENDIDO DE CONDUCTOR DE COBRE DESNUDO # 2 AWG, DESDE LA CUBIERTA HASTA EL TERRENO POR LAS BAJANTES.</v>
          </cell>
          <cell r="I330" t="str">
            <v>M</v>
          </cell>
          <cell r="K330">
            <v>19441</v>
          </cell>
          <cell r="L330">
            <v>0</v>
          </cell>
          <cell r="N330">
            <v>0</v>
          </cell>
          <cell r="O330">
            <v>0</v>
          </cell>
          <cell r="Q330">
            <v>0</v>
          </cell>
          <cell r="R330">
            <v>0</v>
          </cell>
          <cell r="T330">
            <v>0</v>
          </cell>
          <cell r="U330">
            <v>0</v>
          </cell>
          <cell r="V330">
            <v>0</v>
          </cell>
        </row>
        <row r="331">
          <cell r="B331" t="str">
            <v>8.7.8</v>
          </cell>
          <cell r="C331" t="str">
            <v>TENDIDO DE TUBERÍA Ø 1” GALVANIZADO IMC EMBEBIDO EN LAS COLUMNAS DE CONCRETO, DESDE LA CUBIERTA HASTA EL TERRENO.</v>
          </cell>
          <cell r="I331" t="str">
            <v>M</v>
          </cell>
          <cell r="K331">
            <v>23207</v>
          </cell>
          <cell r="L331">
            <v>0</v>
          </cell>
          <cell r="N331">
            <v>0</v>
          </cell>
          <cell r="O331">
            <v>0</v>
          </cell>
          <cell r="Q331">
            <v>0</v>
          </cell>
          <cell r="R331">
            <v>0</v>
          </cell>
          <cell r="T331">
            <v>0</v>
          </cell>
          <cell r="U331">
            <v>0</v>
          </cell>
          <cell r="V331">
            <v>0</v>
          </cell>
        </row>
        <row r="332">
          <cell r="B332" t="str">
            <v>8.7.9</v>
          </cell>
          <cell r="C332" t="str">
            <v>ABRAZADERAS DE BRONCE PARA SOPORTAR EL CABLE AL MURO DE CONCRETO APROBADAS PARA INTEMPERIE.</v>
          </cell>
          <cell r="I332" t="str">
            <v>UN</v>
          </cell>
          <cell r="K332">
            <v>19325</v>
          </cell>
          <cell r="L332">
            <v>0</v>
          </cell>
          <cell r="N332">
            <v>0</v>
          </cell>
          <cell r="O332">
            <v>0</v>
          </cell>
          <cell r="Q332">
            <v>0</v>
          </cell>
          <cell r="R332">
            <v>0</v>
          </cell>
          <cell r="T332">
            <v>0</v>
          </cell>
          <cell r="U332">
            <v>0</v>
          </cell>
          <cell r="V332">
            <v>0</v>
          </cell>
        </row>
        <row r="333">
          <cell r="B333" t="str">
            <v>8.7.12</v>
          </cell>
          <cell r="C333" t="str">
            <v>CONEXIÓN EXOTÉRMICA VARILLA-CABLE CALIBRE #2 AWG. INCLUYE SUMINISTRO DE MOLDE FUNDENTE Y DEMÁS ACCESORIOS.</v>
          </cell>
          <cell r="I333" t="str">
            <v>UN</v>
          </cell>
          <cell r="K333">
            <v>41368</v>
          </cell>
          <cell r="L333">
            <v>0</v>
          </cell>
          <cell r="N333">
            <v>0</v>
          </cell>
          <cell r="O333">
            <v>0</v>
          </cell>
          <cell r="Q333">
            <v>0</v>
          </cell>
          <cell r="R333">
            <v>0</v>
          </cell>
          <cell r="T333">
            <v>0</v>
          </cell>
          <cell r="U333">
            <v>0</v>
          </cell>
          <cell r="V333">
            <v>0</v>
          </cell>
        </row>
        <row r="334">
          <cell r="B334" t="str">
            <v>8.7.14</v>
          </cell>
          <cell r="C334" t="str">
            <v>TIERRA TABLERO GRAL. DIST. 1 VARILLA Y CABLE 1/0</v>
          </cell>
          <cell r="I334" t="str">
            <v>UN</v>
          </cell>
          <cell r="K334">
            <v>340518</v>
          </cell>
          <cell r="L334">
            <v>0</v>
          </cell>
          <cell r="N334">
            <v>0</v>
          </cell>
          <cell r="O334">
            <v>0</v>
          </cell>
          <cell r="Q334">
            <v>0</v>
          </cell>
          <cell r="R334">
            <v>0</v>
          </cell>
          <cell r="T334">
            <v>0</v>
          </cell>
          <cell r="U334">
            <v>0</v>
          </cell>
          <cell r="V334">
            <v>0</v>
          </cell>
        </row>
        <row r="335">
          <cell r="B335" t="str">
            <v>8.7.18</v>
          </cell>
          <cell r="C335" t="str">
            <v xml:space="preserve">CAJA DE INSPECCION PARA ELECTRODO DE PUESTA A TIERRA 30 X 30. INCLUYE MARCO Y TAPA </v>
          </cell>
          <cell r="I335" t="str">
            <v>UN</v>
          </cell>
          <cell r="K335">
            <v>69445</v>
          </cell>
          <cell r="L335">
            <v>0</v>
          </cell>
          <cell r="N335">
            <v>0</v>
          </cell>
          <cell r="O335">
            <v>0</v>
          </cell>
          <cell r="Q335">
            <v>0</v>
          </cell>
          <cell r="R335">
            <v>0</v>
          </cell>
          <cell r="T335">
            <v>0</v>
          </cell>
          <cell r="U335">
            <v>0</v>
          </cell>
          <cell r="V335">
            <v>0</v>
          </cell>
        </row>
        <row r="336">
          <cell r="B336" t="str">
            <v>8.8</v>
          </cell>
          <cell r="C336" t="str">
            <v>CANALIZACION ELECTRICA</v>
          </cell>
          <cell r="L336">
            <v>0</v>
          </cell>
          <cell r="N336">
            <v>0</v>
          </cell>
          <cell r="O336">
            <v>0</v>
          </cell>
          <cell r="Q336">
            <v>0</v>
          </cell>
          <cell r="R336">
            <v>0</v>
          </cell>
          <cell r="T336">
            <v>0</v>
          </cell>
          <cell r="U336">
            <v>0</v>
          </cell>
          <cell r="V336">
            <v>0</v>
          </cell>
        </row>
        <row r="337">
          <cell r="B337" t="str">
            <v>8.8.1</v>
          </cell>
          <cell r="C337" t="str">
            <v>TENDIDO CANALIZACION ELECTRICA SUBTERRANEA TUBERIA PVC TIPO DUCTO ELECTRICO DB 1 x 2"  PVC</v>
          </cell>
          <cell r="I337" t="str">
            <v>M</v>
          </cell>
          <cell r="K337">
            <v>19047</v>
          </cell>
          <cell r="L337">
            <v>0</v>
          </cell>
          <cell r="N337">
            <v>0</v>
          </cell>
          <cell r="O337">
            <v>0</v>
          </cell>
          <cell r="Q337">
            <v>0</v>
          </cell>
          <cell r="R337">
            <v>0</v>
          </cell>
          <cell r="T337">
            <v>0</v>
          </cell>
          <cell r="U337">
            <v>0</v>
          </cell>
        </row>
        <row r="338">
          <cell r="B338" t="str">
            <v>8.8.3</v>
          </cell>
          <cell r="C338" t="str">
            <v>TENDIDO CANALIZACION ELECTRICA SUBTERRANEA TUBERIA PVC TIPO DUCTO ELECTRICO DB 2 x 3"  PVC</v>
          </cell>
          <cell r="I338" t="str">
            <v>M</v>
          </cell>
          <cell r="K338">
            <v>45553</v>
          </cell>
          <cell r="L338">
            <v>0</v>
          </cell>
          <cell r="N338">
            <v>0</v>
          </cell>
          <cell r="O338">
            <v>0</v>
          </cell>
          <cell r="Q338">
            <v>0</v>
          </cell>
          <cell r="R338">
            <v>0</v>
          </cell>
          <cell r="T338">
            <v>0</v>
          </cell>
          <cell r="U338">
            <v>0</v>
          </cell>
          <cell r="V338">
            <v>0</v>
          </cell>
        </row>
        <row r="339">
          <cell r="B339" t="str">
            <v>8.8.4</v>
          </cell>
          <cell r="C339" t="str">
            <v>TENDIDO CANALIZACION ELECTRICA SUBTERRANEA TUBERIA PVC TIPO DUCTO ELECTRICO DB 2 x 4"  PVC</v>
          </cell>
          <cell r="I339" t="str">
            <v>M</v>
          </cell>
          <cell r="K339">
            <v>96047</v>
          </cell>
          <cell r="L339">
            <v>0</v>
          </cell>
          <cell r="N339">
            <v>0</v>
          </cell>
          <cell r="O339">
            <v>0</v>
          </cell>
          <cell r="Q339">
            <v>0</v>
          </cell>
          <cell r="R339">
            <v>0</v>
          </cell>
          <cell r="T339">
            <v>0</v>
          </cell>
          <cell r="U339">
            <v>0</v>
          </cell>
          <cell r="V339">
            <v>0</v>
          </cell>
        </row>
        <row r="340">
          <cell r="B340" t="str">
            <v>8.9.2</v>
          </cell>
          <cell r="C340" t="str">
            <v xml:space="preserve">CAJA DE INSPECCION EN MAMPOSTERIA TIPO CS274 CODENSA CON MARCO Y TAPA 71.5X71.5 </v>
          </cell>
          <cell r="I340" t="str">
            <v>UN</v>
          </cell>
          <cell r="K340">
            <v>586799</v>
          </cell>
          <cell r="L340">
            <v>0</v>
          </cell>
          <cell r="N340">
            <v>0</v>
          </cell>
          <cell r="O340">
            <v>0</v>
          </cell>
          <cell r="Q340">
            <v>0</v>
          </cell>
          <cell r="R340">
            <v>0</v>
          </cell>
          <cell r="T340">
            <v>0</v>
          </cell>
          <cell r="U340">
            <v>0</v>
          </cell>
          <cell r="V340">
            <v>0</v>
          </cell>
        </row>
        <row r="341">
          <cell r="B341">
            <v>8.1</v>
          </cell>
          <cell r="C341" t="str">
            <v>POSTES DE CONCRETO</v>
          </cell>
          <cell r="L341">
            <v>0</v>
          </cell>
          <cell r="N341">
            <v>0</v>
          </cell>
          <cell r="O341">
            <v>0</v>
          </cell>
          <cell r="Q341">
            <v>0</v>
          </cell>
          <cell r="R341">
            <v>0</v>
          </cell>
          <cell r="T341">
            <v>0</v>
          </cell>
          <cell r="U341">
            <v>0</v>
          </cell>
          <cell r="V341">
            <v>0</v>
          </cell>
        </row>
        <row r="342">
          <cell r="B342" t="str">
            <v>8.10.2</v>
          </cell>
          <cell r="C342" t="str">
            <v>POSTE DE CONCRETO 8 MTS-750KG</v>
          </cell>
          <cell r="I342" t="str">
            <v>UN</v>
          </cell>
          <cell r="K342">
            <v>1512133</v>
          </cell>
          <cell r="L342">
            <v>0</v>
          </cell>
          <cell r="N342">
            <v>0</v>
          </cell>
          <cell r="O342">
            <v>0</v>
          </cell>
          <cell r="Q342">
            <v>0</v>
          </cell>
          <cell r="R342">
            <v>0</v>
          </cell>
          <cell r="T342">
            <v>0</v>
          </cell>
          <cell r="U342">
            <v>0</v>
          </cell>
          <cell r="V342">
            <v>0</v>
          </cell>
        </row>
        <row r="343">
          <cell r="B343">
            <v>8.11</v>
          </cell>
          <cell r="C343" t="str">
            <v>TRANSFORMADORES</v>
          </cell>
          <cell r="L343">
            <v>0</v>
          </cell>
          <cell r="N343">
            <v>0</v>
          </cell>
          <cell r="O343">
            <v>0</v>
          </cell>
          <cell r="Q343">
            <v>0</v>
          </cell>
          <cell r="R343">
            <v>0</v>
          </cell>
          <cell r="T343">
            <v>0</v>
          </cell>
          <cell r="U343">
            <v>0</v>
          </cell>
          <cell r="V343">
            <v>0</v>
          </cell>
        </row>
        <row r="344">
          <cell r="B344" t="str">
            <v>8.11.2</v>
          </cell>
          <cell r="C344" t="str">
            <v>SUMINISTRO E INSTALACION DE SUBESTACION ELECTRICA EN POSTE 45 KVA. INCLUYE SOPORTES, ACCESORIOS Y PROTECCIONES. NORMAS SEGÚN OPERADOR DE RED LOCAL. CERTIFICACION RETIE</v>
          </cell>
          <cell r="I344" t="str">
            <v>UN</v>
          </cell>
          <cell r="J344">
            <v>0</v>
          </cell>
          <cell r="K344">
            <v>18121675</v>
          </cell>
          <cell r="L344">
            <v>0</v>
          </cell>
          <cell r="N344">
            <v>0</v>
          </cell>
          <cell r="O344">
            <v>0</v>
          </cell>
          <cell r="Q344">
            <v>0</v>
          </cell>
          <cell r="R344">
            <v>0</v>
          </cell>
          <cell r="T344">
            <v>0</v>
          </cell>
          <cell r="U344">
            <v>0</v>
          </cell>
          <cell r="V344">
            <v>0</v>
          </cell>
        </row>
        <row r="345">
          <cell r="B345" t="str">
            <v>8.13</v>
          </cell>
          <cell r="C345" t="str">
            <v>ARMARIOS Y EQUIPOS DE MEDIDA</v>
          </cell>
          <cell r="L345">
            <v>0</v>
          </cell>
          <cell r="N345">
            <v>0</v>
          </cell>
          <cell r="O345">
            <v>0</v>
          </cell>
          <cell r="Q345">
            <v>0</v>
          </cell>
          <cell r="R345">
            <v>0</v>
          </cell>
          <cell r="T345">
            <v>0</v>
          </cell>
          <cell r="U345">
            <v>0</v>
          </cell>
          <cell r="V345">
            <v>0</v>
          </cell>
        </row>
        <row r="346">
          <cell r="B346" t="str">
            <v>8.13.1</v>
          </cell>
          <cell r="C346" t="str">
            <v>CELDA TRIPLEX ENTRADA Y SALIDA 15 KV. NORMA CTS506-2. INC. FUSIBLES DE PROTECCION. CERTIFICACION RETIE</v>
          </cell>
          <cell r="I346" t="str">
            <v>UN</v>
          </cell>
          <cell r="K346">
            <v>6234870</v>
          </cell>
          <cell r="L346">
            <v>0</v>
          </cell>
          <cell r="N346">
            <v>0</v>
          </cell>
          <cell r="O346">
            <v>0</v>
          </cell>
          <cell r="Q346">
            <v>0</v>
          </cell>
          <cell r="R346">
            <v>0</v>
          </cell>
          <cell r="T346">
            <v>0</v>
          </cell>
          <cell r="U346">
            <v>0</v>
          </cell>
          <cell r="V346">
            <v>0</v>
          </cell>
        </row>
        <row r="347">
          <cell r="B347">
            <v>9</v>
          </cell>
          <cell r="C347" t="str">
            <v>PAÑETES</v>
          </cell>
          <cell r="L347">
            <v>0</v>
          </cell>
          <cell r="N347">
            <v>0</v>
          </cell>
          <cell r="O347">
            <v>0</v>
          </cell>
          <cell r="Q347">
            <v>0</v>
          </cell>
          <cell r="R347">
            <v>0</v>
          </cell>
          <cell r="T347">
            <v>0</v>
          </cell>
          <cell r="U347">
            <v>0</v>
          </cell>
          <cell r="V347">
            <v>0</v>
          </cell>
        </row>
        <row r="348">
          <cell r="B348" t="str">
            <v>9.1.1</v>
          </cell>
          <cell r="C348" t="str">
            <v>FILOS Y DILATACIONES</v>
          </cell>
          <cell r="I348" t="str">
            <v>M</v>
          </cell>
          <cell r="K348">
            <v>5091</v>
          </cell>
          <cell r="L348">
            <v>0</v>
          </cell>
          <cell r="N348">
            <v>0</v>
          </cell>
          <cell r="O348">
            <v>0</v>
          </cell>
          <cell r="Q348">
            <v>0</v>
          </cell>
          <cell r="R348">
            <v>0</v>
          </cell>
          <cell r="T348">
            <v>0</v>
          </cell>
          <cell r="U348">
            <v>0</v>
          </cell>
          <cell r="V348">
            <v>0</v>
          </cell>
        </row>
        <row r="349">
          <cell r="B349" t="str">
            <v>9.1.2</v>
          </cell>
          <cell r="C349" t="str">
            <v xml:space="preserve">PAÑETE IMPERMEABILIZADO S/MUROS 1:4. </v>
          </cell>
          <cell r="I349" t="str">
            <v>M2</v>
          </cell>
          <cell r="K349">
            <v>17405</v>
          </cell>
          <cell r="L349">
            <v>0</v>
          </cell>
          <cell r="N349">
            <v>0</v>
          </cell>
          <cell r="O349">
            <v>0</v>
          </cell>
          <cell r="Q349">
            <v>0</v>
          </cell>
          <cell r="R349">
            <v>0</v>
          </cell>
          <cell r="T349">
            <v>0</v>
          </cell>
          <cell r="U349">
            <v>0</v>
          </cell>
          <cell r="V349">
            <v>0</v>
          </cell>
        </row>
        <row r="350">
          <cell r="B350">
            <v>10</v>
          </cell>
          <cell r="C350" t="str">
            <v xml:space="preserve">PISOS </v>
          </cell>
          <cell r="L350">
            <v>0</v>
          </cell>
          <cell r="N350">
            <v>0</v>
          </cell>
          <cell r="O350">
            <v>0</v>
          </cell>
          <cell r="Q350">
            <v>0</v>
          </cell>
          <cell r="R350">
            <v>0</v>
          </cell>
          <cell r="T350">
            <v>0</v>
          </cell>
          <cell r="U350">
            <v>0</v>
          </cell>
          <cell r="V350">
            <v>0</v>
          </cell>
        </row>
        <row r="351">
          <cell r="B351" t="str">
            <v>10.1</v>
          </cell>
          <cell r="C351" t="str">
            <v>BASES PISOS Y AFINADOS</v>
          </cell>
          <cell r="L351">
            <v>0</v>
          </cell>
          <cell r="N351">
            <v>0</v>
          </cell>
          <cell r="O351">
            <v>0</v>
          </cell>
          <cell r="Q351">
            <v>0</v>
          </cell>
          <cell r="R351">
            <v>0</v>
          </cell>
          <cell r="T351">
            <v>0</v>
          </cell>
          <cell r="U351">
            <v>0</v>
          </cell>
          <cell r="V351">
            <v>0</v>
          </cell>
        </row>
        <row r="352">
          <cell r="B352" t="str">
            <v>10.1.1</v>
          </cell>
          <cell r="C352" t="str">
            <v>AFINADO ENDURECIDO MORTERO 1:3 H=4</v>
          </cell>
          <cell r="I352" t="str">
            <v>M2</v>
          </cell>
          <cell r="J352">
            <v>0</v>
          </cell>
          <cell r="K352">
            <v>29976</v>
          </cell>
          <cell r="L352">
            <v>0</v>
          </cell>
          <cell r="N352">
            <v>0</v>
          </cell>
          <cell r="O352">
            <v>0</v>
          </cell>
          <cell r="Q352">
            <v>0</v>
          </cell>
          <cell r="R352">
            <v>0</v>
          </cell>
          <cell r="T352">
            <v>0</v>
          </cell>
          <cell r="U352">
            <v>0</v>
          </cell>
          <cell r="V352">
            <v>0</v>
          </cell>
        </row>
        <row r="353">
          <cell r="B353" t="str">
            <v>10.1.7</v>
          </cell>
          <cell r="C353" t="str">
            <v>CONCRETO ESCOBEADO H = 0.10. 2500 PSI</v>
          </cell>
          <cell r="I353" t="str">
            <v>M2</v>
          </cell>
          <cell r="K353">
            <v>69918</v>
          </cell>
          <cell r="L353">
            <v>0</v>
          </cell>
          <cell r="N353">
            <v>0</v>
          </cell>
          <cell r="O353">
            <v>0</v>
          </cell>
          <cell r="Q353">
            <v>0</v>
          </cell>
          <cell r="R353">
            <v>0</v>
          </cell>
          <cell r="T353">
            <v>0</v>
          </cell>
          <cell r="U353">
            <v>0</v>
          </cell>
          <cell r="V353">
            <v>0</v>
          </cell>
        </row>
        <row r="354">
          <cell r="B354" t="str">
            <v>10.2.9</v>
          </cell>
          <cell r="C354" t="str">
            <v>BALDOSIN GRANITO BH-5 DE 33x33 MORTERO 1:4 - (INCLUYE JUNTA DE DILATACION, DESTRONQUE, PULIDA Y BRILLADA)</v>
          </cell>
          <cell r="I354" t="str">
            <v>M2</v>
          </cell>
          <cell r="J354">
            <v>615.84</v>
          </cell>
          <cell r="K354">
            <v>94034</v>
          </cell>
          <cell r="L354">
            <v>57909898.560000002</v>
          </cell>
          <cell r="N354">
            <v>615.84</v>
          </cell>
          <cell r="O354">
            <v>57909898.560000002</v>
          </cell>
          <cell r="Q354">
            <v>0</v>
          </cell>
          <cell r="R354">
            <v>0</v>
          </cell>
          <cell r="T354">
            <v>615.84</v>
          </cell>
          <cell r="U354">
            <v>57909898.560000002</v>
          </cell>
          <cell r="V354">
            <v>1</v>
          </cell>
        </row>
        <row r="355">
          <cell r="B355" t="str">
            <v>10.2.33</v>
          </cell>
          <cell r="C355" t="str">
            <v>SUMINISTRO E INSTALACION DE BALDOSA CERAMICA ANTIDESLIZANTE EN DUROPISO 30X30. COLOR BLANCO</v>
          </cell>
          <cell r="I355" t="str">
            <v>M2</v>
          </cell>
          <cell r="K355">
            <v>51038</v>
          </cell>
          <cell r="L355">
            <v>0</v>
          </cell>
          <cell r="N355">
            <v>0</v>
          </cell>
          <cell r="O355">
            <v>0</v>
          </cell>
          <cell r="Q355">
            <v>0</v>
          </cell>
          <cell r="R355">
            <v>0</v>
          </cell>
          <cell r="T355">
            <v>0</v>
          </cell>
          <cell r="U355">
            <v>0</v>
          </cell>
          <cell r="V355">
            <v>0</v>
          </cell>
        </row>
        <row r="356">
          <cell r="B356" t="str">
            <v>10.3.1</v>
          </cell>
          <cell r="C356" t="str">
            <v>TABLETA DE  GRANITO L-1 CON H=0,10</v>
          </cell>
          <cell r="I356" t="str">
            <v>M</v>
          </cell>
          <cell r="K356">
            <v>34361</v>
          </cell>
          <cell r="L356">
            <v>0</v>
          </cell>
          <cell r="N356">
            <v>0</v>
          </cell>
          <cell r="O356">
            <v>0</v>
          </cell>
          <cell r="Q356">
            <v>0</v>
          </cell>
          <cell r="R356">
            <v>0</v>
          </cell>
          <cell r="T356">
            <v>0</v>
          </cell>
          <cell r="U356">
            <v>0</v>
          </cell>
          <cell r="V356">
            <v>0</v>
          </cell>
        </row>
        <row r="357">
          <cell r="B357" t="str">
            <v>10.3.12</v>
          </cell>
          <cell r="C357" t="str">
            <v>MEDIA CAÑA H=0,07 CON e= 0,11, GRANITO FUNDIDO Y PULIDO. PERLATO CLARO GRANO 1</v>
          </cell>
          <cell r="I357" t="str">
            <v>M</v>
          </cell>
          <cell r="K357">
            <v>48823</v>
          </cell>
          <cell r="L357">
            <v>0</v>
          </cell>
          <cell r="N357">
            <v>0</v>
          </cell>
          <cell r="O357">
            <v>0</v>
          </cell>
          <cell r="Q357">
            <v>0</v>
          </cell>
          <cell r="R357">
            <v>0</v>
          </cell>
          <cell r="T357">
            <v>0</v>
          </cell>
          <cell r="U357">
            <v>0</v>
          </cell>
          <cell r="V357">
            <v>0</v>
          </cell>
        </row>
        <row r="358">
          <cell r="B358">
            <v>11</v>
          </cell>
          <cell r="C358" t="str">
            <v xml:space="preserve">CUBIERTAS E IMPERMEABILIZACIONES </v>
          </cell>
          <cell r="L358">
            <v>0</v>
          </cell>
          <cell r="N358">
            <v>0</v>
          </cell>
          <cell r="O358">
            <v>0</v>
          </cell>
          <cell r="Q358">
            <v>0</v>
          </cell>
          <cell r="R358">
            <v>0</v>
          </cell>
          <cell r="T358">
            <v>0</v>
          </cell>
          <cell r="U358">
            <v>0</v>
          </cell>
          <cell r="V358">
            <v>0</v>
          </cell>
        </row>
        <row r="359">
          <cell r="B359" t="str">
            <v>11.1</v>
          </cell>
          <cell r="C359" t="str">
            <v>IMPERMEABILIZACIONES Y AISLAMIENTOS</v>
          </cell>
          <cell r="L359">
            <v>0</v>
          </cell>
          <cell r="N359">
            <v>0</v>
          </cell>
          <cell r="O359">
            <v>0</v>
          </cell>
          <cell r="Q359">
            <v>0</v>
          </cell>
          <cell r="R359">
            <v>0</v>
          </cell>
          <cell r="T359">
            <v>0</v>
          </cell>
          <cell r="U359">
            <v>0</v>
          </cell>
          <cell r="V359">
            <v>0</v>
          </cell>
        </row>
        <row r="360">
          <cell r="B360" t="str">
            <v>11.2.18</v>
          </cell>
          <cell r="C360" t="str">
            <v>SUMINISTRO E INSTALACIÓN DE ESTRUCTURA METÁLICA PARA CUBIERTAS. NORMA NSR10 TITULO F. PERFILERIA ASTM A572 GR50 Y ASTM A37. SOLDADURA E70XX. INC CERCHAS, CORREAS, TENSORES, ANCLAJES Y ACCESORIOS, LIMPIEZA SSPC-SP3, PINTURA ANTICORROSIVA 3 MILS Y ACABADO ESMALTE ALQUIDICO 3 MILS</v>
          </cell>
          <cell r="I360" t="str">
            <v>KG</v>
          </cell>
          <cell r="J360">
            <v>10982.486999999999</v>
          </cell>
          <cell r="K360">
            <v>10072</v>
          </cell>
          <cell r="L360">
            <v>110615609.064</v>
          </cell>
          <cell r="N360">
            <v>477.99699999999984</v>
          </cell>
          <cell r="O360">
            <v>4814315.28</v>
          </cell>
          <cell r="Q360">
            <v>10504.49</v>
          </cell>
          <cell r="R360">
            <v>105801223.28</v>
          </cell>
          <cell r="T360">
            <v>10982.486999999999</v>
          </cell>
          <cell r="U360">
            <v>110615538.56</v>
          </cell>
          <cell r="V360">
            <v>0.99999936262159939</v>
          </cell>
        </row>
        <row r="361">
          <cell r="B361" t="str">
            <v>11.2.22</v>
          </cell>
          <cell r="C361" t="str">
            <v>SUMINISTRO E INSTALACIÓN DE CUBIERTA TERMOACUSTICA UPVC BLANCO - BLANCO CON FIBRA DE CARBONO DE 2,5 MM.</v>
          </cell>
          <cell r="I361" t="str">
            <v>M2</v>
          </cell>
          <cell r="J361">
            <v>490.6</v>
          </cell>
          <cell r="K361">
            <v>72490</v>
          </cell>
          <cell r="L361">
            <v>35563594</v>
          </cell>
          <cell r="N361">
            <v>490.6</v>
          </cell>
          <cell r="O361">
            <v>35563594</v>
          </cell>
          <cell r="Q361">
            <v>0</v>
          </cell>
          <cell r="R361">
            <v>0</v>
          </cell>
          <cell r="T361">
            <v>490.6</v>
          </cell>
          <cell r="U361">
            <v>35563594</v>
          </cell>
          <cell r="V361">
            <v>1</v>
          </cell>
        </row>
        <row r="362">
          <cell r="B362" t="str">
            <v>11.3</v>
          </cell>
          <cell r="C362" t="str">
            <v>ACCESORIOS Y OTROS</v>
          </cell>
          <cell r="L362">
            <v>0</v>
          </cell>
          <cell r="N362">
            <v>0</v>
          </cell>
          <cell r="O362">
            <v>0</v>
          </cell>
          <cell r="Q362">
            <v>0</v>
          </cell>
          <cell r="R362">
            <v>0</v>
          </cell>
          <cell r="T362">
            <v>0</v>
          </cell>
          <cell r="U362">
            <v>0</v>
          </cell>
          <cell r="V362">
            <v>0</v>
          </cell>
        </row>
        <row r="363">
          <cell r="B363" t="str">
            <v>11.3.6</v>
          </cell>
          <cell r="C363" t="str">
            <v>SUMINISTRO E INSTALACION DE CANAL LAMINA GALVANIZADA  Ds = 100 cm - CAL 20. INCLUYE SOPORTES, SOSCOS, REFUERZOS Y GARGOLAS DE REBOSE</v>
          </cell>
          <cell r="I363" t="str">
            <v>ML</v>
          </cell>
          <cell r="J363">
            <v>112.28</v>
          </cell>
          <cell r="K363">
            <v>87026</v>
          </cell>
          <cell r="L363">
            <v>9771279.2799999993</v>
          </cell>
          <cell r="N363">
            <v>30.28</v>
          </cell>
          <cell r="O363">
            <v>2635147.2799999998</v>
          </cell>
          <cell r="Q363">
            <v>82</v>
          </cell>
          <cell r="R363">
            <v>7136132</v>
          </cell>
          <cell r="T363">
            <v>112.28</v>
          </cell>
          <cell r="U363">
            <v>9771279.2799999993</v>
          </cell>
          <cell r="V363">
            <v>1</v>
          </cell>
        </row>
        <row r="364">
          <cell r="B364" t="str">
            <v>11.3.10</v>
          </cell>
          <cell r="C364" t="str">
            <v>TRAGANTES Ø 4"</v>
          </cell>
          <cell r="I364" t="str">
            <v>UN</v>
          </cell>
          <cell r="K364">
            <v>17642</v>
          </cell>
          <cell r="L364">
            <v>0</v>
          </cell>
          <cell r="N364">
            <v>0</v>
          </cell>
          <cell r="O364">
            <v>0</v>
          </cell>
          <cell r="Q364">
            <v>0</v>
          </cell>
          <cell r="R364">
            <v>0</v>
          </cell>
          <cell r="T364">
            <v>0</v>
          </cell>
          <cell r="U364">
            <v>0</v>
          </cell>
          <cell r="V364">
            <v>0</v>
          </cell>
        </row>
        <row r="365">
          <cell r="B365" t="str">
            <v>11.3.15</v>
          </cell>
          <cell r="C365" t="str">
            <v>BAJANTE A.LL. PVC Ø 4" (INC. ACCESORIOS)</v>
          </cell>
          <cell r="I365" t="str">
            <v>ML</v>
          </cell>
          <cell r="K365">
            <v>27517</v>
          </cell>
          <cell r="L365">
            <v>0</v>
          </cell>
          <cell r="N365">
            <v>0</v>
          </cell>
          <cell r="O365">
            <v>0</v>
          </cell>
          <cell r="Q365">
            <v>0</v>
          </cell>
          <cell r="R365">
            <v>0</v>
          </cell>
          <cell r="T365">
            <v>0</v>
          </cell>
          <cell r="U365">
            <v>0</v>
          </cell>
          <cell r="V365">
            <v>0</v>
          </cell>
        </row>
        <row r="366">
          <cell r="B366">
            <v>12</v>
          </cell>
          <cell r="C366" t="str">
            <v xml:space="preserve">CARPINTERÍA DE METÁLICA </v>
          </cell>
          <cell r="L366">
            <v>0</v>
          </cell>
          <cell r="N366">
            <v>0</v>
          </cell>
          <cell r="O366">
            <v>0</v>
          </cell>
          <cell r="Q366">
            <v>0</v>
          </cell>
          <cell r="R366">
            <v>0</v>
          </cell>
          <cell r="T366">
            <v>0</v>
          </cell>
          <cell r="U366">
            <v>0</v>
          </cell>
          <cell r="V366">
            <v>0</v>
          </cell>
        </row>
        <row r="367">
          <cell r="B367" t="str">
            <v>12.1</v>
          </cell>
          <cell r="C367" t="str">
            <v>CARPINTERÍA EN ALUMINIO</v>
          </cell>
          <cell r="L367">
            <v>0</v>
          </cell>
          <cell r="N367">
            <v>0</v>
          </cell>
          <cell r="O367">
            <v>0</v>
          </cell>
          <cell r="Q367">
            <v>0</v>
          </cell>
          <cell r="R367">
            <v>0</v>
          </cell>
          <cell r="T367">
            <v>0</v>
          </cell>
          <cell r="U367">
            <v>0</v>
          </cell>
          <cell r="V367">
            <v>0</v>
          </cell>
        </row>
        <row r="368">
          <cell r="B368" t="str">
            <v>12.1.1</v>
          </cell>
          <cell r="C368" t="str">
            <v>SUMINISTRO E INSTALACIÓN DE VENTANERIA DE ALUMINIO, TIPO CORREDIZA, PERFIL EXTRUIDO, ACABADO ANODIZADO, VIDRIO DE SEGURIDAD, NORMA NSR10 K.4.2 Y K.4.3. INCLUYE EMPAQUES, SELLOS, ANCLAJES Y ACCESORIOS</v>
          </cell>
          <cell r="I368" t="str">
            <v>M2</v>
          </cell>
          <cell r="J368">
            <v>215.49</v>
          </cell>
          <cell r="K368">
            <v>420948</v>
          </cell>
          <cell r="L368">
            <v>90710084.520000011</v>
          </cell>
          <cell r="N368">
            <v>215.49</v>
          </cell>
          <cell r="O368">
            <v>90710084.519999996</v>
          </cell>
          <cell r="P368">
            <v>0</v>
          </cell>
          <cell r="Q368">
            <v>0</v>
          </cell>
          <cell r="R368">
            <v>0</v>
          </cell>
          <cell r="T368">
            <v>215.49</v>
          </cell>
          <cell r="U368">
            <v>90710084.519999996</v>
          </cell>
          <cell r="V368">
            <v>0.99999999999999989</v>
          </cell>
        </row>
        <row r="369">
          <cell r="B369" t="str">
            <v>12.2</v>
          </cell>
          <cell r="C369" t="str">
            <v>CARPINTERÍA EN LAMINA</v>
          </cell>
          <cell r="L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T369">
            <v>0</v>
          </cell>
          <cell r="U369">
            <v>0</v>
          </cell>
          <cell r="V369">
            <v>0</v>
          </cell>
        </row>
        <row r="370">
          <cell r="B370" t="str">
            <v>12.2.2</v>
          </cell>
          <cell r="C370" t="str">
            <v>SUMINISTRO E INSTALACION DE MARCOS PUERTAS LAMINA C.R. C18 - 2,00 X 0,80 M. INCLUYE ANTICORROSIVO, ESMALTE, ANCLAJE, BISAGRAS TIPO PESADO Y CARGUE EN MORTERO</v>
          </cell>
          <cell r="I370" t="str">
            <v>UN</v>
          </cell>
          <cell r="K370">
            <v>126119</v>
          </cell>
          <cell r="L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T370">
            <v>0</v>
          </cell>
          <cell r="U370">
            <v>0</v>
          </cell>
          <cell r="V370">
            <v>0</v>
          </cell>
        </row>
        <row r="371">
          <cell r="B371" t="str">
            <v>12.2.4</v>
          </cell>
          <cell r="C371" t="str">
            <v>SUMINISTRO E INSTALACION DE MARCOS PUERTAS LAMINA C.R. C18 - 2,00 X 1,00 M. INCLUYE ANTICORROSIVO, ESMALTE, ANCLAJE, BISAGRAS TIPO PESADO Y CARGUE EN MORTERO</v>
          </cell>
          <cell r="I371" t="str">
            <v>UN</v>
          </cell>
          <cell r="K371">
            <v>146395</v>
          </cell>
          <cell r="L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T371">
            <v>0</v>
          </cell>
          <cell r="U371">
            <v>0</v>
          </cell>
          <cell r="V371">
            <v>0</v>
          </cell>
        </row>
        <row r="372">
          <cell r="B372" t="str">
            <v>12.2.5</v>
          </cell>
          <cell r="C372" t="str">
            <v>SUMINISTRO E INSTALACION DE PUERTA METALICA ENTAMBORADA LAMINA C.R. C18 (ANTIC - ESMALTE)</v>
          </cell>
          <cell r="I372" t="str">
            <v>M2</v>
          </cell>
          <cell r="K372">
            <v>372798</v>
          </cell>
          <cell r="L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T372">
            <v>0</v>
          </cell>
          <cell r="U372">
            <v>0</v>
          </cell>
          <cell r="V372">
            <v>0</v>
          </cell>
        </row>
        <row r="373">
          <cell r="B373" t="str">
            <v>12.2.12</v>
          </cell>
          <cell r="C373" t="str">
            <v>VENTANA EN LÁMINA C.R. CAL. 20 TIPO PERSIANA PARA VENTILACIÓN (ANTIC - ESMALTE)</v>
          </cell>
          <cell r="I373" t="str">
            <v>M2</v>
          </cell>
          <cell r="K373">
            <v>216459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T373">
            <v>0</v>
          </cell>
          <cell r="U373">
            <v>0</v>
          </cell>
          <cell r="V373">
            <v>0</v>
          </cell>
        </row>
        <row r="374">
          <cell r="B374" t="str">
            <v>12.2.15</v>
          </cell>
          <cell r="C374" t="str">
            <v>BARANDA METALICA CORREDORES DE CIRCULACION, TUBO CIRCULAR EN ACERO GALVANIZADO DE 2" INCLINADO HACIA EL INTERIOR ANCLADA A BORDILLO DE CONCRETO CON PLATINAS DE 0,17 CM X 0,20 CM DE ACERO DE 1/4" Y CHAZO DE ANCLAJE DE 3/8" X 3" CON PLATINAS DE HIERRO LATERALES DE 3/8" X 2" Y PLATINAS INTERNAS DE 1/4" X 1 1/2"  TUBO INTERNO EN ACERO DE 1 1/2" DOS MANOS DE ANTICORROSIVO Y ACABADO EN PINTURA ESMALTE</v>
          </cell>
          <cell r="I374" t="str">
            <v>M</v>
          </cell>
          <cell r="K374">
            <v>249192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T374">
            <v>0</v>
          </cell>
          <cell r="U374">
            <v>0</v>
          </cell>
          <cell r="V374">
            <v>0</v>
          </cell>
        </row>
        <row r="375">
          <cell r="B375">
            <v>14</v>
          </cell>
          <cell r="C375" t="str">
            <v>ENCHAPES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T375">
            <v>0</v>
          </cell>
          <cell r="U375">
            <v>0</v>
          </cell>
          <cell r="V375">
            <v>0</v>
          </cell>
        </row>
        <row r="376">
          <cell r="B376" t="str">
            <v>14.1</v>
          </cell>
          <cell r="C376" t="str">
            <v>ENCHAPE SOBRE MUROS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T376">
            <v>0</v>
          </cell>
          <cell r="U376">
            <v>0</v>
          </cell>
          <cell r="V376">
            <v>0</v>
          </cell>
        </row>
        <row r="377">
          <cell r="B377" t="str">
            <v>14.1.4</v>
          </cell>
          <cell r="C377" t="str">
            <v>ENCHAPE CERAMICO HASTA UNA H= 1,80 COLOR BLANCO DE .20X.20 INCLUYE INSTALACION DE WIN</v>
          </cell>
          <cell r="I377" t="str">
            <v>M2</v>
          </cell>
          <cell r="K377">
            <v>60893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T377">
            <v>0</v>
          </cell>
          <cell r="U377">
            <v>0</v>
          </cell>
          <cell r="V377">
            <v>0</v>
          </cell>
        </row>
        <row r="378">
          <cell r="B378" t="str">
            <v>14.2.3</v>
          </cell>
          <cell r="C378" t="str">
            <v>GRANITO PULIDO MESONES LABORATORIOS -  B =  60 cm.</v>
          </cell>
          <cell r="I378" t="str">
            <v>M</v>
          </cell>
          <cell r="K378">
            <v>65670</v>
          </cell>
          <cell r="L378">
            <v>0</v>
          </cell>
          <cell r="N378">
            <v>0</v>
          </cell>
          <cell r="O378">
            <v>0</v>
          </cell>
          <cell r="Q378">
            <v>0</v>
          </cell>
          <cell r="R378">
            <v>0</v>
          </cell>
          <cell r="T378">
            <v>0</v>
          </cell>
          <cell r="U378">
            <v>0</v>
          </cell>
          <cell r="V378">
            <v>0</v>
          </cell>
        </row>
        <row r="379">
          <cell r="B379" t="str">
            <v>14.2.5</v>
          </cell>
          <cell r="C379" t="str">
            <v>GRANITO PULIDO MESONES LAVAMANOS -  B =  60 cm.</v>
          </cell>
          <cell r="I379" t="str">
            <v>ML</v>
          </cell>
          <cell r="K379">
            <v>75333</v>
          </cell>
          <cell r="L379">
            <v>0</v>
          </cell>
          <cell r="N379">
            <v>0</v>
          </cell>
          <cell r="O379">
            <v>0</v>
          </cell>
          <cell r="Q379">
            <v>0</v>
          </cell>
          <cell r="R379">
            <v>0</v>
          </cell>
          <cell r="T379">
            <v>0</v>
          </cell>
          <cell r="U379">
            <v>0</v>
          </cell>
          <cell r="V379">
            <v>0</v>
          </cell>
        </row>
        <row r="380">
          <cell r="B380">
            <v>15</v>
          </cell>
          <cell r="C380" t="str">
            <v>ILIMINACION</v>
          </cell>
          <cell r="L380">
            <v>0</v>
          </cell>
          <cell r="N380">
            <v>0</v>
          </cell>
          <cell r="O380">
            <v>0</v>
          </cell>
          <cell r="Q380">
            <v>0</v>
          </cell>
          <cell r="R380">
            <v>0</v>
          </cell>
          <cell r="T380">
            <v>0</v>
          </cell>
          <cell r="U380">
            <v>0</v>
          </cell>
          <cell r="V380">
            <v>0</v>
          </cell>
        </row>
        <row r="381">
          <cell r="B381" t="str">
            <v>15.1</v>
          </cell>
          <cell r="C381" t="str">
            <v>SUMINISTRO E INSTALACION DE LUMINARIAS</v>
          </cell>
          <cell r="L381">
            <v>0</v>
          </cell>
          <cell r="N381">
            <v>0</v>
          </cell>
          <cell r="O381">
            <v>0</v>
          </cell>
          <cell r="Q381">
            <v>0</v>
          </cell>
          <cell r="R381">
            <v>0</v>
          </cell>
          <cell r="T381">
            <v>0</v>
          </cell>
          <cell r="U381">
            <v>0</v>
          </cell>
          <cell r="V381">
            <v>0</v>
          </cell>
        </row>
        <row r="382">
          <cell r="B382" t="str">
            <v>15.1.1</v>
          </cell>
          <cell r="C382" t="str">
            <v>SUMINISTRO E INSTALACIÓN DE LUMINARIA DE EMERGENCIA 2X1,6W 100-240 V, 6500 K, IRC 70, FLUJO LUMINOSO 125 O MÁS. INCLUYE CONECTORES DE RESORTE, CINTA , ACCESORIOS DE FIJACIÓN Y SOPORTE. MATERIAL CERTIFICADO, GARANTIZADO E INSTALADO SEGÚN REGLAMENTACIÓN NTC 2050.</v>
          </cell>
          <cell r="I382" t="str">
            <v>UN</v>
          </cell>
          <cell r="K382">
            <v>134194</v>
          </cell>
          <cell r="L382">
            <v>0</v>
          </cell>
          <cell r="N382">
            <v>0</v>
          </cell>
          <cell r="O382">
            <v>0</v>
          </cell>
          <cell r="Q382">
            <v>0</v>
          </cell>
          <cell r="R382">
            <v>0</v>
          </cell>
          <cell r="T382">
            <v>0</v>
          </cell>
          <cell r="U382">
            <v>0</v>
          </cell>
          <cell r="V382">
            <v>0</v>
          </cell>
        </row>
        <row r="383">
          <cell r="B383" t="str">
            <v>15.1.3</v>
          </cell>
          <cell r="C383" t="str">
            <v>SUMINISTRO E INSTALACIÓN DE LUMINARIA PANEL LED REDONDO 8" 18W SOBREPONER, 100-240 V, FLUJO LUMINOSO MAYOR A 1050 LM, IRC 70, VIDA ÚTIL MAYOR 20,000 H. INCLUYE CONECTORES DE RESORTE, CINTA , ACCESORIOS DE FIJACIÓN Y SOPORTE. MATERIAL CERTIFICADO, GARANTIZADO E INSTALADO SEGÚN REGLAMENTACIÓN NTC 2050.</v>
          </cell>
          <cell r="I383" t="str">
            <v>UN</v>
          </cell>
          <cell r="K383">
            <v>66726</v>
          </cell>
          <cell r="L383">
            <v>0</v>
          </cell>
          <cell r="N383">
            <v>0</v>
          </cell>
          <cell r="O383">
            <v>0</v>
          </cell>
          <cell r="Q383">
            <v>0</v>
          </cell>
          <cell r="R383">
            <v>0</v>
          </cell>
          <cell r="T383">
            <v>0</v>
          </cell>
          <cell r="U383">
            <v>0</v>
          </cell>
          <cell r="V383">
            <v>0</v>
          </cell>
        </row>
        <row r="384">
          <cell r="B384" t="str">
            <v>15.1.5</v>
          </cell>
          <cell r="C384" t="str">
            <v>SUMINISTRO E INSTALACIÓN DE LUMINARIA LINEAL LED DE 31W, 6500 K, 100-240 V, FLUJO LUMINOSO MAYOR A 3200 LM, IRC 80, VIDA ÚTIL MAYOR A 10,000 H. INCLUYE CONECTORES DE RESORTE, CINTA , ACCESORIOS DE FIJACIÓN Y SOPORTE. MATERIAL CERTIFICADO, GARANTIZADO E INSTALADO SEGÚN REGLAMENTACIÓN NTC 2050.</v>
          </cell>
          <cell r="I384" t="str">
            <v>UN</v>
          </cell>
          <cell r="K384">
            <v>257873</v>
          </cell>
          <cell r="L384">
            <v>0</v>
          </cell>
          <cell r="N384">
            <v>0</v>
          </cell>
          <cell r="O384">
            <v>0</v>
          </cell>
          <cell r="Q384">
            <v>0</v>
          </cell>
          <cell r="R384">
            <v>0</v>
          </cell>
          <cell r="T384">
            <v>0</v>
          </cell>
          <cell r="U384">
            <v>0</v>
          </cell>
          <cell r="V384">
            <v>0</v>
          </cell>
        </row>
        <row r="385">
          <cell r="B385">
            <v>16</v>
          </cell>
          <cell r="C385" t="str">
            <v>APARATOS SANITARIOS Y ACCESORIOS</v>
          </cell>
          <cell r="L385">
            <v>0</v>
          </cell>
          <cell r="N385">
            <v>0</v>
          </cell>
          <cell r="O385">
            <v>0</v>
          </cell>
          <cell r="Q385">
            <v>0</v>
          </cell>
          <cell r="R385">
            <v>0</v>
          </cell>
          <cell r="T385">
            <v>0</v>
          </cell>
          <cell r="U385">
            <v>0</v>
          </cell>
          <cell r="V385">
            <v>0</v>
          </cell>
        </row>
        <row r="386">
          <cell r="B386" t="str">
            <v>16.1</v>
          </cell>
          <cell r="C386" t="str">
            <v>APARATOS SANITARIOS</v>
          </cell>
          <cell r="L386">
            <v>0</v>
          </cell>
          <cell r="N386">
            <v>0</v>
          </cell>
          <cell r="O386">
            <v>0</v>
          </cell>
          <cell r="Q386">
            <v>0</v>
          </cell>
          <cell r="R386">
            <v>0</v>
          </cell>
          <cell r="T386">
            <v>0</v>
          </cell>
          <cell r="U386">
            <v>0</v>
          </cell>
          <cell r="V386">
            <v>0</v>
          </cell>
        </row>
        <row r="387">
          <cell r="B387" t="str">
            <v>16.1.12</v>
          </cell>
          <cell r="C387" t="str">
            <v>INSTALACION DE GRIFERIA LAVAMANOS</v>
          </cell>
          <cell r="I387" t="str">
            <v>UN</v>
          </cell>
          <cell r="K387">
            <v>24495</v>
          </cell>
          <cell r="L387">
            <v>0</v>
          </cell>
          <cell r="N387">
            <v>0</v>
          </cell>
          <cell r="O387">
            <v>0</v>
          </cell>
          <cell r="Q387">
            <v>0</v>
          </cell>
          <cell r="R387">
            <v>0</v>
          </cell>
          <cell r="T387">
            <v>0</v>
          </cell>
          <cell r="U387">
            <v>0</v>
          </cell>
          <cell r="V387">
            <v>0</v>
          </cell>
        </row>
        <row r="388">
          <cell r="B388" t="str">
            <v>16.1.15</v>
          </cell>
          <cell r="C388" t="str">
            <v>INSTALACION DE GRIFERIA SANITARIOS</v>
          </cell>
          <cell r="I388" t="str">
            <v>UN</v>
          </cell>
          <cell r="K388">
            <v>24495</v>
          </cell>
          <cell r="L388">
            <v>0</v>
          </cell>
          <cell r="N388">
            <v>0</v>
          </cell>
          <cell r="O388">
            <v>0</v>
          </cell>
          <cell r="Q388">
            <v>0</v>
          </cell>
          <cell r="R388">
            <v>0</v>
          </cell>
          <cell r="T388">
            <v>0</v>
          </cell>
          <cell r="U388">
            <v>0</v>
          </cell>
          <cell r="V388">
            <v>0</v>
          </cell>
        </row>
        <row r="389">
          <cell r="B389" t="str">
            <v>16.1.24</v>
          </cell>
          <cell r="C389" t="str">
            <v>SUMINISTRO E INSTALACIÓN DE LAVAMANOS DE SOBREPONER.</v>
          </cell>
          <cell r="I389" t="str">
            <v>UN</v>
          </cell>
          <cell r="K389">
            <v>170450</v>
          </cell>
          <cell r="L389">
            <v>0</v>
          </cell>
          <cell r="N389">
            <v>0</v>
          </cell>
          <cell r="O389">
            <v>0</v>
          </cell>
          <cell r="Q389">
            <v>0</v>
          </cell>
          <cell r="R389">
            <v>0</v>
          </cell>
          <cell r="T389">
            <v>0</v>
          </cell>
          <cell r="U389">
            <v>0</v>
          </cell>
          <cell r="V389">
            <v>0</v>
          </cell>
        </row>
        <row r="390">
          <cell r="B390" t="str">
            <v>16.1.25</v>
          </cell>
          <cell r="C390" t="str">
            <v>ORINAL MEDIANO DE COLGAR INSTITUCIONAL COLOR BLANCO P´CONEXIÓN Ø 5/8" REF 21-AA-8860 MANCESA O SIMILAR.</v>
          </cell>
          <cell r="I390" t="str">
            <v>UN</v>
          </cell>
          <cell r="K390">
            <v>298360</v>
          </cell>
          <cell r="L390">
            <v>0</v>
          </cell>
          <cell r="N390">
            <v>0</v>
          </cell>
          <cell r="O390">
            <v>0</v>
          </cell>
          <cell r="Q390">
            <v>0</v>
          </cell>
          <cell r="R390">
            <v>0</v>
          </cell>
          <cell r="T390">
            <v>0</v>
          </cell>
          <cell r="U390">
            <v>0</v>
          </cell>
          <cell r="V390">
            <v>0</v>
          </cell>
        </row>
        <row r="391">
          <cell r="B391" t="str">
            <v>16.1.26</v>
          </cell>
          <cell r="C391" t="str">
            <v>KIT VÁLVULA DE DESCARGA ANTIVANDÁLICA  ALTA PRESIÓN P´ORINAL, CONEXIÓN Ø 3/4" O 1/2", 21-AA-950 DOCOL O SIMILAR</v>
          </cell>
          <cell r="I391" t="str">
            <v>UN</v>
          </cell>
          <cell r="K391">
            <v>187858</v>
          </cell>
          <cell r="L391">
            <v>0</v>
          </cell>
          <cell r="N391">
            <v>0</v>
          </cell>
          <cell r="O391">
            <v>0</v>
          </cell>
          <cell r="Q391">
            <v>0</v>
          </cell>
          <cell r="R391">
            <v>0</v>
          </cell>
          <cell r="T391">
            <v>0</v>
          </cell>
          <cell r="U391">
            <v>0</v>
          </cell>
          <cell r="V391">
            <v>0</v>
          </cell>
        </row>
        <row r="392">
          <cell r="B392" t="str">
            <v>16.1.46</v>
          </cell>
          <cell r="C392" t="str">
            <v>SANITARIO INSTITUCIONAL DISCAPACITADOS COLOR BLANCO CONEXIÓN SUPERIOR REF. 21-AA-2640 MANCESA Ó SIMILAR y KIT VÁLVULA DE DESCARGA ANTIVANDÁLICA  ALTA PRESIÓN SANITARIO DE CONEXIÓN SUPERIOR, BOTÓN DE ACCIONAMIENTO CON PALANCA PARA DISCAPACITADOS, SIN TORNILLOS A LA VISTA, METÁLICO CROMADO IMPORTADO, REF. 4-AA-880 DOCOL Ó  SIMILAR</v>
          </cell>
          <cell r="I392" t="str">
            <v>UN</v>
          </cell>
          <cell r="K392">
            <v>542371</v>
          </cell>
          <cell r="L392">
            <v>0</v>
          </cell>
          <cell r="N392">
            <v>0</v>
          </cell>
          <cell r="O392">
            <v>0</v>
          </cell>
          <cell r="Q392">
            <v>0</v>
          </cell>
          <cell r="R392">
            <v>0</v>
          </cell>
          <cell r="T392">
            <v>0</v>
          </cell>
          <cell r="U392">
            <v>0</v>
          </cell>
          <cell r="V392">
            <v>0</v>
          </cell>
        </row>
        <row r="393">
          <cell r="B393">
            <v>16.2</v>
          </cell>
          <cell r="C393" t="str">
            <v>ACCESORIOS</v>
          </cell>
          <cell r="L393">
            <v>0</v>
          </cell>
          <cell r="N393">
            <v>0</v>
          </cell>
          <cell r="O393">
            <v>0</v>
          </cell>
          <cell r="Q393">
            <v>0</v>
          </cell>
          <cell r="R393">
            <v>0</v>
          </cell>
          <cell r="T393">
            <v>0</v>
          </cell>
          <cell r="U393">
            <v>0</v>
          </cell>
          <cell r="V393">
            <v>0</v>
          </cell>
        </row>
        <row r="394">
          <cell r="B394" t="str">
            <v>16.2.1</v>
          </cell>
          <cell r="C394" t="str">
            <v>BARRA DE SEGURIDAD LINIA INSTITUCIONAL EN ACERO INOXIDABLE 304 SATINADO CON TORNILLOS OCULTOS, CALIBRE 18" CON UN DIAMETRO DE 1" 1/4", DISTANCIA DE PARED DIAMETRO 1" 1/2".</v>
          </cell>
          <cell r="I394" t="str">
            <v>UN</v>
          </cell>
          <cell r="K394">
            <v>445920</v>
          </cell>
          <cell r="L394">
            <v>0</v>
          </cell>
          <cell r="N394">
            <v>0</v>
          </cell>
          <cell r="O394">
            <v>0</v>
          </cell>
          <cell r="Q394">
            <v>0</v>
          </cell>
          <cell r="R394">
            <v>0</v>
          </cell>
          <cell r="T394">
            <v>0</v>
          </cell>
          <cell r="U394">
            <v>0</v>
          </cell>
          <cell r="V394">
            <v>0</v>
          </cell>
        </row>
        <row r="395">
          <cell r="B395" t="str">
            <v>16.2.13</v>
          </cell>
          <cell r="C395" t="str">
            <v>LLAVE MANGUERA 1/2" (SUM E INSTALACION)</v>
          </cell>
          <cell r="I395" t="str">
            <v>UN</v>
          </cell>
          <cell r="K395">
            <v>19682</v>
          </cell>
          <cell r="L395">
            <v>0</v>
          </cell>
          <cell r="N395">
            <v>0</v>
          </cell>
          <cell r="O395">
            <v>0</v>
          </cell>
          <cell r="Q395">
            <v>0</v>
          </cell>
          <cell r="R395">
            <v>0</v>
          </cell>
          <cell r="T395">
            <v>0</v>
          </cell>
          <cell r="U395">
            <v>0</v>
          </cell>
          <cell r="V395">
            <v>0</v>
          </cell>
        </row>
        <row r="396">
          <cell r="B396" t="str">
            <v>16.2.17</v>
          </cell>
          <cell r="C396" t="str">
            <v>REJILLA DE PISO METALICA CROMADA</v>
          </cell>
          <cell r="I396" t="str">
            <v>UN</v>
          </cell>
          <cell r="K396">
            <v>33055</v>
          </cell>
          <cell r="L396">
            <v>0</v>
          </cell>
          <cell r="N396">
            <v>0</v>
          </cell>
          <cell r="O396">
            <v>0</v>
          </cell>
          <cell r="Q396">
            <v>0</v>
          </cell>
          <cell r="R396">
            <v>0</v>
          </cell>
          <cell r="T396">
            <v>0</v>
          </cell>
          <cell r="U396">
            <v>0</v>
          </cell>
          <cell r="V396">
            <v>0</v>
          </cell>
        </row>
        <row r="397">
          <cell r="B397" t="str">
            <v>16.3.2</v>
          </cell>
          <cell r="C397" t="str">
            <v>LLAVE MANGUERA 1/2" (SUM E INSTALACION)</v>
          </cell>
          <cell r="I397" t="str">
            <v>UN</v>
          </cell>
          <cell r="K397">
            <v>34514</v>
          </cell>
          <cell r="L397">
            <v>0</v>
          </cell>
          <cell r="N397">
            <v>0</v>
          </cell>
          <cell r="O397">
            <v>0</v>
          </cell>
          <cell r="Q397">
            <v>0</v>
          </cell>
          <cell r="R397">
            <v>0</v>
          </cell>
          <cell r="T397">
            <v>0</v>
          </cell>
          <cell r="U397">
            <v>0</v>
          </cell>
          <cell r="V397">
            <v>0</v>
          </cell>
        </row>
        <row r="398">
          <cell r="B398">
            <v>16.399999999999999</v>
          </cell>
          <cell r="C398" t="str">
            <v>APARATOS SANITARIOS Y ACCESORIOS - ANTIVANDÁLICOS TIPO PUSH (SUM E INSTALACION)</v>
          </cell>
          <cell r="L398">
            <v>0</v>
          </cell>
          <cell r="N398">
            <v>0</v>
          </cell>
          <cell r="O398">
            <v>0</v>
          </cell>
          <cell r="Q398">
            <v>0</v>
          </cell>
          <cell r="R398">
            <v>0</v>
          </cell>
          <cell r="T398">
            <v>0</v>
          </cell>
          <cell r="U398">
            <v>0</v>
          </cell>
          <cell r="V398">
            <v>0</v>
          </cell>
        </row>
        <row r="399">
          <cell r="B399" t="str">
            <v>16.4.3</v>
          </cell>
          <cell r="C399" t="str">
            <v>SANITARIO INSTITUCIONAL COLOR BLANCO PARA CONEXIÓN SUPERIOR DE ALTA PRESIÓN TIPO MANCESA O SIMILAR</v>
          </cell>
          <cell r="I399" t="str">
            <v>UN</v>
          </cell>
          <cell r="K399">
            <v>540523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T399">
            <v>0</v>
          </cell>
          <cell r="U399">
            <v>0</v>
          </cell>
          <cell r="V399">
            <v>0</v>
          </cell>
        </row>
        <row r="400">
          <cell r="B400" t="str">
            <v>16.4.12</v>
          </cell>
          <cell r="C400" t="str">
            <v xml:space="preserve">SUMINISTRO E INSTALACIÓN SANITARIO DE TANQUE AVANTI </v>
          </cell>
          <cell r="I400" t="str">
            <v>UN</v>
          </cell>
          <cell r="K400">
            <v>370377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T400">
            <v>0</v>
          </cell>
          <cell r="U400">
            <v>0</v>
          </cell>
          <cell r="V400">
            <v>0</v>
          </cell>
        </row>
        <row r="401">
          <cell r="B401">
            <v>17</v>
          </cell>
          <cell r="C401" t="str">
            <v>DIVISIONES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T401">
            <v>0</v>
          </cell>
          <cell r="U401">
            <v>0</v>
          </cell>
          <cell r="V401">
            <v>0</v>
          </cell>
        </row>
        <row r="402">
          <cell r="B402" t="str">
            <v>17.2.1</v>
          </cell>
          <cell r="C402" t="str">
            <v>DIVISIONES PARA BAÑOS EN ACERO INOXIDABLE</v>
          </cell>
          <cell r="I402" t="str">
            <v>M2</v>
          </cell>
          <cell r="K402">
            <v>676025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T402">
            <v>0</v>
          </cell>
          <cell r="U402">
            <v>0</v>
          </cell>
          <cell r="V402">
            <v>0</v>
          </cell>
        </row>
        <row r="403">
          <cell r="B403">
            <v>18</v>
          </cell>
          <cell r="C403" t="str">
            <v>PINTURA</v>
          </cell>
          <cell r="L403">
            <v>0</v>
          </cell>
          <cell r="N403">
            <v>0</v>
          </cell>
          <cell r="O403">
            <v>0</v>
          </cell>
          <cell r="Q403">
            <v>0</v>
          </cell>
          <cell r="R403">
            <v>0</v>
          </cell>
          <cell r="T403">
            <v>0</v>
          </cell>
          <cell r="U403">
            <v>0</v>
          </cell>
          <cell r="V403">
            <v>0</v>
          </cell>
        </row>
        <row r="404">
          <cell r="B404" t="str">
            <v>18.1</v>
          </cell>
          <cell r="C404" t="str">
            <v>PINTURA SOBRE MAMPOSTERIA</v>
          </cell>
          <cell r="L404">
            <v>0</v>
          </cell>
          <cell r="N404">
            <v>0</v>
          </cell>
          <cell r="O404">
            <v>0</v>
          </cell>
          <cell r="Q404">
            <v>0</v>
          </cell>
          <cell r="R404">
            <v>0</v>
          </cell>
          <cell r="T404">
            <v>0</v>
          </cell>
          <cell r="U404">
            <v>0</v>
          </cell>
          <cell r="V404">
            <v>0</v>
          </cell>
        </row>
        <row r="405">
          <cell r="B405" t="str">
            <v>18.1.3</v>
          </cell>
          <cell r="C405" t="str">
            <v>ESTUCO SOBRE PAÑETE</v>
          </cell>
          <cell r="I405" t="str">
            <v>M2</v>
          </cell>
          <cell r="K405">
            <v>5830</v>
          </cell>
          <cell r="L405">
            <v>0</v>
          </cell>
          <cell r="N405">
            <v>0</v>
          </cell>
          <cell r="O405">
            <v>0</v>
          </cell>
          <cell r="Q405">
            <v>0</v>
          </cell>
          <cell r="R405">
            <v>0</v>
          </cell>
          <cell r="T405">
            <v>0</v>
          </cell>
          <cell r="U405">
            <v>0</v>
          </cell>
          <cell r="V405">
            <v>0</v>
          </cell>
        </row>
        <row r="406">
          <cell r="B406" t="str">
            <v>18.2.4</v>
          </cell>
          <cell r="C406" t="str">
            <v>ESMALTE  S/ LAMINA LINEAL</v>
          </cell>
          <cell r="I406" t="str">
            <v>ML</v>
          </cell>
          <cell r="K406">
            <v>7299</v>
          </cell>
          <cell r="L406">
            <v>0</v>
          </cell>
          <cell r="N406">
            <v>0</v>
          </cell>
          <cell r="O406">
            <v>0</v>
          </cell>
          <cell r="Q406">
            <v>0</v>
          </cell>
          <cell r="R406">
            <v>0</v>
          </cell>
          <cell r="T406">
            <v>0</v>
          </cell>
          <cell r="U406">
            <v>0</v>
          </cell>
          <cell r="V406">
            <v>0</v>
          </cell>
        </row>
        <row r="407">
          <cell r="B407" t="str">
            <v>18.4</v>
          </cell>
          <cell r="C407" t="str">
            <v>VARIOS - PINTURA</v>
          </cell>
          <cell r="L407">
            <v>0</v>
          </cell>
          <cell r="N407">
            <v>0</v>
          </cell>
          <cell r="O407">
            <v>0</v>
          </cell>
          <cell r="Q407">
            <v>0</v>
          </cell>
          <cell r="R407">
            <v>0</v>
          </cell>
          <cell r="T407">
            <v>0</v>
          </cell>
          <cell r="U407">
            <v>0</v>
          </cell>
          <cell r="V407">
            <v>0</v>
          </cell>
        </row>
        <row r="408">
          <cell r="B408" t="str">
            <v>18.4.1</v>
          </cell>
          <cell r="C408" t="str">
            <v>HIDROFUGO FACHADAS</v>
          </cell>
          <cell r="I408" t="str">
            <v>M2</v>
          </cell>
          <cell r="K408">
            <v>5947</v>
          </cell>
          <cell r="L408">
            <v>0</v>
          </cell>
          <cell r="N408">
            <v>0</v>
          </cell>
          <cell r="O408">
            <v>0</v>
          </cell>
          <cell r="Q408">
            <v>0</v>
          </cell>
          <cell r="R408">
            <v>0</v>
          </cell>
          <cell r="T408">
            <v>0</v>
          </cell>
          <cell r="U408">
            <v>0</v>
          </cell>
          <cell r="V408">
            <v>0</v>
          </cell>
        </row>
        <row r="409">
          <cell r="B409" t="str">
            <v>18.4.11</v>
          </cell>
          <cell r="C409" t="str">
            <v>PINTURA KORAZA ANTIHONGOS (BAÑOS - COCINA)</v>
          </cell>
          <cell r="I409" t="str">
            <v>M2</v>
          </cell>
          <cell r="K409">
            <v>14092</v>
          </cell>
          <cell r="L409">
            <v>0</v>
          </cell>
          <cell r="N409">
            <v>0</v>
          </cell>
          <cell r="O409">
            <v>0</v>
          </cell>
          <cell r="Q409">
            <v>0</v>
          </cell>
          <cell r="R409">
            <v>0</v>
          </cell>
          <cell r="T409">
            <v>0</v>
          </cell>
          <cell r="U409">
            <v>0</v>
          </cell>
          <cell r="V409">
            <v>0</v>
          </cell>
        </row>
        <row r="410">
          <cell r="B410">
            <v>19</v>
          </cell>
          <cell r="C410" t="str">
            <v>CERRADURAS Y VIDRIOS</v>
          </cell>
          <cell r="L410">
            <v>0</v>
          </cell>
          <cell r="N410">
            <v>0</v>
          </cell>
          <cell r="O410">
            <v>0</v>
          </cell>
          <cell r="Q410">
            <v>0</v>
          </cell>
          <cell r="R410">
            <v>0</v>
          </cell>
          <cell r="T410">
            <v>0</v>
          </cell>
          <cell r="U410">
            <v>0</v>
          </cell>
          <cell r="V410">
            <v>0</v>
          </cell>
        </row>
        <row r="411">
          <cell r="B411" t="str">
            <v>19.1</v>
          </cell>
          <cell r="C411" t="str">
            <v>CERRADURAS</v>
          </cell>
          <cell r="L411">
            <v>0</v>
          </cell>
          <cell r="N411">
            <v>0</v>
          </cell>
          <cell r="O411">
            <v>0</v>
          </cell>
          <cell r="Q411">
            <v>0</v>
          </cell>
          <cell r="R411">
            <v>0</v>
          </cell>
          <cell r="T411">
            <v>0</v>
          </cell>
          <cell r="U411">
            <v>0</v>
          </cell>
          <cell r="V411">
            <v>0</v>
          </cell>
        </row>
        <row r="412">
          <cell r="B412" t="str">
            <v>19.1.6</v>
          </cell>
          <cell r="C412" t="str">
            <v>SUMINISTRO E INSTALACIÓN DE CERRADURA CILÍNDRICA DE POMO METÁLICO GRADO 2 FUNCIÓN AULA, (POMO INTERIOR SIEMPRE ACTIVO, POMO EXTERIOR SE ACTIVA CON LA LLAVE.) CON AMAESTRAMIENTO SEGÚN ESPECIFICACIÓN. REFERENCIA YALE  LF 5308 O EQUIVALENTE</v>
          </cell>
          <cell r="I412" t="str">
            <v>UN</v>
          </cell>
          <cell r="K412">
            <v>104639</v>
          </cell>
          <cell r="L412">
            <v>0</v>
          </cell>
          <cell r="N412">
            <v>0</v>
          </cell>
          <cell r="O412">
            <v>0</v>
          </cell>
          <cell r="Q412">
            <v>0</v>
          </cell>
          <cell r="R412">
            <v>0</v>
          </cell>
          <cell r="T412">
            <v>0</v>
          </cell>
          <cell r="U412">
            <v>0</v>
          </cell>
          <cell r="V412">
            <v>0</v>
          </cell>
        </row>
        <row r="413">
          <cell r="B413">
            <v>21</v>
          </cell>
          <cell r="C413" t="str">
            <v>ASEO Y VARIOS</v>
          </cell>
          <cell r="L413">
            <v>0</v>
          </cell>
          <cell r="N413">
            <v>0</v>
          </cell>
          <cell r="O413">
            <v>0</v>
          </cell>
          <cell r="Q413">
            <v>0</v>
          </cell>
          <cell r="R413">
            <v>0</v>
          </cell>
          <cell r="T413">
            <v>0</v>
          </cell>
          <cell r="U413">
            <v>0</v>
          </cell>
          <cell r="V413">
            <v>0</v>
          </cell>
        </row>
        <row r="414">
          <cell r="B414" t="str">
            <v>21.1.1</v>
          </cell>
          <cell r="C414" t="str">
            <v>ASEO GENERAL</v>
          </cell>
          <cell r="I414" t="str">
            <v>M2</v>
          </cell>
          <cell r="K414">
            <v>2464</v>
          </cell>
          <cell r="L414">
            <v>0</v>
          </cell>
          <cell r="N414">
            <v>0</v>
          </cell>
          <cell r="O414">
            <v>0</v>
          </cell>
          <cell r="Q414">
            <v>0</v>
          </cell>
          <cell r="R414">
            <v>0</v>
          </cell>
          <cell r="T414">
            <v>0</v>
          </cell>
          <cell r="U414">
            <v>0</v>
          </cell>
          <cell r="V414">
            <v>0</v>
          </cell>
        </row>
        <row r="415">
          <cell r="B415" t="str">
            <v>21.1.2</v>
          </cell>
          <cell r="C415" t="str">
            <v xml:space="preserve">LAVADO Y LIMPIEZA DE FACHADAS EN LADRILLO A LA VISTA. INCLUYE SOLUCIONES DE ACIDO </v>
          </cell>
          <cell r="I415" t="str">
            <v>M2</v>
          </cell>
          <cell r="K415">
            <v>4582</v>
          </cell>
          <cell r="L415">
            <v>0</v>
          </cell>
          <cell r="N415">
            <v>0</v>
          </cell>
          <cell r="O415">
            <v>0</v>
          </cell>
          <cell r="Q415">
            <v>0</v>
          </cell>
          <cell r="R415">
            <v>0</v>
          </cell>
          <cell r="T415">
            <v>0</v>
          </cell>
          <cell r="U415">
            <v>0</v>
          </cell>
          <cell r="V415">
            <v>0</v>
          </cell>
        </row>
        <row r="416">
          <cell r="B416" t="str">
            <v>21.1.3</v>
          </cell>
          <cell r="C416" t="str">
            <v xml:space="preserve">LAVADO Y LIMPIEZA DE MUROS INTERIORES EN LADRILLO A LA VISTA. INCLUYE SOLUCIONES DE ACIDO </v>
          </cell>
          <cell r="I416" t="str">
            <v>M2</v>
          </cell>
          <cell r="K416">
            <v>3786</v>
          </cell>
          <cell r="L416">
            <v>0</v>
          </cell>
          <cell r="N416">
            <v>0</v>
          </cell>
          <cell r="O416">
            <v>0</v>
          </cell>
          <cell r="Q416">
            <v>0</v>
          </cell>
          <cell r="R416">
            <v>0</v>
          </cell>
          <cell r="T416">
            <v>0</v>
          </cell>
          <cell r="U416">
            <v>0</v>
          </cell>
          <cell r="V416">
            <v>0</v>
          </cell>
        </row>
        <row r="417"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T417">
            <v>0</v>
          </cell>
          <cell r="U417">
            <v>0</v>
          </cell>
          <cell r="V417">
            <v>0</v>
          </cell>
        </row>
        <row r="418">
          <cell r="N418">
            <v>0</v>
          </cell>
          <cell r="P418">
            <v>0</v>
          </cell>
          <cell r="Q418">
            <v>0</v>
          </cell>
          <cell r="T418">
            <v>0</v>
          </cell>
        </row>
        <row r="419">
          <cell r="B419">
            <v>27</v>
          </cell>
          <cell r="C419" t="str">
            <v>OBRAS COMPLEMENTARIAS (Ver detalle en Anexo Acta Complementaria)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T419">
            <v>0</v>
          </cell>
          <cell r="U419">
            <v>0</v>
          </cell>
        </row>
        <row r="420">
          <cell r="B420" t="str">
            <v>27.1</v>
          </cell>
          <cell r="C420" t="str">
            <v>Diseño de obras complementarias</v>
          </cell>
          <cell r="N420">
            <v>0</v>
          </cell>
          <cell r="P420">
            <v>0</v>
          </cell>
          <cell r="Q420">
            <v>0</v>
          </cell>
          <cell r="T420">
            <v>0</v>
          </cell>
          <cell r="U420">
            <v>0</v>
          </cell>
        </row>
        <row r="421">
          <cell r="B421" t="str">
            <v>27.2</v>
          </cell>
          <cell r="C421" t="str">
            <v>Ejecución de obras complementarias</v>
          </cell>
          <cell r="L421">
            <v>140399082.31</v>
          </cell>
          <cell r="N421">
            <v>0</v>
          </cell>
          <cell r="O421">
            <v>41635762.310000002</v>
          </cell>
          <cell r="P421">
            <v>0</v>
          </cell>
          <cell r="Q421">
            <v>0</v>
          </cell>
          <cell r="R421">
            <v>0</v>
          </cell>
          <cell r="T421">
            <v>0</v>
          </cell>
          <cell r="U421">
            <v>41635762.310000002</v>
          </cell>
          <cell r="V421">
            <v>0.29655295194927689</v>
          </cell>
        </row>
        <row r="422">
          <cell r="B422">
            <v>28</v>
          </cell>
          <cell r="C422" t="str">
            <v>OBRAS DE MEJORAMIENTO (Ver detalle en Anexo Obras mejoramiento)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T422">
            <v>0</v>
          </cell>
          <cell r="U422">
            <v>0</v>
          </cell>
        </row>
        <row r="423">
          <cell r="B423" t="str">
            <v>28.1</v>
          </cell>
          <cell r="C423" t="str">
            <v>Ejecución de obras de mejoramiento</v>
          </cell>
          <cell r="L423">
            <v>157724363.84615391</v>
          </cell>
          <cell r="N423">
            <v>0</v>
          </cell>
          <cell r="O423">
            <v>9572860</v>
          </cell>
          <cell r="Q423">
            <v>0</v>
          </cell>
          <cell r="R423">
            <v>114571744.76000001</v>
          </cell>
          <cell r="T423">
            <v>0</v>
          </cell>
          <cell r="U423">
            <v>124144604.76000001</v>
          </cell>
          <cell r="V423">
            <v>0.78709846552997997</v>
          </cell>
        </row>
        <row r="425">
          <cell r="B425" t="str">
            <v>COSTO DIRECTO FASE DE CONSTRUCCIÓN</v>
          </cell>
          <cell r="L425">
            <v>2304203366.4732966</v>
          </cell>
          <cell r="O425">
            <v>272070611.93000001</v>
          </cell>
          <cell r="R425">
            <v>1325358060.3499999</v>
          </cell>
          <cell r="U425">
            <v>1597428672.28</v>
          </cell>
          <cell r="V425">
            <v>0.69326722437913446</v>
          </cell>
        </row>
        <row r="427">
          <cell r="B427" t="str">
            <v>OBRAS NO PREVISTAS</v>
          </cell>
          <cell r="N427" t="str">
            <v>OBRAS NO PREVISTAS EJECUTADA</v>
          </cell>
        </row>
        <row r="429">
          <cell r="B429" t="str">
            <v>ITEM</v>
          </cell>
          <cell r="C429" t="str">
            <v>DESCRIPCION</v>
          </cell>
          <cell r="I429" t="str">
            <v>UN</v>
          </cell>
          <cell r="J429" t="str">
            <v>CANT</v>
          </cell>
          <cell r="K429" t="str">
            <v>PRECIO</v>
          </cell>
          <cell r="L429" t="str">
            <v>VALOR</v>
          </cell>
          <cell r="N429" t="str">
            <v>PRESENTE ACTA</v>
          </cell>
          <cell r="Q429" t="str">
            <v>ACUMULADO ANTERIOR</v>
          </cell>
          <cell r="T429" t="str">
            <v>ACUMULADO ACTUAL</v>
          </cell>
        </row>
        <row r="430">
          <cell r="B430" t="str">
            <v>4.1.1.1</v>
          </cell>
          <cell r="C430" t="str">
            <v>COLUMNAS EN CONCRETO DE 4000 PSI</v>
          </cell>
          <cell r="I430" t="str">
            <v>M3</v>
          </cell>
          <cell r="J430">
            <v>31.655200000000001</v>
          </cell>
          <cell r="K430">
            <v>804064</v>
          </cell>
          <cell r="L430">
            <v>25452806.732799999</v>
          </cell>
          <cell r="N430">
            <v>0</v>
          </cell>
          <cell r="O430">
            <v>0</v>
          </cell>
          <cell r="Q430">
            <v>31.655200000000001</v>
          </cell>
          <cell r="R430">
            <v>25448625.600000001</v>
          </cell>
          <cell r="T430">
            <v>31.655200000000001</v>
          </cell>
          <cell r="U430">
            <v>25448625.600000001</v>
          </cell>
          <cell r="V430">
            <v>0.99983572999064929</v>
          </cell>
          <cell r="X430">
            <v>20535794.559999999</v>
          </cell>
        </row>
        <row r="431">
          <cell r="B431" t="str">
            <v>APU EVE 003</v>
          </cell>
          <cell r="C431" t="str">
            <v>SUMINISTRO E INSTALACION BANDEJA PORTACABLES TIPO DUCTO CERRADO, EN PINTURA ELECTROSTATICA 20 x  8 CON DIVISION INCLUYE ACCESORIOS CON PINTURA ELECTROSTATICA CON DIVISION INCLUYE TAPA, SOPORTERIA, FIJACIONES Y ACCESORIOS</v>
          </cell>
          <cell r="I431" t="str">
            <v>M</v>
          </cell>
          <cell r="J431">
            <v>100</v>
          </cell>
          <cell r="K431">
            <v>142534</v>
          </cell>
          <cell r="L431">
            <v>14253400</v>
          </cell>
          <cell r="N431">
            <v>0</v>
          </cell>
          <cell r="O431">
            <v>0</v>
          </cell>
          <cell r="Q431">
            <v>100</v>
          </cell>
          <cell r="R431">
            <v>14253400</v>
          </cell>
          <cell r="T431">
            <v>100</v>
          </cell>
          <cell r="U431">
            <v>14253400</v>
          </cell>
          <cell r="V431">
            <v>1</v>
          </cell>
        </row>
        <row r="432">
          <cell r="L432">
            <v>0</v>
          </cell>
          <cell r="N432">
            <v>0</v>
          </cell>
          <cell r="O432">
            <v>0</v>
          </cell>
          <cell r="R432">
            <v>0</v>
          </cell>
          <cell r="T432">
            <v>0</v>
          </cell>
          <cell r="U432">
            <v>0</v>
          </cell>
          <cell r="V432">
            <v>0</v>
          </cell>
        </row>
        <row r="433">
          <cell r="N433">
            <v>0</v>
          </cell>
          <cell r="Q433">
            <v>0</v>
          </cell>
          <cell r="R433">
            <v>0</v>
          </cell>
        </row>
        <row r="434">
          <cell r="N434">
            <v>0</v>
          </cell>
          <cell r="Q434">
            <v>0</v>
          </cell>
          <cell r="R434">
            <v>0</v>
          </cell>
        </row>
        <row r="435">
          <cell r="N435">
            <v>0</v>
          </cell>
          <cell r="Q435">
            <v>0</v>
          </cell>
          <cell r="R435">
            <v>0</v>
          </cell>
        </row>
        <row r="436">
          <cell r="N436">
            <v>0</v>
          </cell>
          <cell r="Q436">
            <v>0</v>
          </cell>
          <cell r="R436">
            <v>0</v>
          </cell>
        </row>
        <row r="437">
          <cell r="N437">
            <v>0</v>
          </cell>
          <cell r="Q437">
            <v>0</v>
          </cell>
          <cell r="R437">
            <v>0</v>
          </cell>
        </row>
        <row r="438">
          <cell r="N438">
            <v>0</v>
          </cell>
          <cell r="Q438">
            <v>0</v>
          </cell>
          <cell r="R438">
            <v>0</v>
          </cell>
        </row>
        <row r="439">
          <cell r="N439">
            <v>0</v>
          </cell>
          <cell r="Q439">
            <v>0</v>
          </cell>
          <cell r="R439">
            <v>0</v>
          </cell>
        </row>
        <row r="440">
          <cell r="N440">
            <v>0</v>
          </cell>
          <cell r="Q440">
            <v>0</v>
          </cell>
          <cell r="R440">
            <v>0</v>
          </cell>
        </row>
        <row r="441">
          <cell r="N441">
            <v>0</v>
          </cell>
          <cell r="Q441">
            <v>0</v>
          </cell>
          <cell r="R441">
            <v>0</v>
          </cell>
        </row>
        <row r="442">
          <cell r="N442">
            <v>0</v>
          </cell>
          <cell r="Q442">
            <v>0</v>
          </cell>
          <cell r="R442">
            <v>0</v>
          </cell>
        </row>
        <row r="443">
          <cell r="N443">
            <v>0</v>
          </cell>
          <cell r="O443">
            <v>0</v>
          </cell>
          <cell r="Q443">
            <v>0</v>
          </cell>
          <cell r="R443">
            <v>0</v>
          </cell>
          <cell r="T443">
            <v>0</v>
          </cell>
          <cell r="U443">
            <v>0</v>
          </cell>
          <cell r="V443">
            <v>0</v>
          </cell>
        </row>
        <row r="444">
          <cell r="R444">
            <v>0</v>
          </cell>
        </row>
        <row r="445">
          <cell r="L445">
            <v>39706206.732799999</v>
          </cell>
          <cell r="O445">
            <v>0</v>
          </cell>
          <cell r="R445">
            <v>39702025.600000001</v>
          </cell>
          <cell r="U445">
            <v>39702025.600000001</v>
          </cell>
        </row>
        <row r="449">
          <cell r="B449" t="str">
            <v xml:space="preserve">MAYORES CANTIDADES </v>
          </cell>
          <cell r="N449" t="str">
            <v>OBRAS MAYORES CANTIDADES EJECUTADA</v>
          </cell>
        </row>
        <row r="451">
          <cell r="B451" t="str">
            <v>ITEM</v>
          </cell>
          <cell r="C451" t="str">
            <v>DESCRIPCION</v>
          </cell>
          <cell r="I451" t="str">
            <v>UN</v>
          </cell>
          <cell r="J451" t="str">
            <v>CANT</v>
          </cell>
          <cell r="K451" t="str">
            <v>PRECIO</v>
          </cell>
          <cell r="L451" t="str">
            <v>VALOR</v>
          </cell>
          <cell r="N451" t="str">
            <v>PRESENTE ACTA</v>
          </cell>
          <cell r="Q451" t="str">
            <v>ACUMULADO ANTERIOR</v>
          </cell>
          <cell r="T451" t="str">
            <v>ACUMULADO ACTUAL</v>
          </cell>
        </row>
        <row r="452">
          <cell r="B452" t="str">
            <v>5.2.7</v>
          </cell>
          <cell r="C452" t="str">
            <v>MUROS LADRILLO TOLETE FINO PERFORADO E=12 cm</v>
          </cell>
          <cell r="I452" t="str">
            <v>M2</v>
          </cell>
          <cell r="J452">
            <v>1079.06</v>
          </cell>
          <cell r="K452">
            <v>85204</v>
          </cell>
          <cell r="L452">
            <v>91940228.239999995</v>
          </cell>
          <cell r="N452">
            <v>0</v>
          </cell>
          <cell r="O452">
            <v>0</v>
          </cell>
          <cell r="Q452">
            <v>1079.06</v>
          </cell>
          <cell r="R452">
            <v>91940228.239999995</v>
          </cell>
          <cell r="T452">
            <v>1079.06</v>
          </cell>
          <cell r="U452">
            <v>91940228.239999995</v>
          </cell>
          <cell r="V452">
            <v>1</v>
          </cell>
          <cell r="X452">
            <v>45468262.560000002</v>
          </cell>
        </row>
        <row r="453">
          <cell r="B453" t="str">
            <v>11.1.2</v>
          </cell>
          <cell r="C453" t="str">
            <v>IMPERMEABILIZACION EXTERIOR ESTRUCTURAS DE CONCRETO ENTERRADAS IGOL DENSO 2 MANOS</v>
          </cell>
          <cell r="I453" t="str">
            <v>M2</v>
          </cell>
          <cell r="J453">
            <v>216.04</v>
          </cell>
          <cell r="K453">
            <v>34064</v>
          </cell>
          <cell r="L453">
            <v>7359186.5599999996</v>
          </cell>
          <cell r="N453">
            <v>0</v>
          </cell>
          <cell r="O453">
            <v>0</v>
          </cell>
          <cell r="Q453">
            <v>216.04</v>
          </cell>
          <cell r="R453">
            <v>7359186.5599999996</v>
          </cell>
          <cell r="T453">
            <v>216.04</v>
          </cell>
          <cell r="U453">
            <v>7359186.5599999996</v>
          </cell>
          <cell r="V453">
            <v>1</v>
          </cell>
        </row>
        <row r="454">
          <cell r="B454" t="str">
            <v>6.1.6</v>
          </cell>
          <cell r="C454" t="str">
            <v>DINTEL CONCRETO 0,15M X 0,10 M</v>
          </cell>
          <cell r="I454" t="str">
            <v>M</v>
          </cell>
          <cell r="J454">
            <v>173.18</v>
          </cell>
          <cell r="K454">
            <v>40341</v>
          </cell>
          <cell r="L454">
            <v>6986254.3799999999</v>
          </cell>
          <cell r="N454">
            <v>0</v>
          </cell>
          <cell r="O454">
            <v>0</v>
          </cell>
          <cell r="Q454">
            <v>173.18</v>
          </cell>
          <cell r="R454">
            <v>6986254.3799999999</v>
          </cell>
          <cell r="T454">
            <v>173.18</v>
          </cell>
          <cell r="U454">
            <v>6986254.3799999999</v>
          </cell>
          <cell r="V454">
            <v>1</v>
          </cell>
        </row>
        <row r="455">
          <cell r="B455" t="str">
            <v>7.4.1</v>
          </cell>
          <cell r="C455" t="str">
            <v>ACCESORIOS PVC-P Ø 1/2"</v>
          </cell>
          <cell r="I455" t="str">
            <v>UN</v>
          </cell>
          <cell r="J455">
            <v>165</v>
          </cell>
          <cell r="K455">
            <v>2421</v>
          </cell>
          <cell r="L455">
            <v>399465</v>
          </cell>
          <cell r="N455">
            <v>0</v>
          </cell>
          <cell r="O455">
            <v>0</v>
          </cell>
          <cell r="Q455">
            <v>165</v>
          </cell>
          <cell r="R455">
            <v>399465</v>
          </cell>
          <cell r="T455">
            <v>165</v>
          </cell>
          <cell r="U455">
            <v>399465</v>
          </cell>
          <cell r="V455">
            <v>1</v>
          </cell>
        </row>
        <row r="456">
          <cell r="B456" t="str">
            <v>7.4.2</v>
          </cell>
          <cell r="C456" t="str">
            <v>ACCESORIOS PVC-P Ø 3/4"</v>
          </cell>
          <cell r="I456" t="str">
            <v>UN</v>
          </cell>
          <cell r="J456">
            <v>119</v>
          </cell>
          <cell r="K456">
            <v>4777</v>
          </cell>
          <cell r="L456">
            <v>568463</v>
          </cell>
          <cell r="N456">
            <v>0</v>
          </cell>
          <cell r="O456">
            <v>0</v>
          </cell>
          <cell r="Q456">
            <v>119</v>
          </cell>
          <cell r="R456">
            <v>568463</v>
          </cell>
          <cell r="T456">
            <v>119</v>
          </cell>
          <cell r="U456">
            <v>568463</v>
          </cell>
          <cell r="V456">
            <v>1</v>
          </cell>
        </row>
        <row r="457">
          <cell r="B457" t="str">
            <v>7.4.3</v>
          </cell>
          <cell r="C457" t="str">
            <v>ACCESORIOS PVC-P Ø 1"</v>
          </cell>
          <cell r="I457" t="str">
            <v>UN</v>
          </cell>
          <cell r="J457">
            <v>156</v>
          </cell>
          <cell r="K457">
            <v>6177</v>
          </cell>
          <cell r="L457">
            <v>963612</v>
          </cell>
          <cell r="N457">
            <v>0</v>
          </cell>
          <cell r="O457">
            <v>0</v>
          </cell>
          <cell r="Q457">
            <v>156</v>
          </cell>
          <cell r="R457">
            <v>963612</v>
          </cell>
          <cell r="T457">
            <v>156</v>
          </cell>
          <cell r="U457">
            <v>963612</v>
          </cell>
          <cell r="V457">
            <v>1</v>
          </cell>
        </row>
        <row r="458">
          <cell r="B458" t="str">
            <v>7.4.4</v>
          </cell>
          <cell r="C458" t="str">
            <v>ACCESORIOS PVC-P Ø 1 1/4"</v>
          </cell>
          <cell r="I458" t="str">
            <v>UN</v>
          </cell>
          <cell r="J458">
            <v>28</v>
          </cell>
          <cell r="K458">
            <v>7242</v>
          </cell>
          <cell r="L458">
            <v>202776</v>
          </cell>
          <cell r="N458">
            <v>0</v>
          </cell>
          <cell r="O458">
            <v>0</v>
          </cell>
          <cell r="Q458">
            <v>28</v>
          </cell>
          <cell r="R458">
            <v>202776</v>
          </cell>
          <cell r="T458">
            <v>28</v>
          </cell>
          <cell r="U458">
            <v>202776</v>
          </cell>
          <cell r="V458">
            <v>1</v>
          </cell>
        </row>
        <row r="459">
          <cell r="B459" t="str">
            <v>3.3.3</v>
          </cell>
          <cell r="C459" t="str">
            <v>GEOTEXTIL NT 1600 (Incluye Suministro e Instalación).</v>
          </cell>
          <cell r="I459" t="str">
            <v>M2</v>
          </cell>
          <cell r="J459">
            <v>285.2</v>
          </cell>
          <cell r="K459">
            <v>3648</v>
          </cell>
          <cell r="L459">
            <v>1040409.6</v>
          </cell>
          <cell r="N459">
            <v>0</v>
          </cell>
          <cell r="O459">
            <v>0</v>
          </cell>
          <cell r="Q459">
            <v>285.2</v>
          </cell>
          <cell r="R459">
            <v>1040409.6</v>
          </cell>
          <cell r="T459">
            <v>285.2</v>
          </cell>
          <cell r="U459">
            <v>1040409.6</v>
          </cell>
          <cell r="V459">
            <v>1</v>
          </cell>
        </row>
        <row r="460">
          <cell r="N460">
            <v>0</v>
          </cell>
          <cell r="O460">
            <v>0</v>
          </cell>
          <cell r="Q460">
            <v>0</v>
          </cell>
          <cell r="R460">
            <v>0</v>
          </cell>
          <cell r="T460">
            <v>0</v>
          </cell>
          <cell r="U460">
            <v>0</v>
          </cell>
          <cell r="V460">
            <v>0</v>
          </cell>
        </row>
        <row r="461">
          <cell r="N461">
            <v>0</v>
          </cell>
          <cell r="O461">
            <v>0</v>
          </cell>
          <cell r="Q461">
            <v>0</v>
          </cell>
          <cell r="R461">
            <v>0</v>
          </cell>
          <cell r="T461">
            <v>0</v>
          </cell>
          <cell r="U461">
            <v>0</v>
          </cell>
          <cell r="V461">
            <v>0</v>
          </cell>
        </row>
        <row r="462">
          <cell r="N462">
            <v>0</v>
          </cell>
          <cell r="O462">
            <v>0</v>
          </cell>
          <cell r="Q462">
            <v>0</v>
          </cell>
          <cell r="R462">
            <v>0</v>
          </cell>
          <cell r="T462">
            <v>0</v>
          </cell>
          <cell r="U462">
            <v>0</v>
          </cell>
          <cell r="V462">
            <v>0</v>
          </cell>
        </row>
        <row r="463">
          <cell r="R463">
            <v>0</v>
          </cell>
        </row>
        <row r="464">
          <cell r="L464">
            <v>109460394.77999999</v>
          </cell>
          <cell r="O464">
            <v>0</v>
          </cell>
          <cell r="R464">
            <v>109460394.77999999</v>
          </cell>
          <cell r="U464">
            <v>109460394.77999999</v>
          </cell>
        </row>
        <row r="469">
          <cell r="B469" t="str">
            <v>VALOR  COSTO DIRECTO OBRA</v>
          </cell>
          <cell r="L469">
            <v>2453369967.9860969</v>
          </cell>
          <cell r="O469">
            <v>272070611.93000001</v>
          </cell>
          <cell r="R469">
            <v>1474520480.73</v>
          </cell>
          <cell r="U469">
            <v>1746591092.6600001</v>
          </cell>
          <cell r="V469">
            <v>0.71191508637147305</v>
          </cell>
        </row>
        <row r="471">
          <cell r="B471" t="str">
            <v>ADMINISTRACION</v>
          </cell>
          <cell r="E471" t="str">
            <v>(</v>
          </cell>
          <cell r="F471">
            <v>0.25</v>
          </cell>
          <cell r="H471" t="str">
            <v xml:space="preserve">  )</v>
          </cell>
          <cell r="L471">
            <v>613342491.99652421</v>
          </cell>
          <cell r="O471">
            <v>68017652.980000004</v>
          </cell>
          <cell r="R471">
            <v>368630120.19</v>
          </cell>
          <cell r="U471">
            <v>436647773.17000002</v>
          </cell>
          <cell r="V471">
            <v>0.71191508637962508</v>
          </cell>
        </row>
        <row r="473">
          <cell r="B473" t="str">
            <v>IMPREVISTOS.</v>
          </cell>
          <cell r="E473" t="str">
            <v>(</v>
          </cell>
          <cell r="F473">
            <v>0.01</v>
          </cell>
          <cell r="H473" t="str">
            <v xml:space="preserve">  )</v>
          </cell>
          <cell r="L473">
            <v>24533699.679860968</v>
          </cell>
          <cell r="O473">
            <v>2720706.12</v>
          </cell>
          <cell r="R473">
            <v>14745204.810000001</v>
          </cell>
          <cell r="U473">
            <v>17465910.93</v>
          </cell>
          <cell r="V473">
            <v>0.71191508651005786</v>
          </cell>
        </row>
        <row r="475">
          <cell r="B475" t="str">
            <v>UTILIDAD.</v>
          </cell>
          <cell r="E475" t="str">
            <v>(</v>
          </cell>
          <cell r="F475">
            <v>3.3613445378151301E-2</v>
          </cell>
          <cell r="H475" t="str">
            <v xml:space="preserve">  )</v>
          </cell>
          <cell r="I475">
            <v>0.30000000000000004</v>
          </cell>
          <cell r="L475">
            <v>82466217.41129747</v>
          </cell>
          <cell r="O475">
            <v>9145230.6500000004</v>
          </cell>
          <cell r="R475">
            <v>49563713.640000001</v>
          </cell>
          <cell r="U475">
            <v>58708944.289999999</v>
          </cell>
          <cell r="V475">
            <v>0.71191508635822498</v>
          </cell>
        </row>
        <row r="477">
          <cell r="B477" t="str">
            <v>IVA SOBRE UTILIDAD</v>
          </cell>
          <cell r="E477" t="str">
            <v>(</v>
          </cell>
          <cell r="F477">
            <v>0.19</v>
          </cell>
          <cell r="H477" t="str">
            <v xml:space="preserve">  )</v>
          </cell>
          <cell r="L477">
            <v>15668581.30814652</v>
          </cell>
          <cell r="O477">
            <v>1737593.82</v>
          </cell>
          <cell r="R477">
            <v>9417105.5899999999</v>
          </cell>
          <cell r="U477">
            <v>11154699.41</v>
          </cell>
          <cell r="V477">
            <v>0.7119150860327329</v>
          </cell>
        </row>
        <row r="479">
          <cell r="B479" t="str">
            <v>VALOR TOTAL  OBRA</v>
          </cell>
          <cell r="L479">
            <v>3189380958.3819261</v>
          </cell>
          <cell r="O479">
            <v>353691795.5</v>
          </cell>
          <cell r="R479">
            <v>1916876624.96</v>
          </cell>
          <cell r="U479">
            <v>2270568420.46</v>
          </cell>
          <cell r="V479">
            <v>0.71191508637209999</v>
          </cell>
        </row>
        <row r="481">
          <cell r="B481" t="str">
            <v>VALOR  COSTO DIRECTO ESTUDIOS Y DISEÑOS</v>
          </cell>
          <cell r="L481">
            <v>42024214</v>
          </cell>
          <cell r="O481">
            <v>0</v>
          </cell>
          <cell r="R481">
            <v>39923083.109999999</v>
          </cell>
          <cell r="U481">
            <v>39923083.109999999</v>
          </cell>
          <cell r="V481">
            <v>0.950001899143194</v>
          </cell>
        </row>
        <row r="483">
          <cell r="B483" t="str">
            <v xml:space="preserve">I.        V.          A.                                                (  </v>
          </cell>
          <cell r="F483">
            <v>0.19</v>
          </cell>
          <cell r="H483" t="str">
            <v xml:space="preserve">  )</v>
          </cell>
          <cell r="L483">
            <v>7984600.6600000001</v>
          </cell>
          <cell r="O483">
            <v>0</v>
          </cell>
          <cell r="R483">
            <v>7585385.79</v>
          </cell>
          <cell r="U483">
            <v>7585385.79</v>
          </cell>
          <cell r="V483">
            <v>0.95000189903047694</v>
          </cell>
        </row>
        <row r="485">
          <cell r="B485" t="str">
            <v>VALOR TOTAL  ESTUDIOS Y DISEÑOS</v>
          </cell>
          <cell r="L485">
            <v>50008814.659999996</v>
          </cell>
          <cell r="O485">
            <v>0</v>
          </cell>
          <cell r="R485">
            <v>47508468.899999999</v>
          </cell>
          <cell r="U485">
            <v>47508468.899999999</v>
          </cell>
          <cell r="V485">
            <v>0.95000189912519717</v>
          </cell>
        </row>
        <row r="487">
          <cell r="B487" t="str">
            <v>VALOR  COSTO DIRECTO IMPLEMENTACIÓN PAPSO</v>
          </cell>
          <cell r="L487">
            <v>0</v>
          </cell>
          <cell r="O487">
            <v>0</v>
          </cell>
          <cell r="R487">
            <v>0</v>
          </cell>
          <cell r="U487">
            <v>0</v>
          </cell>
          <cell r="V487">
            <v>0</v>
          </cell>
        </row>
        <row r="489">
          <cell r="B489" t="str">
            <v xml:space="preserve">I.        V.          A.                                                (  </v>
          </cell>
          <cell r="F489">
            <v>0.19</v>
          </cell>
          <cell r="H489" t="str">
            <v xml:space="preserve">  )</v>
          </cell>
          <cell r="L489">
            <v>0</v>
          </cell>
          <cell r="O489">
            <v>0</v>
          </cell>
          <cell r="R489">
            <v>0</v>
          </cell>
          <cell r="U489">
            <v>0</v>
          </cell>
          <cell r="V489">
            <v>0</v>
          </cell>
        </row>
        <row r="491">
          <cell r="B491" t="str">
            <v>VALOR TOTAL IMPLEMENTACIÓN PAPSO</v>
          </cell>
          <cell r="L491">
            <v>0</v>
          </cell>
          <cell r="O491">
            <v>0</v>
          </cell>
          <cell r="R491">
            <v>0</v>
          </cell>
          <cell r="U491">
            <v>0</v>
          </cell>
          <cell r="V491">
            <v>0</v>
          </cell>
        </row>
        <row r="494">
          <cell r="B494" t="str">
            <v>VALOR TOTAL  ESTUDIOS , DISEÑOS , PAPSO,  Y OBRA</v>
          </cell>
          <cell r="L494">
            <v>3239389773</v>
          </cell>
          <cell r="O494">
            <v>353691795.5</v>
          </cell>
          <cell r="R494">
            <v>1964385093.8599999</v>
          </cell>
          <cell r="U494">
            <v>2318076889.3600001</v>
          </cell>
          <cell r="V494">
            <v>0.71559060557668808</v>
          </cell>
        </row>
        <row r="496">
          <cell r="B496" t="str">
            <v xml:space="preserve">VALOR AJUSTE AL PESO </v>
          </cell>
          <cell r="L496">
            <v>0</v>
          </cell>
          <cell r="O496">
            <v>0.5</v>
          </cell>
          <cell r="R496">
            <v>0.14000000000000001</v>
          </cell>
          <cell r="U496">
            <v>0.64</v>
          </cell>
          <cell r="V496">
            <v>0</v>
          </cell>
        </row>
        <row r="498">
          <cell r="B498" t="str">
            <v>VALOR TOTAL  ESTUDIOS , DISEÑOS  Y OBRA AJUSTADA AL PESO</v>
          </cell>
          <cell r="O498">
            <v>353691796</v>
          </cell>
          <cell r="R498">
            <v>1964385094</v>
          </cell>
          <cell r="U498">
            <v>2318076890</v>
          </cell>
          <cell r="V498">
            <v>0</v>
          </cell>
        </row>
        <row r="500">
          <cell r="B500" t="str">
            <v>AMORTIZACION DEL ANTICIPO                       (</v>
          </cell>
          <cell r="F500">
            <v>0.2</v>
          </cell>
          <cell r="H500" t="str">
            <v xml:space="preserve">  )</v>
          </cell>
          <cell r="L500">
            <v>647877955</v>
          </cell>
          <cell r="N500">
            <v>0.25</v>
          </cell>
          <cell r="O500">
            <v>88422949</v>
          </cell>
          <cell r="R500">
            <v>479219156</v>
          </cell>
          <cell r="U500">
            <v>567642105</v>
          </cell>
          <cell r="V500">
            <v>0.87615591890296685</v>
          </cell>
        </row>
        <row r="502">
          <cell r="B502" t="str">
            <v>VALOR TOTAL ACTA</v>
          </cell>
          <cell r="O502">
            <v>265268847</v>
          </cell>
          <cell r="R502">
            <v>1485165938</v>
          </cell>
          <cell r="U502">
            <v>1750434785</v>
          </cell>
          <cell r="V502">
            <v>0</v>
          </cell>
        </row>
        <row r="505">
          <cell r="B505" t="str">
            <v>PORCENTAJE EJECUTADO PRESENTE ACTA</v>
          </cell>
          <cell r="O505">
            <v>0.10918469844165925</v>
          </cell>
          <cell r="R505">
            <v>0.60640590713502873</v>
          </cell>
          <cell r="U505">
            <v>0.71559060557668797</v>
          </cell>
        </row>
        <row r="507">
          <cell r="B507" t="str">
            <v>VALOR A PAGAR AJUSTADO AL PESO</v>
          </cell>
          <cell r="O507">
            <v>265268847</v>
          </cell>
          <cell r="R507">
            <v>1485165938</v>
          </cell>
          <cell r="U507">
            <v>1750434785</v>
          </cell>
          <cell r="V507">
            <v>0</v>
          </cell>
        </row>
        <row r="510">
          <cell r="B510" t="str">
            <v>SALDO DEL CONTRATO</v>
          </cell>
          <cell r="D510">
            <v>841077033</v>
          </cell>
          <cell r="I510" t="str">
            <v>SALDO POR AMORTIZAR</v>
          </cell>
          <cell r="L510">
            <v>80235850</v>
          </cell>
          <cell r="N510" t="str">
            <v>PRESENTE ACTA</v>
          </cell>
          <cell r="Q510" t="str">
            <v>ACUMULADO ANTERIOR</v>
          </cell>
          <cell r="T510" t="str">
            <v>ACUMULADO ACTUAL</v>
          </cell>
        </row>
        <row r="513">
          <cell r="B513" t="str">
            <v xml:space="preserve"> RESUMEN PRESENTE ACTA POR TIPOS DE PAGO</v>
          </cell>
        </row>
        <row r="514">
          <cell r="B514" t="str">
            <v>No.</v>
          </cell>
          <cell r="C514" t="str">
            <v>TIPO DE PAGO</v>
          </cell>
          <cell r="F514" t="str">
            <v>CONCEPTO</v>
          </cell>
          <cell r="K514" t="str">
            <v>VALOR CONCEPTO</v>
          </cell>
          <cell r="L514" t="str">
            <v>VALOR AIU</v>
          </cell>
          <cell r="N514" t="str">
            <v>VALOR FACTURADO</v>
          </cell>
          <cell r="O514" t="str">
            <v>AMORTIZACION ANTICIPO</v>
          </cell>
          <cell r="Q514" t="str">
            <v>TOTAL A PAGAR</v>
          </cell>
        </row>
        <row r="515">
          <cell r="B515">
            <v>1</v>
          </cell>
          <cell r="C515" t="str">
            <v>B-OBRA - PRIMER PAGO ESTUDIOS Y DISEÑOS 90%</v>
          </cell>
          <cell r="F515" t="str">
            <v>18232020005-B-ESTUDIOS Y DISEÑOS TÉCNICOS</v>
          </cell>
          <cell r="K515">
            <v>0</v>
          </cell>
          <cell r="L515">
            <v>0</v>
          </cell>
          <cell r="N515">
            <v>0</v>
          </cell>
          <cell r="O515">
            <v>0</v>
          </cell>
          <cell r="Q515">
            <v>0</v>
          </cell>
        </row>
        <row r="516">
          <cell r="B516">
            <v>2</v>
          </cell>
          <cell r="C516" t="str">
            <v>B-OBRA - AVANCE F2 90%</v>
          </cell>
          <cell r="F516" t="str">
            <v>18232020005-B-ESTUDIOS Y DISEÑOS TÉCNICOS</v>
          </cell>
          <cell r="K516">
            <v>0</v>
          </cell>
          <cell r="L516">
            <v>0</v>
          </cell>
          <cell r="N516">
            <v>0</v>
          </cell>
          <cell r="O516">
            <v>0</v>
          </cell>
          <cell r="Q516">
            <v>0</v>
          </cell>
        </row>
        <row r="517">
          <cell r="C517" t="str">
            <v>B-OBRA - AVANCE F2 90%</v>
          </cell>
          <cell r="F517" t="str">
            <v>51909501226-B-IMPLEMENTACIÓN PAPSO</v>
          </cell>
          <cell r="K517">
            <v>0</v>
          </cell>
          <cell r="L517">
            <v>0</v>
          </cell>
          <cell r="N517">
            <v>0</v>
          </cell>
          <cell r="O517">
            <v>0</v>
          </cell>
          <cell r="Q517">
            <v>0</v>
          </cell>
        </row>
        <row r="518">
          <cell r="B518">
            <v>3</v>
          </cell>
          <cell r="C518" t="str">
            <v>B-OBRA - AVANCE F2 90%</v>
          </cell>
          <cell r="F518" t="str">
            <v>18231501036-B-OBRA - AVANCE F2 90%</v>
          </cell>
          <cell r="K518">
            <v>272070611.93000001</v>
          </cell>
          <cell r="L518">
            <v>81621183.579000011</v>
          </cell>
          <cell r="N518">
            <v>353691796</v>
          </cell>
          <cell r="O518">
            <v>88422949</v>
          </cell>
          <cell r="Q518">
            <v>265268847</v>
          </cell>
        </row>
        <row r="519">
          <cell r="B519">
            <v>3</v>
          </cell>
          <cell r="C519" t="str">
            <v>B-OBRA - LIQUIDACIÓN F2 10%</v>
          </cell>
          <cell r="F519" t="str">
            <v>18231501037-B-OBRA - LIQUIDACIÓN F2 10%</v>
          </cell>
          <cell r="K519">
            <v>0</v>
          </cell>
          <cell r="L519">
            <v>0</v>
          </cell>
          <cell r="N519">
            <v>0</v>
          </cell>
          <cell r="Q519">
            <v>0</v>
          </cell>
        </row>
        <row r="520">
          <cell r="B520" t="str">
            <v>TOTALES</v>
          </cell>
          <cell r="K520">
            <v>272070612</v>
          </cell>
          <cell r="L520">
            <v>81621184</v>
          </cell>
          <cell r="N520">
            <v>353691796</v>
          </cell>
          <cell r="O520">
            <v>88422949</v>
          </cell>
          <cell r="Q520">
            <v>265268847</v>
          </cell>
        </row>
        <row r="522">
          <cell r="C522" t="str">
            <v>Obras complementarias</v>
          </cell>
          <cell r="F522" t="str">
            <v>Diseño Obras complementarias</v>
          </cell>
          <cell r="K522">
            <v>0</v>
          </cell>
          <cell r="L522">
            <v>0</v>
          </cell>
          <cell r="N522">
            <v>0</v>
          </cell>
          <cell r="O522">
            <v>0</v>
          </cell>
          <cell r="Q522">
            <v>0</v>
          </cell>
        </row>
        <row r="523">
          <cell r="C523" t="str">
            <v>Obras complementarias</v>
          </cell>
          <cell r="F523" t="str">
            <v>Ejecución de obras complementarias</v>
          </cell>
          <cell r="K523">
            <v>41635762.310000002</v>
          </cell>
          <cell r="L523">
            <v>12490728.693000002</v>
          </cell>
          <cell r="N523">
            <v>54126491.003000006</v>
          </cell>
          <cell r="O523">
            <v>0</v>
          </cell>
          <cell r="Q523">
            <v>54126491.003000006</v>
          </cell>
        </row>
        <row r="524">
          <cell r="C524" t="str">
            <v>Obras de Mejoramiento</v>
          </cell>
          <cell r="F524" t="str">
            <v>Ejecución de obras de Mejoramiento</v>
          </cell>
          <cell r="K524">
            <v>9572860</v>
          </cell>
          <cell r="L524">
            <v>2871858.0000000005</v>
          </cell>
          <cell r="N524">
            <v>12444718</v>
          </cell>
          <cell r="O524">
            <v>0</v>
          </cell>
          <cell r="Q524">
            <v>12444718</v>
          </cell>
        </row>
        <row r="527">
          <cell r="C527" t="str">
            <v/>
          </cell>
        </row>
        <row r="533">
          <cell r="C533" t="str">
            <v>REPRESENTANTE LEGAL</v>
          </cell>
          <cell r="R533" t="str">
            <v>REPRESENTANTE LEGAL</v>
          </cell>
        </row>
        <row r="534">
          <cell r="C534" t="str">
            <v xml:space="preserve">CONTRATISTA </v>
          </cell>
          <cell r="R534" t="str">
            <v xml:space="preserve">INTERVENTORIA 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BASICOS"/>
      <sheetName val="RESUMEN"/>
      <sheetName val="PISO 2"/>
      <sheetName val="EXTERIORES"/>
      <sheetName val="APUPISO2 "/>
      <sheetName val="APUEXTERIORES"/>
      <sheetName val="ORGANIGRAMA"/>
      <sheetName val="CORT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3"/>
      <sheetName val="Hoja2"/>
      <sheetName val="BASE 100 PERSONAS"/>
      <sheetName val="Indice"/>
      <sheetName val="Base Antioquia"/>
      <sheetName val="Base Bolivar"/>
      <sheetName val="Base Boyaca"/>
      <sheetName val="Base Caldas"/>
      <sheetName val="Base Cauca"/>
      <sheetName val="Base Choco"/>
      <sheetName val="Base Cordoba"/>
      <sheetName val="Base Cundinamarca"/>
      <sheetName val="Base Guainia"/>
      <sheetName val="Base Huila"/>
      <sheetName val="Base Nariño"/>
      <sheetName val="Base Quindio"/>
      <sheetName val="Base Risaralda"/>
      <sheetName val="Base SAI"/>
      <sheetName val="Base Santander"/>
      <sheetName val="Base Tolima"/>
      <sheetName val="Base Valle del Cauca"/>
      <sheetName val="Base Amazonas"/>
      <sheetName val="Base Arauca"/>
      <sheetName val="Base Atlantico"/>
      <sheetName val="Base Bogota"/>
      <sheetName val="Base Caqueta"/>
      <sheetName val="Base Casanare"/>
      <sheetName val="Base Cesar"/>
      <sheetName val="Base Guaviare"/>
      <sheetName val="Base La Guajira"/>
      <sheetName val="Base Magdalena"/>
      <sheetName val="Base Meta"/>
      <sheetName val="Base Norte de Santander"/>
      <sheetName val="Base Putumayo"/>
      <sheetName val="Base Sucre"/>
      <sheetName val="Base Vaupes"/>
      <sheetName val="Base Vichada"/>
    </sheetNames>
    <sheetDataSet>
      <sheetData sheetId="0"/>
      <sheetData sheetId="1"/>
      <sheetData sheetId="2"/>
      <sheetData sheetId="3">
        <row r="14">
          <cell r="D14">
            <v>50</v>
          </cell>
        </row>
        <row r="15">
          <cell r="D15">
            <v>50</v>
          </cell>
        </row>
        <row r="16">
          <cell r="D16">
            <v>50</v>
          </cell>
        </row>
        <row r="17">
          <cell r="D17">
            <v>10</v>
          </cell>
        </row>
        <row r="18">
          <cell r="D18">
            <v>1</v>
          </cell>
          <cell r="E18">
            <v>200000</v>
          </cell>
        </row>
        <row r="19">
          <cell r="D19">
            <v>25</v>
          </cell>
        </row>
        <row r="20">
          <cell r="D20">
            <v>50</v>
          </cell>
        </row>
        <row r="21">
          <cell r="D21">
            <v>1000</v>
          </cell>
        </row>
        <row r="25">
          <cell r="D25">
            <v>600</v>
          </cell>
        </row>
        <row r="26">
          <cell r="D26">
            <v>5</v>
          </cell>
        </row>
        <row r="30">
          <cell r="D30">
            <v>1</v>
          </cell>
          <cell r="E30">
            <v>4387250</v>
          </cell>
        </row>
        <row r="34">
          <cell r="D34">
            <v>1</v>
          </cell>
          <cell r="E34">
            <v>125000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Hoja1 (2)"/>
      <sheetName val="Hoja1"/>
      <sheetName val="PRESUPUESTO"/>
      <sheetName val="APUPRESUPUESTO"/>
      <sheetName val="PROGRAMAINVERSION"/>
      <sheetName val="PROGRAMAANTICIPO"/>
      <sheetName val="PAÑETECONMALLA"/>
      <sheetName val="REMATE CUBIERTA"/>
      <sheetName val="VIGA CINTA"/>
      <sheetName val="APUPRESUPUESTO (2)"/>
      <sheetName val="VIGA CINTA (2)"/>
      <sheetName val="ACTA PARCIAL No.2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uesta"/>
      <sheetName val="Analisis"/>
      <sheetName val="Precios"/>
    </sheetNames>
    <sheetDataSet>
      <sheetData sheetId="0"/>
      <sheetData sheetId="1" refreshError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S DE PRECIOS UNITARIOS"/>
      <sheetName val="MCCO"/>
      <sheetName val="PRESUPUESTO"/>
      <sheetName val="PRESPDETRABAJO"/>
      <sheetName val="PAÑ"/>
      <sheetName val="CIMENTACION"/>
      <sheetName val="ESTRUCTURA"/>
      <sheetName val="PRELIMINARE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G Leticia G1"/>
      <sheetName val=" AS Medellin Bellavista G2"/>
      <sheetName val="IG Medellin Bellavista G2"/>
      <sheetName val="AS Apartado G3"/>
      <sheetName val="IG Apartado G3"/>
      <sheetName val="IG Itagui G4"/>
      <sheetName val="AS Itagui G4"/>
      <sheetName val="IG Medellin Pedregal G5"/>
      <sheetName val="AS Medellin Pedregal G5"/>
      <sheetName val="AS Puerto Triunfo G5"/>
      <sheetName val="IG Bogota La Modelo G6"/>
      <sheetName val="AS Bogota Area Sanidad G6"/>
      <sheetName val="AS Bogota Buen Pastor G6"/>
      <sheetName val="AS Bogota Salud Mental G7"/>
      <sheetName val="IG Bogota la Picota G8"/>
      <sheetName val="IG Bogota Optimiza-Picota  G8"/>
      <sheetName val="AS Bogota Picota G8"/>
      <sheetName val="IG Aguachica G9"/>
      <sheetName val="IG Valledupar  G9"/>
      <sheetName val="IG Yopal G10"/>
      <sheetName val="IG Combita G10"/>
      <sheetName val="IG Santa Rosa 10"/>
      <sheetName val="IG Tunja G10"/>
      <sheetName val="IG Chaparral G11"/>
      <sheetName val="IG Manizales RM G11"/>
      <sheetName val="IG Manizales EPMSC G11 "/>
      <sheetName val="IG Monteria G12"/>
      <sheetName val="IG Corozal G12"/>
      <sheetName val="AS Sincelejo G12"/>
      <sheetName val="IG Florencia Cunduy G13"/>
      <sheetName val="IG Neiva G13"/>
      <sheetName val="IG Pitalito G13"/>
      <sheetName val="IG Garzon G13"/>
      <sheetName val="AS Barranquilla G14"/>
      <sheetName val="IG Magangue G14"/>
      <sheetName val="IG Cartagena G14"/>
      <sheetName val="AS Cartagena G14"/>
      <sheetName val="AS Acacias 15"/>
      <sheetName val="IG Tumaco G16"/>
      <sheetName val="AS Tumaco G16"/>
      <sheetName val="AS Cucuta - Todos G17"/>
      <sheetName val="AS Bucaramanga G18"/>
      <sheetName val="Hoja4"/>
      <sheetName val="DATOS"/>
      <sheetName val="DATOS (2)"/>
      <sheetName val="IG Manizales RM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S DE PRECIOS UNITARIOS"/>
      <sheetName val="MCCO"/>
      <sheetName val="PRESUPUESTO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 BASICOS"/>
      <sheetName val="CANTIDADES TOTALES"/>
      <sheetName val="OFERTA PRELIMINAR"/>
      <sheetName val="PRELIMINARES"/>
      <sheetName val="CENTRO DE DISTRIBUCION"/>
      <sheetName val="BODEGA DE INFLAMABLES"/>
      <sheetName val="SERVICIOS INDUSTRIALES"/>
      <sheetName val="RESINAS"/>
      <sheetName val="ADITIVOS Y ACRILICOS"/>
      <sheetName val="LABORATORIOS"/>
      <sheetName val="ADMINISTRATIVOS"/>
      <sheetName val="PASARELA"/>
      <sheetName val="PORTERIA"/>
      <sheetName val="EXTERIORES"/>
      <sheetName val="APUS PISOCRETO"/>
      <sheetName val="PUNTEO"/>
      <sheetName val="PRESUPUESTO PRELIMINAR"/>
      <sheetName val="INSUM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IABLES"/>
      <sheetName val="101"/>
      <sheetName val="103"/>
      <sheetName val="104"/>
      <sheetName val="105"/>
      <sheetName val="106"/>
      <sheetName val="107"/>
      <sheetName val="108"/>
      <sheetName val="109"/>
      <sheetName val="110"/>
      <sheetName val="111"/>
      <sheetName val="112"/>
      <sheetName val="113"/>
      <sheetName val="114"/>
      <sheetName val="115"/>
      <sheetName val="201"/>
      <sheetName val="202"/>
      <sheetName val="301"/>
      <sheetName val="302"/>
      <sheetName val="303"/>
      <sheetName val="304"/>
      <sheetName val="305"/>
      <sheetName val="306"/>
      <sheetName val="307"/>
      <sheetName val="308"/>
      <sheetName val="401"/>
      <sheetName val="402"/>
      <sheetName val="403"/>
      <sheetName val="Hoja4 (28)"/>
      <sheetName val="Hoja4 (29)"/>
      <sheetName val="Hoja4 (30)"/>
      <sheetName val="Hoja4 (31)"/>
      <sheetName val="Hoja4 (32)"/>
      <sheetName val="Hoja4 (33)"/>
      <sheetName val="Hoja4 (34)"/>
      <sheetName val="Hoja4 (35)"/>
      <sheetName val="Hoja4 (36)"/>
      <sheetName val="Hoja4 (37)"/>
      <sheetName val="Hoja4 (38)"/>
      <sheetName val="Hoja4 (39)"/>
      <sheetName val="Hoja4 (40)"/>
      <sheetName val="Hoja4 (41)"/>
      <sheetName val="Hoja4 (42)"/>
      <sheetName val="Hoja4 (43)"/>
      <sheetName val="Hoja4 (44)"/>
      <sheetName val="Hoja4 (45)"/>
      <sheetName val="Hoja4 (46)"/>
      <sheetName val="Hoja4 (47)"/>
      <sheetName val="Hoja4 (48)"/>
      <sheetName val="Hoja4 (49)"/>
      <sheetName val="Hoja4 (50)"/>
      <sheetName val="Hoja4 (51)"/>
      <sheetName val="Hoja4 (52)"/>
      <sheetName val="Hoja4 (53)"/>
      <sheetName val="Hoja4 (54)"/>
      <sheetName val="Hoja4 (55)"/>
      <sheetName val="Hoja4 (56)"/>
      <sheetName val="Hoja4 (57)"/>
      <sheetName val="Hoja4 (58)"/>
      <sheetName val="Hoja4 (59)"/>
      <sheetName val="Hoja4 (60)"/>
      <sheetName val="Hoja4 (61)"/>
      <sheetName val="Hoja4 (62)"/>
      <sheetName val="Hoja4 (63)"/>
      <sheetName val="Hoja4 (64)"/>
      <sheetName val="Hoja4 (65)"/>
      <sheetName val="Hoja4 (66)"/>
      <sheetName val="Hoja4 (67)"/>
      <sheetName val="Hoja4 (68)"/>
      <sheetName val="Hoja4 (69)"/>
      <sheetName val="Hoja4 (7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andra Patricia Rocha Rodriguez" id="{04CF6BFC-CE7D-434F-908A-A8D97326E729}" userId="S::srocha@ffie.com.co::9d461567-b5b9-4e5b-b022-2ce9379562ea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A8F5E59-FD71-442F-82B7-F70916C7D598}" name="Tabla1" displayName="Tabla1" ref="A1:A6" totalsRowShown="0" headerRowDxfId="0">
  <autoFilter ref="A1:A6" xr:uid="{F3495034-275E-419A-BA52-9546993FF875}"/>
  <tableColumns count="1">
    <tableColumn id="1" xr3:uid="{05E6DF15-7EA4-4F71-A22A-29CA641B8A86}" name="TIPO PAGO ESTUDIOS Y DISEÑOS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320" dT="2021-12-30T16:26:43.78" personId="{04CF6BFC-CE7D-434F-908A-A8D97326E729}" id="{16A0D288-220B-4DEB-AFA1-F929C56779A4}">
    <text>BORRAR SI NO SE COBRAR EL SALDO FINAL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D0CD3-129E-4AF5-AC5F-53F98D6CC17D}">
  <sheetPr>
    <tabColor rgb="FFFFFF00"/>
  </sheetPr>
  <dimension ref="A1:AM598"/>
  <sheetViews>
    <sheetView showGridLines="0" showZeros="0" tabSelected="1" view="pageBreakPreview" topLeftCell="E272" zoomScale="80" zoomScaleNormal="80" zoomScaleSheetLayoutView="80" zoomScalePageLayoutView="10" workbookViewId="0">
      <selection activeCell="T317" sqref="T317"/>
    </sheetView>
  </sheetViews>
  <sheetFormatPr defaultColWidth="10" defaultRowHeight="12.75"/>
  <cols>
    <col min="1" max="1" width="6.5" style="274" customWidth="1"/>
    <col min="2" max="2" width="10.875" style="274" customWidth="1"/>
    <col min="3" max="3" width="16.125" style="274" customWidth="1"/>
    <col min="4" max="4" width="12.375" style="274" customWidth="1"/>
    <col min="5" max="5" width="22.75" style="274" customWidth="1"/>
    <col min="6" max="6" width="8.875" style="274" customWidth="1"/>
    <col min="7" max="7" width="2" style="274" customWidth="1"/>
    <col min="8" max="8" width="32.125" style="274" customWidth="1"/>
    <col min="9" max="9" width="6.875" style="88" customWidth="1"/>
    <col min="10" max="10" width="13.625" style="275" customWidth="1"/>
    <col min="11" max="11" width="26.125" style="79" customWidth="1"/>
    <col min="12" max="12" width="21" style="274" bestFit="1" customWidth="1"/>
    <col min="13" max="13" width="5.375" style="274" customWidth="1"/>
    <col min="14" max="14" width="25.375" style="276" customWidth="1"/>
    <col min="15" max="15" width="24.25" style="274" customWidth="1"/>
    <col min="16" max="16" width="2.125" style="274" bestFit="1" customWidth="1"/>
    <col min="17" max="17" width="15.5" style="274" customWidth="1"/>
    <col min="18" max="18" width="21.625" style="274" customWidth="1"/>
    <col min="19" max="19" width="4.5" style="274" customWidth="1"/>
    <col min="20" max="20" width="13.75" style="274" customWidth="1"/>
    <col min="21" max="21" width="24" style="274" customWidth="1"/>
    <col min="22" max="22" width="7.625" style="274" customWidth="1"/>
    <col min="23" max="23" width="6.125" style="274" customWidth="1"/>
    <col min="24" max="24" width="8.125" style="276" customWidth="1"/>
    <col min="25" max="25" width="22.125" style="274" hidden="1" customWidth="1"/>
    <col min="26" max="26" width="26" style="274" hidden="1" customWidth="1"/>
    <col min="27" max="27" width="20.5" style="319" customWidth="1"/>
    <col min="28" max="28" width="19.5" style="319" customWidth="1"/>
    <col min="29" max="29" width="26" style="319" customWidth="1"/>
    <col min="30" max="30" width="14.75" style="514" customWidth="1"/>
    <col min="31" max="31" width="18" style="319" customWidth="1"/>
    <col min="32" max="32" width="12.875" style="319" customWidth="1"/>
    <col min="33" max="33" width="10" style="319"/>
    <col min="34" max="34" width="13.5" style="319" bestFit="1" customWidth="1"/>
    <col min="35" max="35" width="10" style="319"/>
    <col min="36" max="36" width="12.75" style="319" bestFit="1" customWidth="1"/>
    <col min="37" max="37" width="13.25" style="319" bestFit="1" customWidth="1"/>
    <col min="38" max="38" width="10" style="319"/>
    <col min="39" max="39" width="18.25" style="319" bestFit="1" customWidth="1"/>
    <col min="40" max="16384" width="10" style="274"/>
  </cols>
  <sheetData>
    <row r="1" spans="1:39" ht="12" customHeight="1">
      <c r="A1" s="273"/>
      <c r="K1" s="98"/>
      <c r="AJ1" s="515"/>
      <c r="AK1" s="516"/>
      <c r="AL1" s="515"/>
      <c r="AM1" s="515"/>
    </row>
    <row r="2" spans="1:39" ht="15">
      <c r="AJ2" s="515"/>
      <c r="AK2" s="515"/>
      <c r="AL2" s="515"/>
      <c r="AM2" s="515"/>
    </row>
    <row r="3" spans="1:39" ht="30" customHeight="1">
      <c r="B3" s="647"/>
      <c r="C3" s="648"/>
      <c r="D3" s="648"/>
      <c r="E3" s="648"/>
      <c r="F3" s="645" t="s">
        <v>0</v>
      </c>
      <c r="G3" s="646"/>
      <c r="H3" s="646"/>
      <c r="I3" s="646"/>
      <c r="J3" s="646"/>
      <c r="K3" s="646"/>
      <c r="L3" s="646"/>
      <c r="M3" s="646"/>
      <c r="N3" s="646"/>
      <c r="O3" s="646"/>
      <c r="P3" s="646"/>
      <c r="Q3" s="646"/>
      <c r="R3" s="407" t="s">
        <v>1</v>
      </c>
      <c r="S3" s="644" t="s">
        <v>2</v>
      </c>
      <c r="T3" s="644"/>
      <c r="U3" s="647"/>
      <c r="V3" s="648"/>
      <c r="W3" s="649"/>
      <c r="AB3" s="588" t="s">
        <v>3</v>
      </c>
      <c r="AC3" s="588"/>
      <c r="AD3" s="601">
        <f>+M32</f>
        <v>49139080</v>
      </c>
      <c r="AE3" s="601"/>
      <c r="AF3" s="518" t="s">
        <v>4</v>
      </c>
      <c r="AG3" s="519"/>
      <c r="AH3" s="519"/>
      <c r="AI3" s="519"/>
      <c r="AJ3" s="519"/>
      <c r="AK3" s="519"/>
      <c r="AL3" s="519"/>
      <c r="AM3" s="583"/>
    </row>
    <row r="4" spans="1:39" ht="32.25" customHeight="1">
      <c r="B4" s="650"/>
      <c r="C4" s="651"/>
      <c r="D4" s="651"/>
      <c r="E4" s="651"/>
      <c r="F4" s="645" t="s">
        <v>5</v>
      </c>
      <c r="G4" s="646"/>
      <c r="H4" s="646"/>
      <c r="I4" s="646"/>
      <c r="J4" s="646"/>
      <c r="K4" s="646"/>
      <c r="L4" s="646"/>
      <c r="M4" s="646"/>
      <c r="N4" s="646"/>
      <c r="O4" s="646"/>
      <c r="P4" s="646"/>
      <c r="Q4" s="646"/>
      <c r="R4" s="407" t="s">
        <v>6</v>
      </c>
      <c r="S4" s="644">
        <v>1</v>
      </c>
      <c r="T4" s="644"/>
      <c r="U4" s="650"/>
      <c r="V4" s="651"/>
      <c r="W4" s="652"/>
      <c r="AB4" s="517"/>
      <c r="AC4" s="517"/>
      <c r="AD4" s="520"/>
      <c r="AE4" s="520"/>
      <c r="AF4" s="519"/>
      <c r="AG4" s="519"/>
      <c r="AH4" s="519"/>
      <c r="AI4" s="519"/>
      <c r="AJ4" s="519"/>
      <c r="AK4" s="519"/>
      <c r="AL4" s="519"/>
      <c r="AM4" s="515"/>
    </row>
    <row r="5" spans="1:39" ht="15">
      <c r="AB5" s="588" t="s">
        <v>7</v>
      </c>
      <c r="AC5" s="588"/>
      <c r="AD5" s="589" t="str">
        <f>TRIM(AE31)</f>
        <v>Cuarenta y Nueve Millones Ciento Treinta y Nueve Mil Ochenta Pesos M/Cte</v>
      </c>
      <c r="AE5" s="590"/>
      <c r="AF5" s="590"/>
      <c r="AG5" s="590"/>
      <c r="AH5" s="590"/>
      <c r="AI5" s="590"/>
      <c r="AJ5" s="590"/>
      <c r="AK5" s="591"/>
      <c r="AL5" s="519"/>
      <c r="AM5" s="515"/>
    </row>
    <row r="6" spans="1:39" ht="23.25">
      <c r="C6" s="470"/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470"/>
      <c r="O6" s="470"/>
      <c r="P6" s="470"/>
      <c r="Q6" s="470"/>
      <c r="R6" s="470"/>
      <c r="S6" s="470"/>
      <c r="T6" s="470"/>
      <c r="U6" s="470"/>
      <c r="V6" s="470"/>
      <c r="W6" s="470"/>
      <c r="X6" s="470"/>
      <c r="Y6" s="470"/>
      <c r="Z6" s="471"/>
      <c r="AA6" s="584"/>
      <c r="AB6" s="519"/>
      <c r="AC6" s="521"/>
      <c r="AD6" s="592"/>
      <c r="AE6" s="593"/>
      <c r="AF6" s="593"/>
      <c r="AG6" s="593"/>
      <c r="AH6" s="593"/>
      <c r="AI6" s="593"/>
      <c r="AJ6" s="593"/>
      <c r="AK6" s="594"/>
      <c r="AL6" s="519"/>
      <c r="AM6" s="515"/>
    </row>
    <row r="7" spans="1:39" ht="23.25">
      <c r="C7" s="470"/>
      <c r="D7" s="470"/>
      <c r="E7" s="470"/>
      <c r="F7" s="470"/>
      <c r="G7" s="472" t="s">
        <v>8</v>
      </c>
      <c r="H7" s="472"/>
      <c r="I7" s="474"/>
      <c r="J7" s="475" t="s">
        <v>9</v>
      </c>
      <c r="K7" s="472"/>
      <c r="L7" s="472" t="s">
        <v>10</v>
      </c>
      <c r="M7" s="476">
        <v>2</v>
      </c>
      <c r="N7" s="473"/>
      <c r="O7" s="774"/>
      <c r="P7" s="774"/>
      <c r="Q7" s="474"/>
      <c r="R7" s="472" t="s">
        <v>11</v>
      </c>
      <c r="S7" s="472"/>
      <c r="T7" s="475"/>
      <c r="U7" s="470"/>
      <c r="V7" s="470"/>
      <c r="W7" s="470"/>
      <c r="X7" s="470"/>
      <c r="Y7" s="470"/>
      <c r="Z7" s="471"/>
      <c r="AA7" s="584"/>
      <c r="AB7" s="519"/>
      <c r="AC7" s="519"/>
      <c r="AD7" s="519"/>
      <c r="AE7" s="519"/>
      <c r="AF7" s="519"/>
      <c r="AG7" s="519"/>
      <c r="AH7" s="519"/>
      <c r="AI7" s="519"/>
      <c r="AJ7" s="519"/>
      <c r="AK7" s="519"/>
      <c r="AL7" s="519"/>
      <c r="AM7" s="515"/>
    </row>
    <row r="8" spans="1:39" ht="23.25">
      <c r="C8" s="470"/>
      <c r="D8" s="470"/>
      <c r="E8" s="470"/>
      <c r="F8" s="470"/>
      <c r="G8" s="470"/>
      <c r="H8" s="470"/>
      <c r="I8" s="470"/>
      <c r="J8" s="477" t="s">
        <v>12</v>
      </c>
      <c r="K8" s="470"/>
      <c r="L8" s="470"/>
      <c r="M8" s="470"/>
      <c r="N8" s="470"/>
      <c r="O8" s="470"/>
      <c r="P8" s="470"/>
      <c r="Q8" s="470"/>
      <c r="R8" s="470"/>
      <c r="S8" s="470"/>
      <c r="T8" s="477" t="s">
        <v>12</v>
      </c>
      <c r="U8" s="470"/>
      <c r="V8" s="470"/>
      <c r="W8" s="470"/>
      <c r="X8" s="470"/>
      <c r="Y8" s="470"/>
      <c r="Z8" s="471"/>
      <c r="AA8" s="584"/>
      <c r="AB8" s="522">
        <v>1</v>
      </c>
      <c r="AC8" s="523" t="s">
        <v>13</v>
      </c>
      <c r="AD8" s="523" t="s">
        <v>14</v>
      </c>
      <c r="AE8" s="524"/>
      <c r="AF8" s="525">
        <f>INT((AD3-(INT(AD3/1000000000000000)*1000000000000000))/1000000000000)</f>
        <v>0</v>
      </c>
      <c r="AG8" s="526" t="s">
        <v>15</v>
      </c>
      <c r="AH8" s="527">
        <f>INT(AF8/100)*100</f>
        <v>0</v>
      </c>
      <c r="AI8" s="526" t="str">
        <f>IF(AND(AH8=100,AH9=0,AH10=0),IF(AH8=0," ",LOOKUP(AH8,AB7:AD58,AC7:AC58)),IF(AH8=0," ",LOOKUP(AH8,AB7:AD58,AD7:AD58)))</f>
        <v xml:space="preserve"> </v>
      </c>
      <c r="AJ8" s="528"/>
      <c r="AK8" s="595" t="s">
        <v>16</v>
      </c>
      <c r="AL8" s="524"/>
      <c r="AM8" s="515"/>
    </row>
    <row r="9" spans="1:39" ht="17.100000000000001" customHeight="1">
      <c r="B9" s="346"/>
      <c r="C9" s="347"/>
      <c r="D9" s="347"/>
      <c r="E9" s="347"/>
      <c r="F9" s="271"/>
      <c r="G9" s="271"/>
      <c r="H9" s="271"/>
      <c r="I9" s="348"/>
      <c r="J9" s="349"/>
      <c r="K9" s="478" t="s">
        <v>17</v>
      </c>
      <c r="L9" s="350"/>
      <c r="M9" s="277"/>
      <c r="N9" s="351"/>
      <c r="O9" s="352"/>
      <c r="P9" s="271"/>
      <c r="Q9" s="271"/>
      <c r="R9" s="353"/>
      <c r="S9" s="353"/>
      <c r="T9" s="271"/>
      <c r="U9" s="271"/>
      <c r="V9" s="271"/>
      <c r="W9" s="354"/>
      <c r="AB9" s="522">
        <v>2</v>
      </c>
      <c r="AC9" s="523" t="s">
        <v>18</v>
      </c>
      <c r="AD9" s="523" t="s">
        <v>18</v>
      </c>
      <c r="AE9" s="524"/>
      <c r="AF9" s="525">
        <f>+AF8-AH8</f>
        <v>0</v>
      </c>
      <c r="AG9" s="526" t="s">
        <v>19</v>
      </c>
      <c r="AH9" s="527">
        <f>INT(AF9/10)*10</f>
        <v>0</v>
      </c>
      <c r="AI9" s="526" t="str">
        <f>IF(OR(AH9=10,AH9=20),LOOKUP(AF9,AB7:AD58,AD7:AD58),IF(AND(AH9=100,AH10=0,AH11=0),IF(AH9=0," ",LOOKUP(AH9,AB7:AD58,AC7:AC58)),IF(AH9=0," ",LOOKUP(AH9,AB7:AD58,AD7:AD58))))</f>
        <v xml:space="preserve"> </v>
      </c>
      <c r="AJ9" s="526" t="str">
        <f>IF(AH10=0," ",IF(AND(AH9&gt;20,AH9&lt;=90),"y"," "))</f>
        <v xml:space="preserve"> </v>
      </c>
      <c r="AK9" s="595"/>
      <c r="AL9" s="524"/>
      <c r="AM9" s="515"/>
    </row>
    <row r="10" spans="1:39" ht="15">
      <c r="B10" s="199"/>
      <c r="C10" s="200"/>
      <c r="D10" s="200"/>
      <c r="E10" s="355"/>
      <c r="F10" s="269"/>
      <c r="G10" s="269"/>
      <c r="H10" s="269"/>
      <c r="I10" s="77"/>
      <c r="J10" s="78"/>
      <c r="K10" s="356"/>
      <c r="L10" s="165"/>
      <c r="M10" s="278"/>
      <c r="N10" s="357"/>
      <c r="O10" s="269"/>
      <c r="P10" s="269"/>
      <c r="Q10" s="269"/>
      <c r="R10" s="200"/>
      <c r="S10" s="200"/>
      <c r="T10" s="269"/>
      <c r="U10" s="269"/>
      <c r="V10" s="269"/>
      <c r="W10" s="358"/>
      <c r="AB10" s="522">
        <v>3</v>
      </c>
      <c r="AC10" s="523" t="s">
        <v>20</v>
      </c>
      <c r="AD10" s="523" t="s">
        <v>20</v>
      </c>
      <c r="AE10" s="524"/>
      <c r="AF10" s="525">
        <f>+AF9-AH9</f>
        <v>0</v>
      </c>
      <c r="AG10" s="526" t="s">
        <v>21</v>
      </c>
      <c r="AH10" s="525">
        <f>INT(AF10)</f>
        <v>0</v>
      </c>
      <c r="AI10" s="526" t="str">
        <f>IF(OR(AH9=10,AH9=20)," ",IF(AND(AH10=100,AH11=0,AH12=0),IF(AH10=0," ",LOOKUP(AH10,AB7:AD58,AC7:AC58)),IF(AH10=0," ",LOOKUP(AH10,AB7:AD58,AC7:AC58))))</f>
        <v xml:space="preserve"> </v>
      </c>
      <c r="AJ10" s="526" t="str">
        <f>IF(AND(AH8=0,AH9=0,AH10=1),"Billón",IF(SUM(AH8:AH10)=0," ","Billones"))</f>
        <v xml:space="preserve"> </v>
      </c>
      <c r="AK10" s="595"/>
      <c r="AL10" s="524"/>
      <c r="AM10" s="515"/>
    </row>
    <row r="11" spans="1:39" ht="30.75" customHeight="1">
      <c r="B11" s="199" t="s">
        <v>22</v>
      </c>
      <c r="C11" s="200"/>
      <c r="D11" s="200"/>
      <c r="E11" s="672" t="s">
        <v>23</v>
      </c>
      <c r="F11" s="672"/>
      <c r="G11" s="672"/>
      <c r="H11" s="672"/>
      <c r="I11" s="77"/>
      <c r="J11" s="666" t="s">
        <v>24</v>
      </c>
      <c r="K11" s="673" t="s">
        <v>25</v>
      </c>
      <c r="L11" s="673"/>
      <c r="M11" s="673"/>
      <c r="N11" s="673"/>
      <c r="O11" s="673"/>
      <c r="P11" s="359"/>
      <c r="U11" s="360"/>
      <c r="V11" s="359"/>
      <c r="W11" s="361"/>
      <c r="AB11" s="522">
        <v>4</v>
      </c>
      <c r="AC11" s="523" t="s">
        <v>26</v>
      </c>
      <c r="AD11" s="523" t="s">
        <v>26</v>
      </c>
      <c r="AE11" s="524"/>
      <c r="AF11" s="529">
        <f>INT((AD3-(INT(AD3/1000000000000)*1000000000000))/1000000000)</f>
        <v>0</v>
      </c>
      <c r="AG11" s="530" t="s">
        <v>15</v>
      </c>
      <c r="AH11" s="531">
        <f>INT(AF11/100)*100</f>
        <v>0</v>
      </c>
      <c r="AI11" s="530" t="str">
        <f>IF(AND(AH11=100,AH12=0,AH13=0),IF(AH11=0," ",LOOKUP(AH11,AB7:AD58,AC7:AC58)),IF(AH11=0," ",LOOKUP(AH11,AB7:AD58,AD7:AD58)))</f>
        <v xml:space="preserve"> </v>
      </c>
      <c r="AJ11" s="532"/>
      <c r="AK11" s="596" t="s">
        <v>27</v>
      </c>
      <c r="AL11" s="524"/>
      <c r="AM11" s="515"/>
    </row>
    <row r="12" spans="1:39" ht="30.75" customHeight="1">
      <c r="B12" s="362"/>
      <c r="F12" s="270"/>
      <c r="G12" s="270"/>
      <c r="H12" s="270"/>
      <c r="I12" s="77"/>
      <c r="J12" s="666"/>
      <c r="K12" s="673"/>
      <c r="L12" s="673"/>
      <c r="M12" s="673"/>
      <c r="N12" s="673"/>
      <c r="O12" s="673"/>
      <c r="P12" s="359"/>
      <c r="U12" s="360"/>
      <c r="V12" s="359"/>
      <c r="W12" s="361"/>
      <c r="AB12" s="522">
        <v>5</v>
      </c>
      <c r="AC12" s="523" t="s">
        <v>28</v>
      </c>
      <c r="AD12" s="523" t="s">
        <v>28</v>
      </c>
      <c r="AE12" s="524"/>
      <c r="AF12" s="529">
        <f>+AF11-AH11</f>
        <v>0</v>
      </c>
      <c r="AG12" s="530" t="s">
        <v>19</v>
      </c>
      <c r="AH12" s="531">
        <f>INT(AF12/10)*10</f>
        <v>0</v>
      </c>
      <c r="AI12" s="530" t="str">
        <f>IF(OR(AH12=10,AH12=20),LOOKUP(AF12,AB7:AD58,AD7:AD58),IF(AND(AH12=100,AH13=0,AH14=0),IF(AH12=0," ",LOOKUP(AH12,AB7:AD58,AC7:AC58)),IF(AH12=0," ",LOOKUP(AH12,AB7:AD58,AD7:AD58))))</f>
        <v xml:space="preserve"> </v>
      </c>
      <c r="AJ12" s="530" t="str">
        <f>IF(AH13=0," ",IF(AND(AH12&gt;20,AH12&lt;=90),"y"," "))</f>
        <v xml:space="preserve"> </v>
      </c>
      <c r="AK12" s="596"/>
      <c r="AL12" s="524"/>
      <c r="AM12" s="515"/>
    </row>
    <row r="13" spans="1:39" ht="30.75" customHeight="1">
      <c r="B13" s="362"/>
      <c r="C13" s="363"/>
      <c r="G13" s="148"/>
      <c r="H13" s="148"/>
      <c r="I13" s="77"/>
      <c r="J13" s="666"/>
      <c r="K13" s="673"/>
      <c r="L13" s="673"/>
      <c r="M13" s="673"/>
      <c r="N13" s="673"/>
      <c r="O13" s="673"/>
      <c r="P13" s="359"/>
      <c r="Q13" s="319"/>
      <c r="R13" s="319"/>
      <c r="S13" s="364"/>
      <c r="T13" s="318"/>
      <c r="U13" s="364"/>
      <c r="V13" s="359"/>
      <c r="W13" s="361"/>
      <c r="AB13" s="522">
        <v>6</v>
      </c>
      <c r="AC13" s="523" t="s">
        <v>29</v>
      </c>
      <c r="AD13" s="523" t="s">
        <v>29</v>
      </c>
      <c r="AE13" s="524"/>
      <c r="AF13" s="529">
        <f>+AF12-AH12</f>
        <v>0</v>
      </c>
      <c r="AG13" s="530" t="s">
        <v>21</v>
      </c>
      <c r="AH13" s="529">
        <f>INT(AF13)</f>
        <v>0</v>
      </c>
      <c r="AI13" s="530" t="str">
        <f>IF(AND(AH11=0,AH12=0,AH13=1)," ",IF(AND(AH8=0,AH9=0,AH10=0,AH11=0,AH12=0,AH13=1)," ",IF(OR(AH12=10,AH12=20)," ",IF(AND(AH13=100,AH14=0,AH15=0),IF(AH13=0," ",LOOKUP(AH13,AB7:AD58,AC7:AC58)),IF(AH13=0," ",LOOKUP(AH13,AB7:AD58,AC7:AC58))))))</f>
        <v xml:space="preserve"> </v>
      </c>
      <c r="AJ13" s="530" t="str">
        <f>IF(AND(AH11=0,AH12=0,AH13=1),"Mil",IF(SUM(AH11:AH13)=0," ","Mil"))</f>
        <v xml:space="preserve"> </v>
      </c>
      <c r="AK13" s="596"/>
      <c r="AL13" s="524"/>
      <c r="AM13" s="515"/>
    </row>
    <row r="14" spans="1:39" ht="30.75" customHeight="1">
      <c r="B14" s="204" t="s">
        <v>30</v>
      </c>
      <c r="D14" s="664" t="s">
        <v>31</v>
      </c>
      <c r="E14" s="664"/>
      <c r="F14" s="664"/>
      <c r="G14" s="664"/>
      <c r="H14" s="664"/>
      <c r="I14" s="365"/>
      <c r="J14" s="666"/>
      <c r="K14" s="673"/>
      <c r="L14" s="673"/>
      <c r="M14" s="673"/>
      <c r="N14" s="673"/>
      <c r="O14" s="673"/>
      <c r="P14" s="359"/>
      <c r="Q14" s="363" t="s">
        <v>32</v>
      </c>
      <c r="R14" s="363"/>
      <c r="S14" s="200" t="s">
        <v>33</v>
      </c>
      <c r="T14" s="366" t="s">
        <v>34</v>
      </c>
      <c r="V14" s="359"/>
      <c r="W14" s="361"/>
      <c r="AB14" s="522">
        <v>7</v>
      </c>
      <c r="AC14" s="523" t="s">
        <v>35</v>
      </c>
      <c r="AD14" s="523" t="s">
        <v>35</v>
      </c>
      <c r="AE14" s="524"/>
      <c r="AF14" s="533">
        <f>INT((AD3-(INT(AD3/1000000000)*1000000000))/1000000)</f>
        <v>49</v>
      </c>
      <c r="AG14" s="534" t="s">
        <v>15</v>
      </c>
      <c r="AH14" s="535">
        <f>INT(AF14/100)*100</f>
        <v>0</v>
      </c>
      <c r="AI14" s="534" t="str">
        <f>IF(AND(AH14=100,AH15=0,AH16=0),IF(AH14=0," ",LOOKUP(AH14,AB7:AD58,AC7:AC58)),IF(AH14=0," ",LOOKUP(AH14,AB7:AD58,AD7:AD58)))</f>
        <v xml:space="preserve"> </v>
      </c>
      <c r="AJ14" s="536"/>
      <c r="AK14" s="597" t="s">
        <v>36</v>
      </c>
      <c r="AL14" s="524"/>
      <c r="AM14" s="515"/>
    </row>
    <row r="15" spans="1:39" ht="6.75" customHeight="1">
      <c r="B15" s="204"/>
      <c r="C15" s="363"/>
      <c r="D15" s="367"/>
      <c r="E15" s="367"/>
      <c r="F15" s="367"/>
      <c r="G15" s="367"/>
      <c r="H15" s="367"/>
      <c r="I15" s="367"/>
      <c r="J15" s="270"/>
      <c r="K15" s="270"/>
      <c r="L15" s="368"/>
      <c r="M15" s="368"/>
      <c r="N15" s="368"/>
      <c r="O15" s="368"/>
      <c r="P15" s="368"/>
      <c r="Q15" s="319"/>
      <c r="R15" s="319"/>
      <c r="S15" s="364"/>
      <c r="T15" s="318"/>
      <c r="U15" s="364"/>
      <c r="V15" s="368"/>
      <c r="W15" s="361"/>
      <c r="AB15" s="522">
        <v>8</v>
      </c>
      <c r="AC15" s="523" t="s">
        <v>37</v>
      </c>
      <c r="AD15" s="523" t="s">
        <v>37</v>
      </c>
      <c r="AE15" s="524"/>
      <c r="AF15" s="533">
        <f>+AF14-AH14</f>
        <v>49</v>
      </c>
      <c r="AG15" s="534" t="s">
        <v>19</v>
      </c>
      <c r="AH15" s="535">
        <f>INT(AF15/10)*10</f>
        <v>40</v>
      </c>
      <c r="AI15" s="534" t="str">
        <f>IF(OR(AH15=10,AH15=20),LOOKUP(AF15,AB7:AD58,AD7:AD58),IF(AND(AH15=100,AH16=0,AH20=0),IF(AH15=0," ",LOOKUP(AH15,AB7:AD58,AC7:AC58)),IF(AH15=0," ",LOOKUP(AH15,AB7:AD58,AD7:AD58))))</f>
        <v>Cuarenta</v>
      </c>
      <c r="AJ15" s="534" t="str">
        <f>IF(AH16=0," ",IF(AND(AH15&gt;20,AH15&lt;=90),"y"," "))</f>
        <v>y</v>
      </c>
      <c r="AK15" s="597"/>
      <c r="AL15" s="524"/>
      <c r="AM15" s="515"/>
    </row>
    <row r="16" spans="1:39" ht="30.6" customHeight="1">
      <c r="B16" s="204" t="s">
        <v>38</v>
      </c>
      <c r="C16" s="363"/>
      <c r="D16" s="665" t="s">
        <v>39</v>
      </c>
      <c r="E16" s="665"/>
      <c r="F16" s="665"/>
      <c r="G16" s="365"/>
      <c r="H16" s="365"/>
      <c r="I16" s="365"/>
      <c r="J16" s="369" t="s">
        <v>40</v>
      </c>
      <c r="K16" s="370"/>
      <c r="L16" s="370" t="s">
        <v>33</v>
      </c>
      <c r="M16" s="656">
        <v>3427718970</v>
      </c>
      <c r="N16" s="656"/>
      <c r="O16" s="371"/>
      <c r="P16" s="371"/>
      <c r="Q16" s="363" t="s">
        <v>41</v>
      </c>
      <c r="R16" s="363"/>
      <c r="S16" s="200" t="s">
        <v>33</v>
      </c>
      <c r="T16" s="667" t="s">
        <v>42</v>
      </c>
      <c r="U16" s="667"/>
      <c r="V16" s="371"/>
      <c r="W16" s="361"/>
      <c r="AB16" s="522">
        <v>9</v>
      </c>
      <c r="AC16" s="523" t="s">
        <v>43</v>
      </c>
      <c r="AD16" s="523" t="s">
        <v>43</v>
      </c>
      <c r="AE16" s="524"/>
      <c r="AF16" s="533">
        <f>+AF15-AH15</f>
        <v>9</v>
      </c>
      <c r="AG16" s="534" t="s">
        <v>21</v>
      </c>
      <c r="AH16" s="533">
        <f>INT(AF16)</f>
        <v>9</v>
      </c>
      <c r="AI16" s="534" t="str">
        <f>IF(AND(AH14=0,AH15=0,AH16=1),"Un",IF(AND(AH11=0,AH12=0,AH13=0,AH14=0,AH15=0,AH16=1)," ",IF(OR(AH15=10,AH15=20)," ",IF(AND(AH16=100,AH20=0,AH31=0),IF(AH16=0," ",LOOKUP(AH16,AB7:AD58,AC7:AC58)),IF(AH16=0," ",LOOKUP(AH16,AB7:AD58,AC7:AC58))))))</f>
        <v>Nueve</v>
      </c>
      <c r="AJ16" s="534" t="str">
        <f>IF(AND(OR(AH11&gt;0,AH12&gt;0,AH13&gt;0),AH14=0,AH15=0,AH16=0),"Millones",IF(AND(AH11=0,AH12=0,AH13=0,AH14=0,AH15=0,AH16=1),"Millón",IF(SUM(AH14:AH16)=0," ","Millones")))</f>
        <v>Millones</v>
      </c>
      <c r="AK16" s="597"/>
      <c r="AL16" s="524"/>
      <c r="AM16" s="515"/>
    </row>
    <row r="17" spans="2:39" ht="6.75" customHeight="1">
      <c r="B17" s="204"/>
      <c r="C17" s="363"/>
      <c r="D17" s="680"/>
      <c r="E17" s="680"/>
      <c r="F17" s="369"/>
      <c r="G17" s="369"/>
      <c r="H17" s="372"/>
      <c r="I17" s="373"/>
      <c r="K17" s="374"/>
      <c r="L17" s="363"/>
      <c r="M17" s="375"/>
      <c r="N17" s="376"/>
      <c r="P17" s="50"/>
      <c r="Q17" s="363"/>
      <c r="R17" s="363"/>
      <c r="S17" s="200"/>
      <c r="T17" s="377"/>
      <c r="U17" s="360"/>
      <c r="V17" s="371"/>
      <c r="W17" s="361"/>
      <c r="AB17" s="522">
        <v>10</v>
      </c>
      <c r="AC17" s="523" t="s">
        <v>44</v>
      </c>
      <c r="AD17" s="523" t="s">
        <v>44</v>
      </c>
      <c r="AE17" s="524"/>
      <c r="AF17" s="537">
        <f>INT((AD3-(INT(AD3/1000000)*1000000))/1000)</f>
        <v>139</v>
      </c>
      <c r="AG17" s="538" t="s">
        <v>15</v>
      </c>
      <c r="AH17" s="539">
        <f>INT(AF17/100)*100</f>
        <v>100</v>
      </c>
      <c r="AI17" s="538" t="str">
        <f>IF(AND(AH17=100,AH18=0,AH19=0),IF(AH17=0," ",LOOKUP(AH17,AB7:AD58,AC7:AC58)),IF(AH17=0," ",LOOKUP(AH17,AB7:AD58,AD7:AD58)))</f>
        <v>Ciento</v>
      </c>
      <c r="AJ17" s="540"/>
      <c r="AK17" s="598" t="s">
        <v>45</v>
      </c>
      <c r="AL17" s="524"/>
      <c r="AM17" s="515"/>
    </row>
    <row r="18" spans="2:39" ht="18.75" customHeight="1">
      <c r="B18" s="204" t="s">
        <v>46</v>
      </c>
      <c r="C18" s="363"/>
      <c r="D18" s="665" t="s">
        <v>47</v>
      </c>
      <c r="E18" s="665"/>
      <c r="F18" s="665"/>
      <c r="G18" s="319"/>
      <c r="H18" s="319"/>
      <c r="I18" s="77"/>
      <c r="J18" s="369" t="s">
        <v>48</v>
      </c>
      <c r="K18" s="370"/>
      <c r="L18" s="378">
        <v>0.2</v>
      </c>
      <c r="M18" s="678">
        <f>+M16*L18</f>
        <v>685543794</v>
      </c>
      <c r="N18" s="679"/>
      <c r="O18" s="371"/>
      <c r="P18" s="50"/>
      <c r="Q18" s="363" t="s">
        <v>49</v>
      </c>
      <c r="R18" s="363"/>
      <c r="S18" s="200" t="s">
        <v>33</v>
      </c>
      <c r="T18" s="667" t="s">
        <v>50</v>
      </c>
      <c r="U18" s="667"/>
      <c r="V18" s="371"/>
      <c r="W18" s="361"/>
      <c r="AB18" s="522">
        <v>11</v>
      </c>
      <c r="AC18" s="523" t="s">
        <v>51</v>
      </c>
      <c r="AD18" s="523" t="s">
        <v>51</v>
      </c>
      <c r="AE18" s="524"/>
      <c r="AF18" s="537">
        <f>+AF17-AH17</f>
        <v>39</v>
      </c>
      <c r="AG18" s="538" t="s">
        <v>19</v>
      </c>
      <c r="AH18" s="539">
        <f>INT(AF18/10)*10</f>
        <v>30</v>
      </c>
      <c r="AI18" s="538" t="str">
        <f>IF(OR(AH18=10,AH18=20),LOOKUP(AF18,AB7:AD58,AD7:AD58),IF(AND(AH18=100,AH19=0,AG27=0),IF(AH18=0," ",LOOKUP(AH18,AB7:AD58,AC7:AC58)),IF(AH18=0," ",LOOKUP(AH18,AB7:AD58,AD7:AD58))))</f>
        <v>Treinta</v>
      </c>
      <c r="AJ18" s="538" t="str">
        <f>IF(AH19=0," ",IF(AND(AH18&gt;20,AH18&lt;=90),"y"," "))</f>
        <v>y</v>
      </c>
      <c r="AK18" s="598"/>
      <c r="AL18" s="524"/>
      <c r="AM18" s="515"/>
    </row>
    <row r="19" spans="2:39" ht="6" customHeight="1">
      <c r="B19" s="379"/>
      <c r="C19" s="363"/>
      <c r="D19" s="653"/>
      <c r="E19" s="653"/>
      <c r="F19" s="148"/>
      <c r="G19" s="148"/>
      <c r="H19" s="148"/>
      <c r="I19" s="77"/>
      <c r="K19" s="380"/>
      <c r="L19" s="319"/>
      <c r="M19" s="381"/>
      <c r="O19" s="364"/>
      <c r="P19" s="50"/>
      <c r="T19" s="318"/>
      <c r="U19" s="364"/>
      <c r="V19" s="371"/>
      <c r="W19" s="361"/>
      <c r="AB19" s="522">
        <v>12</v>
      </c>
      <c r="AC19" s="523" t="s">
        <v>52</v>
      </c>
      <c r="AD19" s="523" t="s">
        <v>52</v>
      </c>
      <c r="AE19" s="524"/>
      <c r="AF19" s="537">
        <f>+AF18-AH18</f>
        <v>9</v>
      </c>
      <c r="AG19" s="538" t="s">
        <v>21</v>
      </c>
      <c r="AH19" s="537">
        <f>INT(AF19)</f>
        <v>9</v>
      </c>
      <c r="AI19" s="538" t="str">
        <f>IF(AND(AH17=0,AH18=0,AH19=1)," ",IF(AND(AH14=0,AH15=0,AH16=0,AH17=0,AH18=0,AH19=1)," ",IF(OR(AH18=10,AH18=20)," ",IF(AND(AH19=100,AG27=0,AG28=0),IF(AH19=0," ",LOOKUP(AH19,AB7:AD58,AC7:AC58)),IF(AH19=0," ",LOOKUP(AH19,AB7:AD58,AC7:AC58))))))</f>
        <v>Nueve</v>
      </c>
      <c r="AJ19" s="538" t="str">
        <f>IF(AND(AH17=0,AH18=0,AH19=1),"Mil",IF(SUM(AH17:AH19)=0," ","Mil"))</f>
        <v>Mil</v>
      </c>
      <c r="AK19" s="598"/>
      <c r="AL19" s="524"/>
      <c r="AM19" s="515"/>
    </row>
    <row r="20" spans="2:39" ht="16.5" customHeight="1">
      <c r="B20" s="676" t="s">
        <v>53</v>
      </c>
      <c r="C20" s="654"/>
      <c r="D20" s="654"/>
      <c r="E20" s="677" t="s">
        <v>54</v>
      </c>
      <c r="F20" s="677"/>
      <c r="G20" s="677"/>
      <c r="H20" s="677"/>
      <c r="I20" s="77"/>
      <c r="J20" s="654" t="s">
        <v>55</v>
      </c>
      <c r="K20" s="654"/>
      <c r="L20" s="370" t="s">
        <v>33</v>
      </c>
      <c r="M20" s="656"/>
      <c r="N20" s="656"/>
      <c r="O20" s="371"/>
      <c r="P20" s="50"/>
      <c r="Q20" s="363" t="s">
        <v>56</v>
      </c>
      <c r="R20" s="363"/>
      <c r="S20" s="200" t="s">
        <v>33</v>
      </c>
      <c r="T20" s="366"/>
      <c r="U20" s="382"/>
      <c r="V20" s="371"/>
      <c r="W20" s="361"/>
      <c r="AB20" s="522">
        <v>13</v>
      </c>
      <c r="AC20" s="523" t="s">
        <v>57</v>
      </c>
      <c r="AD20" s="523" t="s">
        <v>57</v>
      </c>
      <c r="AE20" s="524"/>
      <c r="AF20" s="541">
        <f>INT((AD3-(INT(AD3/1000)*1000))/1)</f>
        <v>80</v>
      </c>
      <c r="AG20" s="542" t="s">
        <v>15</v>
      </c>
      <c r="AH20" s="543">
        <f>INT(AF20/100)*100</f>
        <v>0</v>
      </c>
      <c r="AI20" s="542" t="str">
        <f>IF(AND(AH20=100,AH21=0,AH22=0),IF(AH20=0," ",LOOKUP(AH20,AB7:AD58,AC7:AC58)),IF(AH20=0," ",LOOKUP(AH20,AB7:AD58,AD7:AD58)))</f>
        <v xml:space="preserve"> </v>
      </c>
      <c r="AJ20" s="544"/>
      <c r="AK20" s="599" t="s">
        <v>58</v>
      </c>
      <c r="AL20" s="524"/>
      <c r="AM20" s="515"/>
    </row>
    <row r="21" spans="2:39" ht="5.25" customHeight="1">
      <c r="B21" s="383"/>
      <c r="C21" s="369"/>
      <c r="D21" s="369"/>
      <c r="E21" s="677"/>
      <c r="F21" s="677"/>
      <c r="G21" s="677"/>
      <c r="H21" s="677"/>
      <c r="I21" s="77"/>
      <c r="J21" s="370"/>
      <c r="K21" s="370"/>
      <c r="L21" s="370"/>
      <c r="M21" s="384"/>
      <c r="N21" s="384"/>
      <c r="O21" s="371"/>
      <c r="P21" s="50"/>
      <c r="T21" s="382"/>
      <c r="U21" s="382"/>
      <c r="V21" s="371"/>
      <c r="W21" s="361"/>
      <c r="AB21" s="522">
        <v>14</v>
      </c>
      <c r="AC21" s="523" t="s">
        <v>59</v>
      </c>
      <c r="AD21" s="523" t="s">
        <v>59</v>
      </c>
      <c r="AE21" s="524"/>
      <c r="AF21" s="541">
        <f>+AF20-AH20</f>
        <v>80</v>
      </c>
      <c r="AG21" s="542" t="s">
        <v>19</v>
      </c>
      <c r="AH21" s="543">
        <f>INT(AF21/10)*10</f>
        <v>80</v>
      </c>
      <c r="AI21" s="542" t="str">
        <f>IF(OR(AH21=10,AH21=20),LOOKUP(AF21,AB7:AD58,AD7:AD58),IF(AND(AH21=100,AH22=0,AH36=0),IF(AH21=0," ",LOOKUP(AH21,AB7:AD58,AC7:AC58)),IF(AH21=0," ",LOOKUP(AH21,AB7:AD58,AD7:AD58))))</f>
        <v>Ochenta</v>
      </c>
      <c r="AJ21" s="542" t="str">
        <f>IF(AH22=0," ",IF(AND(AH21&gt;20,AH21&lt;=90),"y"," "))</f>
        <v xml:space="preserve"> </v>
      </c>
      <c r="AK21" s="599"/>
      <c r="AL21" s="524"/>
      <c r="AM21" s="515"/>
    </row>
    <row r="22" spans="2:39" ht="20.25" customHeight="1">
      <c r="B22" s="385"/>
      <c r="E22" s="677"/>
      <c r="F22" s="677"/>
      <c r="G22" s="677"/>
      <c r="H22" s="677"/>
      <c r="I22" s="77"/>
      <c r="J22" s="654" t="s">
        <v>60</v>
      </c>
      <c r="K22" s="654"/>
      <c r="L22" s="370" t="s">
        <v>33</v>
      </c>
      <c r="M22" s="656"/>
      <c r="N22" s="656"/>
      <c r="O22" s="50"/>
      <c r="P22" s="50"/>
      <c r="Q22" s="363" t="s">
        <v>61</v>
      </c>
      <c r="R22" s="363"/>
      <c r="S22" s="200" t="s">
        <v>33</v>
      </c>
      <c r="T22" s="366"/>
      <c r="U22" s="382"/>
      <c r="V22" s="371"/>
      <c r="W22" s="361"/>
      <c r="AB22" s="522">
        <v>15</v>
      </c>
      <c r="AC22" s="523" t="s">
        <v>62</v>
      </c>
      <c r="AD22" s="523" t="s">
        <v>62</v>
      </c>
      <c r="AE22" s="524"/>
      <c r="AF22" s="541">
        <f>+AF21-AH21</f>
        <v>0</v>
      </c>
      <c r="AG22" s="542" t="s">
        <v>21</v>
      </c>
      <c r="AH22" s="541">
        <f>INT(AF22)</f>
        <v>0</v>
      </c>
      <c r="AI22" s="542" t="str">
        <f>IF(AND(AH20=0,AH21=0,AH22=1),"Un",IF(AND(AH17=0,AH18=0,AH19=0,AH20=0,AH21=0,AH22=1)," ",IF(OR(AH21=10,AH21=20)," ",IF(AND(AH22=100,AH36=0,AH37=0),IF(AH22=0," ",LOOKUP(AH22,AB7:AD58,AC7:AC58)),IF(AH22=0," ",LOOKUP(AH22,AB7:AD58,AC7:AC58))))))</f>
        <v xml:space="preserve"> </v>
      </c>
      <c r="AJ22" s="542"/>
      <c r="AK22" s="599"/>
      <c r="AL22" s="524"/>
      <c r="AM22" s="515"/>
    </row>
    <row r="23" spans="2:39" ht="4.5" customHeight="1">
      <c r="B23" s="385"/>
      <c r="E23" s="386"/>
      <c r="F23" s="319"/>
      <c r="G23" s="319"/>
      <c r="H23" s="319"/>
      <c r="I23" s="77"/>
      <c r="J23" s="387"/>
      <c r="K23" s="388"/>
      <c r="L23" s="319"/>
      <c r="M23" s="384"/>
      <c r="N23" s="389"/>
      <c r="O23" s="50"/>
      <c r="P23" s="50"/>
      <c r="T23" s="668"/>
      <c r="U23" s="668"/>
      <c r="V23" s="371"/>
      <c r="W23" s="361"/>
      <c r="AB23" s="522">
        <v>16</v>
      </c>
      <c r="AC23" s="523" t="s">
        <v>63</v>
      </c>
      <c r="AD23" s="523" t="s">
        <v>63</v>
      </c>
      <c r="AE23" s="524"/>
      <c r="AF23" s="524"/>
      <c r="AG23" s="524"/>
      <c r="AH23" s="524"/>
      <c r="AI23" s="524"/>
      <c r="AJ23" s="524"/>
      <c r="AK23" s="524"/>
      <c r="AL23" s="524"/>
      <c r="AM23" s="515"/>
    </row>
    <row r="24" spans="2:39" ht="17.25" customHeight="1">
      <c r="B24" s="390" t="s">
        <v>64</v>
      </c>
      <c r="C24" s="372"/>
      <c r="D24" s="372"/>
      <c r="E24" s="391" t="s">
        <v>65</v>
      </c>
      <c r="F24" s="367"/>
      <c r="G24" s="367"/>
      <c r="H24" s="367"/>
      <c r="I24" s="367"/>
      <c r="J24" s="654" t="s">
        <v>66</v>
      </c>
      <c r="K24" s="654"/>
      <c r="L24" s="370" t="s">
        <v>33</v>
      </c>
      <c r="M24" s="655">
        <f>+'[17]ACTA PARCIAL OBRA 02'!$M$24:$N$24</f>
        <v>3427718970</v>
      </c>
      <c r="N24" s="655"/>
      <c r="O24" s="50"/>
      <c r="P24" s="50"/>
      <c r="Q24" s="363" t="s">
        <v>67</v>
      </c>
      <c r="R24" s="363"/>
      <c r="S24" s="200" t="s">
        <v>33</v>
      </c>
      <c r="T24" s="366" t="s">
        <v>68</v>
      </c>
      <c r="V24" s="371"/>
      <c r="W24" s="361"/>
      <c r="AB24" s="522">
        <v>17</v>
      </c>
      <c r="AC24" s="523" t="s">
        <v>69</v>
      </c>
      <c r="AD24" s="523" t="s">
        <v>69</v>
      </c>
      <c r="AE24" s="524"/>
      <c r="AF24" s="524"/>
      <c r="AG24" s="524"/>
      <c r="AH24" s="524"/>
      <c r="AI24" s="524"/>
      <c r="AJ24" s="524"/>
      <c r="AK24" s="524"/>
      <c r="AL24" s="524"/>
      <c r="AM24" s="515"/>
    </row>
    <row r="25" spans="2:39" ht="4.5" customHeight="1">
      <c r="B25" s="390"/>
      <c r="C25" s="372"/>
      <c r="D25" s="372"/>
      <c r="E25" s="391"/>
      <c r="F25" s="367"/>
      <c r="G25" s="367"/>
      <c r="H25" s="367"/>
      <c r="I25" s="367"/>
      <c r="J25" s="369"/>
      <c r="K25" s="369"/>
      <c r="L25" s="370"/>
      <c r="M25" s="392"/>
      <c r="N25" s="392"/>
      <c r="O25" s="50"/>
      <c r="P25" s="50"/>
      <c r="Q25" s="363"/>
      <c r="R25" s="363"/>
      <c r="S25" s="200"/>
      <c r="T25" s="360"/>
      <c r="V25" s="371"/>
      <c r="W25" s="361"/>
      <c r="AB25" s="522">
        <v>18</v>
      </c>
      <c r="AC25" s="523" t="s">
        <v>70</v>
      </c>
      <c r="AD25" s="523" t="s">
        <v>70</v>
      </c>
      <c r="AE25" s="524"/>
      <c r="AF25" s="524"/>
      <c r="AG25" s="545"/>
      <c r="AH25" s="524"/>
      <c r="AI25" s="524"/>
      <c r="AJ25" s="524"/>
      <c r="AK25" s="524"/>
      <c r="AL25" s="524"/>
      <c r="AM25" s="515"/>
    </row>
    <row r="26" spans="2:39" ht="19.5" customHeight="1">
      <c r="B26" s="385"/>
      <c r="C26" s="148"/>
      <c r="D26" s="148"/>
      <c r="E26" s="319"/>
      <c r="F26" s="319"/>
      <c r="G26" s="319"/>
      <c r="H26" s="319"/>
      <c r="I26" s="77"/>
      <c r="J26" s="274"/>
      <c r="K26" s="274"/>
      <c r="N26" s="274"/>
      <c r="O26" s="50"/>
      <c r="P26" s="50"/>
      <c r="Q26" s="363" t="s">
        <v>71</v>
      </c>
      <c r="R26" s="363"/>
      <c r="S26" s="363" t="s">
        <v>33</v>
      </c>
      <c r="T26" s="667" t="s">
        <v>72</v>
      </c>
      <c r="U26" s="667"/>
      <c r="V26" s="371"/>
      <c r="W26" s="361"/>
      <c r="AB26" s="522">
        <v>19</v>
      </c>
      <c r="AC26" s="523" t="s">
        <v>73</v>
      </c>
      <c r="AD26" s="523" t="s">
        <v>73</v>
      </c>
      <c r="AE26" s="524"/>
      <c r="AF26" s="524"/>
      <c r="AG26" s="524"/>
      <c r="AH26" s="524"/>
      <c r="AI26" s="524"/>
      <c r="AJ26" s="524"/>
      <c r="AK26" s="524"/>
      <c r="AL26" s="524"/>
      <c r="AM26" s="515"/>
    </row>
    <row r="27" spans="2:39" ht="5.25" customHeight="1">
      <c r="B27" s="385"/>
      <c r="C27" s="148"/>
      <c r="D27" s="148"/>
      <c r="E27" s="319"/>
      <c r="F27" s="319"/>
      <c r="G27" s="319"/>
      <c r="H27" s="319"/>
      <c r="I27" s="77"/>
      <c r="J27" s="274"/>
      <c r="K27" s="274"/>
      <c r="N27" s="274"/>
      <c r="O27" s="50"/>
      <c r="P27" s="50"/>
      <c r="Q27" s="363"/>
      <c r="R27" s="363"/>
      <c r="S27" s="363"/>
      <c r="T27" s="393"/>
      <c r="U27" s="393"/>
      <c r="V27" s="371"/>
      <c r="W27" s="361"/>
      <c r="AB27" s="522">
        <v>18</v>
      </c>
      <c r="AC27" s="523" t="s">
        <v>70</v>
      </c>
      <c r="AD27" s="523" t="s">
        <v>70</v>
      </c>
      <c r="AE27" s="524"/>
      <c r="AF27" s="524"/>
      <c r="AG27" s="545"/>
      <c r="AH27" s="524"/>
      <c r="AI27" s="524"/>
      <c r="AJ27" s="524"/>
      <c r="AK27" s="524"/>
      <c r="AL27" s="524"/>
      <c r="AM27" s="515"/>
    </row>
    <row r="28" spans="2:39" ht="18.75" customHeight="1">
      <c r="B28" s="394" t="s">
        <v>74</v>
      </c>
      <c r="C28" s="315">
        <v>3489</v>
      </c>
      <c r="I28" s="77"/>
      <c r="J28" s="274"/>
      <c r="K28" s="274"/>
      <c r="N28" s="274"/>
      <c r="O28" s="50"/>
      <c r="P28" s="50"/>
      <c r="Q28" s="363" t="s">
        <v>75</v>
      </c>
      <c r="R28" s="363"/>
      <c r="S28" s="200" t="s">
        <v>33</v>
      </c>
      <c r="T28" s="366" t="s">
        <v>76</v>
      </c>
      <c r="V28" s="371"/>
      <c r="W28" s="361"/>
      <c r="AB28" s="522">
        <v>19</v>
      </c>
      <c r="AC28" s="523" t="s">
        <v>73</v>
      </c>
      <c r="AD28" s="523" t="s">
        <v>73</v>
      </c>
      <c r="AE28" s="524"/>
      <c r="AF28" s="524"/>
      <c r="AG28" s="524"/>
      <c r="AH28" s="524"/>
      <c r="AI28" s="524"/>
      <c r="AJ28" s="524"/>
      <c r="AK28" s="524"/>
      <c r="AL28" s="524"/>
      <c r="AM28" s="515"/>
    </row>
    <row r="29" spans="2:39" ht="3.75" customHeight="1">
      <c r="B29" s="394"/>
      <c r="C29" s="315"/>
      <c r="I29" s="77"/>
      <c r="J29" s="274"/>
      <c r="K29" s="274"/>
      <c r="N29" s="274"/>
      <c r="O29" s="50"/>
      <c r="P29" s="50"/>
      <c r="Q29" s="363"/>
      <c r="R29" s="363"/>
      <c r="S29" s="200"/>
      <c r="T29" s="360"/>
      <c r="V29" s="371"/>
      <c r="W29" s="361"/>
      <c r="AB29" s="522">
        <v>18</v>
      </c>
      <c r="AC29" s="523" t="s">
        <v>70</v>
      </c>
      <c r="AD29" s="523" t="s">
        <v>70</v>
      </c>
      <c r="AE29" s="524"/>
      <c r="AF29" s="524"/>
      <c r="AG29" s="545"/>
      <c r="AH29" s="524"/>
      <c r="AI29" s="524"/>
      <c r="AJ29" s="524"/>
      <c r="AK29" s="524"/>
      <c r="AL29" s="524"/>
      <c r="AM29" s="515"/>
    </row>
    <row r="30" spans="2:39" ht="18.75" customHeight="1">
      <c r="B30" s="394"/>
      <c r="I30" s="77"/>
      <c r="J30" s="274"/>
      <c r="K30" s="274"/>
      <c r="N30" s="274"/>
      <c r="O30" s="50"/>
      <c r="P30" s="50"/>
      <c r="Q30" s="363" t="s">
        <v>71</v>
      </c>
      <c r="R30" s="363"/>
      <c r="S30" s="363" t="s">
        <v>33</v>
      </c>
      <c r="T30" s="667" t="s">
        <v>77</v>
      </c>
      <c r="U30" s="667"/>
      <c r="V30" s="371"/>
      <c r="W30" s="361"/>
      <c r="AB30" s="522">
        <v>19</v>
      </c>
      <c r="AC30" s="523" t="s">
        <v>73</v>
      </c>
      <c r="AD30" s="523" t="s">
        <v>73</v>
      </c>
      <c r="AE30" s="524"/>
      <c r="AF30" s="524"/>
      <c r="AG30" s="524"/>
      <c r="AH30" s="524"/>
      <c r="AI30" s="524"/>
      <c r="AJ30" s="524"/>
      <c r="AK30" s="524"/>
      <c r="AL30" s="524"/>
      <c r="AM30" s="515"/>
    </row>
    <row r="31" spans="2:39" ht="3.75" customHeight="1">
      <c r="B31" s="394"/>
      <c r="I31" s="77"/>
      <c r="J31" s="274"/>
      <c r="K31" s="274"/>
      <c r="N31" s="274"/>
      <c r="O31" s="50"/>
      <c r="P31" s="50"/>
      <c r="Q31" s="363"/>
      <c r="R31" s="363"/>
      <c r="S31" s="363"/>
      <c r="T31" s="393"/>
      <c r="U31" s="393"/>
      <c r="V31" s="371"/>
      <c r="W31" s="361"/>
      <c r="AB31" s="522">
        <v>20</v>
      </c>
      <c r="AC31" s="523" t="s">
        <v>78</v>
      </c>
      <c r="AD31" s="523" t="s">
        <v>78</v>
      </c>
      <c r="AE31" s="600" t="str">
        <f>AI8&amp;" "&amp;AI9&amp;" "&amp;AJ9&amp;" "&amp;" "&amp;AI10&amp;" "&amp;AJ10&amp;" "&amp;AI11&amp;" "&amp;AI12&amp;" "&amp;AJ12&amp;" "&amp;" "&amp;AI13&amp;" "&amp;AJ13&amp;" "&amp;AI14&amp;" "&amp;AI15&amp;" "&amp;AJ15&amp;" "&amp;AI16&amp;" "&amp;AJ16&amp;" "&amp;AI17&amp;" "&amp;AI18&amp;" "&amp;AJ18&amp;" "&amp;AI19&amp;" "&amp;AJ19&amp;" "&amp;AI20&amp;" "&amp;AI21&amp;" "&amp;AJ21&amp;" "&amp;AI22&amp;" "&amp;AI33</f>
        <v xml:space="preserve">                        Cuarenta y Nueve Millones Ciento Treinta y Nueve Mil   Ochenta     Pesos M/Cte</v>
      </c>
      <c r="AF31" s="600"/>
      <c r="AG31" s="600"/>
      <c r="AH31" s="600"/>
      <c r="AI31" s="600"/>
      <c r="AJ31" s="600"/>
      <c r="AK31" s="600"/>
      <c r="AL31" s="600"/>
      <c r="AM31" s="515"/>
    </row>
    <row r="32" spans="2:39" ht="18.75" customHeight="1">
      <c r="B32" s="394"/>
      <c r="I32" s="77"/>
      <c r="J32" s="369" t="s">
        <v>79</v>
      </c>
      <c r="K32" s="274"/>
      <c r="M32" s="669">
        <f>TRUNC(O308,0)</f>
        <v>49139080</v>
      </c>
      <c r="N32" s="670"/>
      <c r="Q32" s="363" t="s">
        <v>80</v>
      </c>
      <c r="R32" s="363"/>
      <c r="S32" s="200" t="s">
        <v>33</v>
      </c>
      <c r="T32" s="366" t="s">
        <v>81</v>
      </c>
      <c r="U32" s="360"/>
      <c r="V32" s="371"/>
      <c r="W32" s="361"/>
      <c r="AB32" s="522">
        <v>21</v>
      </c>
      <c r="AC32" s="523" t="s">
        <v>82</v>
      </c>
      <c r="AD32" s="523" t="s">
        <v>83</v>
      </c>
      <c r="AE32" s="600"/>
      <c r="AF32" s="600"/>
      <c r="AG32" s="600"/>
      <c r="AH32" s="600"/>
      <c r="AI32" s="600"/>
      <c r="AJ32" s="600"/>
      <c r="AK32" s="600"/>
      <c r="AL32" s="600"/>
      <c r="AM32" s="515"/>
    </row>
    <row r="33" spans="2:39" ht="4.5" customHeight="1">
      <c r="B33" s="394"/>
      <c r="C33" s="148"/>
      <c r="D33" s="148"/>
      <c r="E33" s="319"/>
      <c r="F33" s="319"/>
      <c r="G33" s="319"/>
      <c r="H33" s="319"/>
      <c r="I33" s="77"/>
      <c r="J33" s="274"/>
      <c r="K33" s="274"/>
      <c r="N33" s="274"/>
      <c r="T33" s="377"/>
      <c r="U33" s="360"/>
      <c r="V33" s="371"/>
      <c r="W33" s="361"/>
      <c r="AB33" s="522">
        <v>22</v>
      </c>
      <c r="AC33" s="523" t="s">
        <v>84</v>
      </c>
      <c r="AD33" s="523" t="s">
        <v>84</v>
      </c>
      <c r="AE33" s="524"/>
      <c r="AF33" s="524"/>
      <c r="AG33" s="524"/>
      <c r="AH33" s="524"/>
      <c r="AI33" s="546" t="str">
        <f>IF(AG34&lt;&gt;0,"de Pesos M/Cte",IF(AD3=1,"Peso M/Cte","Pesos M/Cte"))</f>
        <v>Pesos M/Cte</v>
      </c>
      <c r="AJ33" s="524"/>
      <c r="AK33" s="524"/>
      <c r="AL33" s="524"/>
      <c r="AM33" s="515"/>
    </row>
    <row r="34" spans="2:39" ht="23.25" customHeight="1">
      <c r="B34" s="362"/>
      <c r="F34" s="319"/>
      <c r="G34" s="319"/>
      <c r="H34" s="319"/>
      <c r="I34" s="77"/>
      <c r="J34" s="671" t="str">
        <f>+AD5</f>
        <v>Cuarenta y Nueve Millones Ciento Treinta y Nueve Mil Ochenta Pesos M/Cte</v>
      </c>
      <c r="K34" s="671"/>
      <c r="L34" s="671"/>
      <c r="M34" s="671"/>
      <c r="N34" s="671"/>
      <c r="O34" s="671"/>
      <c r="P34" s="395"/>
      <c r="Q34" s="363" t="s">
        <v>85</v>
      </c>
      <c r="R34" s="363"/>
      <c r="S34" s="200" t="s">
        <v>33</v>
      </c>
      <c r="T34" s="667" t="s">
        <v>86</v>
      </c>
      <c r="U34" s="667"/>
      <c r="V34" s="371"/>
      <c r="W34" s="361"/>
      <c r="AB34" s="522">
        <v>23</v>
      </c>
      <c r="AC34" s="523" t="s">
        <v>87</v>
      </c>
      <c r="AD34" s="523" t="s">
        <v>87</v>
      </c>
      <c r="AE34" s="524"/>
      <c r="AF34" s="547">
        <f>AD3/1000000</f>
        <v>49.13908</v>
      </c>
      <c r="AG34" s="548">
        <f>IF(AF34=INT(AF34),"De Pesos M/Cte",0)</f>
        <v>0</v>
      </c>
      <c r="AH34" s="524"/>
      <c r="AI34" s="524"/>
      <c r="AJ34" s="524"/>
      <c r="AK34" s="524"/>
      <c r="AL34" s="524"/>
      <c r="AM34" s="515"/>
    </row>
    <row r="35" spans="2:39" ht="15.75" customHeight="1">
      <c r="B35" s="379"/>
      <c r="C35" s="311"/>
      <c r="D35" s="653"/>
      <c r="E35" s="653"/>
      <c r="F35" s="319"/>
      <c r="G35" s="319"/>
      <c r="H35" s="319"/>
      <c r="I35" s="77"/>
      <c r="J35" s="274"/>
      <c r="K35" s="274"/>
      <c r="N35" s="274"/>
      <c r="V35" s="371"/>
      <c r="W35" s="361"/>
      <c r="AB35" s="522">
        <v>24</v>
      </c>
      <c r="AC35" s="523" t="s">
        <v>88</v>
      </c>
      <c r="AD35" s="523" t="s">
        <v>88</v>
      </c>
      <c r="AE35" s="524"/>
      <c r="AF35" s="524"/>
      <c r="AG35" s="524"/>
      <c r="AH35" s="524"/>
      <c r="AI35" s="524"/>
      <c r="AJ35" s="524"/>
      <c r="AK35" s="524"/>
      <c r="AL35" s="524"/>
      <c r="AM35" s="515"/>
    </row>
    <row r="36" spans="2:39" ht="15">
      <c r="B36" s="674" t="s">
        <v>89</v>
      </c>
      <c r="C36" s="675"/>
      <c r="D36" s="675"/>
      <c r="E36" s="675"/>
      <c r="F36" s="71"/>
      <c r="G36" s="71"/>
      <c r="H36" s="71"/>
      <c r="I36" s="72"/>
      <c r="J36" s="73"/>
      <c r="K36" s="74"/>
      <c r="L36" s="71"/>
      <c r="M36" s="71"/>
      <c r="N36" s="75"/>
      <c r="O36" s="71"/>
      <c r="P36" s="71"/>
      <c r="Q36" s="71"/>
      <c r="R36" s="71"/>
      <c r="S36" s="71"/>
      <c r="T36" s="71"/>
      <c r="U36" s="71"/>
      <c r="V36" s="71"/>
      <c r="W36" s="76"/>
      <c r="AB36" s="522">
        <v>25</v>
      </c>
      <c r="AC36" s="523" t="s">
        <v>90</v>
      </c>
      <c r="AD36" s="523" t="s">
        <v>90</v>
      </c>
      <c r="AE36" s="524"/>
      <c r="AF36" s="524"/>
      <c r="AG36" s="524"/>
      <c r="AH36" s="524"/>
      <c r="AI36" s="524"/>
      <c r="AJ36" s="524"/>
      <c r="AK36" s="524"/>
      <c r="AL36" s="524"/>
      <c r="AM36" s="515"/>
    </row>
    <row r="37" spans="2:39" ht="3.6" customHeight="1">
      <c r="B37" s="50"/>
      <c r="C37" s="50"/>
      <c r="D37" s="50"/>
      <c r="E37" s="50"/>
      <c r="F37" s="50"/>
      <c r="G37" s="50"/>
      <c r="H37" s="50"/>
      <c r="I37" s="77"/>
      <c r="J37" s="78"/>
      <c r="L37" s="50"/>
      <c r="M37" s="50"/>
      <c r="N37" s="80"/>
      <c r="O37" s="50"/>
      <c r="P37" s="50"/>
      <c r="Q37" s="50"/>
      <c r="R37" s="50"/>
      <c r="S37" s="50"/>
      <c r="T37" s="50"/>
      <c r="U37" s="50"/>
      <c r="V37" s="50"/>
      <c r="W37" s="50"/>
      <c r="AB37" s="522">
        <v>26</v>
      </c>
      <c r="AC37" s="523" t="s">
        <v>91</v>
      </c>
      <c r="AD37" s="523" t="s">
        <v>91</v>
      </c>
      <c r="AE37" s="524"/>
      <c r="AF37" s="524"/>
      <c r="AG37" s="524"/>
      <c r="AH37" s="524"/>
      <c r="AI37" s="524"/>
      <c r="AJ37" s="524"/>
      <c r="AK37" s="524"/>
      <c r="AL37" s="524"/>
    </row>
    <row r="38" spans="2:39" ht="20.100000000000001" customHeight="1">
      <c r="B38" s="81" t="s">
        <v>92</v>
      </c>
      <c r="C38" s="82"/>
      <c r="D38" s="82"/>
      <c r="E38" s="82"/>
      <c r="F38" s="82"/>
      <c r="G38" s="82"/>
      <c r="H38" s="82"/>
      <c r="I38" s="83"/>
      <c r="J38" s="279"/>
      <c r="K38" s="84"/>
      <c r="L38" s="85"/>
      <c r="M38" s="86"/>
      <c r="N38" s="87" t="s">
        <v>93</v>
      </c>
      <c r="O38" s="82"/>
      <c r="P38" s="82"/>
      <c r="Q38" s="82"/>
      <c r="R38" s="82"/>
      <c r="S38" s="82"/>
      <c r="T38" s="82"/>
      <c r="U38" s="82"/>
      <c r="V38" s="82"/>
      <c r="W38" s="85"/>
      <c r="AB38" s="522">
        <v>27</v>
      </c>
      <c r="AC38" s="523" t="s">
        <v>94</v>
      </c>
      <c r="AD38" s="523" t="s">
        <v>94</v>
      </c>
      <c r="AE38" s="524"/>
      <c r="AF38" s="524"/>
      <c r="AG38" s="524"/>
      <c r="AH38" s="524"/>
      <c r="AI38" s="524"/>
      <c r="AJ38" s="524"/>
      <c r="AK38" s="524"/>
      <c r="AL38" s="524"/>
    </row>
    <row r="39" spans="2:39" ht="3" customHeight="1">
      <c r="AB39" s="522">
        <v>28</v>
      </c>
      <c r="AC39" s="523" t="s">
        <v>95</v>
      </c>
      <c r="AD39" s="523" t="s">
        <v>95</v>
      </c>
      <c r="AE39" s="524"/>
      <c r="AF39" s="524"/>
      <c r="AG39" s="524"/>
      <c r="AH39" s="524"/>
      <c r="AI39" s="524"/>
      <c r="AJ39" s="524"/>
      <c r="AK39" s="524"/>
      <c r="AL39" s="524"/>
    </row>
    <row r="40" spans="2:39" ht="15">
      <c r="B40" s="89" t="s">
        <v>96</v>
      </c>
      <c r="C40" s="90" t="s">
        <v>97</v>
      </c>
      <c r="D40" s="90"/>
      <c r="E40" s="90"/>
      <c r="F40" s="90"/>
      <c r="G40" s="90"/>
      <c r="H40" s="90"/>
      <c r="I40" s="91" t="s">
        <v>98</v>
      </c>
      <c r="J40" s="280" t="s">
        <v>99</v>
      </c>
      <c r="K40" s="92" t="s">
        <v>100</v>
      </c>
      <c r="L40" s="90" t="s">
        <v>101</v>
      </c>
      <c r="M40" s="93"/>
      <c r="N40" s="94" t="s">
        <v>102</v>
      </c>
      <c r="O40" s="95"/>
      <c r="P40" s="93"/>
      <c r="Q40" s="96" t="s">
        <v>103</v>
      </c>
      <c r="R40" s="97"/>
      <c r="S40" s="86"/>
      <c r="T40" s="97" t="s">
        <v>104</v>
      </c>
      <c r="U40" s="97"/>
      <c r="V40" s="97"/>
      <c r="W40" s="95"/>
      <c r="AB40" s="522">
        <v>29</v>
      </c>
      <c r="AC40" s="523" t="s">
        <v>105</v>
      </c>
      <c r="AD40" s="523" t="s">
        <v>105</v>
      </c>
      <c r="AE40" s="524"/>
      <c r="AF40" s="524"/>
      <c r="AG40" s="524"/>
      <c r="AH40" s="524"/>
      <c r="AI40" s="524"/>
      <c r="AJ40" s="524"/>
      <c r="AK40" s="524"/>
      <c r="AL40" s="524"/>
    </row>
    <row r="41" spans="2:39" ht="15">
      <c r="B41" s="281"/>
      <c r="C41" s="50"/>
      <c r="D41" s="50"/>
      <c r="E41" s="50"/>
      <c r="F41" s="50"/>
      <c r="G41" s="50"/>
      <c r="H41" s="50"/>
      <c r="J41" s="282"/>
      <c r="K41" s="98"/>
      <c r="L41" s="50"/>
      <c r="M41" s="50"/>
      <c r="N41" s="80"/>
      <c r="O41" s="50"/>
      <c r="P41" s="50"/>
      <c r="Q41" s="50"/>
      <c r="R41" s="50"/>
      <c r="S41" s="50"/>
      <c r="T41" s="50"/>
      <c r="U41" s="50"/>
      <c r="V41" s="50"/>
      <c r="W41" s="50"/>
      <c r="AB41" s="522">
        <v>30</v>
      </c>
      <c r="AC41" s="523" t="s">
        <v>106</v>
      </c>
      <c r="AD41" s="523" t="s">
        <v>106</v>
      </c>
      <c r="AE41" s="524"/>
      <c r="AF41" s="524"/>
      <c r="AG41" s="524"/>
      <c r="AH41" s="524"/>
      <c r="AI41" s="524"/>
      <c r="AJ41" s="524"/>
      <c r="AK41" s="524"/>
      <c r="AL41" s="524"/>
    </row>
    <row r="42" spans="2:39" ht="20.100000000000001" customHeight="1">
      <c r="B42" s="81"/>
      <c r="C42" s="82" t="s">
        <v>107</v>
      </c>
      <c r="D42" s="82"/>
      <c r="E42" s="82"/>
      <c r="F42" s="82"/>
      <c r="G42" s="82"/>
      <c r="H42" s="82"/>
      <c r="I42" s="83"/>
      <c r="J42" s="279"/>
      <c r="K42" s="84"/>
      <c r="L42" s="85"/>
      <c r="M42" s="86"/>
      <c r="N42" s="87"/>
      <c r="O42" s="82"/>
      <c r="P42" s="82"/>
      <c r="Q42" s="82"/>
      <c r="R42" s="82"/>
      <c r="S42" s="82"/>
      <c r="T42" s="82"/>
      <c r="U42" s="82"/>
      <c r="V42" s="82"/>
      <c r="W42" s="85"/>
      <c r="AB42" s="522">
        <v>40</v>
      </c>
      <c r="AC42" s="523" t="s">
        <v>108</v>
      </c>
      <c r="AD42" s="523" t="s">
        <v>108</v>
      </c>
      <c r="AE42" s="524"/>
      <c r="AF42" s="524"/>
      <c r="AG42" s="524"/>
      <c r="AH42" s="524"/>
      <c r="AI42" s="524"/>
      <c r="AJ42" s="524"/>
      <c r="AK42" s="524"/>
      <c r="AL42" s="524"/>
    </row>
    <row r="43" spans="2:39" ht="15">
      <c r="B43" s="283" t="s">
        <v>96</v>
      </c>
      <c r="C43" s="56" t="s">
        <v>97</v>
      </c>
      <c r="D43" s="56"/>
      <c r="E43" s="56"/>
      <c r="F43" s="56"/>
      <c r="G43" s="56"/>
      <c r="H43" s="56"/>
      <c r="I43" s="51" t="s">
        <v>98</v>
      </c>
      <c r="J43" s="284" t="s">
        <v>99</v>
      </c>
      <c r="K43" s="51" t="s">
        <v>100</v>
      </c>
      <c r="L43" s="56" t="s">
        <v>101</v>
      </c>
      <c r="M43" s="50"/>
      <c r="N43" s="51" t="s">
        <v>109</v>
      </c>
      <c r="O43" s="51" t="s">
        <v>101</v>
      </c>
      <c r="P43" s="50"/>
      <c r="Q43" s="51" t="s">
        <v>109</v>
      </c>
      <c r="R43" s="51" t="s">
        <v>101</v>
      </c>
      <c r="S43" s="50"/>
      <c r="T43" s="52" t="s">
        <v>109</v>
      </c>
      <c r="U43" s="51" t="s">
        <v>110</v>
      </c>
      <c r="V43" s="53" t="s">
        <v>111</v>
      </c>
      <c r="W43" s="54"/>
      <c r="AB43" s="522">
        <v>50</v>
      </c>
      <c r="AC43" s="523" t="s">
        <v>112</v>
      </c>
      <c r="AD43" s="523" t="s">
        <v>112</v>
      </c>
      <c r="AE43" s="524"/>
      <c r="AF43" s="524"/>
      <c r="AG43" s="524"/>
      <c r="AH43" s="524"/>
      <c r="AI43" s="524"/>
      <c r="AJ43" s="524"/>
      <c r="AK43" s="524"/>
      <c r="AL43" s="524"/>
    </row>
    <row r="44" spans="2:39" ht="15">
      <c r="B44" s="283"/>
      <c r="C44" s="764" t="s">
        <v>113</v>
      </c>
      <c r="D44" s="765"/>
      <c r="E44" s="765"/>
      <c r="F44" s="765"/>
      <c r="G44" s="765"/>
      <c r="H44" s="766"/>
      <c r="I44" s="51"/>
      <c r="J44" s="285"/>
      <c r="K44" s="51"/>
      <c r="L44" s="104"/>
      <c r="M44" s="50"/>
      <c r="N44" s="55"/>
      <c r="O44" s="396">
        <f>+ROUND((ROUNDDOWN(N44,2))*K44,2)</f>
        <v>0</v>
      </c>
      <c r="P44" s="50"/>
      <c r="Q44" s="56"/>
      <c r="R44" s="57">
        <f t="shared" ref="R44:R63" si="0">+ROUND(Q44*K44,2)</f>
        <v>0</v>
      </c>
      <c r="S44" s="50"/>
      <c r="T44" s="55">
        <f t="shared" ref="T44:T63" si="1">+N44+Q44</f>
        <v>0</v>
      </c>
      <c r="U44" s="57">
        <f t="shared" ref="U44:U63" si="2">+ROUND((ROUNDDOWN(T44,2))*K44,2)</f>
        <v>0</v>
      </c>
      <c r="V44" s="623">
        <f t="shared" ref="V44:V63" si="3">IF(L44=0,0)+IF(L44&gt;0,U44/L44)</f>
        <v>0</v>
      </c>
      <c r="W44" s="624"/>
      <c r="AB44" s="522">
        <v>60</v>
      </c>
      <c r="AC44" s="523" t="s">
        <v>114</v>
      </c>
      <c r="AD44" s="523" t="s">
        <v>114</v>
      </c>
      <c r="AE44" s="524"/>
      <c r="AF44" s="524"/>
      <c r="AG44" s="524"/>
      <c r="AH44" s="524"/>
      <c r="AI44" s="524"/>
      <c r="AJ44" s="524"/>
      <c r="AK44" s="524"/>
      <c r="AL44" s="524"/>
    </row>
    <row r="45" spans="2:39" ht="15">
      <c r="B45" s="286">
        <v>1</v>
      </c>
      <c r="C45" s="661" t="s">
        <v>115</v>
      </c>
      <c r="D45" s="662"/>
      <c r="E45" s="662"/>
      <c r="F45" s="662"/>
      <c r="G45" s="662"/>
      <c r="H45" s="663"/>
      <c r="I45" s="286" t="s">
        <v>116</v>
      </c>
      <c r="J45" s="287"/>
      <c r="K45" s="288"/>
      <c r="L45" s="104">
        <f>+ROUND(J45*K45,0)</f>
        <v>0</v>
      </c>
      <c r="M45" s="50"/>
      <c r="N45" s="58"/>
      <c r="O45" s="396">
        <f>+ROUND((ROUNDDOWN(N45,2))*K45,2)</f>
        <v>0</v>
      </c>
      <c r="P45" s="50"/>
      <c r="Q45" s="58"/>
      <c r="R45" s="57">
        <f t="shared" si="0"/>
        <v>0</v>
      </c>
      <c r="S45" s="50"/>
      <c r="T45" s="55">
        <f t="shared" si="1"/>
        <v>0</v>
      </c>
      <c r="U45" s="57">
        <f t="shared" si="2"/>
        <v>0</v>
      </c>
      <c r="V45" s="623">
        <f t="shared" si="3"/>
        <v>0</v>
      </c>
      <c r="W45" s="624"/>
      <c r="AB45" s="522">
        <v>70</v>
      </c>
      <c r="AC45" s="523" t="s">
        <v>117</v>
      </c>
      <c r="AD45" s="523" t="s">
        <v>117</v>
      </c>
      <c r="AE45" s="524"/>
      <c r="AF45" s="524"/>
      <c r="AG45" s="524"/>
      <c r="AH45" s="524"/>
      <c r="AI45" s="524"/>
      <c r="AJ45" s="524"/>
      <c r="AK45" s="524"/>
      <c r="AL45" s="524"/>
    </row>
    <row r="46" spans="2:39" ht="15">
      <c r="B46" s="286">
        <v>2</v>
      </c>
      <c r="C46" s="661" t="s">
        <v>118</v>
      </c>
      <c r="D46" s="662"/>
      <c r="E46" s="662"/>
      <c r="F46" s="662"/>
      <c r="G46" s="662"/>
      <c r="H46" s="663"/>
      <c r="I46" s="286" t="s">
        <v>116</v>
      </c>
      <c r="J46" s="289"/>
      <c r="K46" s="288"/>
      <c r="L46" s="104">
        <f t="shared" ref="L46:L63" si="4">+ROUND(J46*K46,0)</f>
        <v>0</v>
      </c>
      <c r="M46" s="50"/>
      <c r="N46" s="58"/>
      <c r="O46" s="396">
        <f>+ROUND((ROUNDDOWN(N46,2))*K46,2)</f>
        <v>0</v>
      </c>
      <c r="P46" s="50"/>
      <c r="Q46" s="58"/>
      <c r="R46" s="57">
        <f t="shared" si="0"/>
        <v>0</v>
      </c>
      <c r="S46" s="50"/>
      <c r="T46" s="55">
        <f t="shared" si="1"/>
        <v>0</v>
      </c>
      <c r="U46" s="57">
        <f t="shared" si="2"/>
        <v>0</v>
      </c>
      <c r="V46" s="623">
        <f t="shared" si="3"/>
        <v>0</v>
      </c>
      <c r="W46" s="624"/>
      <c r="AB46" s="522">
        <v>80</v>
      </c>
      <c r="AC46" s="523" t="s">
        <v>119</v>
      </c>
      <c r="AD46" s="523" t="s">
        <v>119</v>
      </c>
      <c r="AE46" s="524"/>
      <c r="AF46" s="524"/>
      <c r="AG46" s="524"/>
      <c r="AH46" s="524"/>
      <c r="AI46" s="524"/>
      <c r="AJ46" s="524"/>
      <c r="AK46" s="524"/>
      <c r="AL46" s="524"/>
    </row>
    <row r="47" spans="2:39" ht="15">
      <c r="B47" s="286">
        <v>3</v>
      </c>
      <c r="C47" s="661" t="s">
        <v>120</v>
      </c>
      <c r="D47" s="662"/>
      <c r="E47" s="662"/>
      <c r="F47" s="662"/>
      <c r="G47" s="662"/>
      <c r="H47" s="663"/>
      <c r="I47" s="286" t="s">
        <v>116</v>
      </c>
      <c r="J47" s="289"/>
      <c r="K47" s="288"/>
      <c r="L47" s="104">
        <f t="shared" si="4"/>
        <v>0</v>
      </c>
      <c r="M47" s="50"/>
      <c r="N47" s="58"/>
      <c r="O47" s="396">
        <f>+ROUND((ROUNDDOWN(N47,2))*K47,2)</f>
        <v>0</v>
      </c>
      <c r="P47" s="50"/>
      <c r="Q47" s="58"/>
      <c r="R47" s="57">
        <f t="shared" si="0"/>
        <v>0</v>
      </c>
      <c r="S47" s="50"/>
      <c r="T47" s="55">
        <f t="shared" si="1"/>
        <v>0</v>
      </c>
      <c r="U47" s="57">
        <f t="shared" si="2"/>
        <v>0</v>
      </c>
      <c r="V47" s="623">
        <f t="shared" si="3"/>
        <v>0</v>
      </c>
      <c r="W47" s="624"/>
      <c r="AB47" s="522">
        <v>90</v>
      </c>
      <c r="AC47" s="523" t="s">
        <v>121</v>
      </c>
      <c r="AD47" s="523" t="s">
        <v>121</v>
      </c>
      <c r="AE47" s="524"/>
      <c r="AF47" s="524"/>
      <c r="AG47" s="524"/>
      <c r="AH47" s="524"/>
      <c r="AI47" s="524"/>
      <c r="AJ47" s="524"/>
      <c r="AK47" s="524"/>
      <c r="AL47" s="524"/>
    </row>
    <row r="48" spans="2:39" ht="15">
      <c r="B48" s="286">
        <v>4</v>
      </c>
      <c r="C48" s="661" t="s">
        <v>122</v>
      </c>
      <c r="D48" s="662"/>
      <c r="E48" s="662"/>
      <c r="F48" s="662"/>
      <c r="G48" s="662"/>
      <c r="H48" s="663"/>
      <c r="I48" s="286" t="s">
        <v>116</v>
      </c>
      <c r="J48" s="289"/>
      <c r="K48" s="288"/>
      <c r="L48" s="104">
        <f t="shared" si="4"/>
        <v>0</v>
      </c>
      <c r="M48" s="50"/>
      <c r="N48" s="58"/>
      <c r="O48" s="396">
        <f>+ROUND((ROUNDDOWN(N48,2))*K48,2)</f>
        <v>0</v>
      </c>
      <c r="P48" s="50"/>
      <c r="Q48" s="58"/>
      <c r="R48" s="57">
        <f t="shared" si="0"/>
        <v>0</v>
      </c>
      <c r="S48" s="50"/>
      <c r="T48" s="55">
        <f t="shared" si="1"/>
        <v>0</v>
      </c>
      <c r="U48" s="57">
        <f t="shared" si="2"/>
        <v>0</v>
      </c>
      <c r="V48" s="623">
        <f t="shared" si="3"/>
        <v>0</v>
      </c>
      <c r="W48" s="624"/>
      <c r="AB48" s="522">
        <v>100</v>
      </c>
      <c r="AC48" s="523" t="s">
        <v>123</v>
      </c>
      <c r="AD48" s="523" t="s">
        <v>124</v>
      </c>
      <c r="AE48" s="524"/>
      <c r="AF48" s="524"/>
      <c r="AG48" s="524"/>
      <c r="AH48" s="524"/>
      <c r="AI48" s="524"/>
      <c r="AJ48" s="524"/>
      <c r="AK48" s="524"/>
      <c r="AL48" s="524"/>
    </row>
    <row r="49" spans="2:39" ht="21" customHeight="1">
      <c r="B49" s="286">
        <v>5</v>
      </c>
      <c r="C49" s="661" t="s">
        <v>125</v>
      </c>
      <c r="D49" s="662"/>
      <c r="E49" s="662"/>
      <c r="F49" s="662"/>
      <c r="G49" s="662"/>
      <c r="H49" s="663"/>
      <c r="I49" s="286" t="s">
        <v>116</v>
      </c>
      <c r="J49" s="289"/>
      <c r="K49" s="288"/>
      <c r="L49" s="104">
        <f t="shared" si="4"/>
        <v>0</v>
      </c>
      <c r="M49" s="50"/>
      <c r="N49" s="59"/>
      <c r="O49" s="397"/>
      <c r="P49" s="50"/>
      <c r="Q49" s="59"/>
      <c r="R49" s="57">
        <f t="shared" si="0"/>
        <v>0</v>
      </c>
      <c r="S49" s="50"/>
      <c r="T49" s="244">
        <f t="shared" si="1"/>
        <v>0</v>
      </c>
      <c r="U49" s="57">
        <f t="shared" si="2"/>
        <v>0</v>
      </c>
      <c r="V49" s="623">
        <f t="shared" si="3"/>
        <v>0</v>
      </c>
      <c r="W49" s="624"/>
      <c r="AB49" s="522">
        <v>200</v>
      </c>
      <c r="AC49" s="523" t="s">
        <v>126</v>
      </c>
      <c r="AD49" s="523" t="s">
        <v>126</v>
      </c>
      <c r="AE49" s="524"/>
      <c r="AF49" s="524"/>
      <c r="AG49" s="524"/>
      <c r="AH49" s="524"/>
      <c r="AI49" s="524"/>
      <c r="AJ49" s="524"/>
      <c r="AK49" s="524"/>
      <c r="AL49" s="524"/>
    </row>
    <row r="50" spans="2:39" ht="22.5" customHeight="1">
      <c r="B50" s="286">
        <v>6</v>
      </c>
      <c r="C50" s="661" t="s">
        <v>127</v>
      </c>
      <c r="D50" s="662"/>
      <c r="E50" s="662"/>
      <c r="F50" s="662"/>
      <c r="G50" s="662"/>
      <c r="H50" s="663"/>
      <c r="I50" s="286" t="s">
        <v>116</v>
      </c>
      <c r="J50" s="289"/>
      <c r="K50" s="288"/>
      <c r="L50" s="104">
        <f t="shared" si="4"/>
        <v>0</v>
      </c>
      <c r="M50" s="50"/>
      <c r="N50" s="58"/>
      <c r="O50" s="396">
        <f>+ROUND((ROUNDDOWN(N50,2))*K50,2)</f>
        <v>0</v>
      </c>
      <c r="P50" s="50"/>
      <c r="Q50" s="58"/>
      <c r="R50" s="57">
        <f t="shared" si="0"/>
        <v>0</v>
      </c>
      <c r="S50" s="50"/>
      <c r="T50" s="55">
        <f t="shared" si="1"/>
        <v>0</v>
      </c>
      <c r="U50" s="57">
        <f t="shared" si="2"/>
        <v>0</v>
      </c>
      <c r="V50" s="623">
        <f t="shared" si="3"/>
        <v>0</v>
      </c>
      <c r="W50" s="624"/>
      <c r="AB50" s="522">
        <v>300</v>
      </c>
      <c r="AC50" s="523" t="s">
        <v>128</v>
      </c>
      <c r="AD50" s="523" t="s">
        <v>128</v>
      </c>
      <c r="AE50" s="524"/>
      <c r="AF50" s="524"/>
      <c r="AG50" s="524"/>
      <c r="AH50" s="524"/>
      <c r="AI50" s="524"/>
      <c r="AJ50" s="524"/>
      <c r="AK50" s="524"/>
      <c r="AL50" s="524"/>
    </row>
    <row r="51" spans="2:39" ht="21" customHeight="1">
      <c r="B51" s="286">
        <v>7</v>
      </c>
      <c r="C51" s="661" t="s">
        <v>129</v>
      </c>
      <c r="D51" s="662"/>
      <c r="E51" s="662"/>
      <c r="F51" s="662"/>
      <c r="G51" s="662"/>
      <c r="H51" s="663"/>
      <c r="I51" s="286" t="s">
        <v>116</v>
      </c>
      <c r="J51" s="289"/>
      <c r="K51" s="288"/>
      <c r="L51" s="104">
        <f t="shared" si="4"/>
        <v>0</v>
      </c>
      <c r="M51" s="50"/>
      <c r="N51" s="58"/>
      <c r="O51" s="396">
        <f>+ROUND((ROUNDDOWN(N51,2))*K51,2)</f>
        <v>0</v>
      </c>
      <c r="P51" s="50"/>
      <c r="Q51" s="58"/>
      <c r="R51" s="57">
        <f t="shared" si="0"/>
        <v>0</v>
      </c>
      <c r="S51" s="50"/>
      <c r="T51" s="55">
        <f t="shared" si="1"/>
        <v>0</v>
      </c>
      <c r="U51" s="57">
        <f t="shared" si="2"/>
        <v>0</v>
      </c>
      <c r="V51" s="623">
        <f t="shared" si="3"/>
        <v>0</v>
      </c>
      <c r="W51" s="624"/>
      <c r="AB51" s="522">
        <v>400</v>
      </c>
      <c r="AC51" s="523" t="s">
        <v>130</v>
      </c>
      <c r="AD51" s="523" t="s">
        <v>130</v>
      </c>
      <c r="AE51" s="524"/>
      <c r="AF51" s="524"/>
      <c r="AG51" s="524"/>
      <c r="AH51" s="524"/>
      <c r="AI51" s="524"/>
      <c r="AJ51" s="524"/>
      <c r="AK51" s="524"/>
      <c r="AL51" s="524"/>
    </row>
    <row r="52" spans="2:39" ht="22.5" customHeight="1">
      <c r="B52" s="286">
        <v>8</v>
      </c>
      <c r="C52" s="661" t="s">
        <v>131</v>
      </c>
      <c r="D52" s="662"/>
      <c r="E52" s="662"/>
      <c r="F52" s="662"/>
      <c r="G52" s="662"/>
      <c r="H52" s="663"/>
      <c r="I52" s="286" t="s">
        <v>116</v>
      </c>
      <c r="J52" s="289"/>
      <c r="K52" s="288"/>
      <c r="L52" s="104">
        <f t="shared" si="4"/>
        <v>0</v>
      </c>
      <c r="M52" s="50"/>
      <c r="N52" s="58"/>
      <c r="O52" s="396">
        <f>+ROUND((ROUNDDOWN(N52,2))*K52,2)</f>
        <v>0</v>
      </c>
      <c r="P52" s="50"/>
      <c r="Q52" s="58"/>
      <c r="R52" s="57">
        <f t="shared" si="0"/>
        <v>0</v>
      </c>
      <c r="S52" s="50"/>
      <c r="T52" s="55">
        <f t="shared" si="1"/>
        <v>0</v>
      </c>
      <c r="U52" s="57">
        <f t="shared" si="2"/>
        <v>0</v>
      </c>
      <c r="V52" s="623">
        <f t="shared" si="3"/>
        <v>0</v>
      </c>
      <c r="W52" s="624"/>
      <c r="AB52" s="522"/>
      <c r="AC52" s="523"/>
      <c r="AD52" s="523"/>
      <c r="AE52" s="524"/>
      <c r="AF52" s="524"/>
      <c r="AG52" s="524"/>
      <c r="AH52" s="524"/>
      <c r="AI52" s="524"/>
      <c r="AJ52" s="524"/>
      <c r="AK52" s="524"/>
      <c r="AL52" s="524"/>
    </row>
    <row r="53" spans="2:39" ht="15">
      <c r="B53" s="286">
        <v>9</v>
      </c>
      <c r="C53" s="661" t="s">
        <v>132</v>
      </c>
      <c r="D53" s="662"/>
      <c r="E53" s="662"/>
      <c r="F53" s="662"/>
      <c r="G53" s="662"/>
      <c r="H53" s="663"/>
      <c r="I53" s="286" t="s">
        <v>116</v>
      </c>
      <c r="J53" s="289"/>
      <c r="K53" s="288"/>
      <c r="L53" s="104">
        <f t="shared" si="4"/>
        <v>0</v>
      </c>
      <c r="M53" s="50"/>
      <c r="N53" s="58"/>
      <c r="O53" s="396">
        <f>+ROUND((ROUNDDOWN(N53,2))*K53,2)</f>
        <v>0</v>
      </c>
      <c r="P53" s="50"/>
      <c r="Q53" s="58"/>
      <c r="R53" s="57">
        <f t="shared" si="0"/>
        <v>0</v>
      </c>
      <c r="S53" s="50"/>
      <c r="T53" s="55">
        <f t="shared" si="1"/>
        <v>0</v>
      </c>
      <c r="U53" s="57">
        <f t="shared" si="2"/>
        <v>0</v>
      </c>
      <c r="V53" s="623">
        <f t="shared" si="3"/>
        <v>0</v>
      </c>
      <c r="W53" s="624"/>
      <c r="AB53" s="522">
        <v>500</v>
      </c>
      <c r="AC53" s="523" t="s">
        <v>133</v>
      </c>
      <c r="AD53" s="523" t="s">
        <v>133</v>
      </c>
      <c r="AE53" s="524"/>
      <c r="AF53" s="524"/>
      <c r="AG53" s="524"/>
      <c r="AH53" s="524"/>
      <c r="AI53" s="524"/>
      <c r="AJ53" s="524"/>
      <c r="AK53" s="524"/>
      <c r="AL53" s="524"/>
    </row>
    <row r="54" spans="2:39" ht="15">
      <c r="B54" s="286">
        <v>10</v>
      </c>
      <c r="C54" s="661" t="s">
        <v>134</v>
      </c>
      <c r="D54" s="662"/>
      <c r="E54" s="662"/>
      <c r="F54" s="662"/>
      <c r="G54" s="662"/>
      <c r="H54" s="663"/>
      <c r="I54" s="286" t="s">
        <v>116</v>
      </c>
      <c r="J54" s="289"/>
      <c r="K54" s="288"/>
      <c r="L54" s="104">
        <f t="shared" si="4"/>
        <v>0</v>
      </c>
      <c r="M54" s="50"/>
      <c r="N54" s="58"/>
      <c r="O54" s="396">
        <f>+ROUND((ROUNDDOWN(N54,2))*K54,2)</f>
        <v>0</v>
      </c>
      <c r="P54" s="50"/>
      <c r="Q54" s="58"/>
      <c r="R54" s="57">
        <f t="shared" si="0"/>
        <v>0</v>
      </c>
      <c r="S54" s="50"/>
      <c r="T54" s="55">
        <f t="shared" si="1"/>
        <v>0</v>
      </c>
      <c r="U54" s="57">
        <f t="shared" si="2"/>
        <v>0</v>
      </c>
      <c r="V54" s="623">
        <f t="shared" si="3"/>
        <v>0</v>
      </c>
      <c r="W54" s="624"/>
      <c r="AB54" s="522"/>
      <c r="AC54" s="523"/>
      <c r="AD54" s="523"/>
      <c r="AE54" s="524"/>
      <c r="AF54" s="524"/>
      <c r="AG54" s="524"/>
      <c r="AH54" s="524"/>
      <c r="AI54" s="524"/>
      <c r="AJ54" s="524"/>
      <c r="AK54" s="524"/>
      <c r="AL54" s="524"/>
    </row>
    <row r="55" spans="2:39" s="278" customFormat="1" ht="19.5" customHeight="1">
      <c r="B55" s="290"/>
      <c r="C55" s="639" t="s">
        <v>135</v>
      </c>
      <c r="D55" s="639"/>
      <c r="E55" s="639"/>
      <c r="F55" s="639"/>
      <c r="G55" s="639"/>
      <c r="H55" s="640"/>
      <c r="I55" s="291"/>
      <c r="J55" s="292"/>
      <c r="K55" s="293"/>
      <c r="L55" s="294">
        <f>SUM(L45:L54)</f>
        <v>0</v>
      </c>
      <c r="M55" s="60"/>
      <c r="N55" s="61"/>
      <c r="O55" s="294">
        <f>SUM(O45:O54)</f>
        <v>0</v>
      </c>
      <c r="P55" s="62"/>
      <c r="Q55" s="63"/>
      <c r="R55" s="294">
        <f>SUM(R45:R54)</f>
        <v>0</v>
      </c>
      <c r="S55" s="64"/>
      <c r="T55" s="65"/>
      <c r="U55" s="294">
        <f>SUM(U45:U54)</f>
        <v>0</v>
      </c>
      <c r="V55" s="660">
        <f>IF(L55=0,0)+IF(L55&gt;0,U55/L55)</f>
        <v>0</v>
      </c>
      <c r="W55" s="660"/>
      <c r="X55" s="295"/>
      <c r="AA55" s="319"/>
      <c r="AB55" s="522"/>
      <c r="AC55" s="523"/>
      <c r="AD55" s="523"/>
      <c r="AE55" s="524"/>
      <c r="AF55" s="524"/>
      <c r="AG55" s="524"/>
      <c r="AH55" s="524"/>
      <c r="AI55" s="524"/>
      <c r="AJ55" s="524"/>
      <c r="AK55" s="524"/>
      <c r="AL55" s="524"/>
      <c r="AM55" s="319"/>
    </row>
    <row r="56" spans="2:39" s="278" customFormat="1" ht="15">
      <c r="B56" s="296"/>
      <c r="C56" s="297"/>
      <c r="D56" s="297"/>
      <c r="E56" s="297"/>
      <c r="F56" s="297"/>
      <c r="G56" s="297"/>
      <c r="H56" s="297"/>
      <c r="I56" s="298"/>
      <c r="J56" s="299"/>
      <c r="K56" s="300"/>
      <c r="L56" s="300"/>
      <c r="M56" s="60"/>
      <c r="N56" s="61"/>
      <c r="O56" s="300"/>
      <c r="P56" s="50"/>
      <c r="Q56" s="61"/>
      <c r="R56" s="66"/>
      <c r="S56" s="60"/>
      <c r="T56" s="61"/>
      <c r="U56" s="66"/>
      <c r="V56" s="262"/>
      <c r="W56" s="262"/>
      <c r="X56" s="295"/>
      <c r="AA56" s="319"/>
      <c r="AB56" s="522">
        <v>700</v>
      </c>
      <c r="AC56" s="523" t="s">
        <v>136</v>
      </c>
      <c r="AD56" s="523" t="s">
        <v>136</v>
      </c>
      <c r="AE56" s="524"/>
      <c r="AF56" s="524"/>
      <c r="AG56" s="524"/>
      <c r="AH56" s="524"/>
      <c r="AI56" s="524"/>
      <c r="AJ56" s="524"/>
      <c r="AK56" s="524"/>
      <c r="AL56" s="524"/>
      <c r="AM56" s="319"/>
    </row>
    <row r="57" spans="2:39" ht="15">
      <c r="B57" s="51" t="s">
        <v>96</v>
      </c>
      <c r="C57" s="657" t="s">
        <v>137</v>
      </c>
      <c r="D57" s="658"/>
      <c r="E57" s="658"/>
      <c r="F57" s="658"/>
      <c r="G57" s="658"/>
      <c r="H57" s="659"/>
      <c r="I57" s="51" t="s">
        <v>98</v>
      </c>
      <c r="J57" s="284" t="s">
        <v>99</v>
      </c>
      <c r="K57" s="51" t="s">
        <v>100</v>
      </c>
      <c r="L57" s="56" t="s">
        <v>101</v>
      </c>
      <c r="M57" s="50"/>
      <c r="N57" s="51" t="s">
        <v>109</v>
      </c>
      <c r="O57" s="51" t="s">
        <v>101</v>
      </c>
      <c r="P57" s="50"/>
      <c r="Q57" s="51" t="s">
        <v>109</v>
      </c>
      <c r="R57" s="51" t="s">
        <v>101</v>
      </c>
      <c r="S57" s="50"/>
      <c r="T57" s="67" t="s">
        <v>109</v>
      </c>
      <c r="U57" s="51" t="s">
        <v>110</v>
      </c>
      <c r="V57" s="53" t="s">
        <v>111</v>
      </c>
      <c r="W57" s="54"/>
      <c r="AB57" s="522">
        <v>800</v>
      </c>
      <c r="AC57" s="523" t="s">
        <v>138</v>
      </c>
      <c r="AD57" s="523" t="s">
        <v>138</v>
      </c>
      <c r="AE57" s="524"/>
      <c r="AF57" s="524"/>
      <c r="AG57" s="524"/>
      <c r="AH57" s="524"/>
      <c r="AI57" s="524"/>
      <c r="AJ57" s="524"/>
      <c r="AK57" s="524"/>
      <c r="AL57" s="524"/>
    </row>
    <row r="58" spans="2:39" ht="15">
      <c r="B58" s="301">
        <v>1</v>
      </c>
      <c r="C58" s="681" t="s">
        <v>118</v>
      </c>
      <c r="D58" s="682"/>
      <c r="E58" s="682"/>
      <c r="F58" s="682"/>
      <c r="G58" s="682"/>
      <c r="H58" s="683"/>
      <c r="I58" s="301" t="s">
        <v>116</v>
      </c>
      <c r="J58" s="302"/>
      <c r="K58" s="303"/>
      <c r="L58" s="304">
        <f t="shared" si="4"/>
        <v>0</v>
      </c>
      <c r="M58" s="50"/>
      <c r="N58" s="68"/>
      <c r="O58" s="398">
        <f t="shared" ref="O58:O59" si="5">+ROUND((ROUNDDOWN(N58,2))*K58,2)</f>
        <v>0</v>
      </c>
      <c r="P58" s="50"/>
      <c r="Q58" s="68"/>
      <c r="R58" s="70">
        <f t="shared" si="0"/>
        <v>0</v>
      </c>
      <c r="S58" s="50"/>
      <c r="T58" s="69">
        <f t="shared" si="1"/>
        <v>0</v>
      </c>
      <c r="U58" s="70">
        <f t="shared" si="2"/>
        <v>0</v>
      </c>
      <c r="V58" s="684">
        <f t="shared" si="3"/>
        <v>0</v>
      </c>
      <c r="W58" s="685"/>
      <c r="AB58" s="522">
        <v>900</v>
      </c>
      <c r="AC58" s="523" t="s">
        <v>139</v>
      </c>
      <c r="AD58" s="523" t="s">
        <v>139</v>
      </c>
      <c r="AE58" s="524"/>
      <c r="AF58" s="524"/>
      <c r="AG58" s="524"/>
      <c r="AH58" s="524"/>
      <c r="AI58" s="524"/>
      <c r="AJ58" s="524"/>
      <c r="AK58" s="524"/>
      <c r="AL58" s="524"/>
    </row>
    <row r="59" spans="2:39" ht="15">
      <c r="B59" s="286">
        <v>2</v>
      </c>
      <c r="C59" s="689" t="s">
        <v>120</v>
      </c>
      <c r="D59" s="690"/>
      <c r="E59" s="690"/>
      <c r="F59" s="690"/>
      <c r="G59" s="690"/>
      <c r="H59" s="691"/>
      <c r="I59" s="286" t="s">
        <v>116</v>
      </c>
      <c r="J59" s="289"/>
      <c r="K59" s="288"/>
      <c r="L59" s="104">
        <f t="shared" si="4"/>
        <v>0</v>
      </c>
      <c r="M59" s="50"/>
      <c r="N59" s="58"/>
      <c r="O59" s="396">
        <f t="shared" si="5"/>
        <v>0</v>
      </c>
      <c r="P59" s="50"/>
      <c r="Q59" s="58"/>
      <c r="R59" s="57">
        <f t="shared" si="0"/>
        <v>0</v>
      </c>
      <c r="S59" s="50"/>
      <c r="T59" s="55">
        <f t="shared" si="1"/>
        <v>0</v>
      </c>
      <c r="U59" s="57">
        <f t="shared" si="2"/>
        <v>0</v>
      </c>
      <c r="V59" s="623">
        <f t="shared" si="3"/>
        <v>0</v>
      </c>
      <c r="W59" s="624"/>
      <c r="AB59" s="549"/>
      <c r="AC59" s="550"/>
      <c r="AD59" s="550"/>
      <c r="AE59" s="524"/>
      <c r="AF59" s="524"/>
      <c r="AG59" s="524"/>
      <c r="AH59" s="524"/>
      <c r="AI59" s="524"/>
      <c r="AJ59" s="524"/>
      <c r="AK59" s="524"/>
      <c r="AL59" s="524"/>
    </row>
    <row r="60" spans="2:39" ht="13.5">
      <c r="B60" s="286">
        <v>3</v>
      </c>
      <c r="C60" s="689" t="s">
        <v>122</v>
      </c>
      <c r="D60" s="690"/>
      <c r="E60" s="690"/>
      <c r="F60" s="690"/>
      <c r="G60" s="690"/>
      <c r="H60" s="691"/>
      <c r="I60" s="286" t="s">
        <v>116</v>
      </c>
      <c r="J60" s="289"/>
      <c r="K60" s="288"/>
      <c r="L60" s="104">
        <f t="shared" si="4"/>
        <v>0</v>
      </c>
      <c r="M60" s="50"/>
      <c r="N60" s="59"/>
      <c r="O60" s="397"/>
      <c r="P60" s="50"/>
      <c r="Q60" s="58"/>
      <c r="R60" s="57">
        <f t="shared" si="0"/>
        <v>0</v>
      </c>
      <c r="S60" s="50"/>
      <c r="T60" s="55">
        <f t="shared" si="1"/>
        <v>0</v>
      </c>
      <c r="U60" s="57">
        <f t="shared" si="2"/>
        <v>0</v>
      </c>
      <c r="V60" s="623">
        <f t="shared" si="3"/>
        <v>0</v>
      </c>
      <c r="W60" s="624"/>
      <c r="AB60" s="551"/>
      <c r="AC60" s="551"/>
      <c r="AD60" s="551"/>
      <c r="AE60" s="551"/>
      <c r="AF60" s="551"/>
      <c r="AG60" s="551"/>
      <c r="AH60" s="551"/>
      <c r="AI60" s="551"/>
      <c r="AJ60" s="551"/>
      <c r="AK60" s="551"/>
      <c r="AL60" s="551"/>
    </row>
    <row r="61" spans="2:39" ht="23.25" customHeight="1">
      <c r="B61" s="286">
        <v>4</v>
      </c>
      <c r="C61" s="689" t="s">
        <v>125</v>
      </c>
      <c r="D61" s="690"/>
      <c r="E61" s="690"/>
      <c r="F61" s="690"/>
      <c r="G61" s="690"/>
      <c r="H61" s="691"/>
      <c r="I61" s="286" t="s">
        <v>116</v>
      </c>
      <c r="J61" s="289"/>
      <c r="K61" s="288"/>
      <c r="L61" s="104">
        <f t="shared" si="4"/>
        <v>0</v>
      </c>
      <c r="M61" s="50"/>
      <c r="N61" s="58"/>
      <c r="O61" s="396">
        <f>+ROUND((ROUNDDOWN(N61,2))*K61,2)</f>
        <v>0</v>
      </c>
      <c r="P61" s="50"/>
      <c r="Q61" s="58"/>
      <c r="R61" s="57">
        <f t="shared" si="0"/>
        <v>0</v>
      </c>
      <c r="S61" s="50"/>
      <c r="T61" s="55">
        <f t="shared" si="1"/>
        <v>0</v>
      </c>
      <c r="U61" s="57">
        <f t="shared" si="2"/>
        <v>0</v>
      </c>
      <c r="V61" s="623">
        <f t="shared" si="3"/>
        <v>0</v>
      </c>
      <c r="W61" s="624"/>
    </row>
    <row r="62" spans="2:39" ht="25.5" customHeight="1">
      <c r="B62" s="286">
        <v>5</v>
      </c>
      <c r="C62" s="689" t="s">
        <v>127</v>
      </c>
      <c r="D62" s="690"/>
      <c r="E62" s="690"/>
      <c r="F62" s="690"/>
      <c r="G62" s="690"/>
      <c r="H62" s="691"/>
      <c r="I62" s="286" t="s">
        <v>116</v>
      </c>
      <c r="J62" s="289"/>
      <c r="K62" s="288"/>
      <c r="L62" s="104">
        <f t="shared" si="4"/>
        <v>0</v>
      </c>
      <c r="M62" s="50"/>
      <c r="N62" s="58"/>
      <c r="O62" s="396">
        <f>+ROUND((ROUNDDOWN(N62,2))*K62,2)</f>
        <v>0</v>
      </c>
      <c r="P62" s="50"/>
      <c r="Q62" s="58"/>
      <c r="R62" s="57">
        <f t="shared" si="0"/>
        <v>0</v>
      </c>
      <c r="S62" s="50"/>
      <c r="T62" s="55">
        <f t="shared" si="1"/>
        <v>0</v>
      </c>
      <c r="U62" s="57">
        <f t="shared" si="2"/>
        <v>0</v>
      </c>
      <c r="V62" s="623">
        <f t="shared" si="3"/>
        <v>0</v>
      </c>
      <c r="W62" s="624"/>
    </row>
    <row r="63" spans="2:39">
      <c r="B63" s="286">
        <v>6</v>
      </c>
      <c r="C63" s="689" t="s">
        <v>129</v>
      </c>
      <c r="D63" s="690"/>
      <c r="E63" s="690"/>
      <c r="F63" s="690"/>
      <c r="G63" s="690"/>
      <c r="H63" s="691"/>
      <c r="I63" s="286" t="s">
        <v>116</v>
      </c>
      <c r="J63" s="289"/>
      <c r="K63" s="288"/>
      <c r="L63" s="104">
        <f t="shared" si="4"/>
        <v>0</v>
      </c>
      <c r="M63" s="50"/>
      <c r="N63" s="58"/>
      <c r="O63" s="396">
        <f>+ROUND((ROUNDDOWN(N63,2))*K63,2)</f>
        <v>0</v>
      </c>
      <c r="P63" s="50"/>
      <c r="Q63" s="58"/>
      <c r="R63" s="57">
        <f t="shared" si="0"/>
        <v>0</v>
      </c>
      <c r="S63" s="50"/>
      <c r="T63" s="55">
        <f t="shared" si="1"/>
        <v>0</v>
      </c>
      <c r="U63" s="57">
        <f t="shared" si="2"/>
        <v>0</v>
      </c>
      <c r="V63" s="623">
        <f t="shared" si="3"/>
        <v>0</v>
      </c>
      <c r="W63" s="624"/>
    </row>
    <row r="64" spans="2:39" ht="22.5" customHeight="1">
      <c r="B64" s="767" t="s">
        <v>140</v>
      </c>
      <c r="C64" s="767"/>
      <c r="D64" s="767"/>
      <c r="E64" s="767"/>
      <c r="F64" s="767"/>
      <c r="G64" s="767"/>
      <c r="H64" s="767"/>
      <c r="I64" s="291"/>
      <c r="J64" s="292"/>
      <c r="K64" s="293"/>
      <c r="L64" s="157">
        <f>SUM(L58:L63)</f>
        <v>0</v>
      </c>
      <c r="M64" s="50"/>
      <c r="N64" s="80"/>
      <c r="O64" s="157">
        <f>SUM(O58:O63)</f>
        <v>0</v>
      </c>
      <c r="P64" s="50"/>
      <c r="Q64" s="50"/>
      <c r="R64" s="157">
        <f>SUM(R58:R63)</f>
        <v>0</v>
      </c>
      <c r="S64" s="50"/>
      <c r="T64" s="50"/>
      <c r="U64" s="157">
        <f>SUM(U58:U63)</f>
        <v>0</v>
      </c>
      <c r="V64" s="50"/>
      <c r="W64" s="50"/>
    </row>
    <row r="65" spans="2:39" ht="22.5" customHeight="1">
      <c r="B65" s="298"/>
      <c r="C65" s="298"/>
      <c r="D65" s="298"/>
      <c r="E65" s="298"/>
      <c r="F65" s="298"/>
      <c r="G65" s="298"/>
      <c r="H65" s="298"/>
      <c r="I65" s="298"/>
      <c r="J65" s="299"/>
      <c r="K65" s="300"/>
      <c r="L65" s="66"/>
      <c r="M65" s="50"/>
      <c r="N65" s="80"/>
      <c r="O65" s="66"/>
      <c r="P65" s="50"/>
      <c r="Q65" s="50"/>
      <c r="R65" s="66"/>
      <c r="S65" s="50"/>
      <c r="T65" s="50"/>
      <c r="U65" s="66"/>
      <c r="V65" s="50"/>
      <c r="W65" s="50"/>
    </row>
    <row r="66" spans="2:39" ht="20.100000000000001" customHeight="1">
      <c r="B66" s="245"/>
      <c r="C66" s="692" t="s">
        <v>141</v>
      </c>
      <c r="D66" s="693"/>
      <c r="E66" s="693"/>
      <c r="F66" s="693"/>
      <c r="G66" s="693"/>
      <c r="H66" s="693"/>
      <c r="I66" s="246"/>
      <c r="J66" s="246"/>
      <c r="K66" s="84"/>
      <c r="L66" s="85"/>
      <c r="M66" s="86"/>
      <c r="N66" s="87"/>
      <c r="O66" s="82"/>
      <c r="P66" s="82"/>
      <c r="Q66" s="82"/>
      <c r="R66" s="82"/>
      <c r="S66" s="82"/>
      <c r="T66" s="82"/>
      <c r="U66" s="82"/>
      <c r="V66" s="82"/>
      <c r="W66" s="85"/>
    </row>
    <row r="67" spans="2:39">
      <c r="B67" s="283" t="s">
        <v>96</v>
      </c>
      <c r="C67" s="56" t="s">
        <v>97</v>
      </c>
      <c r="D67" s="56"/>
      <c r="E67" s="56"/>
      <c r="F67" s="56"/>
      <c r="G67" s="56"/>
      <c r="H67" s="56"/>
      <c r="I67" s="51" t="s">
        <v>98</v>
      </c>
      <c r="J67" s="284" t="s">
        <v>99</v>
      </c>
      <c r="K67" s="51" t="s">
        <v>100</v>
      </c>
      <c r="L67" s="56" t="s">
        <v>101</v>
      </c>
      <c r="M67" s="50"/>
      <c r="N67" s="247" t="s">
        <v>109</v>
      </c>
      <c r="O67" s="247" t="s">
        <v>101</v>
      </c>
      <c r="P67" s="50"/>
      <c r="Q67" s="247" t="s">
        <v>109</v>
      </c>
      <c r="R67" s="247" t="s">
        <v>101</v>
      </c>
      <c r="S67" s="50"/>
      <c r="T67" s="247" t="s">
        <v>109</v>
      </c>
      <c r="U67" s="247" t="s">
        <v>110</v>
      </c>
      <c r="V67" s="248" t="s">
        <v>111</v>
      </c>
      <c r="W67" s="249"/>
    </row>
    <row r="68" spans="2:39">
      <c r="B68" s="283"/>
      <c r="C68" s="764" t="s">
        <v>142</v>
      </c>
      <c r="D68" s="765"/>
      <c r="E68" s="765"/>
      <c r="F68" s="765"/>
      <c r="G68" s="765"/>
      <c r="H68" s="766"/>
      <c r="I68" s="694"/>
      <c r="J68" s="695"/>
      <c r="K68" s="695"/>
      <c r="L68" s="696"/>
      <c r="M68" s="50"/>
      <c r="N68" s="697"/>
      <c r="O68" s="698"/>
      <c r="P68" s="698"/>
      <c r="Q68" s="698"/>
      <c r="R68" s="698"/>
      <c r="S68" s="698"/>
      <c r="T68" s="698"/>
      <c r="U68" s="698"/>
      <c r="V68" s="698"/>
      <c r="W68" s="699"/>
    </row>
    <row r="69" spans="2:39">
      <c r="B69" s="286">
        <v>1</v>
      </c>
      <c r="C69" s="661" t="s">
        <v>143</v>
      </c>
      <c r="D69" s="662"/>
      <c r="E69" s="662"/>
      <c r="F69" s="662"/>
      <c r="G69" s="662"/>
      <c r="H69" s="663"/>
      <c r="I69" s="286"/>
      <c r="J69" s="287"/>
      <c r="K69" s="288"/>
      <c r="L69" s="104">
        <f>+ROUND(J69*K69,0)</f>
        <v>0</v>
      </c>
      <c r="M69" s="50"/>
      <c r="N69" s="250"/>
      <c r="O69" s="399">
        <f>+'Anexo 1 PAPSO - Base Risaralda'!F22/1.19</f>
        <v>0</v>
      </c>
      <c r="P69" s="50"/>
      <c r="Q69" s="250"/>
      <c r="R69" s="207"/>
      <c r="S69" s="50"/>
      <c r="T69" s="251">
        <f t="shared" ref="T69" si="6">+N69+Q69</f>
        <v>0</v>
      </c>
      <c r="U69" s="207"/>
      <c r="V69" s="642">
        <f t="shared" ref="V69" si="7">IF(L69=0,0)+IF(L69&gt;0,U69/L69)</f>
        <v>0</v>
      </c>
      <c r="W69" s="643"/>
    </row>
    <row r="70" spans="2:39">
      <c r="B70" s="286">
        <v>2</v>
      </c>
      <c r="C70" s="661" t="s">
        <v>144</v>
      </c>
      <c r="D70" s="662"/>
      <c r="E70" s="662"/>
      <c r="F70" s="662"/>
      <c r="G70" s="662"/>
      <c r="H70" s="663"/>
      <c r="I70" s="305"/>
      <c r="J70" s="306"/>
      <c r="K70" s="288"/>
      <c r="L70" s="104"/>
      <c r="M70" s="50"/>
      <c r="N70" s="58"/>
      <c r="O70" s="400"/>
      <c r="P70" s="252"/>
      <c r="Q70" s="58"/>
      <c r="R70" s="104"/>
      <c r="S70" s="50"/>
      <c r="T70" s="55"/>
      <c r="U70" s="104"/>
      <c r="V70" s="623">
        <f t="shared" ref="V70" si="8">IF(L70=0,0)+IF(L70&gt;0,U70/L70)</f>
        <v>0</v>
      </c>
      <c r="W70" s="624"/>
    </row>
    <row r="71" spans="2:39" s="278" customFormat="1" ht="19.5" customHeight="1">
      <c r="B71" s="290"/>
      <c r="C71" s="639" t="s">
        <v>145</v>
      </c>
      <c r="D71" s="639"/>
      <c r="E71" s="639"/>
      <c r="F71" s="639"/>
      <c r="G71" s="639"/>
      <c r="H71" s="640"/>
      <c r="I71" s="291"/>
      <c r="J71" s="307"/>
      <c r="K71" s="308"/>
      <c r="L71" s="309">
        <f>SUM(L69:L70)</f>
        <v>0</v>
      </c>
      <c r="M71" s="60"/>
      <c r="N71" s="61"/>
      <c r="O71" s="310">
        <f>SUM(O69:O70)</f>
        <v>0</v>
      </c>
      <c r="P71" s="50"/>
      <c r="Q71" s="61"/>
      <c r="R71" s="310">
        <f>SUM(R69:R70)</f>
        <v>0</v>
      </c>
      <c r="S71" s="60"/>
      <c r="T71" s="61"/>
      <c r="U71" s="310">
        <f>SUM(U69:U70)</f>
        <v>0</v>
      </c>
      <c r="V71" s="641"/>
      <c r="W71" s="641"/>
      <c r="X71" s="295"/>
      <c r="AA71" s="319"/>
      <c r="AB71" s="319"/>
      <c r="AC71" s="319"/>
      <c r="AD71" s="514"/>
      <c r="AE71" s="319"/>
      <c r="AF71" s="319"/>
      <c r="AG71" s="319"/>
      <c r="AH71" s="319"/>
      <c r="AI71" s="319"/>
      <c r="AJ71" s="319"/>
      <c r="AK71" s="319"/>
      <c r="AL71" s="319"/>
      <c r="AM71" s="319"/>
    </row>
    <row r="72" spans="2:39" ht="22.5" customHeight="1">
      <c r="B72" s="298"/>
      <c r="C72" s="298"/>
      <c r="D72" s="298"/>
      <c r="E72" s="298"/>
      <c r="F72" s="298"/>
      <c r="G72" s="298"/>
      <c r="H72" s="298"/>
      <c r="I72" s="298"/>
      <c r="J72" s="299"/>
      <c r="K72" s="300"/>
      <c r="L72" s="66"/>
      <c r="M72" s="50"/>
      <c r="N72" s="80"/>
      <c r="O72" s="66"/>
      <c r="P72" s="50"/>
      <c r="Q72" s="50"/>
      <c r="R72" s="66"/>
      <c r="S72" s="50"/>
      <c r="T72" s="50"/>
      <c r="U72" s="66"/>
      <c r="V72" s="50"/>
      <c r="W72" s="50"/>
    </row>
    <row r="73" spans="2:39">
      <c r="B73" s="311"/>
      <c r="C73" s="50"/>
      <c r="D73" s="50"/>
      <c r="E73" s="50"/>
      <c r="F73" s="50"/>
      <c r="G73" s="50"/>
      <c r="H73" s="50"/>
      <c r="J73" s="282"/>
      <c r="K73" s="98"/>
      <c r="L73" s="50"/>
      <c r="M73" s="50"/>
      <c r="N73" s="80"/>
      <c r="O73" s="50"/>
      <c r="P73" s="50"/>
      <c r="Q73" s="50"/>
      <c r="R73" s="50"/>
      <c r="S73" s="50"/>
      <c r="T73" s="50"/>
      <c r="U73" s="50"/>
      <c r="V73" s="50"/>
      <c r="W73" s="50"/>
    </row>
    <row r="74" spans="2:39" ht="20.100000000000001" customHeight="1">
      <c r="B74" s="81"/>
      <c r="C74" s="82" t="s">
        <v>146</v>
      </c>
      <c r="D74" s="82"/>
      <c r="E74" s="82"/>
      <c r="F74" s="82"/>
      <c r="G74" s="82"/>
      <c r="H74" s="82"/>
      <c r="I74" s="83"/>
      <c r="J74" s="279"/>
      <c r="K74" s="84"/>
      <c r="L74" s="85"/>
      <c r="M74" s="86"/>
      <c r="N74" s="87"/>
      <c r="O74" s="82"/>
      <c r="P74" s="82"/>
      <c r="Q74" s="82"/>
      <c r="R74" s="82"/>
      <c r="S74" s="82"/>
      <c r="T74" s="82"/>
      <c r="U74" s="82"/>
      <c r="V74" s="82"/>
      <c r="W74" s="85"/>
    </row>
    <row r="75" spans="2:39">
      <c r="B75" s="99">
        <v>1</v>
      </c>
      <c r="C75" s="625" t="s">
        <v>147</v>
      </c>
      <c r="D75" s="626"/>
      <c r="E75" s="626"/>
      <c r="F75" s="626"/>
      <c r="G75" s="626"/>
      <c r="H75" s="627"/>
      <c r="I75" s="51" t="s">
        <v>98</v>
      </c>
      <c r="J75" s="284" t="s">
        <v>99</v>
      </c>
      <c r="K75" s="51" t="s">
        <v>100</v>
      </c>
      <c r="L75" s="56" t="s">
        <v>101</v>
      </c>
      <c r="M75" s="93"/>
      <c r="N75" s="100" t="s">
        <v>109</v>
      </c>
      <c r="O75" s="100" t="s">
        <v>101</v>
      </c>
      <c r="P75" s="93"/>
      <c r="Q75" s="100" t="s">
        <v>109</v>
      </c>
      <c r="R75" s="100" t="s">
        <v>101</v>
      </c>
      <c r="S75" s="86"/>
      <c r="T75" s="101" t="s">
        <v>109</v>
      </c>
      <c r="U75" s="100" t="s">
        <v>110</v>
      </c>
      <c r="V75" s="96" t="s">
        <v>111</v>
      </c>
      <c r="W75" s="95"/>
    </row>
    <row r="76" spans="2:39" ht="12.75" customHeight="1">
      <c r="B76" s="102" t="s">
        <v>148</v>
      </c>
      <c r="C76" s="625" t="s">
        <v>149</v>
      </c>
      <c r="D76" s="626"/>
      <c r="E76" s="626"/>
      <c r="F76" s="626"/>
      <c r="G76" s="626"/>
      <c r="H76" s="627"/>
      <c r="I76" s="91"/>
      <c r="J76" s="280"/>
      <c r="K76" s="103"/>
      <c r="L76" s="104">
        <f>+J76*K76</f>
        <v>0</v>
      </c>
      <c r="M76" s="93"/>
      <c r="N76" s="105"/>
      <c r="O76" s="106"/>
      <c r="P76" s="93"/>
      <c r="Q76" s="90"/>
      <c r="R76" s="57">
        <v>0</v>
      </c>
      <c r="S76" s="107"/>
      <c r="T76" s="312">
        <f>+N76+Q76</f>
        <v>0</v>
      </c>
      <c r="U76" s="57">
        <f>+ROUND((ROUNDDOWN(T76,2))*K76,2)</f>
        <v>0</v>
      </c>
      <c r="V76" s="623">
        <f>IF(L76=0,0)+IF(L76&gt;0,U76/L76)</f>
        <v>0</v>
      </c>
      <c r="W76" s="624"/>
    </row>
    <row r="77" spans="2:39" ht="12.75" customHeight="1">
      <c r="B77" s="108" t="s">
        <v>150</v>
      </c>
      <c r="C77" s="633" t="s">
        <v>151</v>
      </c>
      <c r="D77" s="634"/>
      <c r="E77" s="634"/>
      <c r="F77" s="634"/>
      <c r="G77" s="634"/>
      <c r="H77" s="635"/>
      <c r="I77" s="479" t="s">
        <v>116</v>
      </c>
      <c r="J77" s="480">
        <v>3020.44</v>
      </c>
      <c r="K77" s="481">
        <v>9180.2999999999993</v>
      </c>
      <c r="L77" s="482">
        <f t="shared" ref="L77:L140" si="9">+ROUND(J77*K77,2)</f>
        <v>27728545.329999998</v>
      </c>
      <c r="M77" s="93"/>
      <c r="N77" s="313"/>
      <c r="O77" s="57">
        <v>0</v>
      </c>
      <c r="P77" s="93"/>
      <c r="Q77" s="502"/>
      <c r="R77" s="57">
        <v>0</v>
      </c>
      <c r="S77" s="107"/>
      <c r="T77" s="312">
        <f>+N77+Q77</f>
        <v>0</v>
      </c>
      <c r="U77" s="57">
        <f>+ROUND((ROUNDDOWN(T77,2))*K77,2)</f>
        <v>0</v>
      </c>
      <c r="V77" s="623">
        <f>IF(L77=0,0)+IF(L77&gt;0,U77/L77)</f>
        <v>0</v>
      </c>
      <c r="W77" s="624"/>
    </row>
    <row r="78" spans="2:39" ht="12.75" customHeight="1">
      <c r="B78" s="108" t="s">
        <v>152</v>
      </c>
      <c r="C78" s="633" t="s">
        <v>153</v>
      </c>
      <c r="D78" s="634"/>
      <c r="E78" s="634"/>
      <c r="F78" s="634"/>
      <c r="G78" s="634"/>
      <c r="H78" s="635"/>
      <c r="I78" s="479" t="s">
        <v>116</v>
      </c>
      <c r="J78" s="480">
        <v>3020.44</v>
      </c>
      <c r="K78" s="481">
        <v>2506</v>
      </c>
      <c r="L78" s="482">
        <f t="shared" si="9"/>
        <v>7569222.6399999997</v>
      </c>
      <c r="M78" s="93"/>
      <c r="N78" s="313"/>
      <c r="O78" s="57">
        <v>0</v>
      </c>
      <c r="P78" s="93"/>
      <c r="Q78" s="502"/>
      <c r="R78" s="57">
        <v>0</v>
      </c>
      <c r="S78" s="107"/>
      <c r="T78" s="312">
        <f t="shared" ref="T78:T168" si="10">+N78+Q78</f>
        <v>0</v>
      </c>
      <c r="U78" s="57">
        <f t="shared" ref="U78:U168" si="11">+ROUND((ROUNDDOWN(T78,2))*K78,2)</f>
        <v>0</v>
      </c>
      <c r="V78" s="623">
        <f t="shared" ref="V78:V168" si="12">IF(L78=0,0)+IF(L78&gt;0,U78/L78)</f>
        <v>0</v>
      </c>
      <c r="W78" s="624"/>
    </row>
    <row r="79" spans="2:39" ht="12.75" customHeight="1">
      <c r="B79" s="108" t="s">
        <v>154</v>
      </c>
      <c r="C79" s="636" t="s">
        <v>155</v>
      </c>
      <c r="D79" s="637"/>
      <c r="E79" s="637"/>
      <c r="F79" s="637"/>
      <c r="G79" s="637"/>
      <c r="H79" s="638"/>
      <c r="I79" s="479"/>
      <c r="J79" s="480"/>
      <c r="K79" s="481"/>
      <c r="L79" s="482">
        <f t="shared" si="9"/>
        <v>0</v>
      </c>
      <c r="M79" s="93"/>
      <c r="N79" s="313"/>
      <c r="O79" s="57">
        <v>0</v>
      </c>
      <c r="P79" s="93"/>
      <c r="Q79" s="502"/>
      <c r="R79" s="57"/>
      <c r="S79" s="107"/>
      <c r="T79" s="312">
        <f t="shared" si="10"/>
        <v>0</v>
      </c>
      <c r="U79" s="57">
        <f t="shared" si="11"/>
        <v>0</v>
      </c>
      <c r="V79" s="623">
        <f t="shared" si="12"/>
        <v>0</v>
      </c>
      <c r="W79" s="624"/>
    </row>
    <row r="80" spans="2:39" ht="12.75" customHeight="1">
      <c r="B80" s="111" t="s">
        <v>156</v>
      </c>
      <c r="C80" s="602" t="s">
        <v>157</v>
      </c>
      <c r="D80" s="603"/>
      <c r="E80" s="603"/>
      <c r="F80" s="603"/>
      <c r="G80" s="603"/>
      <c r="H80" s="604"/>
      <c r="I80" s="109" t="s">
        <v>158</v>
      </c>
      <c r="J80" s="117">
        <v>4.55</v>
      </c>
      <c r="K80" s="483">
        <v>27097</v>
      </c>
      <c r="L80" s="104">
        <f t="shared" si="9"/>
        <v>123291.35</v>
      </c>
      <c r="M80" s="93"/>
      <c r="N80" s="313"/>
      <c r="O80" s="57">
        <v>0</v>
      </c>
      <c r="P80" s="93"/>
      <c r="Q80" s="502">
        <v>4.55</v>
      </c>
      <c r="R80" s="57">
        <v>123291.35</v>
      </c>
      <c r="S80" s="107"/>
      <c r="T80" s="312">
        <f t="shared" ref="T80:T134" si="13">+N80+Q80</f>
        <v>4.55</v>
      </c>
      <c r="U80" s="57">
        <f t="shared" ref="U80:U134" si="14">+ROUND((ROUNDDOWN(T80,2))*K80,2)</f>
        <v>123291.35</v>
      </c>
      <c r="V80" s="623">
        <f t="shared" ref="V80:V134" si="15">IF(L80=0,0)+IF(L80&gt;0,U80/L80)</f>
        <v>1</v>
      </c>
      <c r="W80" s="624"/>
    </row>
    <row r="81" spans="2:39" ht="12.75" customHeight="1">
      <c r="B81" s="108" t="s">
        <v>159</v>
      </c>
      <c r="C81" s="602" t="s">
        <v>160</v>
      </c>
      <c r="D81" s="603"/>
      <c r="E81" s="603"/>
      <c r="F81" s="603"/>
      <c r="G81" s="603"/>
      <c r="H81" s="604"/>
      <c r="I81" s="109" t="s">
        <v>116</v>
      </c>
      <c r="J81" s="117">
        <v>45</v>
      </c>
      <c r="K81" s="483">
        <v>18567</v>
      </c>
      <c r="L81" s="104">
        <f t="shared" si="9"/>
        <v>835515</v>
      </c>
      <c r="M81" s="93"/>
      <c r="N81" s="313"/>
      <c r="O81" s="57">
        <v>0</v>
      </c>
      <c r="P81" s="93"/>
      <c r="Q81" s="502">
        <v>39.9422</v>
      </c>
      <c r="R81" s="57">
        <v>741565.98</v>
      </c>
      <c r="S81" s="107"/>
      <c r="T81" s="312">
        <f t="shared" si="13"/>
        <v>39.9422</v>
      </c>
      <c r="U81" s="57">
        <f t="shared" si="14"/>
        <v>741565.98</v>
      </c>
      <c r="V81" s="623">
        <f t="shared" si="15"/>
        <v>0.88755555555555554</v>
      </c>
      <c r="W81" s="624"/>
    </row>
    <row r="82" spans="2:39" ht="12.75" customHeight="1">
      <c r="B82" s="108" t="s">
        <v>161</v>
      </c>
      <c r="C82" s="602" t="s">
        <v>162</v>
      </c>
      <c r="D82" s="603"/>
      <c r="E82" s="603"/>
      <c r="F82" s="603"/>
      <c r="G82" s="603"/>
      <c r="H82" s="604"/>
      <c r="I82" s="109" t="s">
        <v>116</v>
      </c>
      <c r="J82" s="117">
        <v>100</v>
      </c>
      <c r="K82" s="483">
        <v>9097</v>
      </c>
      <c r="L82" s="104">
        <f t="shared" si="9"/>
        <v>909700</v>
      </c>
      <c r="M82" s="93"/>
      <c r="N82" s="313"/>
      <c r="O82" s="57">
        <v>0</v>
      </c>
      <c r="P82" s="93"/>
      <c r="Q82" s="502">
        <v>100</v>
      </c>
      <c r="R82" s="57">
        <v>909700</v>
      </c>
      <c r="S82" s="107"/>
      <c r="T82" s="312">
        <f t="shared" si="13"/>
        <v>100</v>
      </c>
      <c r="U82" s="57">
        <f t="shared" si="14"/>
        <v>909700</v>
      </c>
      <c r="V82" s="623">
        <f t="shared" si="15"/>
        <v>1</v>
      </c>
      <c r="W82" s="624"/>
    </row>
    <row r="83" spans="2:39" ht="12.75" customHeight="1">
      <c r="B83" s="108" t="s">
        <v>163</v>
      </c>
      <c r="C83" s="607" t="s">
        <v>164</v>
      </c>
      <c r="D83" s="608"/>
      <c r="E83" s="608"/>
      <c r="F83" s="608"/>
      <c r="G83" s="608"/>
      <c r="H83" s="609"/>
      <c r="I83" s="109"/>
      <c r="J83" s="117"/>
      <c r="K83" s="483"/>
      <c r="L83" s="104">
        <f t="shared" si="9"/>
        <v>0</v>
      </c>
      <c r="M83" s="93"/>
      <c r="N83" s="313"/>
      <c r="O83" s="57">
        <v>0</v>
      </c>
      <c r="P83" s="93"/>
      <c r="Q83" s="502"/>
      <c r="R83" s="57"/>
      <c r="S83" s="107"/>
      <c r="T83" s="312">
        <f t="shared" si="13"/>
        <v>0</v>
      </c>
      <c r="U83" s="57">
        <f t="shared" si="14"/>
        <v>0</v>
      </c>
      <c r="V83" s="623">
        <f t="shared" si="15"/>
        <v>0</v>
      </c>
      <c r="W83" s="624"/>
    </row>
    <row r="84" spans="2:39" ht="12.75" customHeight="1">
      <c r="B84" s="102">
        <v>2</v>
      </c>
      <c r="C84" s="602" t="s">
        <v>165</v>
      </c>
      <c r="D84" s="603"/>
      <c r="E84" s="603"/>
      <c r="F84" s="603"/>
      <c r="G84" s="603"/>
      <c r="H84" s="604"/>
      <c r="I84" s="109" t="s">
        <v>98</v>
      </c>
      <c r="J84" s="117">
        <v>2</v>
      </c>
      <c r="K84" s="483">
        <v>195129</v>
      </c>
      <c r="L84" s="104">
        <f t="shared" si="9"/>
        <v>390258</v>
      </c>
      <c r="M84" s="93"/>
      <c r="N84" s="313"/>
      <c r="O84" s="57">
        <v>0</v>
      </c>
      <c r="P84" s="93"/>
      <c r="Q84" s="502"/>
      <c r="R84" s="57"/>
      <c r="S84" s="107"/>
      <c r="T84" s="312">
        <f t="shared" si="13"/>
        <v>0</v>
      </c>
      <c r="U84" s="57">
        <f t="shared" si="14"/>
        <v>0</v>
      </c>
      <c r="V84" s="623">
        <f t="shared" si="15"/>
        <v>0</v>
      </c>
      <c r="W84" s="624"/>
    </row>
    <row r="85" spans="2:39" ht="12.75" customHeight="1">
      <c r="B85" s="102" t="s">
        <v>166</v>
      </c>
      <c r="C85" s="602" t="s">
        <v>167</v>
      </c>
      <c r="D85" s="603"/>
      <c r="E85" s="603"/>
      <c r="F85" s="603"/>
      <c r="G85" s="603"/>
      <c r="H85" s="604"/>
      <c r="I85" s="109" t="s">
        <v>168</v>
      </c>
      <c r="J85" s="117">
        <v>126</v>
      </c>
      <c r="K85" s="483">
        <v>37766</v>
      </c>
      <c r="L85" s="104">
        <f t="shared" si="9"/>
        <v>4758516</v>
      </c>
      <c r="M85" s="93"/>
      <c r="N85" s="313"/>
      <c r="O85" s="57">
        <v>0</v>
      </c>
      <c r="P85" s="93"/>
      <c r="Q85" s="502">
        <v>126</v>
      </c>
      <c r="R85" s="57">
        <v>4758516</v>
      </c>
      <c r="S85" s="107"/>
      <c r="T85" s="312">
        <f t="shared" si="13"/>
        <v>126</v>
      </c>
      <c r="U85" s="57">
        <f t="shared" si="14"/>
        <v>4758516</v>
      </c>
      <c r="V85" s="623">
        <f t="shared" si="15"/>
        <v>1</v>
      </c>
      <c r="W85" s="624"/>
    </row>
    <row r="86" spans="2:39" ht="12.75" customHeight="1">
      <c r="B86" s="108" t="s">
        <v>169</v>
      </c>
      <c r="C86" s="602" t="s">
        <v>170</v>
      </c>
      <c r="D86" s="603"/>
      <c r="E86" s="603"/>
      <c r="F86" s="603"/>
      <c r="G86" s="603"/>
      <c r="H86" s="604"/>
      <c r="I86" s="109" t="s">
        <v>168</v>
      </c>
      <c r="J86" s="117">
        <v>175</v>
      </c>
      <c r="K86" s="483">
        <v>6646</v>
      </c>
      <c r="L86" s="104">
        <f t="shared" si="9"/>
        <v>1163050</v>
      </c>
      <c r="M86" s="93"/>
      <c r="N86" s="313"/>
      <c r="O86" s="57">
        <v>0</v>
      </c>
      <c r="P86" s="93"/>
      <c r="Q86" s="502"/>
      <c r="R86" s="57"/>
      <c r="S86" s="107"/>
      <c r="T86" s="312">
        <f t="shared" si="13"/>
        <v>0</v>
      </c>
      <c r="U86" s="57">
        <f t="shared" si="14"/>
        <v>0</v>
      </c>
      <c r="V86" s="623">
        <f t="shared" si="15"/>
        <v>0</v>
      </c>
      <c r="W86" s="624"/>
    </row>
    <row r="87" spans="2:39" ht="12.75" customHeight="1">
      <c r="B87" s="108" t="s">
        <v>171</v>
      </c>
      <c r="C87" s="630" t="s">
        <v>172</v>
      </c>
      <c r="D87" s="631"/>
      <c r="E87" s="631"/>
      <c r="F87" s="631"/>
      <c r="G87" s="631"/>
      <c r="H87" s="632"/>
      <c r="I87" s="109"/>
      <c r="J87" s="117"/>
      <c r="K87" s="118"/>
      <c r="L87" s="104">
        <f t="shared" si="9"/>
        <v>0</v>
      </c>
      <c r="M87" s="93"/>
      <c r="N87" s="313"/>
      <c r="O87" s="57">
        <v>0</v>
      </c>
      <c r="P87" s="93"/>
      <c r="Q87" s="502"/>
      <c r="R87" s="57">
        <v>0</v>
      </c>
      <c r="S87" s="107"/>
      <c r="T87" s="312">
        <f t="shared" si="13"/>
        <v>0</v>
      </c>
      <c r="U87" s="57">
        <f t="shared" si="14"/>
        <v>0</v>
      </c>
      <c r="V87" s="623">
        <f t="shared" si="15"/>
        <v>0</v>
      </c>
      <c r="W87" s="624"/>
    </row>
    <row r="88" spans="2:39" ht="12.75" customHeight="1">
      <c r="B88" s="108" t="s">
        <v>173</v>
      </c>
      <c r="C88" s="625" t="s">
        <v>174</v>
      </c>
      <c r="D88" s="626"/>
      <c r="E88" s="626"/>
      <c r="F88" s="626"/>
      <c r="G88" s="626"/>
      <c r="H88" s="627"/>
      <c r="I88" s="109"/>
      <c r="J88" s="117"/>
      <c r="K88" s="118"/>
      <c r="L88" s="104">
        <f t="shared" si="9"/>
        <v>0</v>
      </c>
      <c r="M88" s="93"/>
      <c r="N88" s="313"/>
      <c r="O88" s="57">
        <v>0</v>
      </c>
      <c r="P88" s="93"/>
      <c r="Q88" s="502"/>
      <c r="R88" s="57">
        <v>0</v>
      </c>
      <c r="S88" s="107"/>
      <c r="T88" s="312">
        <f t="shared" si="13"/>
        <v>0</v>
      </c>
      <c r="U88" s="57">
        <f t="shared" si="14"/>
        <v>0</v>
      </c>
      <c r="V88" s="623">
        <f t="shared" si="15"/>
        <v>0</v>
      </c>
      <c r="W88" s="624"/>
    </row>
    <row r="89" spans="2:39" ht="12.75" customHeight="1">
      <c r="B89" s="102" t="s">
        <v>175</v>
      </c>
      <c r="C89" s="484" t="s">
        <v>176</v>
      </c>
      <c r="D89" s="485"/>
      <c r="E89" s="485"/>
      <c r="F89" s="485"/>
      <c r="G89" s="485"/>
      <c r="H89" s="486"/>
      <c r="I89" s="109" t="s">
        <v>168</v>
      </c>
      <c r="J89" s="117">
        <v>311.87</v>
      </c>
      <c r="K89" s="483">
        <v>47119</v>
      </c>
      <c r="L89" s="104">
        <f t="shared" si="9"/>
        <v>14695002.529999999</v>
      </c>
      <c r="M89" s="93"/>
      <c r="N89" s="313"/>
      <c r="O89" s="57">
        <v>0</v>
      </c>
      <c r="P89" s="93"/>
      <c r="Q89" s="502"/>
      <c r="R89" s="57">
        <v>0</v>
      </c>
      <c r="S89" s="107"/>
      <c r="T89" s="312">
        <f t="shared" si="13"/>
        <v>0</v>
      </c>
      <c r="U89" s="57">
        <f t="shared" si="14"/>
        <v>0</v>
      </c>
      <c r="V89" s="623">
        <f t="shared" si="15"/>
        <v>0</v>
      </c>
      <c r="W89" s="624"/>
    </row>
    <row r="90" spans="2:39" ht="12.75" customHeight="1">
      <c r="B90" s="108" t="s">
        <v>177</v>
      </c>
      <c r="C90" s="264" t="s">
        <v>178</v>
      </c>
      <c r="D90" s="265"/>
      <c r="E90" s="265"/>
      <c r="F90" s="265"/>
      <c r="G90" s="265"/>
      <c r="H90" s="266"/>
      <c r="I90" s="109" t="s">
        <v>168</v>
      </c>
      <c r="J90" s="117">
        <v>342.25</v>
      </c>
      <c r="K90" s="483">
        <v>69161</v>
      </c>
      <c r="L90" s="104">
        <f t="shared" si="9"/>
        <v>23670352.25</v>
      </c>
      <c r="M90" s="93"/>
      <c r="N90" s="313"/>
      <c r="O90" s="57">
        <v>0</v>
      </c>
      <c r="P90" s="93"/>
      <c r="Q90" s="502"/>
      <c r="R90" s="57">
        <v>0</v>
      </c>
      <c r="S90" s="107"/>
      <c r="T90" s="312">
        <f t="shared" si="13"/>
        <v>0</v>
      </c>
      <c r="U90" s="57">
        <f t="shared" si="14"/>
        <v>0</v>
      </c>
      <c r="V90" s="623">
        <f t="shared" si="15"/>
        <v>0</v>
      </c>
      <c r="W90" s="624"/>
    </row>
    <row r="91" spans="2:39" ht="12.75" customHeight="1">
      <c r="B91" s="108" t="s">
        <v>179</v>
      </c>
      <c r="C91" s="621" t="s">
        <v>180</v>
      </c>
      <c r="D91" s="622"/>
      <c r="E91" s="622"/>
      <c r="F91" s="622"/>
      <c r="G91" s="622"/>
      <c r="H91" s="629"/>
      <c r="I91" s="109"/>
      <c r="J91" s="117"/>
      <c r="K91" s="118"/>
      <c r="L91" s="104">
        <f t="shared" si="9"/>
        <v>0</v>
      </c>
      <c r="M91" s="93"/>
      <c r="N91" s="313"/>
      <c r="O91" s="57">
        <v>0</v>
      </c>
      <c r="P91" s="93"/>
      <c r="Q91" s="502"/>
      <c r="R91" s="57">
        <v>0</v>
      </c>
      <c r="S91" s="107"/>
      <c r="T91" s="312">
        <f t="shared" si="13"/>
        <v>0</v>
      </c>
      <c r="U91" s="57">
        <f t="shared" si="14"/>
        <v>0</v>
      </c>
      <c r="V91" s="623">
        <f t="shared" si="15"/>
        <v>0</v>
      </c>
      <c r="W91" s="624"/>
    </row>
    <row r="92" spans="2:39" ht="12.75" customHeight="1">
      <c r="B92" s="108" t="s">
        <v>181</v>
      </c>
      <c r="C92" s="602" t="s">
        <v>182</v>
      </c>
      <c r="D92" s="603"/>
      <c r="E92" s="603"/>
      <c r="F92" s="603"/>
      <c r="G92" s="603"/>
      <c r="H92" s="604"/>
      <c r="I92" s="109" t="s">
        <v>168</v>
      </c>
      <c r="J92" s="117">
        <v>18.36</v>
      </c>
      <c r="K92" s="483">
        <v>449955.05</v>
      </c>
      <c r="L92" s="104">
        <f t="shared" si="9"/>
        <v>8261174.7199999997</v>
      </c>
      <c r="M92" s="93"/>
      <c r="N92" s="313"/>
      <c r="O92" s="57">
        <v>0</v>
      </c>
      <c r="P92" s="93"/>
      <c r="Q92" s="502"/>
      <c r="R92" s="57">
        <v>0</v>
      </c>
      <c r="S92" s="107"/>
      <c r="T92" s="312">
        <f t="shared" si="13"/>
        <v>0</v>
      </c>
      <c r="U92" s="57">
        <f t="shared" si="14"/>
        <v>0</v>
      </c>
      <c r="V92" s="623">
        <f t="shared" si="15"/>
        <v>0</v>
      </c>
      <c r="W92" s="624"/>
    </row>
    <row r="93" spans="2:39" ht="12.75" customHeight="1">
      <c r="B93" s="108" t="s">
        <v>183</v>
      </c>
      <c r="C93" s="602" t="s">
        <v>184</v>
      </c>
      <c r="D93" s="603"/>
      <c r="E93" s="603"/>
      <c r="F93" s="603"/>
      <c r="G93" s="603"/>
      <c r="H93" s="604"/>
      <c r="I93" s="109" t="s">
        <v>168</v>
      </c>
      <c r="J93" s="117">
        <v>36.700000000000003</v>
      </c>
      <c r="K93" s="483">
        <v>705184</v>
      </c>
      <c r="L93" s="104">
        <f t="shared" si="9"/>
        <v>25880252.800000001</v>
      </c>
      <c r="M93" s="93"/>
      <c r="N93" s="313"/>
      <c r="O93" s="57">
        <v>0</v>
      </c>
      <c r="P93" s="93"/>
      <c r="Q93" s="502"/>
      <c r="R93" s="57">
        <v>0</v>
      </c>
      <c r="S93" s="107"/>
      <c r="T93" s="312">
        <f t="shared" si="13"/>
        <v>0</v>
      </c>
      <c r="U93" s="57">
        <f t="shared" si="14"/>
        <v>0</v>
      </c>
      <c r="V93" s="623">
        <f t="shared" si="15"/>
        <v>0</v>
      </c>
      <c r="W93" s="624"/>
    </row>
    <row r="94" spans="2:39" ht="12.75" customHeight="1">
      <c r="B94" s="108" t="s">
        <v>185</v>
      </c>
      <c r="C94" s="602" t="s">
        <v>186</v>
      </c>
      <c r="D94" s="603"/>
      <c r="E94" s="603"/>
      <c r="F94" s="603"/>
      <c r="G94" s="603"/>
      <c r="H94" s="604"/>
      <c r="I94" s="109" t="s">
        <v>168</v>
      </c>
      <c r="J94" s="117">
        <v>1.53</v>
      </c>
      <c r="K94" s="483">
        <v>683866.32</v>
      </c>
      <c r="L94" s="104">
        <f t="shared" si="9"/>
        <v>1046315.47</v>
      </c>
      <c r="M94" s="93"/>
      <c r="N94" s="313"/>
      <c r="O94" s="57">
        <v>0</v>
      </c>
      <c r="P94" s="93"/>
      <c r="Q94" s="502"/>
      <c r="R94" s="57">
        <v>0</v>
      </c>
      <c r="S94" s="107"/>
      <c r="T94" s="312">
        <f t="shared" si="13"/>
        <v>0</v>
      </c>
      <c r="U94" s="57">
        <f t="shared" si="14"/>
        <v>0</v>
      </c>
      <c r="V94" s="623">
        <f t="shared" si="15"/>
        <v>0</v>
      </c>
      <c r="W94" s="624"/>
    </row>
    <row r="95" spans="2:39" ht="12.75" customHeight="1">
      <c r="B95" s="108" t="s">
        <v>187</v>
      </c>
      <c r="C95" s="602" t="s">
        <v>188</v>
      </c>
      <c r="D95" s="603"/>
      <c r="E95" s="603"/>
      <c r="F95" s="603"/>
      <c r="G95" s="603"/>
      <c r="H95" s="604"/>
      <c r="I95" s="112" t="s">
        <v>116</v>
      </c>
      <c r="J95" s="117">
        <v>782.33</v>
      </c>
      <c r="K95" s="483">
        <v>72143</v>
      </c>
      <c r="L95" s="104">
        <f t="shared" si="9"/>
        <v>56439633.189999998</v>
      </c>
      <c r="M95" s="93"/>
      <c r="N95" s="313"/>
      <c r="O95" s="57">
        <v>0</v>
      </c>
      <c r="P95" s="93"/>
      <c r="Q95" s="502"/>
      <c r="R95" s="57">
        <v>0</v>
      </c>
      <c r="S95" s="107"/>
      <c r="T95" s="312">
        <f t="shared" si="13"/>
        <v>0</v>
      </c>
      <c r="U95" s="57">
        <f t="shared" si="14"/>
        <v>0</v>
      </c>
      <c r="V95" s="623">
        <f t="shared" si="15"/>
        <v>0</v>
      </c>
      <c r="W95" s="624"/>
    </row>
    <row r="96" spans="2:39" ht="12.75" customHeight="1">
      <c r="B96" s="102" t="s">
        <v>189</v>
      </c>
      <c r="C96" s="621" t="s">
        <v>190</v>
      </c>
      <c r="D96" s="622"/>
      <c r="E96" s="622"/>
      <c r="F96" s="622"/>
      <c r="G96" s="622"/>
      <c r="H96" s="629"/>
      <c r="I96" s="109"/>
      <c r="J96" s="117"/>
      <c r="K96" s="118"/>
      <c r="L96" s="104">
        <f t="shared" si="9"/>
        <v>0</v>
      </c>
      <c r="M96" s="93"/>
      <c r="N96" s="313"/>
      <c r="O96" s="57">
        <v>0</v>
      </c>
      <c r="P96" s="93"/>
      <c r="Q96" s="502"/>
      <c r="R96" s="57">
        <v>0</v>
      </c>
      <c r="S96" s="107"/>
      <c r="T96" s="312">
        <f t="shared" si="13"/>
        <v>0</v>
      </c>
      <c r="U96" s="57">
        <f t="shared" si="14"/>
        <v>0</v>
      </c>
      <c r="V96" s="623">
        <f t="shared" si="15"/>
        <v>0</v>
      </c>
      <c r="W96" s="624"/>
      <c r="AA96" s="372"/>
      <c r="AB96" s="372"/>
      <c r="AC96" s="372"/>
      <c r="AD96" s="552"/>
      <c r="AE96" s="372"/>
      <c r="AF96" s="372"/>
      <c r="AG96" s="372"/>
      <c r="AH96" s="372"/>
      <c r="AI96" s="372"/>
      <c r="AJ96" s="372"/>
      <c r="AK96" s="372"/>
      <c r="AL96" s="372"/>
      <c r="AM96" s="372"/>
    </row>
    <row r="97" spans="2:39" ht="12.75" customHeight="1">
      <c r="B97" s="108" t="s">
        <v>191</v>
      </c>
      <c r="C97" s="602" t="s">
        <v>192</v>
      </c>
      <c r="D97" s="603"/>
      <c r="E97" s="603"/>
      <c r="F97" s="603"/>
      <c r="G97" s="603"/>
      <c r="H97" s="604"/>
      <c r="I97" s="109" t="s">
        <v>193</v>
      </c>
      <c r="J97" s="117">
        <v>1304.96</v>
      </c>
      <c r="K97" s="483">
        <v>3542</v>
      </c>
      <c r="L97" s="104">
        <f t="shared" si="9"/>
        <v>4622168.32</v>
      </c>
      <c r="M97" s="93"/>
      <c r="N97" s="313"/>
      <c r="O97" s="57">
        <v>0</v>
      </c>
      <c r="P97" s="93"/>
      <c r="Q97" s="502"/>
      <c r="R97" s="57">
        <v>0</v>
      </c>
      <c r="S97" s="107"/>
      <c r="T97" s="312">
        <f t="shared" si="13"/>
        <v>0</v>
      </c>
      <c r="U97" s="57">
        <f t="shared" si="14"/>
        <v>0</v>
      </c>
      <c r="V97" s="623">
        <f t="shared" si="15"/>
        <v>0</v>
      </c>
      <c r="W97" s="624"/>
      <c r="AA97" s="372"/>
      <c r="AB97" s="372"/>
      <c r="AC97" s="372"/>
      <c r="AD97" s="552"/>
      <c r="AE97" s="372"/>
      <c r="AF97" s="372"/>
      <c r="AG97" s="372"/>
      <c r="AH97" s="372"/>
      <c r="AI97" s="372"/>
      <c r="AJ97" s="372"/>
      <c r="AK97" s="372"/>
      <c r="AL97" s="372"/>
      <c r="AM97" s="372"/>
    </row>
    <row r="98" spans="2:39" ht="12.75" customHeight="1">
      <c r="B98" s="108" t="s">
        <v>194</v>
      </c>
      <c r="C98" s="602" t="s">
        <v>195</v>
      </c>
      <c r="D98" s="603"/>
      <c r="E98" s="603"/>
      <c r="F98" s="603"/>
      <c r="G98" s="603"/>
      <c r="H98" s="604"/>
      <c r="I98" s="109" t="s">
        <v>193</v>
      </c>
      <c r="J98" s="117">
        <v>19430</v>
      </c>
      <c r="K98" s="483">
        <v>3542</v>
      </c>
      <c r="L98" s="104">
        <f t="shared" si="9"/>
        <v>68821060</v>
      </c>
      <c r="M98" s="93"/>
      <c r="N98" s="313">
        <v>536.37800000000004</v>
      </c>
      <c r="O98" s="57">
        <v>1899822.54</v>
      </c>
      <c r="P98" s="93"/>
      <c r="Q98" s="502">
        <v>74.007999999999996</v>
      </c>
      <c r="R98" s="57">
        <v>262108</v>
      </c>
      <c r="S98" s="107"/>
      <c r="T98" s="312">
        <f t="shared" si="13"/>
        <v>610.38600000000008</v>
      </c>
      <c r="U98" s="57">
        <f t="shared" si="14"/>
        <v>2161965.96</v>
      </c>
      <c r="V98" s="623">
        <f t="shared" si="15"/>
        <v>3.141430777148739E-2</v>
      </c>
      <c r="W98" s="624"/>
    </row>
    <row r="99" spans="2:39" ht="12.75" customHeight="1">
      <c r="B99" s="108" t="s">
        <v>196</v>
      </c>
      <c r="C99" s="602" t="s">
        <v>197</v>
      </c>
      <c r="D99" s="603"/>
      <c r="E99" s="603"/>
      <c r="F99" s="603"/>
      <c r="G99" s="603"/>
      <c r="H99" s="604"/>
      <c r="I99" s="109" t="s">
        <v>193</v>
      </c>
      <c r="J99" s="117">
        <v>1141.53</v>
      </c>
      <c r="K99" s="483">
        <v>3967</v>
      </c>
      <c r="L99" s="104">
        <f t="shared" si="9"/>
        <v>4528449.51</v>
      </c>
      <c r="M99" s="93"/>
      <c r="N99" s="313">
        <v>57.576000000000001</v>
      </c>
      <c r="O99" s="57">
        <v>228380.19</v>
      </c>
      <c r="P99" s="93"/>
      <c r="Q99" s="502">
        <v>4.1219999999999999</v>
      </c>
      <c r="R99" s="57">
        <v>16344.04</v>
      </c>
      <c r="S99" s="107"/>
      <c r="T99" s="312">
        <f t="shared" si="13"/>
        <v>61.698</v>
      </c>
      <c r="U99" s="57">
        <f t="shared" si="14"/>
        <v>244724.23</v>
      </c>
      <c r="V99" s="623">
        <f t="shared" si="15"/>
        <v>5.4041505698492379E-2</v>
      </c>
      <c r="W99" s="624"/>
    </row>
    <row r="100" spans="2:39" ht="12.75" customHeight="1">
      <c r="B100" s="108" t="s">
        <v>194</v>
      </c>
      <c r="C100" s="602" t="s">
        <v>198</v>
      </c>
      <c r="D100" s="603"/>
      <c r="E100" s="603"/>
      <c r="F100" s="603"/>
      <c r="G100" s="603"/>
      <c r="H100" s="604"/>
      <c r="I100" s="109" t="s">
        <v>193</v>
      </c>
      <c r="J100" s="117">
        <v>2005.03</v>
      </c>
      <c r="K100" s="483">
        <v>3967</v>
      </c>
      <c r="L100" s="104">
        <f t="shared" si="9"/>
        <v>7953954.0099999998</v>
      </c>
      <c r="M100" s="93"/>
      <c r="N100" s="313"/>
      <c r="O100" s="57">
        <v>0</v>
      </c>
      <c r="P100" s="93"/>
      <c r="Q100" s="502"/>
      <c r="R100" s="57"/>
      <c r="S100" s="107"/>
      <c r="T100" s="312">
        <f t="shared" si="13"/>
        <v>0</v>
      </c>
      <c r="U100" s="57">
        <f t="shared" si="14"/>
        <v>0</v>
      </c>
      <c r="V100" s="623">
        <f t="shared" si="15"/>
        <v>0</v>
      </c>
      <c r="W100" s="624"/>
    </row>
    <row r="101" spans="2:39" ht="12.75" customHeight="1">
      <c r="B101" s="108" t="s">
        <v>199</v>
      </c>
      <c r="C101" s="602" t="s">
        <v>200</v>
      </c>
      <c r="D101" s="603"/>
      <c r="E101" s="603"/>
      <c r="F101" s="603"/>
      <c r="G101" s="603"/>
      <c r="H101" s="604"/>
      <c r="I101" s="109" t="s">
        <v>168</v>
      </c>
      <c r="J101" s="117">
        <v>69.58</v>
      </c>
      <c r="K101" s="483">
        <v>622711</v>
      </c>
      <c r="L101" s="104">
        <f t="shared" si="9"/>
        <v>43328231.380000003</v>
      </c>
      <c r="M101" s="93"/>
      <c r="N101" s="313">
        <v>3.8832000000000009</v>
      </c>
      <c r="O101" s="57">
        <v>2416118.6800000002</v>
      </c>
      <c r="P101" s="93"/>
      <c r="Q101" s="502">
        <v>0.39765600000000001</v>
      </c>
      <c r="R101" s="57">
        <v>242857.29</v>
      </c>
      <c r="S101" s="107"/>
      <c r="T101" s="312">
        <f t="shared" si="13"/>
        <v>4.2808560000000009</v>
      </c>
      <c r="U101" s="57">
        <f t="shared" si="14"/>
        <v>2665203.08</v>
      </c>
      <c r="V101" s="623">
        <f t="shared" si="15"/>
        <v>6.1511928715148032E-2</v>
      </c>
      <c r="W101" s="624"/>
    </row>
    <row r="102" spans="2:39" ht="12.75" customHeight="1">
      <c r="B102" s="102" t="s">
        <v>201</v>
      </c>
      <c r="C102" s="467" t="s">
        <v>202</v>
      </c>
      <c r="D102" s="468"/>
      <c r="E102" s="468"/>
      <c r="F102" s="468"/>
      <c r="G102" s="468"/>
      <c r="H102" s="469"/>
      <c r="I102" s="109"/>
      <c r="J102" s="117"/>
      <c r="K102" s="483"/>
      <c r="L102" s="104">
        <f t="shared" si="9"/>
        <v>0</v>
      </c>
      <c r="M102" s="93"/>
      <c r="N102" s="313"/>
      <c r="O102" s="57">
        <v>0</v>
      </c>
      <c r="P102" s="93"/>
      <c r="Q102" s="502"/>
      <c r="R102" s="57"/>
      <c r="S102" s="107"/>
      <c r="T102" s="312">
        <f t="shared" si="13"/>
        <v>0</v>
      </c>
      <c r="U102" s="57">
        <f t="shared" si="14"/>
        <v>0</v>
      </c>
      <c r="V102" s="623">
        <f t="shared" si="15"/>
        <v>0</v>
      </c>
      <c r="W102" s="624"/>
    </row>
    <row r="103" spans="2:39" ht="12.75" customHeight="1">
      <c r="B103" s="108" t="s">
        <v>203</v>
      </c>
      <c r="C103" s="602" t="s">
        <v>204</v>
      </c>
      <c r="D103" s="603"/>
      <c r="E103" s="603"/>
      <c r="F103" s="603"/>
      <c r="G103" s="603"/>
      <c r="H103" s="604"/>
      <c r="I103" s="109" t="s">
        <v>158</v>
      </c>
      <c r="J103" s="117">
        <v>194.37</v>
      </c>
      <c r="K103" s="483">
        <v>136282</v>
      </c>
      <c r="L103" s="104">
        <f t="shared" si="9"/>
        <v>26489132.34</v>
      </c>
      <c r="M103" s="93"/>
      <c r="N103" s="313"/>
      <c r="O103" s="57">
        <v>0</v>
      </c>
      <c r="P103" s="93"/>
      <c r="Q103" s="502"/>
      <c r="R103" s="57"/>
      <c r="S103" s="107"/>
      <c r="T103" s="312">
        <f t="shared" si="13"/>
        <v>0</v>
      </c>
      <c r="U103" s="57">
        <f t="shared" si="14"/>
        <v>0</v>
      </c>
      <c r="V103" s="623">
        <f t="shared" si="15"/>
        <v>0</v>
      </c>
      <c r="W103" s="624"/>
    </row>
    <row r="104" spans="2:39" ht="12.75" customHeight="1">
      <c r="B104" s="108" t="s">
        <v>205</v>
      </c>
      <c r="C104" s="602" t="s">
        <v>206</v>
      </c>
      <c r="D104" s="603"/>
      <c r="E104" s="603"/>
      <c r="F104" s="603"/>
      <c r="G104" s="603"/>
      <c r="H104" s="604"/>
      <c r="I104" s="109" t="s">
        <v>116</v>
      </c>
      <c r="J104" s="117">
        <v>261.68</v>
      </c>
      <c r="K104" s="483">
        <v>19511</v>
      </c>
      <c r="L104" s="104">
        <f t="shared" si="9"/>
        <v>5105638.4800000004</v>
      </c>
      <c r="M104" s="93"/>
      <c r="N104" s="313"/>
      <c r="O104" s="57">
        <v>0</v>
      </c>
      <c r="P104" s="93"/>
      <c r="Q104" s="502"/>
      <c r="R104" s="57"/>
      <c r="S104" s="107"/>
      <c r="T104" s="312">
        <f t="shared" si="13"/>
        <v>0</v>
      </c>
      <c r="U104" s="57">
        <f t="shared" si="14"/>
        <v>0</v>
      </c>
      <c r="V104" s="623">
        <f t="shared" si="15"/>
        <v>0</v>
      </c>
      <c r="W104" s="624"/>
    </row>
    <row r="105" spans="2:39" ht="12.75" customHeight="1">
      <c r="B105" s="102">
        <v>3</v>
      </c>
      <c r="C105" s="625" t="s">
        <v>207</v>
      </c>
      <c r="D105" s="626"/>
      <c r="E105" s="626"/>
      <c r="F105" s="626"/>
      <c r="G105" s="626"/>
      <c r="H105" s="627"/>
      <c r="I105" s="109"/>
      <c r="J105" s="121"/>
      <c r="K105" s="118"/>
      <c r="L105" s="104">
        <f t="shared" si="9"/>
        <v>0</v>
      </c>
      <c r="M105" s="93"/>
      <c r="N105" s="313"/>
      <c r="O105" s="57">
        <v>0</v>
      </c>
      <c r="P105" s="93"/>
      <c r="Q105" s="502"/>
      <c r="R105" s="57">
        <v>0</v>
      </c>
      <c r="S105" s="107"/>
      <c r="T105" s="312">
        <f t="shared" si="13"/>
        <v>0</v>
      </c>
      <c r="U105" s="57">
        <f t="shared" si="14"/>
        <v>0</v>
      </c>
      <c r="V105" s="623">
        <f t="shared" si="15"/>
        <v>0</v>
      </c>
      <c r="W105" s="624"/>
    </row>
    <row r="106" spans="2:39" ht="12.75" customHeight="1">
      <c r="B106" s="102" t="s">
        <v>208</v>
      </c>
      <c r="C106" s="615" t="s">
        <v>209</v>
      </c>
      <c r="D106" s="616"/>
      <c r="E106" s="616"/>
      <c r="F106" s="616"/>
      <c r="G106" s="616"/>
      <c r="H106" s="617"/>
      <c r="I106" s="109"/>
      <c r="J106" s="117"/>
      <c r="K106" s="118"/>
      <c r="L106" s="104">
        <f t="shared" si="9"/>
        <v>0</v>
      </c>
      <c r="M106" s="93"/>
      <c r="N106" s="313"/>
      <c r="O106" s="57">
        <v>0</v>
      </c>
      <c r="P106" s="93"/>
      <c r="Q106" s="502"/>
      <c r="R106" s="57">
        <v>0</v>
      </c>
      <c r="S106" s="107"/>
      <c r="T106" s="312">
        <f t="shared" si="13"/>
        <v>0</v>
      </c>
      <c r="U106" s="57">
        <f t="shared" si="14"/>
        <v>0</v>
      </c>
      <c r="V106" s="623">
        <f t="shared" si="15"/>
        <v>0</v>
      </c>
      <c r="W106" s="624"/>
    </row>
    <row r="107" spans="2:39" ht="12.75" customHeight="1">
      <c r="B107" s="108" t="s">
        <v>210</v>
      </c>
      <c r="C107" s="602" t="s">
        <v>211</v>
      </c>
      <c r="D107" s="603"/>
      <c r="E107" s="603"/>
      <c r="F107" s="603"/>
      <c r="G107" s="603"/>
      <c r="H107" s="604"/>
      <c r="I107" s="109" t="s">
        <v>116</v>
      </c>
      <c r="J107" s="117">
        <v>434.19</v>
      </c>
      <c r="K107" s="483">
        <v>3626</v>
      </c>
      <c r="L107" s="104">
        <f t="shared" si="9"/>
        <v>1574372.94</v>
      </c>
      <c r="M107" s="93"/>
      <c r="N107" s="313"/>
      <c r="O107" s="57">
        <v>0</v>
      </c>
      <c r="P107" s="93"/>
      <c r="Q107" s="502"/>
      <c r="R107" s="57"/>
      <c r="S107" s="107"/>
      <c r="T107" s="312">
        <f t="shared" si="13"/>
        <v>0</v>
      </c>
      <c r="U107" s="57">
        <f t="shared" si="14"/>
        <v>0</v>
      </c>
      <c r="V107" s="623">
        <f t="shared" si="15"/>
        <v>0</v>
      </c>
      <c r="W107" s="624"/>
    </row>
    <row r="108" spans="2:39" ht="12.75" customHeight="1">
      <c r="B108" s="102">
        <v>4</v>
      </c>
      <c r="C108" s="630" t="s">
        <v>212</v>
      </c>
      <c r="D108" s="631"/>
      <c r="E108" s="631"/>
      <c r="F108" s="631"/>
      <c r="G108" s="631"/>
      <c r="H108" s="632"/>
      <c r="I108" s="109"/>
      <c r="J108" s="117"/>
      <c r="K108" s="118"/>
      <c r="L108" s="104">
        <f t="shared" si="9"/>
        <v>0</v>
      </c>
      <c r="M108" s="93"/>
      <c r="N108" s="313"/>
      <c r="O108" s="57">
        <v>0</v>
      </c>
      <c r="P108" s="93"/>
      <c r="Q108" s="502"/>
      <c r="R108" s="57">
        <v>0</v>
      </c>
      <c r="S108" s="107"/>
      <c r="T108" s="312">
        <f t="shared" si="13"/>
        <v>0</v>
      </c>
      <c r="U108" s="57">
        <f t="shared" si="14"/>
        <v>0</v>
      </c>
      <c r="V108" s="623">
        <f t="shared" si="15"/>
        <v>0</v>
      </c>
      <c r="W108" s="624"/>
    </row>
    <row r="109" spans="2:39" ht="12.75" customHeight="1">
      <c r="B109" s="102" t="s">
        <v>213</v>
      </c>
      <c r="C109" s="625" t="s">
        <v>214</v>
      </c>
      <c r="D109" s="626"/>
      <c r="E109" s="626"/>
      <c r="F109" s="626"/>
      <c r="G109" s="626"/>
      <c r="H109" s="627"/>
      <c r="I109" s="109"/>
      <c r="J109" s="117"/>
      <c r="K109" s="118"/>
      <c r="L109" s="104">
        <f t="shared" si="9"/>
        <v>0</v>
      </c>
      <c r="M109" s="93"/>
      <c r="N109" s="313"/>
      <c r="O109" s="57">
        <v>0</v>
      </c>
      <c r="P109" s="93"/>
      <c r="Q109" s="502"/>
      <c r="R109" s="57">
        <v>0</v>
      </c>
      <c r="S109" s="107"/>
      <c r="T109" s="312">
        <f t="shared" si="13"/>
        <v>0</v>
      </c>
      <c r="U109" s="57">
        <f t="shared" si="14"/>
        <v>0</v>
      </c>
      <c r="V109" s="623">
        <f t="shared" si="15"/>
        <v>0</v>
      </c>
      <c r="W109" s="624"/>
    </row>
    <row r="110" spans="2:39" ht="12.75" customHeight="1">
      <c r="B110" s="108" t="s">
        <v>215</v>
      </c>
      <c r="C110" s="602" t="s">
        <v>216</v>
      </c>
      <c r="D110" s="603"/>
      <c r="E110" s="603"/>
      <c r="F110" s="603"/>
      <c r="G110" s="603"/>
      <c r="H110" s="604"/>
      <c r="I110" s="109" t="s">
        <v>168</v>
      </c>
      <c r="J110" s="117">
        <v>1.51</v>
      </c>
      <c r="K110" s="118">
        <v>800987</v>
      </c>
      <c r="L110" s="104">
        <f t="shared" si="9"/>
        <v>1209490.3700000001</v>
      </c>
      <c r="M110" s="93"/>
      <c r="N110" s="313"/>
      <c r="O110" s="57">
        <v>0</v>
      </c>
      <c r="P110" s="93"/>
      <c r="Q110" s="502"/>
      <c r="R110" s="57">
        <v>0</v>
      </c>
      <c r="S110" s="107"/>
      <c r="T110" s="312">
        <f t="shared" si="13"/>
        <v>0</v>
      </c>
      <c r="U110" s="57">
        <f t="shared" si="14"/>
        <v>0</v>
      </c>
      <c r="V110" s="623">
        <f t="shared" si="15"/>
        <v>0</v>
      </c>
      <c r="W110" s="624"/>
    </row>
    <row r="111" spans="2:39" ht="12.75" customHeight="1">
      <c r="B111" s="102" t="s">
        <v>217</v>
      </c>
      <c r="C111" s="621" t="s">
        <v>218</v>
      </c>
      <c r="D111" s="622"/>
      <c r="E111" s="622"/>
      <c r="F111" s="622"/>
      <c r="G111" s="622"/>
      <c r="H111" s="629"/>
      <c r="I111" s="109"/>
      <c r="J111" s="117"/>
      <c r="K111" s="118"/>
      <c r="L111" s="104">
        <f t="shared" si="9"/>
        <v>0</v>
      </c>
      <c r="M111" s="93"/>
      <c r="N111" s="313"/>
      <c r="O111" s="57">
        <v>0</v>
      </c>
      <c r="P111" s="93"/>
      <c r="Q111" s="502"/>
      <c r="R111" s="57">
        <v>0</v>
      </c>
      <c r="S111" s="107"/>
      <c r="T111" s="312">
        <f t="shared" si="13"/>
        <v>0</v>
      </c>
      <c r="U111" s="57">
        <f t="shared" si="14"/>
        <v>0</v>
      </c>
      <c r="V111" s="623">
        <f t="shared" si="15"/>
        <v>0</v>
      </c>
      <c r="W111" s="624"/>
    </row>
    <row r="112" spans="2:39" ht="12.75" customHeight="1">
      <c r="B112" s="108" t="s">
        <v>219</v>
      </c>
      <c r="C112" s="487" t="s">
        <v>220</v>
      </c>
      <c r="D112" s="488"/>
      <c r="E112" s="488"/>
      <c r="F112" s="488"/>
      <c r="G112" s="488"/>
      <c r="H112" s="489"/>
      <c r="I112" s="109" t="s">
        <v>116</v>
      </c>
      <c r="J112" s="117">
        <v>15.3</v>
      </c>
      <c r="K112" s="118">
        <v>148801</v>
      </c>
      <c r="L112" s="104">
        <f t="shared" si="9"/>
        <v>2276655.2999999998</v>
      </c>
      <c r="M112" s="93"/>
      <c r="N112" s="313"/>
      <c r="O112" s="57">
        <v>0</v>
      </c>
      <c r="P112" s="93"/>
      <c r="Q112" s="502"/>
      <c r="R112" s="57">
        <v>0</v>
      </c>
      <c r="S112" s="107"/>
      <c r="T112" s="312">
        <f t="shared" si="13"/>
        <v>0</v>
      </c>
      <c r="U112" s="57">
        <f t="shared" si="14"/>
        <v>0</v>
      </c>
      <c r="V112" s="623">
        <f t="shared" si="15"/>
        <v>0</v>
      </c>
      <c r="W112" s="624"/>
    </row>
    <row r="113" spans="2:23" ht="12.75" customHeight="1">
      <c r="B113" s="128">
        <v>5</v>
      </c>
      <c r="C113" s="625" t="s">
        <v>221</v>
      </c>
      <c r="D113" s="626"/>
      <c r="E113" s="626"/>
      <c r="F113" s="626"/>
      <c r="G113" s="626"/>
      <c r="H113" s="627"/>
      <c r="I113" s="109"/>
      <c r="J113" s="117"/>
      <c r="K113" s="274"/>
      <c r="L113" s="104">
        <f t="shared" si="9"/>
        <v>0</v>
      </c>
      <c r="M113" s="93"/>
      <c r="N113" s="313"/>
      <c r="O113" s="57">
        <v>0</v>
      </c>
      <c r="P113" s="93"/>
      <c r="Q113" s="502"/>
      <c r="R113" s="57">
        <v>0</v>
      </c>
      <c r="S113" s="107"/>
      <c r="T113" s="312">
        <f t="shared" si="13"/>
        <v>0</v>
      </c>
      <c r="U113" s="57">
        <f t="shared" si="14"/>
        <v>0</v>
      </c>
      <c r="V113" s="623">
        <f t="shared" si="15"/>
        <v>0</v>
      </c>
      <c r="W113" s="624"/>
    </row>
    <row r="114" spans="2:23" ht="12.75" customHeight="1">
      <c r="B114" s="128" t="s">
        <v>222</v>
      </c>
      <c r="C114" s="625" t="str">
        <f>+'[18]PPTO ALBERTO SANTOFIMIO.'!$C$72</f>
        <v>MAMPOSTERIA EN LADRILLO TOLETE Y HUECO</v>
      </c>
      <c r="D114" s="626"/>
      <c r="E114" s="626"/>
      <c r="F114" s="626"/>
      <c r="G114" s="626"/>
      <c r="H114" s="627"/>
      <c r="I114" s="129"/>
      <c r="J114" s="117"/>
      <c r="K114" s="118"/>
      <c r="L114" s="104">
        <f t="shared" si="9"/>
        <v>0</v>
      </c>
      <c r="M114" s="93"/>
      <c r="N114" s="313"/>
      <c r="O114" s="57">
        <v>0</v>
      </c>
      <c r="P114" s="93"/>
      <c r="Q114" s="502"/>
      <c r="R114" s="57">
        <v>0</v>
      </c>
      <c r="S114" s="107"/>
      <c r="T114" s="312">
        <f t="shared" si="13"/>
        <v>0</v>
      </c>
      <c r="U114" s="57">
        <f t="shared" si="14"/>
        <v>0</v>
      </c>
      <c r="V114" s="623">
        <f t="shared" si="15"/>
        <v>0</v>
      </c>
      <c r="W114" s="624"/>
    </row>
    <row r="115" spans="2:23" ht="12.75" customHeight="1">
      <c r="B115" s="125" t="s">
        <v>223</v>
      </c>
      <c r="C115" s="602" t="s">
        <v>224</v>
      </c>
      <c r="D115" s="603"/>
      <c r="E115" s="603"/>
      <c r="F115" s="603"/>
      <c r="G115" s="603"/>
      <c r="H115" s="604"/>
      <c r="I115" s="129" t="s">
        <v>116</v>
      </c>
      <c r="J115" s="117">
        <v>1604.82</v>
      </c>
      <c r="K115" s="118">
        <v>90618</v>
      </c>
      <c r="L115" s="104">
        <f t="shared" si="9"/>
        <v>145425578.75999999</v>
      </c>
      <c r="M115" s="93"/>
      <c r="N115" s="313">
        <v>378.63070000000005</v>
      </c>
      <c r="O115" s="57">
        <v>34310693.340000004</v>
      </c>
      <c r="P115" s="93"/>
      <c r="Q115" s="502">
        <v>42.531799999999997</v>
      </c>
      <c r="R115" s="57">
        <v>3853983.54</v>
      </c>
      <c r="S115" s="107"/>
      <c r="T115" s="312">
        <f t="shared" si="13"/>
        <v>421.16250000000002</v>
      </c>
      <c r="U115" s="57">
        <f t="shared" si="14"/>
        <v>38164676.880000003</v>
      </c>
      <c r="V115" s="623">
        <f t="shared" si="15"/>
        <v>0.26243441632083353</v>
      </c>
      <c r="W115" s="624"/>
    </row>
    <row r="116" spans="2:23" ht="12.75" customHeight="1">
      <c r="B116" s="111" t="s">
        <v>225</v>
      </c>
      <c r="C116" s="615" t="s">
        <v>226</v>
      </c>
      <c r="D116" s="616"/>
      <c r="E116" s="616"/>
      <c r="F116" s="616"/>
      <c r="G116" s="616"/>
      <c r="H116" s="617"/>
      <c r="I116" s="129"/>
      <c r="J116" s="117"/>
      <c r="K116" s="118"/>
      <c r="L116" s="104">
        <f t="shared" si="9"/>
        <v>0</v>
      </c>
      <c r="M116" s="93"/>
      <c r="N116" s="313"/>
      <c r="O116" s="57">
        <v>0</v>
      </c>
      <c r="P116" s="93"/>
      <c r="Q116" s="502"/>
      <c r="R116" s="57"/>
      <c r="S116" s="107"/>
      <c r="T116" s="312">
        <f t="shared" si="13"/>
        <v>0</v>
      </c>
      <c r="U116" s="57">
        <f t="shared" si="14"/>
        <v>0</v>
      </c>
      <c r="V116" s="623">
        <f t="shared" si="15"/>
        <v>0</v>
      </c>
      <c r="W116" s="624"/>
    </row>
    <row r="117" spans="2:23" ht="12.75" customHeight="1">
      <c r="B117" s="125" t="s">
        <v>227</v>
      </c>
      <c r="C117" s="686" t="s">
        <v>228</v>
      </c>
      <c r="D117" s="687"/>
      <c r="E117" s="687"/>
      <c r="F117" s="687"/>
      <c r="G117" s="687"/>
      <c r="H117" s="688"/>
      <c r="I117" s="129" t="s">
        <v>158</v>
      </c>
      <c r="J117" s="117">
        <v>1</v>
      </c>
      <c r="K117" s="118">
        <v>39993</v>
      </c>
      <c r="L117" s="104">
        <f t="shared" si="9"/>
        <v>39993</v>
      </c>
      <c r="M117" s="93"/>
      <c r="N117" s="313"/>
      <c r="O117" s="57">
        <v>0</v>
      </c>
      <c r="P117" s="93"/>
      <c r="Q117" s="502"/>
      <c r="R117" s="57"/>
      <c r="S117" s="107"/>
      <c r="T117" s="312">
        <f t="shared" si="13"/>
        <v>0</v>
      </c>
      <c r="U117" s="57">
        <f t="shared" si="14"/>
        <v>0</v>
      </c>
      <c r="V117" s="623">
        <f t="shared" si="15"/>
        <v>0</v>
      </c>
      <c r="W117" s="624"/>
    </row>
    <row r="118" spans="2:23" ht="12.75" customHeight="1">
      <c r="B118" s="111" t="s">
        <v>229</v>
      </c>
      <c r="C118" s="621" t="s">
        <v>230</v>
      </c>
      <c r="D118" s="622"/>
      <c r="E118" s="622"/>
      <c r="F118" s="622"/>
      <c r="G118" s="622"/>
      <c r="H118" s="629"/>
      <c r="I118" s="129"/>
      <c r="J118" s="117"/>
      <c r="K118" s="118"/>
      <c r="L118" s="104">
        <f t="shared" si="9"/>
        <v>0</v>
      </c>
      <c r="M118" s="93"/>
      <c r="N118" s="313"/>
      <c r="O118" s="57">
        <v>0</v>
      </c>
      <c r="P118" s="93"/>
      <c r="Q118" s="502"/>
      <c r="R118" s="57">
        <v>0</v>
      </c>
      <c r="S118" s="107"/>
      <c r="T118" s="312">
        <f t="shared" si="13"/>
        <v>0</v>
      </c>
      <c r="U118" s="57">
        <f t="shared" si="14"/>
        <v>0</v>
      </c>
      <c r="V118" s="623">
        <f t="shared" si="15"/>
        <v>0</v>
      </c>
      <c r="W118" s="624"/>
    </row>
    <row r="119" spans="2:23" ht="12.75" customHeight="1">
      <c r="B119" s="125" t="s">
        <v>231</v>
      </c>
      <c r="C119" s="264" t="s">
        <v>232</v>
      </c>
      <c r="D119" s="265"/>
      <c r="E119" s="265"/>
      <c r="F119" s="265"/>
      <c r="G119" s="265"/>
      <c r="H119" s="266"/>
      <c r="I119" s="126" t="s">
        <v>233</v>
      </c>
      <c r="J119" s="117">
        <v>12061</v>
      </c>
      <c r="K119" s="118">
        <v>600</v>
      </c>
      <c r="L119" s="104">
        <f t="shared" si="9"/>
        <v>7236600</v>
      </c>
      <c r="M119" s="93"/>
      <c r="N119" s="313">
        <v>630</v>
      </c>
      <c r="O119" s="57">
        <v>378000</v>
      </c>
      <c r="P119" s="93"/>
      <c r="Q119" s="502">
        <v>63</v>
      </c>
      <c r="R119" s="57">
        <v>37800</v>
      </c>
      <c r="S119" s="107"/>
      <c r="T119" s="312">
        <f t="shared" si="13"/>
        <v>693</v>
      </c>
      <c r="U119" s="57">
        <f t="shared" si="14"/>
        <v>415800</v>
      </c>
      <c r="V119" s="623">
        <f t="shared" si="15"/>
        <v>5.7457922228670924E-2</v>
      </c>
      <c r="W119" s="624"/>
    </row>
    <row r="120" spans="2:23" ht="12.75" customHeight="1">
      <c r="B120" s="125" t="s">
        <v>234</v>
      </c>
      <c r="C120" s="264" t="s">
        <v>235</v>
      </c>
      <c r="D120" s="265"/>
      <c r="E120" s="265"/>
      <c r="F120" s="265"/>
      <c r="G120" s="265"/>
      <c r="H120" s="266"/>
      <c r="I120" s="126" t="s">
        <v>233</v>
      </c>
      <c r="J120" s="117">
        <v>6494</v>
      </c>
      <c r="K120" s="118">
        <v>609</v>
      </c>
      <c r="L120" s="104">
        <f t="shared" si="9"/>
        <v>3954846</v>
      </c>
      <c r="M120" s="93"/>
      <c r="N120" s="313">
        <v>2816</v>
      </c>
      <c r="O120" s="57">
        <v>1714944</v>
      </c>
      <c r="P120" s="93"/>
      <c r="Q120" s="502">
        <v>352</v>
      </c>
      <c r="R120" s="57">
        <v>214368</v>
      </c>
      <c r="S120" s="107"/>
      <c r="T120" s="312">
        <f t="shared" si="13"/>
        <v>3168</v>
      </c>
      <c r="U120" s="57">
        <f t="shared" si="14"/>
        <v>1929312</v>
      </c>
      <c r="V120" s="623">
        <f t="shared" si="15"/>
        <v>0.48783492454573452</v>
      </c>
      <c r="W120" s="624"/>
    </row>
    <row r="121" spans="2:23" ht="12.75" customHeight="1">
      <c r="B121" s="111">
        <v>6</v>
      </c>
      <c r="C121" s="625" t="s">
        <v>236</v>
      </c>
      <c r="D121" s="626">
        <v>6</v>
      </c>
      <c r="E121" s="626">
        <v>6</v>
      </c>
      <c r="F121" s="626">
        <v>6</v>
      </c>
      <c r="G121" s="626">
        <v>6</v>
      </c>
      <c r="H121" s="626">
        <v>6</v>
      </c>
      <c r="I121" s="132"/>
      <c r="J121" s="133"/>
      <c r="K121" s="118"/>
      <c r="L121" s="104">
        <f t="shared" si="9"/>
        <v>0</v>
      </c>
      <c r="M121" s="93"/>
      <c r="N121" s="313"/>
      <c r="O121" s="57">
        <v>0</v>
      </c>
      <c r="P121" s="93"/>
      <c r="Q121" s="502"/>
      <c r="R121" s="57">
        <v>0</v>
      </c>
      <c r="S121" s="107"/>
      <c r="T121" s="312">
        <f t="shared" si="13"/>
        <v>0</v>
      </c>
      <c r="U121" s="57">
        <f t="shared" si="14"/>
        <v>0</v>
      </c>
      <c r="V121" s="623">
        <f t="shared" si="15"/>
        <v>0</v>
      </c>
      <c r="W121" s="624"/>
    </row>
    <row r="122" spans="2:23" ht="12.75" customHeight="1">
      <c r="B122" s="111" t="s">
        <v>237</v>
      </c>
      <c r="C122" s="625" t="s">
        <v>238</v>
      </c>
      <c r="D122" s="626">
        <v>6</v>
      </c>
      <c r="E122" s="626">
        <v>6</v>
      </c>
      <c r="F122" s="626">
        <v>6</v>
      </c>
      <c r="G122" s="626">
        <v>6</v>
      </c>
      <c r="H122" s="626">
        <v>6</v>
      </c>
      <c r="I122" s="132"/>
      <c r="J122" s="133"/>
      <c r="K122" s="118"/>
      <c r="L122" s="104">
        <f t="shared" si="9"/>
        <v>0</v>
      </c>
      <c r="M122" s="93"/>
      <c r="N122" s="313"/>
      <c r="O122" s="57">
        <v>0</v>
      </c>
      <c r="P122" s="93"/>
      <c r="Q122" s="502"/>
      <c r="R122" s="57">
        <v>0</v>
      </c>
      <c r="S122" s="107"/>
      <c r="T122" s="312">
        <f t="shared" si="13"/>
        <v>0</v>
      </c>
      <c r="U122" s="57">
        <f t="shared" si="14"/>
        <v>0</v>
      </c>
      <c r="V122" s="623">
        <f t="shared" si="15"/>
        <v>0</v>
      </c>
      <c r="W122" s="624"/>
    </row>
    <row r="123" spans="2:23" ht="12.75" customHeight="1">
      <c r="B123" s="125" t="s">
        <v>239</v>
      </c>
      <c r="C123" s="605" t="s">
        <v>240</v>
      </c>
      <c r="D123" s="606">
        <v>6</v>
      </c>
      <c r="E123" s="606">
        <v>6</v>
      </c>
      <c r="F123" s="606">
        <v>6</v>
      </c>
      <c r="G123" s="606">
        <v>6</v>
      </c>
      <c r="H123" s="606">
        <v>6</v>
      </c>
      <c r="I123" s="490" t="s">
        <v>158</v>
      </c>
      <c r="J123" s="117">
        <v>194.37</v>
      </c>
      <c r="K123" s="118">
        <v>68598</v>
      </c>
      <c r="L123" s="104">
        <f t="shared" si="9"/>
        <v>13333393.26</v>
      </c>
      <c r="M123" s="93"/>
      <c r="N123" s="313"/>
      <c r="O123" s="57">
        <v>0</v>
      </c>
      <c r="P123" s="93"/>
      <c r="Q123" s="502"/>
      <c r="R123" s="57">
        <v>0</v>
      </c>
      <c r="S123" s="107"/>
      <c r="T123" s="312">
        <f t="shared" si="13"/>
        <v>0</v>
      </c>
      <c r="U123" s="57">
        <f t="shared" si="14"/>
        <v>0</v>
      </c>
      <c r="V123" s="623">
        <f t="shared" si="15"/>
        <v>0</v>
      </c>
      <c r="W123" s="624"/>
    </row>
    <row r="124" spans="2:23" ht="12.75" customHeight="1">
      <c r="B124" s="125" t="s">
        <v>241</v>
      </c>
      <c r="C124" s="613" t="s">
        <v>242</v>
      </c>
      <c r="D124" s="614">
        <v>6</v>
      </c>
      <c r="E124" s="614">
        <v>6</v>
      </c>
      <c r="F124" s="614">
        <v>6</v>
      </c>
      <c r="G124" s="614">
        <v>6</v>
      </c>
      <c r="H124" s="614">
        <v>6</v>
      </c>
      <c r="I124" s="132" t="s">
        <v>158</v>
      </c>
      <c r="J124" s="117">
        <v>267.13</v>
      </c>
      <c r="K124" s="118">
        <v>26196</v>
      </c>
      <c r="L124" s="104">
        <f t="shared" si="9"/>
        <v>6997737.4800000004</v>
      </c>
      <c r="M124" s="93"/>
      <c r="N124" s="313"/>
      <c r="O124" s="57">
        <v>0</v>
      </c>
      <c r="P124" s="93"/>
      <c r="Q124" s="502">
        <v>3</v>
      </c>
      <c r="R124" s="57">
        <v>78588</v>
      </c>
      <c r="S124" s="107"/>
      <c r="T124" s="312">
        <f t="shared" si="13"/>
        <v>3</v>
      </c>
      <c r="U124" s="57">
        <f t="shared" si="14"/>
        <v>78588</v>
      </c>
      <c r="V124" s="623">
        <f t="shared" si="15"/>
        <v>1.1230487028787482E-2</v>
      </c>
      <c r="W124" s="624"/>
    </row>
    <row r="125" spans="2:23" ht="12.75" customHeight="1">
      <c r="B125" s="125" t="s">
        <v>243</v>
      </c>
      <c r="C125" s="602" t="s">
        <v>244</v>
      </c>
      <c r="D125" s="603">
        <v>6</v>
      </c>
      <c r="E125" s="603">
        <v>6</v>
      </c>
      <c r="F125" s="603">
        <v>6</v>
      </c>
      <c r="G125" s="603">
        <v>6</v>
      </c>
      <c r="H125" s="603">
        <v>6</v>
      </c>
      <c r="I125" s="134" t="s">
        <v>158</v>
      </c>
      <c r="J125" s="117">
        <v>30.7</v>
      </c>
      <c r="K125" s="118">
        <v>40103</v>
      </c>
      <c r="L125" s="104">
        <f t="shared" si="9"/>
        <v>1231162.1000000001</v>
      </c>
      <c r="M125" s="93"/>
      <c r="N125" s="313"/>
      <c r="O125" s="57">
        <v>0</v>
      </c>
      <c r="P125" s="93"/>
      <c r="Q125" s="502">
        <v>1.24</v>
      </c>
      <c r="R125" s="57">
        <v>49727.72</v>
      </c>
      <c r="S125" s="107"/>
      <c r="T125" s="312">
        <f t="shared" si="13"/>
        <v>1.24</v>
      </c>
      <c r="U125" s="57">
        <f t="shared" si="14"/>
        <v>49727.72</v>
      </c>
      <c r="V125" s="623">
        <f t="shared" si="15"/>
        <v>4.0390879478827357E-2</v>
      </c>
      <c r="W125" s="624"/>
    </row>
    <row r="126" spans="2:23" ht="12.75" customHeight="1">
      <c r="B126" s="111" t="s">
        <v>245</v>
      </c>
      <c r="C126" s="625" t="s">
        <v>246</v>
      </c>
      <c r="D126" s="626">
        <v>6</v>
      </c>
      <c r="E126" s="626">
        <v>6</v>
      </c>
      <c r="F126" s="626">
        <v>6</v>
      </c>
      <c r="G126" s="626">
        <v>6</v>
      </c>
      <c r="H126" s="627">
        <v>6</v>
      </c>
      <c r="I126" s="273">
        <v>0</v>
      </c>
      <c r="J126" s="274">
        <v>0</v>
      </c>
      <c r="K126" s="274">
        <v>0</v>
      </c>
      <c r="L126" s="104">
        <f t="shared" si="9"/>
        <v>0</v>
      </c>
      <c r="M126" s="93"/>
      <c r="N126" s="313"/>
      <c r="O126" s="57">
        <v>0</v>
      </c>
      <c r="P126" s="93"/>
      <c r="Q126" s="502"/>
      <c r="R126" s="57">
        <v>0</v>
      </c>
      <c r="S126" s="107"/>
      <c r="T126" s="312">
        <f t="shared" si="13"/>
        <v>0</v>
      </c>
      <c r="U126" s="57">
        <f t="shared" si="14"/>
        <v>0</v>
      </c>
      <c r="V126" s="623">
        <f t="shared" si="15"/>
        <v>0</v>
      </c>
      <c r="W126" s="624"/>
    </row>
    <row r="127" spans="2:23" ht="12.75" customHeight="1">
      <c r="B127" s="125" t="s">
        <v>247</v>
      </c>
      <c r="C127" s="605" t="s">
        <v>248</v>
      </c>
      <c r="D127" s="606">
        <v>6</v>
      </c>
      <c r="E127" s="606">
        <v>6</v>
      </c>
      <c r="F127" s="606">
        <v>6</v>
      </c>
      <c r="G127" s="606">
        <v>6</v>
      </c>
      <c r="H127" s="628">
        <v>6</v>
      </c>
      <c r="I127" s="126" t="s">
        <v>158</v>
      </c>
      <c r="J127" s="117">
        <v>83.87</v>
      </c>
      <c r="K127" s="118">
        <v>60489</v>
      </c>
      <c r="L127" s="104">
        <f t="shared" si="9"/>
        <v>5073212.43</v>
      </c>
      <c r="M127" s="93"/>
      <c r="N127" s="313"/>
      <c r="O127" s="57">
        <v>0</v>
      </c>
      <c r="P127" s="93"/>
      <c r="Q127" s="502"/>
      <c r="R127" s="57">
        <v>0</v>
      </c>
      <c r="S127" s="107"/>
      <c r="T127" s="312">
        <f t="shared" si="13"/>
        <v>0</v>
      </c>
      <c r="U127" s="57">
        <f t="shared" si="14"/>
        <v>0</v>
      </c>
      <c r="V127" s="623">
        <f t="shared" si="15"/>
        <v>0</v>
      </c>
      <c r="W127" s="624"/>
    </row>
    <row r="128" spans="2:23" ht="12.75" customHeight="1">
      <c r="B128" s="111">
        <v>9</v>
      </c>
      <c r="C128" s="618" t="s">
        <v>249</v>
      </c>
      <c r="D128" s="619">
        <v>6</v>
      </c>
      <c r="E128" s="619">
        <v>6</v>
      </c>
      <c r="F128" s="619">
        <v>6</v>
      </c>
      <c r="G128" s="619">
        <v>6</v>
      </c>
      <c r="H128" s="620">
        <v>6</v>
      </c>
      <c r="I128" s="126">
        <v>0</v>
      </c>
      <c r="J128" s="117"/>
      <c r="K128" s="118"/>
      <c r="L128" s="104">
        <f t="shared" si="9"/>
        <v>0</v>
      </c>
      <c r="M128" s="93"/>
      <c r="N128" s="313"/>
      <c r="O128" s="57">
        <v>0</v>
      </c>
      <c r="P128" s="93"/>
      <c r="Q128" s="502"/>
      <c r="R128" s="57">
        <v>0</v>
      </c>
      <c r="S128" s="107"/>
      <c r="T128" s="312">
        <f t="shared" si="13"/>
        <v>0</v>
      </c>
      <c r="U128" s="57">
        <f t="shared" si="14"/>
        <v>0</v>
      </c>
      <c r="V128" s="623">
        <f t="shared" si="15"/>
        <v>0</v>
      </c>
      <c r="W128" s="624"/>
    </row>
    <row r="129" spans="2:39" ht="12.75" customHeight="1">
      <c r="B129" s="111">
        <v>9.1</v>
      </c>
      <c r="C129" s="618" t="s">
        <v>250</v>
      </c>
      <c r="D129" s="619">
        <v>6</v>
      </c>
      <c r="E129" s="619">
        <v>6</v>
      </c>
      <c r="F129" s="619">
        <v>6</v>
      </c>
      <c r="G129" s="619">
        <v>6</v>
      </c>
      <c r="H129" s="620">
        <v>6</v>
      </c>
      <c r="I129" s="143">
        <v>0</v>
      </c>
      <c r="J129" s="117"/>
      <c r="K129" s="118"/>
      <c r="L129" s="104">
        <f t="shared" si="9"/>
        <v>0</v>
      </c>
      <c r="M129" s="93"/>
      <c r="N129" s="313"/>
      <c r="O129" s="57">
        <v>0</v>
      </c>
      <c r="P129" s="93"/>
      <c r="Q129" s="502"/>
      <c r="R129" s="57">
        <v>0</v>
      </c>
      <c r="S129" s="107"/>
      <c r="T129" s="312">
        <f t="shared" si="13"/>
        <v>0</v>
      </c>
      <c r="U129" s="57">
        <f t="shared" si="14"/>
        <v>0</v>
      </c>
      <c r="V129" s="623">
        <f t="shared" si="15"/>
        <v>0</v>
      </c>
      <c r="W129" s="624"/>
    </row>
    <row r="130" spans="2:39" ht="12.75" customHeight="1">
      <c r="B130" s="125" t="s">
        <v>251</v>
      </c>
      <c r="C130" s="613" t="s">
        <v>252</v>
      </c>
      <c r="D130" s="614">
        <v>6</v>
      </c>
      <c r="E130" s="614">
        <v>6</v>
      </c>
      <c r="F130" s="614">
        <v>6</v>
      </c>
      <c r="G130" s="614">
        <v>6</v>
      </c>
      <c r="H130" s="700">
        <v>6</v>
      </c>
      <c r="I130" s="126" t="s">
        <v>158</v>
      </c>
      <c r="J130" s="117">
        <v>1250</v>
      </c>
      <c r="K130" s="118">
        <v>5061</v>
      </c>
      <c r="L130" s="104">
        <f t="shared" si="9"/>
        <v>6326250</v>
      </c>
      <c r="M130" s="93"/>
      <c r="N130" s="313"/>
      <c r="O130" s="57">
        <v>0</v>
      </c>
      <c r="P130" s="93"/>
      <c r="Q130" s="502">
        <v>141.33000000000001</v>
      </c>
      <c r="R130" s="57">
        <v>715271.13</v>
      </c>
      <c r="S130" s="107"/>
      <c r="T130" s="312">
        <f t="shared" si="13"/>
        <v>141.33000000000001</v>
      </c>
      <c r="U130" s="57">
        <f t="shared" si="14"/>
        <v>715271.13</v>
      </c>
      <c r="V130" s="623">
        <f t="shared" si="15"/>
        <v>0.113064</v>
      </c>
      <c r="W130" s="624"/>
      <c r="AA130" s="372"/>
      <c r="AB130" s="372"/>
      <c r="AC130" s="372"/>
      <c r="AD130" s="552"/>
      <c r="AE130" s="372"/>
      <c r="AF130" s="372"/>
      <c r="AG130" s="372"/>
      <c r="AH130" s="372"/>
      <c r="AI130" s="372"/>
      <c r="AJ130" s="372"/>
      <c r="AK130" s="372"/>
      <c r="AL130" s="372"/>
      <c r="AM130" s="372"/>
    </row>
    <row r="131" spans="2:39" ht="12.75" customHeight="1">
      <c r="B131" s="125" t="s">
        <v>253</v>
      </c>
      <c r="C131" s="602" t="s">
        <v>254</v>
      </c>
      <c r="D131" s="603">
        <v>6</v>
      </c>
      <c r="E131" s="603">
        <v>6</v>
      </c>
      <c r="F131" s="603">
        <v>6</v>
      </c>
      <c r="G131" s="603">
        <v>6</v>
      </c>
      <c r="H131" s="604">
        <v>6</v>
      </c>
      <c r="I131" s="126" t="s">
        <v>116</v>
      </c>
      <c r="J131" s="117">
        <v>260.39999999999998</v>
      </c>
      <c r="K131" s="118">
        <v>17301</v>
      </c>
      <c r="L131" s="104">
        <f t="shared" si="9"/>
        <v>4505180.4000000004</v>
      </c>
      <c r="M131" s="93"/>
      <c r="N131" s="313"/>
      <c r="O131" s="57">
        <v>0</v>
      </c>
      <c r="P131" s="93"/>
      <c r="Q131" s="502">
        <v>43.393600000000006</v>
      </c>
      <c r="R131" s="57">
        <v>750690.39</v>
      </c>
      <c r="S131" s="107"/>
      <c r="T131" s="312">
        <f t="shared" si="13"/>
        <v>43.393600000000006</v>
      </c>
      <c r="U131" s="57">
        <f t="shared" si="14"/>
        <v>750690.39</v>
      </c>
      <c r="V131" s="623">
        <f t="shared" si="15"/>
        <v>0.16662826420890936</v>
      </c>
      <c r="W131" s="624"/>
    </row>
    <row r="132" spans="2:39" ht="12.75" customHeight="1">
      <c r="B132" s="125" t="s">
        <v>255</v>
      </c>
      <c r="C132" s="602" t="s">
        <v>256</v>
      </c>
      <c r="D132" s="603">
        <v>6</v>
      </c>
      <c r="E132" s="603">
        <v>6</v>
      </c>
      <c r="F132" s="603">
        <v>6</v>
      </c>
      <c r="G132" s="603">
        <v>6</v>
      </c>
      <c r="H132" s="604">
        <v>6</v>
      </c>
      <c r="I132" s="126" t="s">
        <v>116</v>
      </c>
      <c r="J132" s="117">
        <v>489.25</v>
      </c>
      <c r="K132" s="118">
        <v>20333</v>
      </c>
      <c r="L132" s="104">
        <f t="shared" si="9"/>
        <v>9947920.25</v>
      </c>
      <c r="M132" s="93"/>
      <c r="N132" s="313"/>
      <c r="O132" s="57">
        <v>0</v>
      </c>
      <c r="P132" s="93"/>
      <c r="Q132" s="502"/>
      <c r="R132" s="57">
        <v>0</v>
      </c>
      <c r="S132" s="107"/>
      <c r="T132" s="312">
        <f t="shared" si="13"/>
        <v>0</v>
      </c>
      <c r="U132" s="57">
        <f t="shared" si="14"/>
        <v>0</v>
      </c>
      <c r="V132" s="623">
        <f t="shared" si="15"/>
        <v>0</v>
      </c>
      <c r="W132" s="624"/>
    </row>
    <row r="133" spans="2:39" ht="12.75" customHeight="1">
      <c r="B133" s="125" t="s">
        <v>257</v>
      </c>
      <c r="C133" s="602" t="s">
        <v>258</v>
      </c>
      <c r="D133" s="603">
        <v>6</v>
      </c>
      <c r="E133" s="603">
        <v>6</v>
      </c>
      <c r="F133" s="603">
        <v>6</v>
      </c>
      <c r="G133" s="603">
        <v>6</v>
      </c>
      <c r="H133" s="604">
        <v>6</v>
      </c>
      <c r="I133" s="126" t="s">
        <v>116</v>
      </c>
      <c r="J133" s="117">
        <v>2456.42</v>
      </c>
      <c r="K133" s="118">
        <v>16239</v>
      </c>
      <c r="L133" s="104">
        <f t="shared" si="9"/>
        <v>39889804.380000003</v>
      </c>
      <c r="M133" s="93"/>
      <c r="N133" s="313">
        <v>582.00322000000017</v>
      </c>
      <c r="O133" s="57">
        <v>9451098</v>
      </c>
      <c r="P133" s="93"/>
      <c r="Q133" s="502">
        <v>488.20189999999974</v>
      </c>
      <c r="R133" s="57">
        <v>7927879.7999999998</v>
      </c>
      <c r="S133" s="107"/>
      <c r="T133" s="312">
        <f t="shared" si="13"/>
        <v>1070.2051199999999</v>
      </c>
      <c r="U133" s="57">
        <f t="shared" si="14"/>
        <v>17378977.800000001</v>
      </c>
      <c r="V133" s="623">
        <f t="shared" si="15"/>
        <v>0.43567468103988732</v>
      </c>
      <c r="W133" s="624"/>
    </row>
    <row r="134" spans="2:39" ht="12.75" customHeight="1">
      <c r="B134" s="125" t="s">
        <v>259</v>
      </c>
      <c r="C134" s="610" t="s">
        <v>260</v>
      </c>
      <c r="D134" s="611">
        <v>6</v>
      </c>
      <c r="E134" s="611">
        <v>6</v>
      </c>
      <c r="F134" s="611">
        <v>6</v>
      </c>
      <c r="G134" s="611">
        <v>6</v>
      </c>
      <c r="H134" s="612">
        <v>6</v>
      </c>
      <c r="I134" s="126" t="s">
        <v>116</v>
      </c>
      <c r="J134" s="117">
        <v>1666.76</v>
      </c>
      <c r="K134" s="118">
        <v>15847</v>
      </c>
      <c r="L134" s="104">
        <f t="shared" si="9"/>
        <v>26413145.719999999</v>
      </c>
      <c r="M134" s="93"/>
      <c r="N134" s="313"/>
      <c r="O134" s="57">
        <v>0</v>
      </c>
      <c r="P134" s="93"/>
      <c r="Q134" s="502"/>
      <c r="R134" s="57">
        <v>0</v>
      </c>
      <c r="S134" s="107"/>
      <c r="T134" s="312">
        <f t="shared" si="13"/>
        <v>0</v>
      </c>
      <c r="U134" s="57">
        <f t="shared" si="14"/>
        <v>0</v>
      </c>
      <c r="V134" s="623">
        <f t="shared" si="15"/>
        <v>0</v>
      </c>
      <c r="W134" s="624"/>
      <c r="AE134" s="553"/>
      <c r="AF134" s="554"/>
      <c r="AG134" s="555" t="s">
        <v>261</v>
      </c>
      <c r="AH134" s="555" t="s">
        <v>262</v>
      </c>
      <c r="AI134" s="555" t="s">
        <v>263</v>
      </c>
      <c r="AJ134" s="555" t="s">
        <v>264</v>
      </c>
      <c r="AK134" s="555" t="s">
        <v>265</v>
      </c>
      <c r="AL134" s="555" t="s">
        <v>266</v>
      </c>
      <c r="AM134" s="555" t="s">
        <v>267</v>
      </c>
    </row>
    <row r="135" spans="2:39" ht="12.75" customHeight="1">
      <c r="B135" s="111">
        <v>10</v>
      </c>
      <c r="C135" s="607" t="s">
        <v>268</v>
      </c>
      <c r="D135" s="608">
        <v>6</v>
      </c>
      <c r="E135" s="608">
        <v>6</v>
      </c>
      <c r="F135" s="608">
        <v>6</v>
      </c>
      <c r="G135" s="608">
        <v>6</v>
      </c>
      <c r="H135" s="609">
        <v>6</v>
      </c>
      <c r="I135" s="130">
        <v>0</v>
      </c>
      <c r="J135" s="117"/>
      <c r="K135" s="118"/>
      <c r="L135" s="104">
        <f t="shared" si="9"/>
        <v>0</v>
      </c>
      <c r="M135" s="115"/>
      <c r="N135" s="124"/>
      <c r="O135" s="57">
        <v>0</v>
      </c>
      <c r="P135" s="115"/>
      <c r="Q135" s="502"/>
      <c r="R135" s="57">
        <v>0</v>
      </c>
      <c r="S135" s="116"/>
      <c r="T135" s="312">
        <f t="shared" si="10"/>
        <v>0</v>
      </c>
      <c r="U135" s="57">
        <f t="shared" si="11"/>
        <v>0</v>
      </c>
      <c r="V135" s="623">
        <f t="shared" si="12"/>
        <v>0</v>
      </c>
      <c r="W135" s="624"/>
      <c r="Y135" s="274">
        <f t="shared" ref="Y135:Y171" si="16">+R135+O135</f>
        <v>0</v>
      </c>
      <c r="Z135" s="274">
        <f t="shared" ref="Z135:Z174" si="17">+U135-Y135</f>
        <v>0</v>
      </c>
      <c r="AA135" s="319">
        <f>+R135+O135</f>
        <v>0</v>
      </c>
      <c r="AB135" s="319">
        <f>+R135-AA135</f>
        <v>0</v>
      </c>
      <c r="AE135" s="556">
        <f t="shared" ref="AE135:AF166" si="18">+B135</f>
        <v>10</v>
      </c>
      <c r="AF135" s="557" t="str">
        <f t="shared" si="18"/>
        <v xml:space="preserve">PISOS </v>
      </c>
      <c r="AG135" s="558"/>
      <c r="AH135" s="558"/>
      <c r="AI135" s="558"/>
      <c r="AJ135" s="558"/>
      <c r="AK135" s="558"/>
      <c r="AL135" s="568"/>
      <c r="AM135" s="568"/>
    </row>
    <row r="136" spans="2:39" ht="12.75" customHeight="1">
      <c r="B136" s="111">
        <v>10.1</v>
      </c>
      <c r="C136" s="607" t="s">
        <v>269</v>
      </c>
      <c r="D136" s="608">
        <v>6</v>
      </c>
      <c r="E136" s="608">
        <v>6</v>
      </c>
      <c r="F136" s="608">
        <v>6</v>
      </c>
      <c r="G136" s="608">
        <v>6</v>
      </c>
      <c r="H136" s="608">
        <v>6</v>
      </c>
      <c r="I136" s="131">
        <v>0</v>
      </c>
      <c r="J136" s="133"/>
      <c r="K136" s="118"/>
      <c r="L136" s="104">
        <f t="shared" si="9"/>
        <v>0</v>
      </c>
      <c r="M136" s="115"/>
      <c r="N136" s="124"/>
      <c r="O136" s="57">
        <v>0</v>
      </c>
      <c r="P136" s="115"/>
      <c r="Q136" s="502"/>
      <c r="R136" s="57">
        <v>0</v>
      </c>
      <c r="S136" s="116"/>
      <c r="T136" s="312">
        <f t="shared" si="10"/>
        <v>0</v>
      </c>
      <c r="U136" s="57">
        <f t="shared" si="11"/>
        <v>0</v>
      </c>
      <c r="V136" s="623">
        <f t="shared" si="12"/>
        <v>0</v>
      </c>
      <c r="W136" s="624"/>
      <c r="Y136" s="274">
        <f t="shared" si="16"/>
        <v>0</v>
      </c>
      <c r="Z136" s="274">
        <f t="shared" si="17"/>
        <v>0</v>
      </c>
      <c r="AA136" s="319" t="e">
        <f>VLOOKUP(B136,'[19]ACTA PARCIAL OBRA'!$B$122:$X$536,20,0)</f>
        <v>#N/A</v>
      </c>
      <c r="AB136" s="319" t="e">
        <f t="shared" ref="AB136:AB199" si="19">+AA136-R136</f>
        <v>#N/A</v>
      </c>
      <c r="AC136" s="319">
        <v>20481198.300000001</v>
      </c>
      <c r="AD136" s="514">
        <f t="shared" ref="AD136:AD188" si="20">+U136-AC136</f>
        <v>-20481198.300000001</v>
      </c>
      <c r="AE136" s="556">
        <f t="shared" si="18"/>
        <v>10.1</v>
      </c>
      <c r="AF136" s="557" t="str">
        <f t="shared" si="18"/>
        <v>BASES PISOS Y AFINADOS</v>
      </c>
      <c r="AG136" s="558"/>
      <c r="AH136" s="558">
        <v>2217.7800000000002</v>
      </c>
      <c r="AI136" s="558"/>
      <c r="AJ136" s="558"/>
      <c r="AK136" s="558"/>
      <c r="AL136" s="568"/>
      <c r="AM136" s="568"/>
    </row>
    <row r="137" spans="2:39" ht="12.75" customHeight="1">
      <c r="B137" s="125" t="s">
        <v>270</v>
      </c>
      <c r="C137" s="602" t="s">
        <v>271</v>
      </c>
      <c r="D137" s="603">
        <v>6</v>
      </c>
      <c r="E137" s="603">
        <v>6</v>
      </c>
      <c r="F137" s="603">
        <v>6</v>
      </c>
      <c r="G137" s="603">
        <v>6</v>
      </c>
      <c r="H137" s="603">
        <v>6</v>
      </c>
      <c r="I137" s="132" t="s">
        <v>272</v>
      </c>
      <c r="J137" s="133">
        <v>2688.68</v>
      </c>
      <c r="K137" s="118">
        <v>29799</v>
      </c>
      <c r="L137" s="104">
        <f t="shared" si="9"/>
        <v>80119975.319999993</v>
      </c>
      <c r="M137" s="115"/>
      <c r="N137" s="313"/>
      <c r="O137" s="57">
        <v>0</v>
      </c>
      <c r="P137" s="115"/>
      <c r="Q137" s="502"/>
      <c r="R137" s="57">
        <v>0</v>
      </c>
      <c r="S137" s="116"/>
      <c r="T137" s="312">
        <f t="shared" si="10"/>
        <v>0</v>
      </c>
      <c r="U137" s="57">
        <f t="shared" si="11"/>
        <v>0</v>
      </c>
      <c r="V137" s="623">
        <f t="shared" si="12"/>
        <v>0</v>
      </c>
      <c r="W137" s="624"/>
      <c r="Y137" s="274">
        <f t="shared" si="16"/>
        <v>0</v>
      </c>
      <c r="Z137" s="274">
        <f t="shared" si="17"/>
        <v>0</v>
      </c>
      <c r="AA137" s="319">
        <f>VLOOKUP(B137,'[19]ACTA PARCIAL OBRA'!$B$122:$X$536,20,0)</f>
        <v>0</v>
      </c>
      <c r="AB137" s="319">
        <f t="shared" si="19"/>
        <v>0</v>
      </c>
      <c r="AC137" s="319">
        <v>1917417.9</v>
      </c>
      <c r="AD137" s="514">
        <f t="shared" si="20"/>
        <v>-1917417.9</v>
      </c>
      <c r="AE137" s="556" t="str">
        <f t="shared" si="18"/>
        <v>10.1.1</v>
      </c>
      <c r="AF137" s="557" t="str">
        <f t="shared" si="18"/>
        <v>AFINADO ENDURECIDO MORTERO 1:3 H=4</v>
      </c>
      <c r="AG137" s="558"/>
      <c r="AH137" s="558">
        <v>784.22</v>
      </c>
      <c r="AI137" s="558"/>
      <c r="AJ137" s="558"/>
      <c r="AK137" s="558"/>
      <c r="AL137" s="568"/>
      <c r="AM137" s="568"/>
    </row>
    <row r="138" spans="2:39" ht="12.75" customHeight="1">
      <c r="B138" s="125" t="s">
        <v>273</v>
      </c>
      <c r="C138" s="602" t="s">
        <v>274</v>
      </c>
      <c r="D138" s="603">
        <v>6</v>
      </c>
      <c r="E138" s="603">
        <v>6</v>
      </c>
      <c r="F138" s="603">
        <v>6</v>
      </c>
      <c r="G138" s="603">
        <v>6</v>
      </c>
      <c r="H138" s="603">
        <v>6</v>
      </c>
      <c r="I138" s="132" t="s">
        <v>116</v>
      </c>
      <c r="J138" s="133">
        <v>105.53</v>
      </c>
      <c r="K138" s="118">
        <v>24096</v>
      </c>
      <c r="L138" s="104">
        <f t="shared" si="9"/>
        <v>2542850.88</v>
      </c>
      <c r="M138" s="115"/>
      <c r="N138" s="124"/>
      <c r="O138" s="57">
        <v>0</v>
      </c>
      <c r="P138" s="115"/>
      <c r="Q138" s="502"/>
      <c r="R138" s="57">
        <v>0</v>
      </c>
      <c r="S138" s="116"/>
      <c r="T138" s="312">
        <f t="shared" si="10"/>
        <v>0</v>
      </c>
      <c r="U138" s="57">
        <f t="shared" si="11"/>
        <v>0</v>
      </c>
      <c r="V138" s="623">
        <f t="shared" si="12"/>
        <v>0</v>
      </c>
      <c r="W138" s="624"/>
      <c r="Y138" s="274">
        <f t="shared" si="16"/>
        <v>0</v>
      </c>
      <c r="Z138" s="274">
        <f t="shared" si="17"/>
        <v>0</v>
      </c>
      <c r="AA138" s="319" t="e">
        <f>VLOOKUP(B138,'[19]ACTA PARCIAL OBRA'!$B$122:$X$536,20,0)</f>
        <v>#N/A</v>
      </c>
      <c r="AB138" s="319" t="e">
        <f t="shared" si="19"/>
        <v>#N/A</v>
      </c>
      <c r="AC138" s="319">
        <v>0</v>
      </c>
      <c r="AD138" s="514">
        <f t="shared" si="20"/>
        <v>0</v>
      </c>
      <c r="AE138" s="556" t="str">
        <f t="shared" si="18"/>
        <v>10.1.2</v>
      </c>
      <c r="AF138" s="557" t="str">
        <f t="shared" si="18"/>
        <v>AFINADO IMPERMEABILIZADO MORTERO 1:3 H=4</v>
      </c>
      <c r="AG138" s="558"/>
      <c r="AH138" s="558">
        <v>1</v>
      </c>
      <c r="AI138" s="558"/>
      <c r="AJ138" s="558"/>
      <c r="AK138" s="558"/>
      <c r="AL138" s="568"/>
      <c r="AM138" s="568"/>
    </row>
    <row r="139" spans="2:39" ht="12.75" customHeight="1">
      <c r="B139" s="111">
        <v>10.199999999999999</v>
      </c>
      <c r="C139" s="607" t="s">
        <v>275</v>
      </c>
      <c r="D139" s="608">
        <v>6</v>
      </c>
      <c r="E139" s="608">
        <v>6</v>
      </c>
      <c r="F139" s="608">
        <v>6</v>
      </c>
      <c r="G139" s="608">
        <v>6</v>
      </c>
      <c r="H139" s="608">
        <v>6</v>
      </c>
      <c r="I139" s="490">
        <v>0</v>
      </c>
      <c r="J139" s="274">
        <v>0</v>
      </c>
      <c r="K139" s="274">
        <v>0</v>
      </c>
      <c r="L139" s="104">
        <f t="shared" si="9"/>
        <v>0</v>
      </c>
      <c r="M139" s="115"/>
      <c r="N139" s="124"/>
      <c r="O139" s="57">
        <v>0</v>
      </c>
      <c r="P139" s="115"/>
      <c r="Q139" s="502"/>
      <c r="R139" s="57">
        <v>0</v>
      </c>
      <c r="S139" s="116"/>
      <c r="T139" s="312">
        <f t="shared" si="10"/>
        <v>0</v>
      </c>
      <c r="U139" s="57">
        <f t="shared" si="11"/>
        <v>0</v>
      </c>
      <c r="V139" s="623">
        <f t="shared" si="12"/>
        <v>0</v>
      </c>
      <c r="W139" s="624"/>
      <c r="Y139" s="274">
        <f t="shared" si="16"/>
        <v>0</v>
      </c>
      <c r="Z139" s="274">
        <f t="shared" si="17"/>
        <v>0</v>
      </c>
      <c r="AA139" s="319" t="e">
        <f>VLOOKUP(B139,'[19]ACTA PARCIAL OBRA'!$B$122:$X$536,20,0)</f>
        <v>#N/A</v>
      </c>
      <c r="AB139" s="319" t="e">
        <f t="shared" si="19"/>
        <v>#N/A</v>
      </c>
      <c r="AC139" s="319">
        <v>0</v>
      </c>
      <c r="AD139" s="514">
        <f t="shared" si="20"/>
        <v>0</v>
      </c>
      <c r="AE139" s="556">
        <f t="shared" si="18"/>
        <v>10.199999999999999</v>
      </c>
      <c r="AF139" s="557" t="str">
        <f t="shared" si="18"/>
        <v>ACABADOS PISOS</v>
      </c>
      <c r="AG139" s="558"/>
      <c r="AH139" s="558">
        <v>1</v>
      </c>
      <c r="AI139" s="558"/>
      <c r="AJ139" s="558"/>
      <c r="AK139" s="558"/>
      <c r="AL139" s="568"/>
      <c r="AM139" s="568"/>
    </row>
    <row r="140" spans="2:39" ht="12.75" customHeight="1">
      <c r="B140" s="125" t="s">
        <v>276</v>
      </c>
      <c r="C140" s="602" t="s">
        <v>277</v>
      </c>
      <c r="D140" s="603">
        <v>6</v>
      </c>
      <c r="E140" s="603">
        <v>6</v>
      </c>
      <c r="F140" s="603">
        <v>6</v>
      </c>
      <c r="G140" s="603">
        <v>6</v>
      </c>
      <c r="H140" s="603">
        <v>6</v>
      </c>
      <c r="I140" s="132" t="s">
        <v>116</v>
      </c>
      <c r="J140" s="133">
        <v>805.64</v>
      </c>
      <c r="K140" s="118">
        <v>93477</v>
      </c>
      <c r="L140" s="104">
        <f t="shared" si="9"/>
        <v>75308810.280000001</v>
      </c>
      <c r="M140" s="115"/>
      <c r="N140" s="105"/>
      <c r="O140" s="57">
        <v>0</v>
      </c>
      <c r="P140" s="115"/>
      <c r="Q140" s="505"/>
      <c r="R140" s="57">
        <v>0</v>
      </c>
      <c r="S140" s="116"/>
      <c r="T140" s="312">
        <f t="shared" si="10"/>
        <v>0</v>
      </c>
      <c r="U140" s="57">
        <f t="shared" si="11"/>
        <v>0</v>
      </c>
      <c r="V140" s="623">
        <f t="shared" si="12"/>
        <v>0</v>
      </c>
      <c r="W140" s="624"/>
      <c r="Y140" s="274">
        <f t="shared" si="16"/>
        <v>0</v>
      </c>
      <c r="Z140" s="274">
        <f t="shared" si="17"/>
        <v>0</v>
      </c>
      <c r="AA140" s="319">
        <f>VLOOKUP(B140,'[19]ACTA PARCIAL OBRA'!$B$122:$X$536,20,0)</f>
        <v>57909898.560000002</v>
      </c>
      <c r="AB140" s="319">
        <f t="shared" si="19"/>
        <v>57909898.560000002</v>
      </c>
      <c r="AC140" s="319">
        <v>0</v>
      </c>
      <c r="AD140" s="514">
        <f t="shared" si="20"/>
        <v>0</v>
      </c>
      <c r="AE140" s="556" t="str">
        <f t="shared" si="18"/>
        <v>10.2.9</v>
      </c>
      <c r="AF140" s="557" t="str">
        <f t="shared" si="18"/>
        <v>BALDOSIN GRANITO BH-5 DE 33x33 MORTERO 1:4 - (INCLUYE JUNTA DE DILATACION, DESTRONQUE, PULIDA Y BRILLADA)</v>
      </c>
      <c r="AG140" s="558"/>
      <c r="AH140" s="558">
        <v>0</v>
      </c>
      <c r="AI140" s="558"/>
      <c r="AJ140" s="558"/>
      <c r="AK140" s="558"/>
      <c r="AL140" s="568"/>
      <c r="AM140" s="568"/>
    </row>
    <row r="141" spans="2:39" ht="21" customHeight="1">
      <c r="B141" s="125" t="s">
        <v>278</v>
      </c>
      <c r="C141" s="610" t="s">
        <v>279</v>
      </c>
      <c r="D141" s="611">
        <v>6</v>
      </c>
      <c r="E141" s="611">
        <v>6</v>
      </c>
      <c r="F141" s="611">
        <v>6</v>
      </c>
      <c r="G141" s="611">
        <v>6</v>
      </c>
      <c r="H141" s="611">
        <v>6</v>
      </c>
      <c r="I141" s="490" t="s">
        <v>116</v>
      </c>
      <c r="J141" s="133">
        <v>105.53</v>
      </c>
      <c r="K141" s="118">
        <v>50736</v>
      </c>
      <c r="L141" s="104">
        <f t="shared" ref="L141:L204" si="21">+ROUND(J141*K141,2)</f>
        <v>5354170.08</v>
      </c>
      <c r="M141" s="115"/>
      <c r="N141" s="124"/>
      <c r="O141" s="57">
        <v>0</v>
      </c>
      <c r="P141" s="115"/>
      <c r="Q141" s="502"/>
      <c r="R141" s="57">
        <v>0</v>
      </c>
      <c r="S141" s="116"/>
      <c r="T141" s="312">
        <f t="shared" si="10"/>
        <v>0</v>
      </c>
      <c r="U141" s="57">
        <f t="shared" si="11"/>
        <v>0</v>
      </c>
      <c r="V141" s="623">
        <f t="shared" si="12"/>
        <v>0</v>
      </c>
      <c r="W141" s="624"/>
      <c r="Y141" s="274">
        <f t="shared" si="16"/>
        <v>0</v>
      </c>
      <c r="Z141" s="274">
        <f t="shared" si="17"/>
        <v>0</v>
      </c>
      <c r="AA141" s="319">
        <f>VLOOKUP(B141,'[19]ACTA PARCIAL OBRA'!$B$122:$X$536,20,0)</f>
        <v>0</v>
      </c>
      <c r="AB141" s="319">
        <f t="shared" si="19"/>
        <v>0</v>
      </c>
      <c r="AC141" s="319">
        <v>0</v>
      </c>
      <c r="AD141" s="514">
        <f t="shared" si="20"/>
        <v>0</v>
      </c>
      <c r="AE141" s="556" t="str">
        <f t="shared" si="18"/>
        <v>10.2.33</v>
      </c>
      <c r="AF141" s="557" t="str">
        <f t="shared" si="18"/>
        <v>SUMINISTRO E INSTALACION DE BALDOSA CERAMICA ANTIDESLIZANTE EN DUROPISO 30X30.</v>
      </c>
      <c r="AG141" s="558"/>
      <c r="AH141" s="558">
        <v>0</v>
      </c>
      <c r="AI141" s="558"/>
      <c r="AJ141" s="558"/>
      <c r="AK141" s="558"/>
      <c r="AL141" s="568"/>
      <c r="AM141" s="568"/>
    </row>
    <row r="142" spans="2:39" ht="12.75" customHeight="1">
      <c r="B142" s="125">
        <v>10.3</v>
      </c>
      <c r="C142" s="621" t="s">
        <v>280</v>
      </c>
      <c r="D142" s="622">
        <v>6</v>
      </c>
      <c r="E142" s="622">
        <v>6</v>
      </c>
      <c r="F142" s="622">
        <v>6</v>
      </c>
      <c r="G142" s="622">
        <v>6</v>
      </c>
      <c r="H142" s="622">
        <v>6</v>
      </c>
      <c r="I142" s="135">
        <v>0</v>
      </c>
      <c r="J142" s="133"/>
      <c r="K142" s="118"/>
      <c r="L142" s="104">
        <f t="shared" si="21"/>
        <v>0</v>
      </c>
      <c r="M142" s="115"/>
      <c r="N142" s="124"/>
      <c r="O142" s="57">
        <v>0</v>
      </c>
      <c r="P142" s="115"/>
      <c r="Q142" s="502"/>
      <c r="R142" s="57">
        <v>0</v>
      </c>
      <c r="S142" s="116"/>
      <c r="T142" s="312">
        <f t="shared" si="10"/>
        <v>0</v>
      </c>
      <c r="U142" s="57">
        <f t="shared" si="11"/>
        <v>0</v>
      </c>
      <c r="V142" s="623">
        <f t="shared" si="12"/>
        <v>0</v>
      </c>
      <c r="W142" s="624"/>
      <c r="Y142" s="274">
        <f t="shared" si="16"/>
        <v>0</v>
      </c>
      <c r="Z142" s="274">
        <f t="shared" si="17"/>
        <v>0</v>
      </c>
      <c r="AA142" s="319" t="e">
        <f>VLOOKUP(B142,'[19]ACTA PARCIAL OBRA'!$B$122:$X$536,20,0)</f>
        <v>#N/A</v>
      </c>
      <c r="AB142" s="319" t="e">
        <f t="shared" si="19"/>
        <v>#N/A</v>
      </c>
      <c r="AC142" s="319">
        <v>0</v>
      </c>
      <c r="AD142" s="514">
        <f t="shared" si="20"/>
        <v>0</v>
      </c>
      <c r="AE142" s="556">
        <f t="shared" si="18"/>
        <v>10.3</v>
      </c>
      <c r="AF142" s="557" t="str">
        <f t="shared" si="18"/>
        <v>GUARDAESCOBAS</v>
      </c>
      <c r="AG142" s="558"/>
      <c r="AH142" s="558">
        <v>0</v>
      </c>
      <c r="AI142" s="558"/>
      <c r="AJ142" s="558"/>
      <c r="AK142" s="558"/>
      <c r="AL142" s="568"/>
      <c r="AM142" s="568"/>
    </row>
    <row r="143" spans="2:39" ht="12.75" customHeight="1">
      <c r="B143" s="125" t="s">
        <v>281</v>
      </c>
      <c r="C143" s="613" t="s">
        <v>282</v>
      </c>
      <c r="D143" s="614">
        <v>6</v>
      </c>
      <c r="E143" s="614">
        <v>6</v>
      </c>
      <c r="F143" s="614">
        <v>6</v>
      </c>
      <c r="G143" s="614">
        <v>6</v>
      </c>
      <c r="H143" s="614">
        <v>6</v>
      </c>
      <c r="I143" s="132" t="s">
        <v>158</v>
      </c>
      <c r="J143" s="133">
        <v>195.26</v>
      </c>
      <c r="K143" s="118">
        <v>48533</v>
      </c>
      <c r="L143" s="104">
        <f t="shared" si="21"/>
        <v>9476553.5800000001</v>
      </c>
      <c r="M143" s="115"/>
      <c r="N143" s="313"/>
      <c r="O143" s="57">
        <v>0</v>
      </c>
      <c r="P143" s="115"/>
      <c r="Q143" s="502"/>
      <c r="R143" s="57">
        <v>0</v>
      </c>
      <c r="S143" s="116"/>
      <c r="T143" s="312">
        <f t="shared" si="10"/>
        <v>0</v>
      </c>
      <c r="U143" s="57">
        <f t="shared" si="11"/>
        <v>0</v>
      </c>
      <c r="V143" s="623">
        <f t="shared" si="12"/>
        <v>0</v>
      </c>
      <c r="W143" s="624"/>
      <c r="Y143" s="274">
        <f t="shared" si="16"/>
        <v>0</v>
      </c>
      <c r="Z143" s="274">
        <f t="shared" si="17"/>
        <v>0</v>
      </c>
      <c r="AA143" s="319">
        <f>VLOOKUP(B143,'[19]ACTA PARCIAL OBRA'!$B$122:$X$536,20,0)</f>
        <v>0</v>
      </c>
      <c r="AB143" s="319">
        <f t="shared" si="19"/>
        <v>0</v>
      </c>
      <c r="AC143" s="319">
        <v>5933495.1200000001</v>
      </c>
      <c r="AD143" s="514">
        <f t="shared" si="20"/>
        <v>-5933495.1200000001</v>
      </c>
      <c r="AE143" s="556" t="str">
        <f t="shared" si="18"/>
        <v>10.3.12</v>
      </c>
      <c r="AF143" s="557" t="str">
        <f t="shared" si="18"/>
        <v>MEDIACAÑA EN GRANITO H = 0.10 m (COCINA)</v>
      </c>
      <c r="AG143" s="558"/>
      <c r="AH143" s="558">
        <v>26.38</v>
      </c>
      <c r="AI143" s="558"/>
      <c r="AJ143" s="558"/>
      <c r="AK143" s="558"/>
      <c r="AL143" s="568"/>
      <c r="AM143" s="568"/>
    </row>
    <row r="144" spans="2:39" ht="38.25">
      <c r="B144" s="111" t="s">
        <v>283</v>
      </c>
      <c r="C144" s="607" t="s">
        <v>284</v>
      </c>
      <c r="D144" s="608">
        <v>6</v>
      </c>
      <c r="E144" s="608">
        <v>6</v>
      </c>
      <c r="F144" s="608">
        <v>6</v>
      </c>
      <c r="G144" s="608">
        <v>6</v>
      </c>
      <c r="H144" s="608">
        <v>6</v>
      </c>
      <c r="I144" s="132">
        <v>0</v>
      </c>
      <c r="J144" s="133"/>
      <c r="K144" s="118"/>
      <c r="L144" s="104">
        <f t="shared" si="21"/>
        <v>0</v>
      </c>
      <c r="M144" s="115"/>
      <c r="N144" s="313"/>
      <c r="O144" s="57">
        <v>0</v>
      </c>
      <c r="P144" s="115"/>
      <c r="Q144" s="502"/>
      <c r="R144" s="57">
        <v>0</v>
      </c>
      <c r="S144" s="116"/>
      <c r="T144" s="312">
        <f t="shared" si="10"/>
        <v>0</v>
      </c>
      <c r="U144" s="57">
        <f t="shared" si="11"/>
        <v>0</v>
      </c>
      <c r="V144" s="260"/>
      <c r="W144" s="261"/>
      <c r="AA144" s="319" t="e">
        <f>VLOOKUP(B144,'[19]ACTA PARCIAL OBRA'!$B$122:$X$536,20,0)</f>
        <v>#N/A</v>
      </c>
      <c r="AB144" s="319" t="e">
        <f t="shared" si="19"/>
        <v>#N/A</v>
      </c>
      <c r="AC144" s="319">
        <v>5933495.1200000001</v>
      </c>
      <c r="AD144" s="514">
        <f t="shared" si="20"/>
        <v>-5933495.1200000001</v>
      </c>
      <c r="AE144" s="559" t="str">
        <f t="shared" si="18"/>
        <v>10.5</v>
      </c>
      <c r="AF144" s="560" t="str">
        <f t="shared" si="18"/>
        <v>CENEFAS, DILATACIONES Y PIRLANES</v>
      </c>
      <c r="AG144" s="558"/>
      <c r="AH144" s="558"/>
      <c r="AI144" s="558"/>
      <c r="AJ144" s="558"/>
      <c r="AK144" s="558"/>
      <c r="AL144" s="568"/>
      <c r="AM144" s="568"/>
    </row>
    <row r="145" spans="2:39" ht="76.5">
      <c r="B145" s="125" t="s">
        <v>285</v>
      </c>
      <c r="C145" s="602" t="s">
        <v>286</v>
      </c>
      <c r="D145" s="603">
        <v>6</v>
      </c>
      <c r="E145" s="603">
        <v>6</v>
      </c>
      <c r="F145" s="603">
        <v>6</v>
      </c>
      <c r="G145" s="603">
        <v>6</v>
      </c>
      <c r="H145" s="603">
        <v>6</v>
      </c>
      <c r="I145" s="491" t="s">
        <v>158</v>
      </c>
      <c r="J145" s="133">
        <v>33.5</v>
      </c>
      <c r="K145" s="118">
        <v>30575</v>
      </c>
      <c r="L145" s="104">
        <f t="shared" si="21"/>
        <v>1024262.5</v>
      </c>
      <c r="M145" s="115"/>
      <c r="N145" s="124"/>
      <c r="O145" s="57">
        <v>0</v>
      </c>
      <c r="P145" s="115"/>
      <c r="Q145" s="502"/>
      <c r="R145" s="57">
        <v>0</v>
      </c>
      <c r="S145" s="116"/>
      <c r="T145" s="312">
        <f t="shared" si="10"/>
        <v>0</v>
      </c>
      <c r="U145" s="57">
        <f t="shared" si="11"/>
        <v>0</v>
      </c>
      <c r="V145" s="623">
        <f t="shared" si="12"/>
        <v>0</v>
      </c>
      <c r="W145" s="624"/>
      <c r="Y145" s="274">
        <f t="shared" si="16"/>
        <v>0</v>
      </c>
      <c r="Z145" s="274">
        <f t="shared" si="17"/>
        <v>0</v>
      </c>
      <c r="AA145" s="319" t="e">
        <f>VLOOKUP(B145,'[19]ACTA PARCIAL OBRA'!$B$122:$X$536,20,0)</f>
        <v>#N/A</v>
      </c>
      <c r="AB145" s="319" t="e">
        <f t="shared" si="19"/>
        <v>#N/A</v>
      </c>
      <c r="AC145" s="319">
        <v>0</v>
      </c>
      <c r="AD145" s="514">
        <f t="shared" si="20"/>
        <v>0</v>
      </c>
      <c r="AE145" s="559" t="str">
        <f t="shared" si="18"/>
        <v>10.5.2</v>
      </c>
      <c r="AF145" s="560" t="str">
        <f t="shared" si="18"/>
        <v>CENEFAS EN GRANITO PULIDO DE 0.25 (BOCAPUERTAS)</v>
      </c>
      <c r="AG145" s="558"/>
      <c r="AH145" s="558">
        <v>0</v>
      </c>
      <c r="AI145" s="558"/>
      <c r="AJ145" s="558"/>
      <c r="AK145" s="558"/>
      <c r="AL145" s="568"/>
      <c r="AM145" s="568"/>
    </row>
    <row r="146" spans="2:39" ht="12.75" customHeight="1">
      <c r="B146" s="125" t="s">
        <v>287</v>
      </c>
      <c r="C146" s="613" t="s">
        <v>288</v>
      </c>
      <c r="D146" s="614">
        <v>6</v>
      </c>
      <c r="E146" s="614">
        <v>6</v>
      </c>
      <c r="F146" s="614">
        <v>6</v>
      </c>
      <c r="G146" s="614">
        <v>6</v>
      </c>
      <c r="H146" s="700">
        <v>6</v>
      </c>
      <c r="I146" s="136" t="s">
        <v>158</v>
      </c>
      <c r="J146" s="133">
        <v>205.39</v>
      </c>
      <c r="K146" s="118">
        <v>9835</v>
      </c>
      <c r="L146" s="104">
        <f t="shared" si="21"/>
        <v>2020010.65</v>
      </c>
      <c r="M146" s="115"/>
      <c r="N146" s="124"/>
      <c r="O146" s="57">
        <v>0</v>
      </c>
      <c r="P146" s="115"/>
      <c r="Q146" s="502"/>
      <c r="R146" s="57">
        <v>0</v>
      </c>
      <c r="S146" s="116"/>
      <c r="T146" s="312">
        <f t="shared" si="10"/>
        <v>0</v>
      </c>
      <c r="U146" s="57">
        <f t="shared" si="11"/>
        <v>0</v>
      </c>
      <c r="V146" s="623">
        <f t="shared" si="12"/>
        <v>0</v>
      </c>
      <c r="W146" s="624"/>
      <c r="Y146" s="274">
        <f t="shared" si="16"/>
        <v>0</v>
      </c>
      <c r="Z146" s="274">
        <f t="shared" si="17"/>
        <v>0</v>
      </c>
      <c r="AA146" s="319" t="e">
        <f>VLOOKUP(B146,'[19]ACTA PARCIAL OBRA'!$B$122:$X$536,20,0)</f>
        <v>#N/A</v>
      </c>
      <c r="AB146" s="319" t="e">
        <f t="shared" si="19"/>
        <v>#N/A</v>
      </c>
      <c r="AC146" s="319">
        <v>0</v>
      </c>
      <c r="AD146" s="514">
        <f t="shared" si="20"/>
        <v>0</v>
      </c>
      <c r="AE146" s="556" t="str">
        <f t="shared" si="18"/>
        <v>10.5.4</v>
      </c>
      <c r="AF146" s="557" t="str">
        <f t="shared" si="18"/>
        <v>PIRLAN DE ALUMINIO</v>
      </c>
      <c r="AG146" s="558"/>
      <c r="AH146" s="558">
        <v>0</v>
      </c>
      <c r="AI146" s="558"/>
      <c r="AJ146" s="558"/>
      <c r="AK146" s="558"/>
      <c r="AL146" s="568"/>
      <c r="AM146" s="568"/>
    </row>
    <row r="147" spans="2:39" ht="36">
      <c r="B147" s="111">
        <v>11</v>
      </c>
      <c r="C147" s="607" t="s">
        <v>289</v>
      </c>
      <c r="D147" s="608">
        <v>6</v>
      </c>
      <c r="E147" s="608">
        <v>6</v>
      </c>
      <c r="F147" s="608">
        <v>6</v>
      </c>
      <c r="G147" s="608">
        <v>6</v>
      </c>
      <c r="H147" s="609">
        <v>6</v>
      </c>
      <c r="I147" s="126">
        <v>0</v>
      </c>
      <c r="J147" s="117"/>
      <c r="K147" s="118"/>
      <c r="L147" s="104">
        <f t="shared" si="21"/>
        <v>0</v>
      </c>
      <c r="M147" s="120"/>
      <c r="N147" s="105"/>
      <c r="O147" s="57">
        <v>0</v>
      </c>
      <c r="P147" s="115"/>
      <c r="Q147" s="505"/>
      <c r="R147" s="57">
        <v>0</v>
      </c>
      <c r="S147" s="116"/>
      <c r="T147" s="312">
        <f t="shared" si="10"/>
        <v>0</v>
      </c>
      <c r="U147" s="57">
        <f t="shared" si="11"/>
        <v>0</v>
      </c>
      <c r="V147" s="623">
        <f t="shared" si="12"/>
        <v>0</v>
      </c>
      <c r="W147" s="624"/>
      <c r="Y147" s="274">
        <f t="shared" si="16"/>
        <v>0</v>
      </c>
      <c r="Z147" s="274">
        <f t="shared" si="17"/>
        <v>0</v>
      </c>
      <c r="AA147" s="319">
        <f>VLOOKUP(B147,'[19]ACTA PARCIAL OBRA'!$B$122:$X$536,20,0)</f>
        <v>0</v>
      </c>
      <c r="AB147" s="319">
        <f t="shared" si="19"/>
        <v>0</v>
      </c>
      <c r="AC147" s="319">
        <v>0</v>
      </c>
      <c r="AD147" s="514">
        <f t="shared" si="20"/>
        <v>0</v>
      </c>
      <c r="AE147" s="556">
        <f t="shared" si="18"/>
        <v>11</v>
      </c>
      <c r="AF147" s="557" t="str">
        <f t="shared" si="18"/>
        <v xml:space="preserve">CUBIERTAS E IMPERMEABILIZACIONES </v>
      </c>
      <c r="AG147" s="558"/>
      <c r="AH147" s="558">
        <v>0</v>
      </c>
      <c r="AI147" s="558"/>
      <c r="AJ147" s="558"/>
      <c r="AK147" s="558"/>
      <c r="AL147" s="568"/>
      <c r="AM147" s="568"/>
    </row>
    <row r="148" spans="2:39" ht="12.75" customHeight="1">
      <c r="B148" s="111">
        <v>11.1</v>
      </c>
      <c r="C148" s="607" t="s">
        <v>290</v>
      </c>
      <c r="D148" s="608">
        <v>6</v>
      </c>
      <c r="E148" s="608">
        <v>6</v>
      </c>
      <c r="F148" s="608">
        <v>6</v>
      </c>
      <c r="G148" s="608">
        <v>6</v>
      </c>
      <c r="H148" s="609">
        <v>6</v>
      </c>
      <c r="I148" s="143">
        <v>0</v>
      </c>
      <c r="J148" s="117"/>
      <c r="K148" s="118"/>
      <c r="L148" s="104">
        <f t="shared" si="21"/>
        <v>0</v>
      </c>
      <c r="M148" s="115"/>
      <c r="N148" s="105"/>
      <c r="O148" s="57">
        <v>0</v>
      </c>
      <c r="P148" s="115"/>
      <c r="Q148" s="503"/>
      <c r="R148" s="57">
        <v>0</v>
      </c>
      <c r="S148" s="116"/>
      <c r="T148" s="312">
        <f t="shared" si="10"/>
        <v>0</v>
      </c>
      <c r="U148" s="57">
        <f t="shared" si="11"/>
        <v>0</v>
      </c>
      <c r="V148" s="623">
        <f t="shared" si="12"/>
        <v>0</v>
      </c>
      <c r="W148" s="624"/>
      <c r="Y148" s="274">
        <f t="shared" si="16"/>
        <v>0</v>
      </c>
      <c r="Z148" s="274">
        <f t="shared" si="17"/>
        <v>0</v>
      </c>
      <c r="AA148" s="319" t="e">
        <f>VLOOKUP(B148,'[19]ACTA PARCIAL OBRA'!$B$122:$X$536,20,0)</f>
        <v>#N/A</v>
      </c>
      <c r="AB148" s="319" t="e">
        <f t="shared" si="19"/>
        <v>#N/A</v>
      </c>
      <c r="AC148" s="319">
        <v>1238886.3</v>
      </c>
      <c r="AD148" s="514">
        <f t="shared" si="20"/>
        <v>-1238886.3</v>
      </c>
      <c r="AE148" s="559">
        <f t="shared" si="18"/>
        <v>11.1</v>
      </c>
      <c r="AF148" s="560" t="str">
        <f t="shared" si="18"/>
        <v>IMPERMEABILIZACIONES Y AISLAMIENTOS</v>
      </c>
      <c r="AG148" s="561"/>
      <c r="AH148" s="561">
        <v>0</v>
      </c>
      <c r="AI148" s="561"/>
      <c r="AJ148" s="561">
        <v>48.8</v>
      </c>
      <c r="AK148" s="562"/>
      <c r="AL148" s="568"/>
      <c r="AM148" s="568"/>
    </row>
    <row r="149" spans="2:39" ht="12.75" customHeight="1">
      <c r="B149" s="125" t="s">
        <v>291</v>
      </c>
      <c r="C149" s="621" t="s">
        <v>292</v>
      </c>
      <c r="D149" s="622">
        <v>6</v>
      </c>
      <c r="E149" s="622">
        <v>6</v>
      </c>
      <c r="F149" s="622">
        <v>6</v>
      </c>
      <c r="G149" s="622">
        <v>6</v>
      </c>
      <c r="H149" s="629">
        <v>6</v>
      </c>
      <c r="I149" s="126" t="s">
        <v>116</v>
      </c>
      <c r="J149" s="133">
        <v>181.89</v>
      </c>
      <c r="K149" s="118">
        <v>28474</v>
      </c>
      <c r="L149" s="104">
        <f t="shared" si="21"/>
        <v>5179135.8600000003</v>
      </c>
      <c r="M149" s="115"/>
      <c r="N149" s="119"/>
      <c r="O149" s="57">
        <v>0</v>
      </c>
      <c r="P149" s="115"/>
      <c r="Q149" s="502"/>
      <c r="R149" s="57">
        <v>0</v>
      </c>
      <c r="S149" s="116"/>
      <c r="T149" s="312">
        <f t="shared" si="10"/>
        <v>0</v>
      </c>
      <c r="U149" s="57">
        <f t="shared" si="11"/>
        <v>0</v>
      </c>
      <c r="V149" s="623">
        <f t="shared" si="12"/>
        <v>0</v>
      </c>
      <c r="W149" s="624"/>
      <c r="Y149" s="274">
        <f t="shared" si="16"/>
        <v>0</v>
      </c>
      <c r="Z149" s="274">
        <f t="shared" si="17"/>
        <v>0</v>
      </c>
      <c r="AA149" s="319" t="e">
        <f>VLOOKUP(B149,'[19]ACTA PARCIAL OBRA'!$B$122:$X$536,20,0)</f>
        <v>#N/A</v>
      </c>
      <c r="AB149" s="319" t="e">
        <f t="shared" si="19"/>
        <v>#N/A</v>
      </c>
      <c r="AC149" s="319">
        <v>75780888.590000004</v>
      </c>
      <c r="AD149" s="514">
        <f t="shared" si="20"/>
        <v>-75780888.590000004</v>
      </c>
      <c r="AE149" s="556" t="str">
        <f t="shared" si="18"/>
        <v>11.1.1</v>
      </c>
      <c r="AF149" s="557" t="str">
        <f t="shared" si="18"/>
        <v>AFINADO CUBIERTAS PLANAS MORTERO 1:3 IMPERMEABILIZADO. INCLUYE PENDIENTADO Y REMATES</v>
      </c>
      <c r="AG149" s="558"/>
      <c r="AH149" s="558">
        <v>1154.25</v>
      </c>
      <c r="AI149" s="558">
        <v>832.82</v>
      </c>
      <c r="AJ149" s="558"/>
      <c r="AK149" s="558"/>
      <c r="AL149" s="568"/>
      <c r="AM149" s="568"/>
    </row>
    <row r="150" spans="2:39" ht="12.75" customHeight="1">
      <c r="B150" s="125" t="s">
        <v>293</v>
      </c>
      <c r="C150" s="602" t="s">
        <v>294</v>
      </c>
      <c r="D150" s="603">
        <v>6</v>
      </c>
      <c r="E150" s="603">
        <v>6</v>
      </c>
      <c r="F150" s="603">
        <v>6</v>
      </c>
      <c r="G150" s="603">
        <v>6</v>
      </c>
      <c r="H150" s="604">
        <v>6</v>
      </c>
      <c r="I150" s="126" t="s">
        <v>116</v>
      </c>
      <c r="J150" s="117">
        <v>181.89</v>
      </c>
      <c r="K150" s="118">
        <v>46479</v>
      </c>
      <c r="L150" s="104">
        <f t="shared" si="21"/>
        <v>8454065.3100000005</v>
      </c>
      <c r="M150" s="115"/>
      <c r="N150" s="105"/>
      <c r="O150" s="57">
        <v>0</v>
      </c>
      <c r="P150" s="115"/>
      <c r="Q150" s="505"/>
      <c r="R150" s="57">
        <v>0</v>
      </c>
      <c r="S150" s="116"/>
      <c r="T150" s="312">
        <f t="shared" si="10"/>
        <v>0</v>
      </c>
      <c r="U150" s="57">
        <f t="shared" si="11"/>
        <v>0</v>
      </c>
      <c r="V150" s="623">
        <f t="shared" si="12"/>
        <v>0</v>
      </c>
      <c r="W150" s="624"/>
      <c r="Y150" s="274">
        <f t="shared" si="16"/>
        <v>0</v>
      </c>
      <c r="Z150" s="274">
        <f t="shared" si="17"/>
        <v>0</v>
      </c>
      <c r="AA150" s="319" t="e">
        <f>VLOOKUP(B150,'[19]ACTA PARCIAL OBRA'!$B$122:$X$536,20,0)</f>
        <v>#N/A</v>
      </c>
      <c r="AB150" s="319" t="e">
        <f t="shared" si="19"/>
        <v>#N/A</v>
      </c>
      <c r="AC150" s="319">
        <v>5919424</v>
      </c>
      <c r="AD150" s="514">
        <f t="shared" si="20"/>
        <v>-5919424</v>
      </c>
      <c r="AE150" s="556" t="str">
        <f t="shared" si="18"/>
        <v>11.1.3</v>
      </c>
      <c r="AF150" s="557" t="str">
        <f t="shared" si="18"/>
        <v>IMPERMEABILIZACION CANALES MANTO ASFALTICO Y FOIL ALUMINIO</v>
      </c>
      <c r="AG150" s="558"/>
      <c r="AH150" s="558">
        <v>0</v>
      </c>
      <c r="AI150" s="558"/>
      <c r="AJ150" s="558"/>
      <c r="AK150" s="558"/>
      <c r="AL150" s="568"/>
      <c r="AM150" s="568"/>
    </row>
    <row r="151" spans="2:39" ht="12.75" customHeight="1">
      <c r="B151" s="125" t="s">
        <v>295</v>
      </c>
      <c r="C151" s="602" t="s">
        <v>296</v>
      </c>
      <c r="D151" s="603">
        <v>6</v>
      </c>
      <c r="E151" s="603">
        <v>6</v>
      </c>
      <c r="F151" s="603">
        <v>6</v>
      </c>
      <c r="G151" s="603">
        <v>6</v>
      </c>
      <c r="H151" s="604">
        <v>6</v>
      </c>
      <c r="I151" s="126" t="s">
        <v>158</v>
      </c>
      <c r="J151" s="117">
        <v>273</v>
      </c>
      <c r="K151" s="118">
        <v>10400</v>
      </c>
      <c r="L151" s="104">
        <f t="shared" si="21"/>
        <v>2839200</v>
      </c>
      <c r="M151" s="115"/>
      <c r="N151" s="124"/>
      <c r="O151" s="57">
        <v>0</v>
      </c>
      <c r="P151" s="115"/>
      <c r="Q151" s="502"/>
      <c r="R151" s="57">
        <v>0</v>
      </c>
      <c r="S151" s="116"/>
      <c r="T151" s="312">
        <f t="shared" si="10"/>
        <v>0</v>
      </c>
      <c r="U151" s="57">
        <f t="shared" si="11"/>
        <v>0</v>
      </c>
      <c r="V151" s="623">
        <f t="shared" si="12"/>
        <v>0</v>
      </c>
      <c r="W151" s="624"/>
      <c r="Y151" s="274">
        <f t="shared" si="16"/>
        <v>0</v>
      </c>
      <c r="Z151" s="274">
        <f t="shared" si="17"/>
        <v>0</v>
      </c>
      <c r="AA151" s="319" t="e">
        <f>VLOOKUP(B151,'[19]ACTA PARCIAL OBRA'!$B$122:$X$536,20,0)</f>
        <v>#N/A</v>
      </c>
      <c r="AB151" s="319" t="e">
        <f t="shared" si="19"/>
        <v>#N/A</v>
      </c>
      <c r="AC151" s="319">
        <v>2503372.7999999998</v>
      </c>
      <c r="AD151" s="514">
        <f t="shared" si="20"/>
        <v>-2503372.7999999998</v>
      </c>
      <c r="AE151" s="556" t="str">
        <f t="shared" si="18"/>
        <v>11.1.5</v>
      </c>
      <c r="AF151" s="557" t="str">
        <f t="shared" si="18"/>
        <v>MEDIA CAÑA MORTERO DE PENDIENTE</v>
      </c>
      <c r="AG151" s="558"/>
      <c r="AH151" s="558">
        <v>0</v>
      </c>
      <c r="AI151" s="558">
        <v>160.27000000000001</v>
      </c>
      <c r="AJ151" s="558"/>
      <c r="AK151" s="558"/>
      <c r="AL151" s="568"/>
      <c r="AM151" s="568"/>
    </row>
    <row r="152" spans="2:39" ht="12.75" customHeight="1">
      <c r="B152" s="111" t="s">
        <v>297</v>
      </c>
      <c r="C152" s="607" t="s">
        <v>298</v>
      </c>
      <c r="D152" s="608">
        <v>6</v>
      </c>
      <c r="E152" s="608">
        <v>6</v>
      </c>
      <c r="F152" s="608">
        <v>6</v>
      </c>
      <c r="G152" s="608">
        <v>6</v>
      </c>
      <c r="H152" s="609">
        <v>6</v>
      </c>
      <c r="I152" s="126">
        <v>0</v>
      </c>
      <c r="J152" s="117"/>
      <c r="K152" s="118"/>
      <c r="L152" s="104">
        <f t="shared" si="21"/>
        <v>0</v>
      </c>
      <c r="M152" s="115"/>
      <c r="N152" s="124"/>
      <c r="O152" s="57">
        <v>0</v>
      </c>
      <c r="P152" s="115"/>
      <c r="Q152" s="502"/>
      <c r="R152" s="57">
        <v>0</v>
      </c>
      <c r="S152" s="116"/>
      <c r="T152" s="312">
        <f t="shared" si="10"/>
        <v>0</v>
      </c>
      <c r="U152" s="57">
        <f t="shared" si="11"/>
        <v>0</v>
      </c>
      <c r="V152" s="623">
        <f t="shared" si="12"/>
        <v>0</v>
      </c>
      <c r="W152" s="624"/>
      <c r="Y152" s="274">
        <f t="shared" si="16"/>
        <v>0</v>
      </c>
      <c r="Z152" s="274">
        <f t="shared" si="17"/>
        <v>0</v>
      </c>
      <c r="AA152" s="319" t="e">
        <f>VLOOKUP(B152,'[19]ACTA PARCIAL OBRA'!$B$122:$X$536,20,0)</f>
        <v>#N/A</v>
      </c>
      <c r="AB152" s="319" t="e">
        <f t="shared" si="19"/>
        <v>#N/A</v>
      </c>
      <c r="AC152" s="319">
        <v>0</v>
      </c>
      <c r="AD152" s="514">
        <f t="shared" si="20"/>
        <v>0</v>
      </c>
      <c r="AE152" s="556" t="str">
        <f t="shared" si="18"/>
        <v>11.2</v>
      </c>
      <c r="AF152" s="557" t="str">
        <f t="shared" si="18"/>
        <v>CUBIERTAS</v>
      </c>
      <c r="AG152" s="558"/>
      <c r="AH152" s="558">
        <v>0</v>
      </c>
      <c r="AI152" s="558"/>
      <c r="AJ152" s="558"/>
      <c r="AK152" s="558"/>
      <c r="AL152" s="568"/>
      <c r="AM152" s="568"/>
    </row>
    <row r="153" spans="2:39" ht="12.75" customHeight="1">
      <c r="B153" s="125" t="s">
        <v>299</v>
      </c>
      <c r="C153" s="602" t="s">
        <v>300</v>
      </c>
      <c r="D153" s="603">
        <v>6</v>
      </c>
      <c r="E153" s="603">
        <v>6</v>
      </c>
      <c r="F153" s="603">
        <v>6</v>
      </c>
      <c r="G153" s="603">
        <v>6</v>
      </c>
      <c r="H153" s="604">
        <v>6</v>
      </c>
      <c r="I153" s="126" t="s">
        <v>193</v>
      </c>
      <c r="J153" s="117">
        <v>42081.052806692584</v>
      </c>
      <c r="K153" s="118">
        <v>14950</v>
      </c>
      <c r="L153" s="104">
        <f>+J153*K153</f>
        <v>629111739.46005416</v>
      </c>
      <c r="M153" s="115"/>
      <c r="N153" s="105"/>
      <c r="O153" s="57">
        <v>0</v>
      </c>
      <c r="P153" s="115"/>
      <c r="Q153" s="505"/>
      <c r="R153" s="57">
        <v>0</v>
      </c>
      <c r="S153" s="116"/>
      <c r="T153" s="312">
        <f t="shared" si="10"/>
        <v>0</v>
      </c>
      <c r="U153" s="57">
        <f t="shared" si="11"/>
        <v>0</v>
      </c>
      <c r="V153" s="623">
        <f t="shared" si="12"/>
        <v>0</v>
      </c>
      <c r="W153" s="624"/>
      <c r="Y153" s="274">
        <f t="shared" si="16"/>
        <v>0</v>
      </c>
      <c r="Z153" s="274">
        <f t="shared" si="17"/>
        <v>0</v>
      </c>
      <c r="AA153" s="319">
        <f>VLOOKUP(B153,'[19]ACTA PARCIAL OBRA'!$B$122:$X$536,20,0)</f>
        <v>110615538.56</v>
      </c>
      <c r="AB153" s="319">
        <f t="shared" si="19"/>
        <v>110615538.56</v>
      </c>
      <c r="AC153" s="319">
        <v>5933495.1200000001</v>
      </c>
      <c r="AD153" s="514">
        <f t="shared" si="20"/>
        <v>-5933495.1200000001</v>
      </c>
      <c r="AE153" s="556" t="str">
        <f t="shared" si="18"/>
        <v>11.2.18</v>
      </c>
      <c r="AF153" s="557" t="str">
        <f t="shared" si="18"/>
        <v>SUMINISTRO E INSTALACION DE ESTRUCTURA METALICA PARA CUBIERTAS. NORMA NSR10 TITULO F. PERFILERIA ASTM A572 GR50 Y ASTM A37. SOLDADURA E70XX. INC CERCHAS, CORREAS, TENSORES, ANCLAJES Y ACCESORIOS, LIMPIEZA SSPC-SP3, PINTURA ANTICORROSIVA 3 MILS Y ACABADO ESMALTE ALQUIDICO 3 MILS</v>
      </c>
      <c r="AG153" s="558"/>
      <c r="AH153" s="558"/>
      <c r="AI153" s="558"/>
      <c r="AJ153" s="558"/>
      <c r="AK153" s="558"/>
      <c r="AL153" s="568"/>
      <c r="AM153" s="568"/>
    </row>
    <row r="154" spans="2:39" ht="12.75" customHeight="1">
      <c r="B154" s="125" t="s">
        <v>301</v>
      </c>
      <c r="C154" s="602" t="s">
        <v>302</v>
      </c>
      <c r="D154" s="603">
        <v>6</v>
      </c>
      <c r="E154" s="603">
        <v>6</v>
      </c>
      <c r="F154" s="603">
        <v>6</v>
      </c>
      <c r="G154" s="603">
        <v>6</v>
      </c>
      <c r="H154" s="604">
        <v>6</v>
      </c>
      <c r="I154" s="126" t="s">
        <v>116</v>
      </c>
      <c r="J154" s="117">
        <v>910.59</v>
      </c>
      <c r="K154" s="118">
        <v>72060</v>
      </c>
      <c r="L154" s="104">
        <f t="shared" si="21"/>
        <v>65617115.399999999</v>
      </c>
      <c r="M154" s="115"/>
      <c r="N154" s="124"/>
      <c r="O154" s="57">
        <v>0</v>
      </c>
      <c r="P154" s="115"/>
      <c r="Q154" s="502"/>
      <c r="R154" s="57">
        <v>0</v>
      </c>
      <c r="S154" s="116"/>
      <c r="T154" s="312">
        <f t="shared" si="10"/>
        <v>0</v>
      </c>
      <c r="U154" s="57">
        <f t="shared" si="11"/>
        <v>0</v>
      </c>
      <c r="V154" s="623">
        <f t="shared" si="12"/>
        <v>0</v>
      </c>
      <c r="W154" s="624"/>
      <c r="Y154" s="274">
        <f t="shared" si="16"/>
        <v>0</v>
      </c>
      <c r="Z154" s="274">
        <f t="shared" si="17"/>
        <v>0</v>
      </c>
      <c r="AA154" s="319">
        <f>VLOOKUP(B154,'[19]ACTA PARCIAL OBRA'!$B$122:$X$536,20,0)</f>
        <v>35563594</v>
      </c>
      <c r="AB154" s="319">
        <f t="shared" si="19"/>
        <v>35563594</v>
      </c>
      <c r="AC154" s="319">
        <v>10935661.6</v>
      </c>
      <c r="AD154" s="514">
        <f t="shared" si="20"/>
        <v>-10935661.6</v>
      </c>
      <c r="AE154" s="556" t="str">
        <f t="shared" si="18"/>
        <v>11.2.22</v>
      </c>
      <c r="AF154" s="557" t="str">
        <f t="shared" si="18"/>
        <v>SUMINISTRO E INSTALACION DE CUBIERTA TERMOACUSTICA UPVC BLANCO - BLANCO CON FIBRA DE CARBONO DE 2,5 MM COLOR A DEFINIR</v>
      </c>
      <c r="AG154" s="558"/>
      <c r="AH154" s="558">
        <v>0</v>
      </c>
      <c r="AI154" s="558"/>
      <c r="AJ154" s="558">
        <v>17.05</v>
      </c>
      <c r="AK154" s="558"/>
      <c r="AL154" s="568"/>
      <c r="AM154" s="568"/>
    </row>
    <row r="155" spans="2:39" ht="24">
      <c r="B155" s="111">
        <v>11.3</v>
      </c>
      <c r="C155" s="607" t="s">
        <v>303</v>
      </c>
      <c r="D155" s="608">
        <v>6</v>
      </c>
      <c r="E155" s="608">
        <v>6</v>
      </c>
      <c r="F155" s="608">
        <v>6</v>
      </c>
      <c r="G155" s="608">
        <v>6</v>
      </c>
      <c r="H155" s="609">
        <v>6</v>
      </c>
      <c r="I155" s="126">
        <v>0</v>
      </c>
      <c r="J155" s="117"/>
      <c r="K155" s="118"/>
      <c r="L155" s="104">
        <f t="shared" si="21"/>
        <v>0</v>
      </c>
      <c r="M155" s="115"/>
      <c r="N155" s="124"/>
      <c r="O155" s="57">
        <v>0</v>
      </c>
      <c r="P155" s="115"/>
      <c r="Q155" s="502"/>
      <c r="R155" s="57">
        <v>0</v>
      </c>
      <c r="S155" s="116"/>
      <c r="T155" s="312">
        <f t="shared" si="10"/>
        <v>0</v>
      </c>
      <c r="U155" s="57">
        <f t="shared" si="11"/>
        <v>0</v>
      </c>
      <c r="V155" s="623">
        <f t="shared" si="12"/>
        <v>0</v>
      </c>
      <c r="W155" s="624"/>
      <c r="Y155" s="274">
        <f t="shared" si="16"/>
        <v>0</v>
      </c>
      <c r="Z155" s="274">
        <f t="shared" si="17"/>
        <v>0</v>
      </c>
      <c r="AA155" s="319" t="e">
        <f>VLOOKUP(B155,'[19]ACTA PARCIAL OBRA'!$B$122:$X$536,20,0)</f>
        <v>#N/A</v>
      </c>
      <c r="AB155" s="319" t="e">
        <f t="shared" si="19"/>
        <v>#N/A</v>
      </c>
      <c r="AC155" s="319">
        <v>8867312.5</v>
      </c>
      <c r="AD155" s="514">
        <f t="shared" si="20"/>
        <v>-8867312.5</v>
      </c>
      <c r="AE155" s="556">
        <f t="shared" si="18"/>
        <v>11.3</v>
      </c>
      <c r="AF155" s="557" t="str">
        <f t="shared" si="18"/>
        <v>ACCESORIOS Y OTROS</v>
      </c>
      <c r="AG155" s="558"/>
      <c r="AH155" s="558">
        <v>0</v>
      </c>
      <c r="AI155" s="558"/>
      <c r="AJ155" s="558">
        <v>7.9</v>
      </c>
      <c r="AK155" s="558"/>
      <c r="AL155" s="568"/>
      <c r="AM155" s="568"/>
    </row>
    <row r="156" spans="2:39" ht="12.75" customHeight="1">
      <c r="B156" s="125" t="s">
        <v>304</v>
      </c>
      <c r="C156" s="610" t="s">
        <v>305</v>
      </c>
      <c r="D156" s="611">
        <v>6</v>
      </c>
      <c r="E156" s="611">
        <v>6</v>
      </c>
      <c r="F156" s="611">
        <v>6</v>
      </c>
      <c r="G156" s="611">
        <v>6</v>
      </c>
      <c r="H156" s="612">
        <v>6</v>
      </c>
      <c r="I156" s="126" t="s">
        <v>158</v>
      </c>
      <c r="J156" s="117">
        <v>374.41</v>
      </c>
      <c r="K156" s="118">
        <v>24334</v>
      </c>
      <c r="L156" s="104">
        <f t="shared" si="21"/>
        <v>9110892.9399999995</v>
      </c>
      <c r="M156" s="115"/>
      <c r="N156" s="312"/>
      <c r="O156" s="57">
        <v>0</v>
      </c>
      <c r="P156" s="115"/>
      <c r="Q156" s="505"/>
      <c r="R156" s="57">
        <v>0</v>
      </c>
      <c r="S156" s="116"/>
      <c r="T156" s="312">
        <f t="shared" si="10"/>
        <v>0</v>
      </c>
      <c r="U156" s="57">
        <f t="shared" si="11"/>
        <v>0</v>
      </c>
      <c r="V156" s="623">
        <f t="shared" si="12"/>
        <v>0</v>
      </c>
      <c r="W156" s="624"/>
      <c r="Y156" s="274">
        <f t="shared" si="16"/>
        <v>0</v>
      </c>
      <c r="Z156" s="274">
        <f t="shared" si="17"/>
        <v>0</v>
      </c>
      <c r="AA156" s="319" t="e">
        <f>VLOOKUP(B156,'[19]ACTA PARCIAL OBRA'!$B$122:$X$536,20,0)</f>
        <v>#N/A</v>
      </c>
      <c r="AB156" s="319" t="e">
        <f t="shared" si="19"/>
        <v>#N/A</v>
      </c>
      <c r="AC156" s="319">
        <v>2300237.8199999998</v>
      </c>
      <c r="AD156" s="514">
        <f t="shared" si="20"/>
        <v>-2300237.8199999998</v>
      </c>
      <c r="AE156" s="556" t="str">
        <f t="shared" si="18"/>
        <v>11.3.8</v>
      </c>
      <c r="AF156" s="557" t="str">
        <f t="shared" si="18"/>
        <v xml:space="preserve">FLANCHE LAMINA GALVANIZADA CL. 20  -  DS=30 cm. </v>
      </c>
      <c r="AG156" s="558"/>
      <c r="AH156" s="558">
        <v>0</v>
      </c>
      <c r="AI156" s="558"/>
      <c r="AJ156" s="558"/>
      <c r="AK156" s="558"/>
      <c r="AL156" s="568"/>
      <c r="AM156" s="568"/>
    </row>
    <row r="157" spans="2:39" ht="12.75" customHeight="1">
      <c r="B157" s="111">
        <v>12</v>
      </c>
      <c r="C157" s="607" t="s">
        <v>306</v>
      </c>
      <c r="D157" s="608">
        <v>6</v>
      </c>
      <c r="E157" s="608">
        <v>6</v>
      </c>
      <c r="F157" s="608">
        <v>6</v>
      </c>
      <c r="G157" s="608">
        <v>6</v>
      </c>
      <c r="H157" s="609">
        <v>6</v>
      </c>
      <c r="I157" s="126">
        <v>0</v>
      </c>
      <c r="J157" s="117"/>
      <c r="K157" s="118"/>
      <c r="L157" s="104">
        <f t="shared" si="21"/>
        <v>0</v>
      </c>
      <c r="M157" s="120"/>
      <c r="N157" s="124"/>
      <c r="O157" s="57">
        <v>0</v>
      </c>
      <c r="P157" s="115"/>
      <c r="Q157" s="502"/>
      <c r="R157" s="57">
        <v>0</v>
      </c>
      <c r="S157" s="116"/>
      <c r="T157" s="312">
        <f t="shared" si="10"/>
        <v>0</v>
      </c>
      <c r="U157" s="57">
        <f t="shared" si="11"/>
        <v>0</v>
      </c>
      <c r="V157" s="623">
        <f t="shared" si="12"/>
        <v>0</v>
      </c>
      <c r="W157" s="624"/>
      <c r="Y157" s="274">
        <f t="shared" si="16"/>
        <v>0</v>
      </c>
      <c r="Z157" s="274">
        <f t="shared" si="17"/>
        <v>0</v>
      </c>
      <c r="AA157" s="319">
        <f>VLOOKUP(B157,'[19]ACTA PARCIAL OBRA'!$B$122:$X$536,20,0)</f>
        <v>0</v>
      </c>
      <c r="AB157" s="319">
        <f t="shared" si="19"/>
        <v>0</v>
      </c>
      <c r="AC157" s="319">
        <v>5058338.0999999996</v>
      </c>
      <c r="AD157" s="514">
        <f t="shared" si="20"/>
        <v>-5058338.0999999996</v>
      </c>
      <c r="AE157" s="556">
        <f t="shared" si="18"/>
        <v>12</v>
      </c>
      <c r="AF157" s="557" t="str">
        <f t="shared" si="18"/>
        <v xml:space="preserve">CARPINTERIA DE METÁLICA </v>
      </c>
      <c r="AG157" s="558"/>
      <c r="AH157" s="558">
        <v>0</v>
      </c>
      <c r="AI157" s="558"/>
      <c r="AJ157" s="558"/>
      <c r="AK157" s="558"/>
      <c r="AL157" s="568"/>
      <c r="AM157" s="568"/>
    </row>
    <row r="158" spans="2:39" ht="24">
      <c r="B158" s="111">
        <v>12.1</v>
      </c>
      <c r="C158" s="618" t="s">
        <v>307</v>
      </c>
      <c r="D158" s="619">
        <v>6</v>
      </c>
      <c r="E158" s="619">
        <v>6</v>
      </c>
      <c r="F158" s="619">
        <v>6</v>
      </c>
      <c r="G158" s="619">
        <v>6</v>
      </c>
      <c r="H158" s="620">
        <v>6</v>
      </c>
      <c r="I158" s="126">
        <v>0</v>
      </c>
      <c r="J158" s="117"/>
      <c r="K158" s="118"/>
      <c r="L158" s="104">
        <f t="shared" si="21"/>
        <v>0</v>
      </c>
      <c r="M158" s="115"/>
      <c r="N158" s="105"/>
      <c r="O158" s="57">
        <v>0</v>
      </c>
      <c r="P158" s="115"/>
      <c r="Q158" s="505"/>
      <c r="R158" s="57">
        <v>0</v>
      </c>
      <c r="S158" s="116"/>
      <c r="T158" s="312">
        <f t="shared" si="10"/>
        <v>0</v>
      </c>
      <c r="U158" s="57">
        <f t="shared" si="11"/>
        <v>0</v>
      </c>
      <c r="V158" s="623">
        <f t="shared" si="12"/>
        <v>0</v>
      </c>
      <c r="W158" s="624"/>
      <c r="Y158" s="274">
        <f t="shared" si="16"/>
        <v>0</v>
      </c>
      <c r="Z158" s="274">
        <f t="shared" si="17"/>
        <v>0</v>
      </c>
      <c r="AA158" s="319" t="e">
        <f>VLOOKUP(B158,'[19]ACTA PARCIAL OBRA'!$B$122:$X$536,20,0)</f>
        <v>#N/A</v>
      </c>
      <c r="AB158" s="319" t="e">
        <f t="shared" si="19"/>
        <v>#N/A</v>
      </c>
      <c r="AC158" s="319">
        <v>5933495.1200000001</v>
      </c>
      <c r="AD158" s="514">
        <f t="shared" si="20"/>
        <v>-5933495.1200000001</v>
      </c>
      <c r="AE158" s="556">
        <f t="shared" si="18"/>
        <v>12.1</v>
      </c>
      <c r="AF158" s="557" t="str">
        <f t="shared" si="18"/>
        <v>CARPINTERIA EN ALUMINIO</v>
      </c>
      <c r="AG158" s="558"/>
      <c r="AH158" s="558"/>
      <c r="AI158" s="558"/>
      <c r="AJ158" s="558"/>
      <c r="AK158" s="558"/>
      <c r="AL158" s="568"/>
      <c r="AM158" s="568"/>
    </row>
    <row r="159" spans="2:39" ht="12.75" customHeight="1">
      <c r="B159" s="125" t="s">
        <v>308</v>
      </c>
      <c r="C159" s="610" t="s">
        <v>309</v>
      </c>
      <c r="D159" s="611">
        <v>6</v>
      </c>
      <c r="E159" s="611">
        <v>6</v>
      </c>
      <c r="F159" s="611">
        <v>6</v>
      </c>
      <c r="G159" s="611">
        <v>6</v>
      </c>
      <c r="H159" s="612">
        <v>6</v>
      </c>
      <c r="I159" s="126" t="s">
        <v>116</v>
      </c>
      <c r="J159" s="117">
        <v>530.86</v>
      </c>
      <c r="K159" s="118">
        <v>418456</v>
      </c>
      <c r="L159" s="104">
        <f t="shared" si="21"/>
        <v>222141552.16</v>
      </c>
      <c r="M159" s="115"/>
      <c r="N159" s="105"/>
      <c r="O159" s="57">
        <v>0</v>
      </c>
      <c r="P159" s="115"/>
      <c r="Q159" s="505"/>
      <c r="R159" s="57">
        <v>0</v>
      </c>
      <c r="S159" s="116"/>
      <c r="T159" s="312">
        <f t="shared" si="10"/>
        <v>0</v>
      </c>
      <c r="U159" s="57">
        <f t="shared" si="11"/>
        <v>0</v>
      </c>
      <c r="V159" s="623">
        <f t="shared" si="12"/>
        <v>0</v>
      </c>
      <c r="W159" s="624"/>
      <c r="Y159" s="274">
        <f t="shared" si="16"/>
        <v>0</v>
      </c>
      <c r="Z159" s="274">
        <f t="shared" si="17"/>
        <v>0</v>
      </c>
      <c r="AA159" s="319">
        <f>VLOOKUP(B159,'[19]ACTA PARCIAL OBRA'!$B$122:$X$536,20,0)</f>
        <v>90710084.519999996</v>
      </c>
      <c r="AB159" s="319">
        <f t="shared" si="19"/>
        <v>90710084.519999996</v>
      </c>
      <c r="AC159" s="319">
        <v>0</v>
      </c>
      <c r="AD159" s="514">
        <f t="shared" si="20"/>
        <v>0</v>
      </c>
      <c r="AE159" s="556" t="str">
        <f t="shared" si="18"/>
        <v>12.1.1</v>
      </c>
      <c r="AF159" s="557" t="str">
        <f t="shared" si="18"/>
        <v>SUMINISTRO E INSTALACION DE VENTANERIA DE ALUMINIO, TIPO CORREDIZA, PERFIL EXTRUIDO, ACABADO ANODIZADO, VIDRIO DE SEGURIDAD, NORMA NSR10 K.4.2 Y K.4.3. INCLUYE EMPAQUES, SELLOS, ANCLAJES Y ACCESORIOS</v>
      </c>
      <c r="AG159" s="558"/>
      <c r="AH159" s="558">
        <v>0</v>
      </c>
      <c r="AI159" s="558"/>
      <c r="AJ159" s="558"/>
      <c r="AK159" s="558"/>
      <c r="AL159" s="568"/>
      <c r="AM159" s="568"/>
    </row>
    <row r="160" spans="2:39" s="402" customFormat="1" ht="12.75" customHeight="1">
      <c r="B160" s="125">
        <v>12.2</v>
      </c>
      <c r="C160" s="618" t="s">
        <v>310</v>
      </c>
      <c r="D160" s="619">
        <v>6</v>
      </c>
      <c r="E160" s="619">
        <v>6</v>
      </c>
      <c r="F160" s="619">
        <v>6</v>
      </c>
      <c r="G160" s="619">
        <v>6</v>
      </c>
      <c r="H160" s="620">
        <v>6</v>
      </c>
      <c r="I160" s="126">
        <v>0</v>
      </c>
      <c r="J160" s="117"/>
      <c r="K160" s="118"/>
      <c r="L160" s="104">
        <f t="shared" si="21"/>
        <v>0</v>
      </c>
      <c r="M160" s="113"/>
      <c r="N160" s="124"/>
      <c r="O160" s="57">
        <v>0</v>
      </c>
      <c r="P160" s="113"/>
      <c r="Q160" s="504"/>
      <c r="R160" s="57">
        <v>0</v>
      </c>
      <c r="S160" s="114"/>
      <c r="T160" s="312">
        <f t="shared" si="10"/>
        <v>0</v>
      </c>
      <c r="U160" s="57">
        <f t="shared" si="11"/>
        <v>0</v>
      </c>
      <c r="V160" s="623">
        <f t="shared" si="12"/>
        <v>0</v>
      </c>
      <c r="W160" s="624"/>
      <c r="X160" s="401"/>
      <c r="Y160" s="274">
        <f t="shared" si="16"/>
        <v>0</v>
      </c>
      <c r="Z160" s="274">
        <f t="shared" si="17"/>
        <v>0</v>
      </c>
      <c r="AA160" s="319" t="e">
        <f>VLOOKUP(B160,'[19]ACTA PARCIAL OBRA'!$B$122:$X$536,20,0)</f>
        <v>#N/A</v>
      </c>
      <c r="AB160" s="319" t="e">
        <f t="shared" si="19"/>
        <v>#N/A</v>
      </c>
      <c r="AC160" s="319">
        <v>0</v>
      </c>
      <c r="AD160" s="514">
        <f t="shared" si="20"/>
        <v>0</v>
      </c>
      <c r="AE160" s="556">
        <f t="shared" si="18"/>
        <v>12.2</v>
      </c>
      <c r="AF160" s="557" t="str">
        <f t="shared" si="18"/>
        <v>CARPINTERÍA EN LAMINA</v>
      </c>
      <c r="AG160" s="558"/>
      <c r="AH160" s="558">
        <v>0</v>
      </c>
      <c r="AI160" s="558"/>
      <c r="AJ160" s="558"/>
      <c r="AK160" s="558"/>
      <c r="AL160" s="568"/>
      <c r="AM160" s="568"/>
    </row>
    <row r="161" spans="2:39" ht="12.75" customHeight="1">
      <c r="B161" s="125" t="s">
        <v>311</v>
      </c>
      <c r="C161" s="610" t="s">
        <v>312</v>
      </c>
      <c r="D161" s="611">
        <v>6</v>
      </c>
      <c r="E161" s="611">
        <v>6</v>
      </c>
      <c r="F161" s="611">
        <v>6</v>
      </c>
      <c r="G161" s="611">
        <v>6</v>
      </c>
      <c r="H161" s="612">
        <v>6</v>
      </c>
      <c r="I161" s="126" t="s">
        <v>98</v>
      </c>
      <c r="J161" s="117">
        <v>59</v>
      </c>
      <c r="K161" s="118">
        <v>125372.87</v>
      </c>
      <c r="L161" s="104">
        <f t="shared" si="21"/>
        <v>7396999.3300000001</v>
      </c>
      <c r="M161" s="115"/>
      <c r="N161" s="127"/>
      <c r="O161" s="57">
        <v>0</v>
      </c>
      <c r="P161" s="115"/>
      <c r="Q161" s="505"/>
      <c r="R161" s="57">
        <v>0</v>
      </c>
      <c r="S161" s="116"/>
      <c r="T161" s="312">
        <f t="shared" si="10"/>
        <v>0</v>
      </c>
      <c r="U161" s="57">
        <f t="shared" si="11"/>
        <v>0</v>
      </c>
      <c r="V161" s="623">
        <f t="shared" si="12"/>
        <v>0</v>
      </c>
      <c r="W161" s="624"/>
      <c r="Y161" s="274">
        <f t="shared" si="16"/>
        <v>0</v>
      </c>
      <c r="Z161" s="274">
        <f t="shared" si="17"/>
        <v>0</v>
      </c>
      <c r="AA161" s="563">
        <f>VLOOKUP(B161,'[19]ACTA PARCIAL OBRA'!$B$122:$X$536,20,0)</f>
        <v>0</v>
      </c>
      <c r="AB161" s="563">
        <f t="shared" si="19"/>
        <v>0</v>
      </c>
      <c r="AC161" s="563">
        <v>282880913.75999999</v>
      </c>
      <c r="AD161" s="564">
        <f t="shared" si="20"/>
        <v>-282880913.75999999</v>
      </c>
      <c r="AE161" s="565" t="str">
        <f t="shared" si="18"/>
        <v>12.2.2</v>
      </c>
      <c r="AF161" s="566" t="str">
        <f t="shared" si="18"/>
        <v>SUMINISTRO E INSTALACION DE MARCOS PUERTAS LAMINA C.R. C18 - 2,00 X 0,80 M. INCLUYE ANTICORROSIVO, ESMALTE, ANCLAJE, BISAGRAS TIPO PESADO Y CARGUE EN MORTERO</v>
      </c>
      <c r="AG161" s="567"/>
      <c r="AH161" s="567">
        <v>17967.310000000001</v>
      </c>
      <c r="AI161" s="567"/>
      <c r="AJ161" s="567">
        <v>25662</v>
      </c>
      <c r="AK161" s="567">
        <v>10775.9</v>
      </c>
      <c r="AL161" s="576"/>
      <c r="AM161" s="576">
        <v>14963.14</v>
      </c>
    </row>
    <row r="162" spans="2:39" ht="192">
      <c r="B162" s="125" t="s">
        <v>313</v>
      </c>
      <c r="C162" s="610" t="s">
        <v>314</v>
      </c>
      <c r="D162" s="611">
        <v>6</v>
      </c>
      <c r="E162" s="611">
        <v>6</v>
      </c>
      <c r="F162" s="611">
        <v>6</v>
      </c>
      <c r="G162" s="611">
        <v>6</v>
      </c>
      <c r="H162" s="612">
        <v>6</v>
      </c>
      <c r="I162" s="126" t="s">
        <v>98</v>
      </c>
      <c r="J162" s="117">
        <v>34</v>
      </c>
      <c r="K162" s="118">
        <v>135450</v>
      </c>
      <c r="L162" s="104">
        <f t="shared" si="21"/>
        <v>4605300</v>
      </c>
      <c r="M162" s="115"/>
      <c r="N162" s="124"/>
      <c r="O162" s="57">
        <v>0</v>
      </c>
      <c r="P162" s="115"/>
      <c r="Q162" s="502"/>
      <c r="R162" s="57">
        <v>0</v>
      </c>
      <c r="S162" s="116"/>
      <c r="T162" s="312">
        <f t="shared" si="10"/>
        <v>0</v>
      </c>
      <c r="U162" s="57">
        <f t="shared" si="11"/>
        <v>0</v>
      </c>
      <c r="V162" s="623">
        <f t="shared" si="12"/>
        <v>0</v>
      </c>
      <c r="W162" s="624"/>
      <c r="Y162" s="274">
        <f t="shared" si="16"/>
        <v>0</v>
      </c>
      <c r="Z162" s="274">
        <f t="shared" si="17"/>
        <v>0</v>
      </c>
      <c r="AA162" s="319" t="e">
        <f>VLOOKUP(B162,'[19]ACTA PARCIAL OBRA'!$B$122:$X$536,20,0)</f>
        <v>#N/A</v>
      </c>
      <c r="AB162" s="319" t="e">
        <f t="shared" si="19"/>
        <v>#N/A</v>
      </c>
      <c r="AC162" s="319">
        <v>2170096.5699999998</v>
      </c>
      <c r="AD162" s="514">
        <f t="shared" si="20"/>
        <v>-2170096.5699999998</v>
      </c>
      <c r="AE162" s="556" t="str">
        <f t="shared" si="18"/>
        <v>12.2.3</v>
      </c>
      <c r="AF162" s="557" t="str">
        <f t="shared" si="18"/>
        <v>SUMINISTRO E INSTALACION DE MARCOS PUERTAS LAMINA C.R. C18 - 2,00 X 0,90 M. INCLUYE ANTICORROSIVO, ESMALTE, ANCLAJE, BISAGRAS TIPO PESADO Y CARGUE EN MORTERO</v>
      </c>
      <c r="AG162" s="558"/>
      <c r="AH162" s="558">
        <v>0</v>
      </c>
      <c r="AI162" s="558"/>
      <c r="AJ162" s="558"/>
      <c r="AK162" s="558"/>
      <c r="AL162" s="568"/>
      <c r="AM162" s="568"/>
    </row>
    <row r="163" spans="2:39" ht="108">
      <c r="B163" s="125" t="s">
        <v>315</v>
      </c>
      <c r="C163" s="610" t="s">
        <v>316</v>
      </c>
      <c r="D163" s="611">
        <v>6</v>
      </c>
      <c r="E163" s="611">
        <v>6</v>
      </c>
      <c r="F163" s="611">
        <v>6</v>
      </c>
      <c r="G163" s="611">
        <v>6</v>
      </c>
      <c r="H163" s="612">
        <v>6</v>
      </c>
      <c r="I163" s="126" t="s">
        <v>116</v>
      </c>
      <c r="J163" s="117">
        <v>209.49</v>
      </c>
      <c r="K163" s="118">
        <v>443457.14</v>
      </c>
      <c r="L163" s="104">
        <f t="shared" si="21"/>
        <v>92899836.260000005</v>
      </c>
      <c r="M163" s="115"/>
      <c r="N163" s="124"/>
      <c r="O163" s="57">
        <v>0</v>
      </c>
      <c r="P163" s="115"/>
      <c r="Q163" s="502"/>
      <c r="R163" s="57">
        <v>0</v>
      </c>
      <c r="S163" s="116"/>
      <c r="T163" s="312">
        <f t="shared" si="10"/>
        <v>0</v>
      </c>
      <c r="U163" s="57">
        <f t="shared" si="11"/>
        <v>0</v>
      </c>
      <c r="V163" s="623">
        <f t="shared" si="12"/>
        <v>0</v>
      </c>
      <c r="W163" s="624"/>
      <c r="Y163" s="274">
        <f t="shared" si="16"/>
        <v>0</v>
      </c>
      <c r="Z163" s="274">
        <f t="shared" si="17"/>
        <v>0</v>
      </c>
      <c r="AA163" s="563" t="e">
        <f>VLOOKUP(B163,'[19]ACTA PARCIAL OBRA'!$B$122:$X$536,20,0)</f>
        <v>#N/A</v>
      </c>
      <c r="AB163" s="563" t="e">
        <f t="shared" si="19"/>
        <v>#N/A</v>
      </c>
      <c r="AC163" s="563">
        <v>14526236.199999999</v>
      </c>
      <c r="AD163" s="564">
        <f t="shared" si="20"/>
        <v>-14526236.199999999</v>
      </c>
      <c r="AE163" s="565" t="str">
        <f t="shared" si="18"/>
        <v>12.2.6</v>
      </c>
      <c r="AF163" s="566" t="str">
        <f t="shared" si="18"/>
        <v>SUMINISTRO E INSTALACIÓN DE PUERTA METÁLICA ENTAMBORADA LAMINA C.R. C18 (ANTIC - ESMALTE)</v>
      </c>
      <c r="AG163" s="567"/>
      <c r="AH163" s="567">
        <v>0</v>
      </c>
      <c r="AI163" s="567"/>
      <c r="AJ163" s="567">
        <v>1776.5</v>
      </c>
      <c r="AK163" s="567">
        <v>1065.9000000000001</v>
      </c>
      <c r="AL163" s="576"/>
      <c r="AM163" s="576">
        <v>837.22</v>
      </c>
    </row>
    <row r="164" spans="2:39" ht="409.5">
      <c r="B164" s="125" t="s">
        <v>317</v>
      </c>
      <c r="C164" s="610" t="s">
        <v>318</v>
      </c>
      <c r="D164" s="611">
        <v>6</v>
      </c>
      <c r="E164" s="611">
        <v>6</v>
      </c>
      <c r="F164" s="611">
        <v>6</v>
      </c>
      <c r="G164" s="611">
        <v>6</v>
      </c>
      <c r="H164" s="612">
        <v>6</v>
      </c>
      <c r="I164" s="126" t="s">
        <v>158</v>
      </c>
      <c r="J164" s="117">
        <v>202.85</v>
      </c>
      <c r="K164" s="118">
        <v>318771</v>
      </c>
      <c r="L164" s="104">
        <f t="shared" si="21"/>
        <v>64662697.350000001</v>
      </c>
      <c r="M164" s="115"/>
      <c r="N164" s="124"/>
      <c r="O164" s="57">
        <v>0</v>
      </c>
      <c r="P164" s="115"/>
      <c r="Q164" s="502"/>
      <c r="R164" s="57">
        <v>0</v>
      </c>
      <c r="S164" s="116"/>
      <c r="T164" s="312">
        <f t="shared" si="10"/>
        <v>0</v>
      </c>
      <c r="U164" s="57">
        <f t="shared" si="11"/>
        <v>0</v>
      </c>
      <c r="V164" s="623">
        <f t="shared" si="12"/>
        <v>0</v>
      </c>
      <c r="W164" s="624"/>
      <c r="Y164" s="274">
        <f t="shared" si="16"/>
        <v>0</v>
      </c>
      <c r="Z164" s="274">
        <f t="shared" si="17"/>
        <v>0</v>
      </c>
      <c r="AA164" s="563">
        <f>VLOOKUP(B164,'[19]ACTA PARCIAL OBRA'!$B$122:$X$536,20,0)</f>
        <v>0</v>
      </c>
      <c r="AB164" s="563">
        <f t="shared" si="19"/>
        <v>0</v>
      </c>
      <c r="AC164" s="563">
        <v>4745377.43</v>
      </c>
      <c r="AD164" s="564">
        <f t="shared" si="20"/>
        <v>-4745377.43</v>
      </c>
      <c r="AE164" s="565" t="str">
        <f t="shared" si="18"/>
        <v>12.2.15</v>
      </c>
      <c r="AF164" s="566" t="str">
        <f t="shared" si="18"/>
        <v>BARANDA METALICA CORREDORES DE CIRCULACION, TUBO CIRCULAR EN ACERO GALVANIZADO DE 2" INCLINADO HACIA EL INTERIOR ANCLADA A BORDILLO DE CONCRETO CON PLATINAS DE 0,17 CM X 0,20 CM DE ACERO DE 1/4" Y CHAZO DE ANCLAJE DE 3/8" X 3" CON PLATINAS DE HIERRO LATERALES DE 3/8" X 2" Y PLATINAS INTERNAS DE 1/4" X 1 1/2"  TUBO INTERNO EN ACERO DE 1 1/2" DOS MANOS DE ANTICORROSIVO Y ACABADO EN PINTURA ESMALTE</v>
      </c>
      <c r="AG164" s="567"/>
      <c r="AH164" s="567">
        <v>0</v>
      </c>
      <c r="AI164" s="567"/>
      <c r="AJ164" s="567"/>
      <c r="AK164" s="567"/>
      <c r="AL164" s="576"/>
      <c r="AM164" s="576"/>
    </row>
    <row r="165" spans="2:39" ht="96">
      <c r="B165" s="125" t="s">
        <v>319</v>
      </c>
      <c r="C165" s="610" t="s">
        <v>320</v>
      </c>
      <c r="D165" s="611">
        <v>6</v>
      </c>
      <c r="E165" s="611">
        <v>6</v>
      </c>
      <c r="F165" s="611">
        <v>6</v>
      </c>
      <c r="G165" s="611">
        <v>6</v>
      </c>
      <c r="H165" s="612">
        <v>6</v>
      </c>
      <c r="I165" s="126" t="s">
        <v>158</v>
      </c>
      <c r="J165" s="117">
        <v>37.799999999999997</v>
      </c>
      <c r="K165" s="118">
        <v>86267</v>
      </c>
      <c r="L165" s="104">
        <f t="shared" si="21"/>
        <v>3260892.6</v>
      </c>
      <c r="M165" s="115"/>
      <c r="N165" s="124"/>
      <c r="O165" s="57">
        <v>0</v>
      </c>
      <c r="P165" s="115"/>
      <c r="Q165" s="502"/>
      <c r="R165" s="57">
        <v>0</v>
      </c>
      <c r="S165" s="116"/>
      <c r="T165" s="312">
        <f t="shared" si="10"/>
        <v>0</v>
      </c>
      <c r="U165" s="57">
        <f t="shared" si="11"/>
        <v>0</v>
      </c>
      <c r="V165" s="623">
        <f t="shared" si="12"/>
        <v>0</v>
      </c>
      <c r="W165" s="624"/>
      <c r="Y165" s="274">
        <f t="shared" si="16"/>
        <v>0</v>
      </c>
      <c r="Z165" s="274">
        <f t="shared" si="17"/>
        <v>0</v>
      </c>
      <c r="AA165" s="319" t="e">
        <f>VLOOKUP(B165,'[19]ACTA PARCIAL OBRA'!$B$122:$X$536,20,0)</f>
        <v>#N/A</v>
      </c>
      <c r="AB165" s="319" t="e">
        <f t="shared" si="19"/>
        <v>#N/A</v>
      </c>
      <c r="AC165" s="319">
        <v>0</v>
      </c>
      <c r="AD165" s="514">
        <f t="shared" si="20"/>
        <v>0</v>
      </c>
      <c r="AE165" s="556" t="str">
        <f t="shared" si="18"/>
        <v>12.2.16</v>
      </c>
      <c r="AF165" s="557" t="str">
        <f t="shared" si="18"/>
        <v>PASAMANOS METALICO TUBO ESTRUCTURAL 1 1/2" 2.5 MM. INCLUYE ANCLAJES Y ACCESORIOS</v>
      </c>
      <c r="AG165" s="558"/>
      <c r="AH165" s="558">
        <v>0</v>
      </c>
      <c r="AI165" s="558"/>
      <c r="AJ165" s="558"/>
      <c r="AK165" s="558"/>
      <c r="AL165" s="568"/>
      <c r="AM165" s="568"/>
    </row>
    <row r="166" spans="2:39">
      <c r="B166" s="111">
        <v>14</v>
      </c>
      <c r="C166" s="618" t="s">
        <v>321</v>
      </c>
      <c r="D166" s="619">
        <v>6</v>
      </c>
      <c r="E166" s="619">
        <v>6</v>
      </c>
      <c r="F166" s="619">
        <v>6</v>
      </c>
      <c r="G166" s="619">
        <v>6</v>
      </c>
      <c r="H166" s="620">
        <v>6</v>
      </c>
      <c r="I166" s="126">
        <v>0</v>
      </c>
      <c r="J166" s="117"/>
      <c r="K166" s="118"/>
      <c r="L166" s="104">
        <f t="shared" si="21"/>
        <v>0</v>
      </c>
      <c r="M166" s="115"/>
      <c r="N166" s="124"/>
      <c r="O166" s="57">
        <v>0</v>
      </c>
      <c r="P166" s="115"/>
      <c r="Q166" s="502"/>
      <c r="R166" s="57">
        <v>0</v>
      </c>
      <c r="S166" s="116"/>
      <c r="T166" s="312">
        <f t="shared" si="10"/>
        <v>0</v>
      </c>
      <c r="U166" s="57">
        <f t="shared" si="11"/>
        <v>0</v>
      </c>
      <c r="V166" s="623">
        <f t="shared" si="12"/>
        <v>0</v>
      </c>
      <c r="W166" s="624"/>
      <c r="Y166" s="274">
        <f t="shared" si="16"/>
        <v>0</v>
      </c>
      <c r="Z166" s="274">
        <f t="shared" si="17"/>
        <v>0</v>
      </c>
      <c r="AA166" s="319">
        <f>VLOOKUP(B166,'[19]ACTA PARCIAL OBRA'!$B$122:$X$536,20,0)</f>
        <v>0</v>
      </c>
      <c r="AB166" s="319">
        <f t="shared" si="19"/>
        <v>0</v>
      </c>
      <c r="AC166" s="319">
        <v>0</v>
      </c>
      <c r="AD166" s="514">
        <f t="shared" si="20"/>
        <v>0</v>
      </c>
      <c r="AE166" s="556">
        <f t="shared" si="18"/>
        <v>14</v>
      </c>
      <c r="AF166" s="557" t="str">
        <f t="shared" si="18"/>
        <v>ENCHAPES</v>
      </c>
      <c r="AG166" s="558"/>
      <c r="AH166" s="558">
        <v>0</v>
      </c>
      <c r="AI166" s="558"/>
      <c r="AJ166" s="558"/>
      <c r="AK166" s="558"/>
      <c r="AL166" s="568"/>
      <c r="AM166" s="568"/>
    </row>
    <row r="167" spans="2:39" ht="24">
      <c r="B167" s="111">
        <v>14.1</v>
      </c>
      <c r="C167" s="618" t="s">
        <v>322</v>
      </c>
      <c r="D167" s="619">
        <v>6</v>
      </c>
      <c r="E167" s="619">
        <v>6</v>
      </c>
      <c r="F167" s="619">
        <v>6</v>
      </c>
      <c r="G167" s="619">
        <v>6</v>
      </c>
      <c r="H167" s="620">
        <v>6</v>
      </c>
      <c r="I167" s="126">
        <v>0</v>
      </c>
      <c r="J167" s="117"/>
      <c r="K167" s="118"/>
      <c r="L167" s="104">
        <f t="shared" si="21"/>
        <v>0</v>
      </c>
      <c r="M167" s="115"/>
      <c r="N167" s="124"/>
      <c r="O167" s="57">
        <v>0</v>
      </c>
      <c r="P167" s="115"/>
      <c r="Q167" s="502"/>
      <c r="R167" s="57">
        <v>0</v>
      </c>
      <c r="S167" s="116"/>
      <c r="T167" s="312">
        <f t="shared" si="10"/>
        <v>0</v>
      </c>
      <c r="U167" s="57">
        <f t="shared" si="11"/>
        <v>0</v>
      </c>
      <c r="V167" s="623">
        <f t="shared" si="12"/>
        <v>0</v>
      </c>
      <c r="W167" s="624"/>
      <c r="Y167" s="274">
        <f t="shared" si="16"/>
        <v>0</v>
      </c>
      <c r="Z167" s="274">
        <f t="shared" si="17"/>
        <v>0</v>
      </c>
      <c r="AA167" s="319" t="e">
        <f>VLOOKUP(B167,'[19]ACTA PARCIAL OBRA'!$B$122:$X$536,20,0)</f>
        <v>#N/A</v>
      </c>
      <c r="AB167" s="319" t="e">
        <f t="shared" si="19"/>
        <v>#N/A</v>
      </c>
      <c r="AC167" s="319">
        <v>892360</v>
      </c>
      <c r="AD167" s="514">
        <f t="shared" si="20"/>
        <v>-892360</v>
      </c>
      <c r="AE167" s="556">
        <f t="shared" ref="AE167:AF198" si="22">+B167</f>
        <v>14.1</v>
      </c>
      <c r="AF167" s="557" t="str">
        <f t="shared" si="22"/>
        <v>ENCHAPE SOBRE MUROS</v>
      </c>
      <c r="AG167" s="558"/>
      <c r="AH167" s="558">
        <v>0</v>
      </c>
      <c r="AI167" s="558"/>
      <c r="AJ167" s="558">
        <v>40</v>
      </c>
      <c r="AK167" s="558"/>
      <c r="AL167" s="568"/>
      <c r="AM167" s="568"/>
    </row>
    <row r="168" spans="2:39" ht="12.75" customHeight="1">
      <c r="B168" s="125" t="s">
        <v>323</v>
      </c>
      <c r="C168" s="701" t="s">
        <v>324</v>
      </c>
      <c r="D168" s="702">
        <v>6</v>
      </c>
      <c r="E168" s="702">
        <v>6</v>
      </c>
      <c r="F168" s="702">
        <v>6</v>
      </c>
      <c r="G168" s="702">
        <v>6</v>
      </c>
      <c r="H168" s="703">
        <v>6</v>
      </c>
      <c r="I168" s="126" t="s">
        <v>116</v>
      </c>
      <c r="J168" s="117">
        <v>633.29999999999995</v>
      </c>
      <c r="K168" s="118">
        <v>47302</v>
      </c>
      <c r="L168" s="104">
        <f t="shared" si="21"/>
        <v>29956356.600000001</v>
      </c>
      <c r="M168" s="115"/>
      <c r="N168" s="124"/>
      <c r="O168" s="57">
        <v>0</v>
      </c>
      <c r="P168" s="115"/>
      <c r="Q168" s="502"/>
      <c r="R168" s="57">
        <v>0</v>
      </c>
      <c r="S168" s="116"/>
      <c r="T168" s="312">
        <f t="shared" si="10"/>
        <v>0</v>
      </c>
      <c r="U168" s="57">
        <f t="shared" si="11"/>
        <v>0</v>
      </c>
      <c r="V168" s="623">
        <f t="shared" si="12"/>
        <v>0</v>
      </c>
      <c r="W168" s="624"/>
      <c r="Y168" s="274">
        <f t="shared" si="16"/>
        <v>0</v>
      </c>
      <c r="Z168" s="274">
        <f t="shared" si="17"/>
        <v>0</v>
      </c>
      <c r="AA168" s="319" t="e">
        <f>VLOOKUP(B168,'[19]ACTA PARCIAL OBRA'!$B$122:$X$536,20,0)</f>
        <v>#N/A</v>
      </c>
      <c r="AB168" s="319" t="e">
        <f t="shared" si="19"/>
        <v>#N/A</v>
      </c>
      <c r="AC168" s="319">
        <v>21994056</v>
      </c>
      <c r="AD168" s="514">
        <f t="shared" si="20"/>
        <v>-21994056</v>
      </c>
      <c r="AE168" s="556" t="str">
        <f t="shared" si="22"/>
        <v>14.1.1</v>
      </c>
      <c r="AF168" s="557" t="str">
        <f t="shared" si="22"/>
        <v>ENCHAPE PARED EGEO 20.5 X 20.5(inc win y remate en aluminio)</v>
      </c>
      <c r="AG168" s="558"/>
      <c r="AH168" s="558">
        <v>0</v>
      </c>
      <c r="AI168" s="558"/>
      <c r="AJ168" s="558">
        <v>168</v>
      </c>
      <c r="AK168" s="558"/>
      <c r="AL168" s="568"/>
      <c r="AM168" s="568"/>
    </row>
    <row r="169" spans="2:39" ht="12.75" customHeight="1">
      <c r="B169" s="125" t="s">
        <v>325</v>
      </c>
      <c r="C169" s="701" t="s">
        <v>326</v>
      </c>
      <c r="D169" s="702">
        <v>6</v>
      </c>
      <c r="E169" s="702">
        <v>6</v>
      </c>
      <c r="F169" s="702">
        <v>6</v>
      </c>
      <c r="G169" s="702">
        <v>6</v>
      </c>
      <c r="H169" s="703">
        <v>6</v>
      </c>
      <c r="I169" s="126" t="s">
        <v>327</v>
      </c>
      <c r="J169" s="117">
        <v>4</v>
      </c>
      <c r="K169" s="118">
        <v>204009</v>
      </c>
      <c r="L169" s="104">
        <f t="shared" si="21"/>
        <v>816036</v>
      </c>
      <c r="M169" s="115"/>
      <c r="N169" s="105"/>
      <c r="O169" s="57">
        <v>0</v>
      </c>
      <c r="P169" s="115"/>
      <c r="Q169" s="505"/>
      <c r="R169" s="57">
        <v>0</v>
      </c>
      <c r="S169" s="116"/>
      <c r="T169" s="312">
        <f t="shared" ref="T169:T227" si="23">+N169+Q169</f>
        <v>0</v>
      </c>
      <c r="U169" s="57">
        <f t="shared" ref="U169:U227" si="24">+ROUND((ROUNDDOWN(T169,2))*K169,2)</f>
        <v>0</v>
      </c>
      <c r="V169" s="623">
        <f t="shared" ref="V169:V227" si="25">IF(L169=0,0)+IF(L169&gt;0,U169/L169)</f>
        <v>0</v>
      </c>
      <c r="W169" s="624"/>
      <c r="Y169" s="274">
        <f t="shared" si="16"/>
        <v>0</v>
      </c>
      <c r="Z169" s="274">
        <f t="shared" si="17"/>
        <v>0</v>
      </c>
      <c r="AA169" s="319" t="e">
        <f>VLOOKUP(B169,'[19]ACTA PARCIAL OBRA'!$B$122:$X$536,20,0)</f>
        <v>#N/A</v>
      </c>
      <c r="AB169" s="319" t="e">
        <f t="shared" si="19"/>
        <v>#N/A</v>
      </c>
      <c r="AC169" s="319">
        <v>115798935.2</v>
      </c>
      <c r="AD169" s="514">
        <f t="shared" si="20"/>
        <v>-115798935.2</v>
      </c>
      <c r="AE169" s="556" t="str">
        <f t="shared" si="22"/>
        <v>14.1.9</v>
      </c>
      <c r="AF169" s="557" t="str">
        <f t="shared" si="22"/>
        <v>JUEGO DE INCRUSTACIONES - LINEA ESPACIO CORONA O EQUIVALENTE</v>
      </c>
      <c r="AG169" s="558"/>
      <c r="AH169" s="558">
        <v>0</v>
      </c>
      <c r="AI169" s="558">
        <v>100.97</v>
      </c>
      <c r="AJ169" s="558">
        <v>21.11</v>
      </c>
      <c r="AK169" s="558">
        <v>19.79</v>
      </c>
      <c r="AL169" s="568"/>
      <c r="AM169" s="568"/>
    </row>
    <row r="170" spans="2:39" ht="12.75" customHeight="1">
      <c r="B170" s="111">
        <v>14.2</v>
      </c>
      <c r="C170" s="707" t="s">
        <v>328</v>
      </c>
      <c r="D170" s="708">
        <v>6</v>
      </c>
      <c r="E170" s="708">
        <v>6</v>
      </c>
      <c r="F170" s="708">
        <v>6</v>
      </c>
      <c r="G170" s="708">
        <v>6</v>
      </c>
      <c r="H170" s="709">
        <v>6</v>
      </c>
      <c r="I170" s="126">
        <v>0</v>
      </c>
      <c r="J170" s="117"/>
      <c r="K170" s="118"/>
      <c r="L170" s="104">
        <f t="shared" si="21"/>
        <v>0</v>
      </c>
      <c r="M170" s="115"/>
      <c r="N170" s="312"/>
      <c r="O170" s="57">
        <v>0</v>
      </c>
      <c r="P170" s="115"/>
      <c r="Q170" s="505"/>
      <c r="R170" s="57">
        <v>0</v>
      </c>
      <c r="S170" s="116"/>
      <c r="T170" s="312">
        <f t="shared" si="23"/>
        <v>0</v>
      </c>
      <c r="U170" s="57">
        <f t="shared" si="24"/>
        <v>0</v>
      </c>
      <c r="V170" s="623">
        <f t="shared" si="25"/>
        <v>0</v>
      </c>
      <c r="W170" s="624"/>
      <c r="Y170" s="274">
        <f t="shared" si="16"/>
        <v>0</v>
      </c>
      <c r="Z170" s="274">
        <f t="shared" si="17"/>
        <v>0</v>
      </c>
      <c r="AA170" s="319" t="e">
        <f>VLOOKUP(B170,'[19]ACTA PARCIAL OBRA'!$B$122:$X$536,20,0)</f>
        <v>#N/A</v>
      </c>
      <c r="AB170" s="319" t="e">
        <f t="shared" si="19"/>
        <v>#N/A</v>
      </c>
      <c r="AC170" s="319">
        <v>24997170.600000001</v>
      </c>
      <c r="AD170" s="514">
        <f t="shared" si="20"/>
        <v>-24997170.600000001</v>
      </c>
      <c r="AE170" s="556">
        <f t="shared" si="22"/>
        <v>14.2</v>
      </c>
      <c r="AF170" s="557" t="str">
        <f t="shared" si="22"/>
        <v>ENCHAPE SOBRE MESONES</v>
      </c>
      <c r="AG170" s="558"/>
      <c r="AH170" s="558">
        <v>24.63</v>
      </c>
      <c r="AI170" s="558">
        <v>158.55000000000001</v>
      </c>
      <c r="AJ170" s="558"/>
      <c r="AK170" s="558"/>
      <c r="AL170" s="568"/>
      <c r="AM170" s="568"/>
    </row>
    <row r="171" spans="2:39" ht="12.75" customHeight="1">
      <c r="B171" s="125" t="s">
        <v>329</v>
      </c>
      <c r="C171" s="701" t="s">
        <v>330</v>
      </c>
      <c r="D171" s="702">
        <v>6</v>
      </c>
      <c r="E171" s="702">
        <v>6</v>
      </c>
      <c r="F171" s="702">
        <v>6</v>
      </c>
      <c r="G171" s="702">
        <v>6</v>
      </c>
      <c r="H171" s="703">
        <v>6</v>
      </c>
      <c r="I171" s="126" t="s">
        <v>158</v>
      </c>
      <c r="J171" s="117">
        <v>35.4</v>
      </c>
      <c r="K171" s="118">
        <v>65281</v>
      </c>
      <c r="L171" s="104">
        <f t="shared" si="21"/>
        <v>2310947.4</v>
      </c>
      <c r="M171" s="115"/>
      <c r="N171" s="124"/>
      <c r="O171" s="57">
        <v>0</v>
      </c>
      <c r="P171" s="115"/>
      <c r="Q171" s="502"/>
      <c r="R171" s="57">
        <v>0</v>
      </c>
      <c r="S171" s="116"/>
      <c r="T171" s="312">
        <f t="shared" si="23"/>
        <v>0</v>
      </c>
      <c r="U171" s="57">
        <f t="shared" si="24"/>
        <v>0</v>
      </c>
      <c r="V171" s="623">
        <f t="shared" si="25"/>
        <v>0</v>
      </c>
      <c r="W171" s="624"/>
      <c r="Y171" s="274">
        <f t="shared" si="16"/>
        <v>0</v>
      </c>
      <c r="Z171" s="274">
        <f t="shared" si="17"/>
        <v>0</v>
      </c>
      <c r="AA171" s="319">
        <f>VLOOKUP(B171,'[19]ACTA PARCIAL OBRA'!$B$122:$X$536,20,0)</f>
        <v>0</v>
      </c>
      <c r="AB171" s="319">
        <f t="shared" si="19"/>
        <v>0</v>
      </c>
      <c r="AC171" s="319">
        <v>45207700.009999998</v>
      </c>
      <c r="AD171" s="514">
        <f t="shared" si="20"/>
        <v>-45207700.009999998</v>
      </c>
      <c r="AE171" s="556" t="str">
        <f t="shared" si="22"/>
        <v>14.2.3</v>
      </c>
      <c r="AF171" s="557" t="str">
        <f t="shared" si="22"/>
        <v>GRANITO PULIDO MESONES LABORATORIOS -  B =  60 cm.</v>
      </c>
      <c r="AG171" s="558"/>
      <c r="AH171" s="558">
        <v>6.57</v>
      </c>
      <c r="AI171" s="558">
        <v>29.74</v>
      </c>
      <c r="AJ171" s="558"/>
      <c r="AK171" s="558"/>
      <c r="AL171" s="568"/>
      <c r="AM171" s="568"/>
    </row>
    <row r="172" spans="2:39" ht="12.75" customHeight="1">
      <c r="B172" s="125" t="s">
        <v>331</v>
      </c>
      <c r="C172" s="701" t="s">
        <v>332</v>
      </c>
      <c r="D172" s="702">
        <v>6</v>
      </c>
      <c r="E172" s="702">
        <v>6</v>
      </c>
      <c r="F172" s="702">
        <v>6</v>
      </c>
      <c r="G172" s="702">
        <v>6</v>
      </c>
      <c r="H172" s="703">
        <v>6</v>
      </c>
      <c r="I172" s="126" t="s">
        <v>158</v>
      </c>
      <c r="J172" s="117">
        <v>28.47</v>
      </c>
      <c r="K172" s="118">
        <v>74888</v>
      </c>
      <c r="L172" s="104">
        <f t="shared" si="21"/>
        <v>2132061.36</v>
      </c>
      <c r="M172" s="115"/>
      <c r="N172" s="105"/>
      <c r="O172" s="57">
        <v>0</v>
      </c>
      <c r="P172" s="115"/>
      <c r="Q172" s="505"/>
      <c r="R172" s="57">
        <v>0</v>
      </c>
      <c r="S172" s="116"/>
      <c r="T172" s="312">
        <f t="shared" si="23"/>
        <v>0</v>
      </c>
      <c r="U172" s="57">
        <f t="shared" si="24"/>
        <v>0</v>
      </c>
      <c r="V172" s="623">
        <f t="shared" si="25"/>
        <v>0</v>
      </c>
      <c r="W172" s="624"/>
      <c r="Y172" s="274">
        <f t="shared" ref="Y172:Y227" si="26">+R172+O172</f>
        <v>0</v>
      </c>
      <c r="Z172" s="274">
        <f t="shared" si="17"/>
        <v>0</v>
      </c>
      <c r="AA172" s="319">
        <f>VLOOKUP(B172,'[19]ACTA PARCIAL OBRA'!$B$122:$X$536,20,0)</f>
        <v>0</v>
      </c>
      <c r="AB172" s="319">
        <f t="shared" si="19"/>
        <v>0</v>
      </c>
      <c r="AC172" s="319">
        <v>0</v>
      </c>
      <c r="AD172" s="514">
        <f t="shared" si="20"/>
        <v>0</v>
      </c>
      <c r="AE172" s="556" t="str">
        <f t="shared" si="22"/>
        <v>14.2.5</v>
      </c>
      <c r="AF172" s="557" t="str">
        <f t="shared" si="22"/>
        <v>GRANITO PULIDO MESONES  B = 60 cm INCLUYE SALPICADERO Y FALDÓN</v>
      </c>
      <c r="AG172" s="558"/>
      <c r="AH172" s="558"/>
      <c r="AI172" s="558"/>
      <c r="AJ172" s="558"/>
      <c r="AK172" s="558"/>
      <c r="AL172" s="568"/>
      <c r="AM172" s="568"/>
    </row>
    <row r="173" spans="2:39" ht="12.75" customHeight="1">
      <c r="B173" s="125">
        <v>16</v>
      </c>
      <c r="C173" s="704" t="s">
        <v>333</v>
      </c>
      <c r="D173" s="705">
        <v>6</v>
      </c>
      <c r="E173" s="705">
        <v>6</v>
      </c>
      <c r="F173" s="705">
        <v>6</v>
      </c>
      <c r="G173" s="705">
        <v>6</v>
      </c>
      <c r="H173" s="706">
        <v>6</v>
      </c>
      <c r="I173" s="126">
        <v>0</v>
      </c>
      <c r="J173" s="117"/>
      <c r="K173" s="118"/>
      <c r="L173" s="104">
        <f t="shared" si="21"/>
        <v>0</v>
      </c>
      <c r="M173" s="115"/>
      <c r="N173" s="124"/>
      <c r="O173" s="57">
        <v>0</v>
      </c>
      <c r="P173" s="115"/>
      <c r="Q173" s="502"/>
      <c r="R173" s="57">
        <v>0</v>
      </c>
      <c r="S173" s="116"/>
      <c r="T173" s="312">
        <f t="shared" si="23"/>
        <v>0</v>
      </c>
      <c r="U173" s="57">
        <f t="shared" si="24"/>
        <v>0</v>
      </c>
      <c r="V173" s="623">
        <f t="shared" si="25"/>
        <v>0</v>
      </c>
      <c r="W173" s="624"/>
      <c r="Y173" s="274">
        <f t="shared" si="26"/>
        <v>0</v>
      </c>
      <c r="Z173" s="274">
        <f t="shared" si="17"/>
        <v>0</v>
      </c>
      <c r="AA173" s="319">
        <f>VLOOKUP(B173,'[19]ACTA PARCIAL OBRA'!$B$122:$X$536,20,0)</f>
        <v>0</v>
      </c>
      <c r="AB173" s="319">
        <f t="shared" si="19"/>
        <v>0</v>
      </c>
      <c r="AC173" s="319">
        <v>0</v>
      </c>
      <c r="AD173" s="514">
        <f t="shared" si="20"/>
        <v>0</v>
      </c>
      <c r="AE173" s="556">
        <f t="shared" si="22"/>
        <v>16</v>
      </c>
      <c r="AF173" s="557" t="str">
        <f t="shared" si="22"/>
        <v>APARATOS SANITARIOS Y ACCESORIOS</v>
      </c>
      <c r="AG173" s="558"/>
      <c r="AH173" s="558"/>
      <c r="AI173" s="558"/>
      <c r="AJ173" s="558"/>
      <c r="AK173" s="558"/>
      <c r="AL173" s="568"/>
      <c r="AM173" s="568"/>
    </row>
    <row r="174" spans="2:39" ht="12.75" customHeight="1">
      <c r="B174" s="125">
        <v>16.100000000000001</v>
      </c>
      <c r="C174" s="704" t="s">
        <v>334</v>
      </c>
      <c r="D174" s="705">
        <v>6</v>
      </c>
      <c r="E174" s="705">
        <v>6</v>
      </c>
      <c r="F174" s="705">
        <v>6</v>
      </c>
      <c r="G174" s="705">
        <v>6</v>
      </c>
      <c r="H174" s="706">
        <v>6</v>
      </c>
      <c r="I174" s="126">
        <v>0</v>
      </c>
      <c r="J174" s="117"/>
      <c r="K174" s="118"/>
      <c r="L174" s="104">
        <f t="shared" si="21"/>
        <v>0</v>
      </c>
      <c r="M174" s="115"/>
      <c r="N174" s="105"/>
      <c r="O174" s="57">
        <v>0</v>
      </c>
      <c r="P174" s="115"/>
      <c r="Q174" s="505"/>
      <c r="R174" s="57">
        <v>0</v>
      </c>
      <c r="S174" s="116"/>
      <c r="T174" s="312">
        <f t="shared" si="23"/>
        <v>0</v>
      </c>
      <c r="U174" s="57">
        <f t="shared" si="24"/>
        <v>0</v>
      </c>
      <c r="V174" s="623">
        <f t="shared" si="25"/>
        <v>0</v>
      </c>
      <c r="W174" s="624"/>
      <c r="Y174" s="274">
        <f t="shared" si="26"/>
        <v>0</v>
      </c>
      <c r="Z174" s="274">
        <f t="shared" si="17"/>
        <v>0</v>
      </c>
      <c r="AA174" s="319" t="e">
        <f>VLOOKUP(B174,'[19]ACTA PARCIAL OBRA'!$B$122:$X$536,20,0)</f>
        <v>#N/A</v>
      </c>
      <c r="AB174" s="319" t="e">
        <f t="shared" si="19"/>
        <v>#N/A</v>
      </c>
      <c r="AC174" s="319">
        <v>0</v>
      </c>
      <c r="AD174" s="514">
        <f t="shared" si="20"/>
        <v>0</v>
      </c>
      <c r="AE174" s="556">
        <f t="shared" si="22"/>
        <v>16.100000000000001</v>
      </c>
      <c r="AF174" s="557" t="str">
        <f t="shared" si="22"/>
        <v>APARATOS SANITARIOS</v>
      </c>
      <c r="AG174" s="558"/>
      <c r="AH174" s="558"/>
      <c r="AI174" s="558"/>
      <c r="AJ174" s="558"/>
      <c r="AK174" s="558"/>
      <c r="AL174" s="568"/>
      <c r="AM174" s="568"/>
    </row>
    <row r="175" spans="2:39" ht="60">
      <c r="B175" s="125" t="s">
        <v>335</v>
      </c>
      <c r="C175" s="610" t="s">
        <v>336</v>
      </c>
      <c r="D175" s="611">
        <v>6</v>
      </c>
      <c r="E175" s="611">
        <v>6</v>
      </c>
      <c r="F175" s="611">
        <v>6</v>
      </c>
      <c r="G175" s="611">
        <v>6</v>
      </c>
      <c r="H175" s="612">
        <v>6</v>
      </c>
      <c r="I175" s="126" t="s">
        <v>98</v>
      </c>
      <c r="J175" s="117">
        <v>1</v>
      </c>
      <c r="K175" s="118">
        <v>87756</v>
      </c>
      <c r="L175" s="104">
        <f t="shared" si="21"/>
        <v>87756</v>
      </c>
      <c r="M175" s="115"/>
      <c r="N175" s="312"/>
      <c r="O175" s="57">
        <v>0</v>
      </c>
      <c r="P175" s="115"/>
      <c r="Q175" s="505"/>
      <c r="R175" s="57">
        <v>0</v>
      </c>
      <c r="S175" s="116"/>
      <c r="T175" s="312">
        <f t="shared" si="23"/>
        <v>0</v>
      </c>
      <c r="U175" s="57">
        <f t="shared" si="24"/>
        <v>0</v>
      </c>
      <c r="V175" s="623">
        <f t="shared" si="25"/>
        <v>0</v>
      </c>
      <c r="W175" s="624"/>
      <c r="Y175" s="274">
        <f t="shared" si="26"/>
        <v>0</v>
      </c>
      <c r="Z175" s="274">
        <f t="shared" ref="Z175:Z227" si="27">+U175-Y175</f>
        <v>0</v>
      </c>
      <c r="AA175" s="319" t="e">
        <f>VLOOKUP(B175,'[19]ACTA PARCIAL OBRA'!$B$122:$X$536,20,0)</f>
        <v>#N/A</v>
      </c>
      <c r="AB175" s="319" t="e">
        <f t="shared" si="19"/>
        <v>#N/A</v>
      </c>
      <c r="AC175" s="319">
        <v>0</v>
      </c>
      <c r="AD175" s="514">
        <f t="shared" si="20"/>
        <v>0</v>
      </c>
      <c r="AE175" s="556" t="str">
        <f t="shared" si="22"/>
        <v>16.1.2</v>
      </c>
      <c r="AF175" s="557" t="str">
        <f t="shared" si="22"/>
        <v>DUCHA CALYPSO MEZCLADOR (SUM E INSTALACION)</v>
      </c>
      <c r="AG175" s="568"/>
      <c r="AH175" s="568"/>
      <c r="AI175" s="568"/>
      <c r="AJ175" s="568"/>
      <c r="AK175" s="568"/>
      <c r="AL175" s="568"/>
      <c r="AM175" s="568"/>
    </row>
    <row r="176" spans="2:39" ht="12.75" customHeight="1">
      <c r="B176" s="125" t="s">
        <v>337</v>
      </c>
      <c r="C176" s="610" t="s">
        <v>338</v>
      </c>
      <c r="D176" s="611">
        <v>6</v>
      </c>
      <c r="E176" s="611">
        <v>6</v>
      </c>
      <c r="F176" s="611">
        <v>6</v>
      </c>
      <c r="G176" s="611">
        <v>6</v>
      </c>
      <c r="H176" s="612">
        <v>6</v>
      </c>
      <c r="I176" s="126" t="s">
        <v>98</v>
      </c>
      <c r="J176" s="117">
        <v>6</v>
      </c>
      <c r="K176" s="118">
        <v>94883</v>
      </c>
      <c r="L176" s="104">
        <f t="shared" si="21"/>
        <v>569298</v>
      </c>
      <c r="M176" s="115"/>
      <c r="N176" s="124"/>
      <c r="O176" s="57">
        <v>0</v>
      </c>
      <c r="P176" s="115"/>
      <c r="Q176" s="502"/>
      <c r="R176" s="57">
        <v>0</v>
      </c>
      <c r="S176" s="116"/>
      <c r="T176" s="312">
        <f t="shared" si="23"/>
        <v>0</v>
      </c>
      <c r="U176" s="57">
        <f t="shared" si="24"/>
        <v>0</v>
      </c>
      <c r="V176" s="623">
        <f t="shared" si="25"/>
        <v>0</v>
      </c>
      <c r="W176" s="624"/>
      <c r="Y176" s="274">
        <f t="shared" si="26"/>
        <v>0</v>
      </c>
      <c r="Z176" s="274">
        <f t="shared" si="27"/>
        <v>0</v>
      </c>
      <c r="AA176" s="319" t="e">
        <f>VLOOKUP(B176,'[19]ACTA PARCIAL OBRA'!$B$122:$X$536,20,0)</f>
        <v>#N/A</v>
      </c>
      <c r="AB176" s="319" t="e">
        <f t="shared" si="19"/>
        <v>#N/A</v>
      </c>
      <c r="AC176" s="319">
        <v>0</v>
      </c>
      <c r="AD176" s="514">
        <f t="shared" si="20"/>
        <v>0</v>
      </c>
      <c r="AE176" s="556" t="str">
        <f t="shared" si="22"/>
        <v>16.1.19</v>
      </c>
      <c r="AF176" s="557" t="str">
        <f t="shared" si="22"/>
        <v>LAVAMANOS BLANCO ACUACER  (SUM E INSTALACION)</v>
      </c>
      <c r="AG176" s="568"/>
      <c r="AH176" s="568"/>
      <c r="AI176" s="568"/>
      <c r="AJ176" s="568"/>
      <c r="AK176" s="568"/>
      <c r="AL176" s="568"/>
      <c r="AM176" s="568"/>
    </row>
    <row r="177" spans="2:39" ht="12.75" customHeight="1">
      <c r="B177" s="125" t="s">
        <v>339</v>
      </c>
      <c r="C177" s="610" t="s">
        <v>340</v>
      </c>
      <c r="D177" s="611">
        <v>6</v>
      </c>
      <c r="E177" s="611">
        <v>6</v>
      </c>
      <c r="F177" s="611">
        <v>6</v>
      </c>
      <c r="G177" s="611">
        <v>6</v>
      </c>
      <c r="H177" s="612">
        <v>6</v>
      </c>
      <c r="I177" s="126" t="s">
        <v>98</v>
      </c>
      <c r="J177" s="117">
        <v>7</v>
      </c>
      <c r="K177" s="118">
        <v>296594</v>
      </c>
      <c r="L177" s="104">
        <f t="shared" si="21"/>
        <v>2076158</v>
      </c>
      <c r="M177" s="115"/>
      <c r="N177" s="124"/>
      <c r="O177" s="57">
        <v>0</v>
      </c>
      <c r="P177" s="115"/>
      <c r="Q177" s="502"/>
      <c r="R177" s="57">
        <v>0</v>
      </c>
      <c r="S177" s="116"/>
      <c r="T177" s="312">
        <f t="shared" si="23"/>
        <v>0</v>
      </c>
      <c r="U177" s="57">
        <f t="shared" si="24"/>
        <v>0</v>
      </c>
      <c r="V177" s="623">
        <f t="shared" si="25"/>
        <v>0</v>
      </c>
      <c r="W177" s="624"/>
      <c r="Y177" s="274">
        <f t="shared" si="26"/>
        <v>0</v>
      </c>
      <c r="Z177" s="274">
        <f t="shared" si="27"/>
        <v>0</v>
      </c>
      <c r="AA177" s="319">
        <f>VLOOKUP(B177,'[19]ACTA PARCIAL OBRA'!$B$122:$X$536,20,0)</f>
        <v>0</v>
      </c>
      <c r="AB177" s="319">
        <f t="shared" si="19"/>
        <v>0</v>
      </c>
      <c r="AC177" s="319">
        <v>1678430</v>
      </c>
      <c r="AD177" s="514">
        <f t="shared" si="20"/>
        <v>-1678430</v>
      </c>
      <c r="AE177" s="556" t="str">
        <f t="shared" si="22"/>
        <v>16.1.25</v>
      </c>
      <c r="AF177" s="557" t="str">
        <f t="shared" si="22"/>
        <v>ORINAL MEDIANO DE COLGAR INSTITUCIONAL COLOR BLANCO P´CONEXIÓN Ø 5/8" REF 21-AA-8860 MANCESA O SIMILAR.</v>
      </c>
      <c r="AG177" s="568"/>
      <c r="AH177" s="568"/>
      <c r="AI177" s="568"/>
      <c r="AJ177" s="568"/>
      <c r="AK177" s="568"/>
      <c r="AL177" s="568"/>
      <c r="AM177" s="568"/>
    </row>
    <row r="178" spans="2:39" ht="12.75" customHeight="1">
      <c r="B178" s="125" t="s">
        <v>341</v>
      </c>
      <c r="C178" s="610" t="s">
        <v>342</v>
      </c>
      <c r="D178" s="611">
        <v>6</v>
      </c>
      <c r="E178" s="611">
        <v>6</v>
      </c>
      <c r="F178" s="611">
        <v>6</v>
      </c>
      <c r="G178" s="611">
        <v>6</v>
      </c>
      <c r="H178" s="612">
        <v>6</v>
      </c>
      <c r="I178" s="126" t="s">
        <v>98</v>
      </c>
      <c r="J178" s="117">
        <v>29</v>
      </c>
      <c r="K178" s="118">
        <v>368183</v>
      </c>
      <c r="L178" s="104">
        <f t="shared" si="21"/>
        <v>10677307</v>
      </c>
      <c r="M178" s="115"/>
      <c r="N178" s="105"/>
      <c r="O178" s="57">
        <v>0</v>
      </c>
      <c r="P178" s="115"/>
      <c r="Q178" s="505"/>
      <c r="R178" s="57">
        <v>0</v>
      </c>
      <c r="S178" s="116"/>
      <c r="T178" s="312">
        <f t="shared" si="23"/>
        <v>0</v>
      </c>
      <c r="U178" s="57">
        <f t="shared" si="24"/>
        <v>0</v>
      </c>
      <c r="V178" s="623">
        <f t="shared" si="25"/>
        <v>0</v>
      </c>
      <c r="W178" s="624"/>
      <c r="Y178" s="274">
        <f t="shared" si="26"/>
        <v>0</v>
      </c>
      <c r="Z178" s="274">
        <f t="shared" si="27"/>
        <v>0</v>
      </c>
      <c r="AA178" s="319" t="e">
        <f>VLOOKUP(B178,'[19]ACTA PARCIAL OBRA'!$B$122:$X$536,20,0)</f>
        <v>#N/A</v>
      </c>
      <c r="AB178" s="319" t="e">
        <f t="shared" si="19"/>
        <v>#N/A</v>
      </c>
      <c r="AC178" s="319">
        <v>1331568</v>
      </c>
      <c r="AD178" s="514">
        <f t="shared" si="20"/>
        <v>-1331568</v>
      </c>
      <c r="AE178" s="556" t="str">
        <f t="shared" si="22"/>
        <v>16.1.31</v>
      </c>
      <c r="AF178" s="557" t="str">
        <f t="shared" si="22"/>
        <v xml:space="preserve">SUMINISTRO E INSTALACIÓN SANITARIO DE TANQUE AVANTI </v>
      </c>
      <c r="AG178" s="568"/>
      <c r="AH178" s="568"/>
      <c r="AI178" s="568"/>
      <c r="AJ178" s="568"/>
      <c r="AK178" s="568"/>
      <c r="AL178" s="568"/>
      <c r="AM178" s="568"/>
    </row>
    <row r="179" spans="2:39" ht="12.75" customHeight="1">
      <c r="B179" s="125" t="s">
        <v>343</v>
      </c>
      <c r="C179" s="610" t="s">
        <v>344</v>
      </c>
      <c r="D179" s="611">
        <v>6</v>
      </c>
      <c r="E179" s="611">
        <v>6</v>
      </c>
      <c r="F179" s="611">
        <v>6</v>
      </c>
      <c r="G179" s="611">
        <v>6</v>
      </c>
      <c r="H179" s="612">
        <v>6</v>
      </c>
      <c r="I179" s="126" t="s">
        <v>98</v>
      </c>
      <c r="J179" s="117">
        <v>7</v>
      </c>
      <c r="K179" s="118">
        <v>302935</v>
      </c>
      <c r="L179" s="104">
        <f t="shared" si="21"/>
        <v>2120545</v>
      </c>
      <c r="M179" s="115"/>
      <c r="N179" s="124"/>
      <c r="O179" s="57">
        <v>0</v>
      </c>
      <c r="P179" s="115"/>
      <c r="Q179" s="502"/>
      <c r="R179" s="57">
        <v>0</v>
      </c>
      <c r="S179" s="116"/>
      <c r="T179" s="312">
        <f t="shared" si="23"/>
        <v>0</v>
      </c>
      <c r="U179" s="57">
        <f t="shared" si="24"/>
        <v>0</v>
      </c>
      <c r="V179" s="623">
        <f t="shared" si="25"/>
        <v>0</v>
      </c>
      <c r="W179" s="624"/>
      <c r="Y179" s="274">
        <f t="shared" si="26"/>
        <v>0</v>
      </c>
      <c r="Z179" s="274">
        <f t="shared" si="27"/>
        <v>0</v>
      </c>
      <c r="AA179" s="319" t="e">
        <f>VLOOKUP(B179,'[19]ACTA PARCIAL OBRA'!$B$122:$X$536,20,0)</f>
        <v>#N/A</v>
      </c>
      <c r="AB179" s="319" t="e">
        <f t="shared" si="19"/>
        <v>#N/A</v>
      </c>
      <c r="AC179" s="319">
        <v>3559410</v>
      </c>
      <c r="AD179" s="514">
        <f t="shared" si="20"/>
        <v>-3559410</v>
      </c>
      <c r="AE179" s="556" t="str">
        <f t="shared" si="22"/>
        <v>16.1.35</v>
      </c>
      <c r="AF179" s="557" t="str">
        <f t="shared" si="22"/>
        <v>POCETA ACERO INOX. 35x40 + GRIFERIA (SUM E INSTALACION)</v>
      </c>
      <c r="AG179" s="568"/>
      <c r="AH179" s="568"/>
      <c r="AI179" s="568"/>
      <c r="AJ179" s="568"/>
      <c r="AK179" s="568"/>
      <c r="AL179" s="568"/>
      <c r="AM179" s="568"/>
    </row>
    <row r="180" spans="2:39" ht="12.75" customHeight="1">
      <c r="B180" s="111">
        <v>16.2</v>
      </c>
      <c r="C180" s="618" t="s">
        <v>345</v>
      </c>
      <c r="D180" s="619">
        <v>6</v>
      </c>
      <c r="E180" s="619">
        <v>6</v>
      </c>
      <c r="F180" s="619">
        <v>6</v>
      </c>
      <c r="G180" s="619">
        <v>6</v>
      </c>
      <c r="H180" s="620">
        <v>6</v>
      </c>
      <c r="I180" s="126">
        <v>0</v>
      </c>
      <c r="J180" s="117"/>
      <c r="K180" s="118"/>
      <c r="L180" s="104">
        <f t="shared" si="21"/>
        <v>0</v>
      </c>
      <c r="M180" s="115"/>
      <c r="N180" s="124"/>
      <c r="O180" s="57">
        <v>0</v>
      </c>
      <c r="P180" s="115"/>
      <c r="Q180" s="502"/>
      <c r="R180" s="57">
        <v>0</v>
      </c>
      <c r="S180" s="116"/>
      <c r="T180" s="312">
        <f t="shared" si="23"/>
        <v>0</v>
      </c>
      <c r="U180" s="57">
        <f t="shared" si="24"/>
        <v>0</v>
      </c>
      <c r="V180" s="623">
        <f t="shared" si="25"/>
        <v>0</v>
      </c>
      <c r="W180" s="624"/>
      <c r="Y180" s="274">
        <f t="shared" si="26"/>
        <v>0</v>
      </c>
      <c r="Z180" s="274">
        <f t="shared" si="27"/>
        <v>0</v>
      </c>
      <c r="AA180" s="319">
        <f>VLOOKUP(B180,'[19]ACTA PARCIAL OBRA'!$B$122:$X$536,20,0)</f>
        <v>0</v>
      </c>
      <c r="AB180" s="319">
        <f t="shared" si="19"/>
        <v>0</v>
      </c>
      <c r="AC180" s="319">
        <v>0</v>
      </c>
      <c r="AD180" s="514">
        <f t="shared" si="20"/>
        <v>0</v>
      </c>
      <c r="AE180" s="556">
        <f t="shared" si="22"/>
        <v>16.2</v>
      </c>
      <c r="AF180" s="557" t="str">
        <f t="shared" si="22"/>
        <v>ACCESORIOS</v>
      </c>
      <c r="AG180" s="568"/>
      <c r="AH180" s="568"/>
      <c r="AI180" s="568"/>
      <c r="AJ180" s="568"/>
      <c r="AK180" s="568"/>
      <c r="AL180" s="568"/>
      <c r="AM180" s="568"/>
    </row>
    <row r="181" spans="2:39" ht="12.75" customHeight="1">
      <c r="B181" s="125" t="s">
        <v>346</v>
      </c>
      <c r="C181" s="610" t="s">
        <v>347</v>
      </c>
      <c r="D181" s="611">
        <v>6</v>
      </c>
      <c r="E181" s="611">
        <v>6</v>
      </c>
      <c r="F181" s="611">
        <v>6</v>
      </c>
      <c r="G181" s="611">
        <v>6</v>
      </c>
      <c r="H181" s="611">
        <v>6</v>
      </c>
      <c r="I181" s="126" t="s">
        <v>98</v>
      </c>
      <c r="J181" s="117">
        <v>4</v>
      </c>
      <c r="K181" s="118">
        <v>443280</v>
      </c>
      <c r="L181" s="104">
        <f t="shared" si="21"/>
        <v>1773120</v>
      </c>
      <c r="M181" s="115"/>
      <c r="N181" s="124"/>
      <c r="O181" s="57">
        <v>0</v>
      </c>
      <c r="P181" s="115"/>
      <c r="Q181" s="504"/>
      <c r="R181" s="57">
        <v>0</v>
      </c>
      <c r="S181" s="116"/>
      <c r="T181" s="312">
        <f t="shared" si="23"/>
        <v>0</v>
      </c>
      <c r="U181" s="57">
        <f t="shared" si="24"/>
        <v>0</v>
      </c>
      <c r="V181" s="623">
        <f t="shared" si="25"/>
        <v>0</v>
      </c>
      <c r="W181" s="624"/>
      <c r="Y181" s="274">
        <f t="shared" si="26"/>
        <v>0</v>
      </c>
      <c r="Z181" s="274">
        <f t="shared" si="27"/>
        <v>0</v>
      </c>
      <c r="AA181" s="319">
        <f>VLOOKUP(B181,'[19]ACTA PARCIAL OBRA'!$B$122:$X$536,20,0)</f>
        <v>0</v>
      </c>
      <c r="AB181" s="319">
        <f t="shared" si="19"/>
        <v>0</v>
      </c>
      <c r="AC181" s="319">
        <v>1771400</v>
      </c>
      <c r="AD181" s="514">
        <f t="shared" si="20"/>
        <v>-1771400</v>
      </c>
      <c r="AE181" s="556" t="str">
        <f t="shared" si="22"/>
        <v>16.2.1</v>
      </c>
      <c r="AF181" s="557" t="str">
        <f t="shared" si="22"/>
        <v>BARRAS AYUDA MINUSVALIDOS (SUM E INSTALACION)</v>
      </c>
      <c r="AG181" s="568"/>
      <c r="AH181" s="568"/>
      <c r="AI181" s="568"/>
      <c r="AJ181" s="568"/>
      <c r="AK181" s="568"/>
      <c r="AL181" s="568"/>
      <c r="AM181" s="568"/>
    </row>
    <row r="182" spans="2:39" ht="12.75" customHeight="1">
      <c r="B182" s="111">
        <v>16.3</v>
      </c>
      <c r="C182" s="618" t="s">
        <v>348</v>
      </c>
      <c r="D182" s="619">
        <v>6</v>
      </c>
      <c r="E182" s="619">
        <v>6</v>
      </c>
      <c r="F182" s="619">
        <v>6</v>
      </c>
      <c r="G182" s="619">
        <v>6</v>
      </c>
      <c r="H182" s="620">
        <v>6</v>
      </c>
      <c r="I182" s="126">
        <v>0</v>
      </c>
      <c r="J182" s="117"/>
      <c r="K182" s="118"/>
      <c r="L182" s="104">
        <f t="shared" si="21"/>
        <v>0</v>
      </c>
      <c r="M182" s="115"/>
      <c r="N182" s="119"/>
      <c r="O182" s="57">
        <v>0</v>
      </c>
      <c r="P182" s="115"/>
      <c r="Q182" s="502"/>
      <c r="R182" s="57">
        <v>0</v>
      </c>
      <c r="S182" s="116"/>
      <c r="T182" s="312">
        <f t="shared" si="23"/>
        <v>0</v>
      </c>
      <c r="U182" s="57">
        <f t="shared" si="24"/>
        <v>0</v>
      </c>
      <c r="V182" s="623">
        <f t="shared" si="25"/>
        <v>0</v>
      </c>
      <c r="W182" s="624"/>
      <c r="Y182" s="274">
        <f t="shared" si="26"/>
        <v>0</v>
      </c>
      <c r="Z182" s="274">
        <f t="shared" si="27"/>
        <v>0</v>
      </c>
      <c r="AA182" s="319" t="e">
        <f>VLOOKUP(B182,'[19]ACTA PARCIAL OBRA'!$B$122:$X$536,20,0)</f>
        <v>#N/A</v>
      </c>
      <c r="AB182" s="319" t="e">
        <f t="shared" si="19"/>
        <v>#N/A</v>
      </c>
      <c r="AC182" s="319">
        <v>1242612</v>
      </c>
      <c r="AD182" s="514">
        <f t="shared" si="20"/>
        <v>-1242612</v>
      </c>
      <c r="AE182" s="556">
        <f t="shared" si="22"/>
        <v>16.3</v>
      </c>
      <c r="AF182" s="557" t="str">
        <f t="shared" si="22"/>
        <v>OTROS - APARATOS SANITARIOS Y ACCESORIOS</v>
      </c>
      <c r="AG182" s="568"/>
      <c r="AH182" s="568"/>
      <c r="AI182" s="568"/>
      <c r="AJ182" s="568"/>
      <c r="AK182" s="568"/>
      <c r="AL182" s="568"/>
      <c r="AM182" s="568"/>
    </row>
    <row r="183" spans="2:39" ht="12.75" customHeight="1">
      <c r="B183" s="125" t="s">
        <v>349</v>
      </c>
      <c r="C183" s="610" t="s">
        <v>350</v>
      </c>
      <c r="D183" s="611">
        <v>6</v>
      </c>
      <c r="E183" s="611">
        <v>6</v>
      </c>
      <c r="F183" s="611">
        <v>6</v>
      </c>
      <c r="G183" s="611">
        <v>6</v>
      </c>
      <c r="H183" s="612">
        <v>6</v>
      </c>
      <c r="I183" s="109" t="s">
        <v>98</v>
      </c>
      <c r="J183" s="117">
        <v>73</v>
      </c>
      <c r="K183" s="118">
        <v>34310</v>
      </c>
      <c r="L183" s="104">
        <f t="shared" si="21"/>
        <v>2504630</v>
      </c>
      <c r="M183" s="115"/>
      <c r="N183" s="124"/>
      <c r="O183" s="57">
        <v>0</v>
      </c>
      <c r="P183" s="115"/>
      <c r="Q183" s="502"/>
      <c r="R183" s="57">
        <v>0</v>
      </c>
      <c r="S183" s="116"/>
      <c r="T183" s="312">
        <f t="shared" si="23"/>
        <v>0</v>
      </c>
      <c r="U183" s="57">
        <f t="shared" si="24"/>
        <v>0</v>
      </c>
      <c r="V183" s="623">
        <f t="shared" si="25"/>
        <v>0</v>
      </c>
      <c r="W183" s="624"/>
      <c r="Y183" s="274">
        <f t="shared" si="26"/>
        <v>0</v>
      </c>
      <c r="Z183" s="274">
        <f t="shared" si="27"/>
        <v>0</v>
      </c>
      <c r="AA183" s="319">
        <f>VLOOKUP(B183,'[19]ACTA PARCIAL OBRA'!$B$122:$X$536,20,0)</f>
        <v>0</v>
      </c>
      <c r="AB183" s="319">
        <f t="shared" si="19"/>
        <v>0</v>
      </c>
      <c r="AC183" s="319">
        <v>2647904</v>
      </c>
      <c r="AD183" s="514">
        <f t="shared" si="20"/>
        <v>-2647904</v>
      </c>
      <c r="AE183" s="556" t="str">
        <f t="shared" si="22"/>
        <v>16.3.2</v>
      </c>
      <c r="AF183" s="557" t="str">
        <f t="shared" si="22"/>
        <v>LLAVE MANGUERA 1/2" (SUM E INSTALACION)</v>
      </c>
      <c r="AG183" s="568"/>
      <c r="AH183" s="568"/>
      <c r="AI183" s="568"/>
      <c r="AJ183" s="568"/>
      <c r="AK183" s="568"/>
      <c r="AL183" s="568"/>
      <c r="AM183" s="568"/>
    </row>
    <row r="184" spans="2:39" ht="12.75" customHeight="1">
      <c r="B184" s="111">
        <v>16.399999999999999</v>
      </c>
      <c r="C184" s="618" t="s">
        <v>351</v>
      </c>
      <c r="D184" s="619">
        <v>6</v>
      </c>
      <c r="E184" s="619">
        <v>6</v>
      </c>
      <c r="F184" s="619">
        <v>6</v>
      </c>
      <c r="G184" s="619">
        <v>6</v>
      </c>
      <c r="H184" s="620">
        <v>6</v>
      </c>
      <c r="I184" s="137">
        <v>0</v>
      </c>
      <c r="J184" s="117"/>
      <c r="K184" s="118"/>
      <c r="L184" s="104">
        <f t="shared" si="21"/>
        <v>0</v>
      </c>
      <c r="M184" s="115"/>
      <c r="N184" s="124"/>
      <c r="O184" s="57">
        <v>0</v>
      </c>
      <c r="P184" s="115"/>
      <c r="Q184" s="502"/>
      <c r="R184" s="57">
        <v>0</v>
      </c>
      <c r="S184" s="116"/>
      <c r="T184" s="312">
        <f t="shared" si="23"/>
        <v>0</v>
      </c>
      <c r="U184" s="57">
        <f t="shared" si="24"/>
        <v>0</v>
      </c>
      <c r="V184" s="623">
        <f t="shared" si="25"/>
        <v>0</v>
      </c>
      <c r="W184" s="624"/>
      <c r="Y184" s="274">
        <f t="shared" si="26"/>
        <v>0</v>
      </c>
      <c r="Z184" s="274">
        <f t="shared" si="27"/>
        <v>0</v>
      </c>
      <c r="AA184" s="319">
        <f>VLOOKUP(B184,'[19]ACTA PARCIAL OBRA'!$B$122:$X$536,20,0)</f>
        <v>0</v>
      </c>
      <c r="AB184" s="319">
        <f t="shared" si="19"/>
        <v>0</v>
      </c>
      <c r="AC184" s="319">
        <v>756258</v>
      </c>
      <c r="AD184" s="514">
        <f t="shared" si="20"/>
        <v>-756258</v>
      </c>
      <c r="AE184" s="556">
        <f t="shared" si="22"/>
        <v>16.399999999999999</v>
      </c>
      <c r="AF184" s="557" t="str">
        <f t="shared" si="22"/>
        <v>APARATOS SANITARIOS Y ACCESORIOS - ANTIVANDÁLICOS TIPO PUSH (SUM E INSTALACION)</v>
      </c>
      <c r="AG184" s="568"/>
      <c r="AH184" s="568"/>
      <c r="AI184" s="568"/>
      <c r="AJ184" s="568"/>
      <c r="AK184" s="568"/>
      <c r="AL184" s="568"/>
      <c r="AM184" s="568"/>
    </row>
    <row r="185" spans="2:39" ht="12.75" customHeight="1">
      <c r="B185" s="125" t="s">
        <v>352</v>
      </c>
      <c r="C185" s="610" t="s">
        <v>353</v>
      </c>
      <c r="D185" s="611">
        <v>6</v>
      </c>
      <c r="E185" s="611">
        <v>6</v>
      </c>
      <c r="F185" s="611">
        <v>6</v>
      </c>
      <c r="G185" s="611">
        <v>6</v>
      </c>
      <c r="H185" s="611">
        <v>6</v>
      </c>
      <c r="I185" s="492" t="s">
        <v>98</v>
      </c>
      <c r="J185" s="117">
        <v>2</v>
      </c>
      <c r="K185" s="118">
        <v>200825</v>
      </c>
      <c r="L185" s="104">
        <f t="shared" si="21"/>
        <v>401650</v>
      </c>
      <c r="M185" s="115"/>
      <c r="N185" s="124"/>
      <c r="O185" s="57">
        <v>0</v>
      </c>
      <c r="P185" s="115"/>
      <c r="Q185" s="502"/>
      <c r="R185" s="57">
        <v>0</v>
      </c>
      <c r="S185" s="116"/>
      <c r="T185" s="312">
        <f t="shared" si="23"/>
        <v>0</v>
      </c>
      <c r="U185" s="57">
        <f t="shared" si="24"/>
        <v>0</v>
      </c>
      <c r="V185" s="623">
        <f t="shared" si="25"/>
        <v>0</v>
      </c>
      <c r="W185" s="624"/>
      <c r="Y185" s="274">
        <f t="shared" si="26"/>
        <v>0</v>
      </c>
      <c r="Z185" s="274">
        <f t="shared" si="27"/>
        <v>0</v>
      </c>
      <c r="AA185" s="563" t="e">
        <f>VLOOKUP(B185,'[19]ACTA PARCIAL OBRA'!$B$122:$X$536,20,0)</f>
        <v>#N/A</v>
      </c>
      <c r="AB185" s="563" t="e">
        <f t="shared" si="19"/>
        <v>#N/A</v>
      </c>
      <c r="AC185" s="563">
        <v>0</v>
      </c>
      <c r="AD185" s="564">
        <f t="shared" si="20"/>
        <v>0</v>
      </c>
      <c r="AE185" s="569" t="str">
        <f t="shared" si="22"/>
        <v>16.4.1</v>
      </c>
      <c r="AF185" s="570" t="str">
        <f t="shared" si="22"/>
        <v>SANITARIO INSTITUCIONAL PARA DISCAPACITADOS COLOR BLANCO P´CONEXIÓN SUPERIOR REF 21-AA-2640 MANCESA O SIMILAR</v>
      </c>
      <c r="AG185" s="571"/>
      <c r="AH185" s="571"/>
      <c r="AI185" s="571"/>
      <c r="AJ185" s="571"/>
      <c r="AK185" s="572"/>
      <c r="AL185" s="576"/>
      <c r="AM185" s="576"/>
    </row>
    <row r="186" spans="2:39" ht="12.75" customHeight="1">
      <c r="B186" s="125" t="s">
        <v>354</v>
      </c>
      <c r="C186" s="610" t="s">
        <v>355</v>
      </c>
      <c r="D186" s="611">
        <v>6</v>
      </c>
      <c r="E186" s="611">
        <v>6</v>
      </c>
      <c r="F186" s="611">
        <v>6</v>
      </c>
      <c r="G186" s="611">
        <v>6</v>
      </c>
      <c r="H186" s="612">
        <v>6</v>
      </c>
      <c r="I186" s="136" t="s">
        <v>98</v>
      </c>
      <c r="J186" s="117">
        <v>7</v>
      </c>
      <c r="K186" s="118">
        <v>264923</v>
      </c>
      <c r="L186" s="104">
        <f t="shared" si="21"/>
        <v>1854461</v>
      </c>
      <c r="M186" s="115"/>
      <c r="N186" s="124"/>
      <c r="O186" s="57">
        <v>0</v>
      </c>
      <c r="P186" s="115"/>
      <c r="Q186" s="502"/>
      <c r="R186" s="57">
        <v>0</v>
      </c>
      <c r="S186" s="116"/>
      <c r="T186" s="312">
        <f t="shared" si="23"/>
        <v>0</v>
      </c>
      <c r="U186" s="57">
        <f t="shared" si="24"/>
        <v>0</v>
      </c>
      <c r="V186" s="623">
        <f t="shared" si="25"/>
        <v>0</v>
      </c>
      <c r="W186" s="624"/>
      <c r="Y186" s="274">
        <f t="shared" si="26"/>
        <v>0</v>
      </c>
      <c r="Z186" s="274">
        <f t="shared" si="27"/>
        <v>0</v>
      </c>
      <c r="AA186" s="319" t="e">
        <f>VLOOKUP(B186,'[19]ACTA PARCIAL OBRA'!$B$122:$X$536,20,0)</f>
        <v>#N/A</v>
      </c>
      <c r="AB186" s="319" t="e">
        <f t="shared" si="19"/>
        <v>#N/A</v>
      </c>
      <c r="AC186" s="319">
        <v>0</v>
      </c>
      <c r="AD186" s="514">
        <f t="shared" si="20"/>
        <v>0</v>
      </c>
      <c r="AE186" s="556" t="str">
        <f t="shared" si="22"/>
        <v>16.4.6</v>
      </c>
      <c r="AF186" s="557" t="str">
        <f t="shared" si="22"/>
        <v>SISTEMA DE ACCIONAMIENTO ANTIVANDALICO ALTA PRESION P/ORINAL DE COLGAR, DOCOL O  SIMILAR (INC. VÁLVULA DE DESCARGA, BOTON DE ACCIONAMIENTO ANTIVANDALICO Y ACCESORIOS PARA CONEXIÓN POSTERIOR)</v>
      </c>
      <c r="AG186" s="568"/>
      <c r="AH186" s="568"/>
      <c r="AI186" s="568"/>
      <c r="AJ186" s="568"/>
      <c r="AK186" s="568"/>
      <c r="AL186" s="568"/>
      <c r="AM186" s="568"/>
    </row>
    <row r="187" spans="2:39" s="404" customFormat="1" ht="12.75" customHeight="1">
      <c r="B187" s="125" t="s">
        <v>356</v>
      </c>
      <c r="C187" s="610" t="s">
        <v>357</v>
      </c>
      <c r="D187" s="611">
        <v>6</v>
      </c>
      <c r="E187" s="611">
        <v>6</v>
      </c>
      <c r="F187" s="611">
        <v>6</v>
      </c>
      <c r="G187" s="611">
        <v>6</v>
      </c>
      <c r="H187" s="611">
        <v>6</v>
      </c>
      <c r="I187" s="126" t="s">
        <v>98</v>
      </c>
      <c r="J187" s="117">
        <v>39</v>
      </c>
      <c r="K187" s="118">
        <v>292852</v>
      </c>
      <c r="L187" s="104">
        <f t="shared" si="21"/>
        <v>11421228</v>
      </c>
      <c r="M187" s="122"/>
      <c r="N187" s="124"/>
      <c r="O187" s="57">
        <v>0</v>
      </c>
      <c r="P187" s="122"/>
      <c r="Q187" s="502"/>
      <c r="R187" s="57">
        <v>0</v>
      </c>
      <c r="S187" s="123"/>
      <c r="T187" s="312">
        <f t="shared" si="23"/>
        <v>0</v>
      </c>
      <c r="U187" s="57">
        <f t="shared" si="24"/>
        <v>0</v>
      </c>
      <c r="V187" s="623">
        <f t="shared" si="25"/>
        <v>0</v>
      </c>
      <c r="W187" s="624"/>
      <c r="X187" s="403"/>
      <c r="Y187" s="274">
        <f t="shared" si="26"/>
        <v>0</v>
      </c>
      <c r="Z187" s="274">
        <f t="shared" si="27"/>
        <v>0</v>
      </c>
      <c r="AA187" s="319" t="e">
        <f>VLOOKUP(B187,'[19]ACTA PARCIAL OBRA'!$B$122:$X$536,20,0)</f>
        <v>#N/A</v>
      </c>
      <c r="AB187" s="319" t="e">
        <f t="shared" si="19"/>
        <v>#N/A</v>
      </c>
      <c r="AC187" s="319">
        <v>0</v>
      </c>
      <c r="AD187" s="514">
        <f t="shared" si="20"/>
        <v>0</v>
      </c>
      <c r="AE187" s="556" t="str">
        <f t="shared" si="22"/>
        <v>16.4.8</v>
      </c>
      <c r="AF187" s="557" t="str">
        <f t="shared" si="22"/>
        <v>GRIFERIA ANTIVANDALICA PARA LAVAMANOS PICO LARGO TIPO PUSH, CONEXION Ø 3/4" O 1/2", 24-AA-142006 DOCOL O SIMILAR.</v>
      </c>
      <c r="AG187" s="568"/>
      <c r="AH187" s="568"/>
      <c r="AI187" s="568"/>
      <c r="AJ187" s="568"/>
      <c r="AK187" s="568"/>
      <c r="AL187" s="568"/>
      <c r="AM187" s="568"/>
    </row>
    <row r="188" spans="2:39" ht="12.75" customHeight="1">
      <c r="B188" s="125" t="s">
        <v>358</v>
      </c>
      <c r="C188" s="610" t="s">
        <v>359</v>
      </c>
      <c r="D188" s="611">
        <v>6</v>
      </c>
      <c r="E188" s="611">
        <v>6</v>
      </c>
      <c r="F188" s="611">
        <v>6</v>
      </c>
      <c r="G188" s="611">
        <v>6</v>
      </c>
      <c r="H188" s="611">
        <v>6</v>
      </c>
      <c r="I188" s="109" t="s">
        <v>98</v>
      </c>
      <c r="J188" s="117">
        <v>2</v>
      </c>
      <c r="K188" s="118">
        <v>537322</v>
      </c>
      <c r="L188" s="104">
        <f t="shared" si="21"/>
        <v>1074644</v>
      </c>
      <c r="M188" s="115"/>
      <c r="N188" s="124"/>
      <c r="O188" s="57">
        <v>0</v>
      </c>
      <c r="P188" s="115"/>
      <c r="Q188" s="502"/>
      <c r="R188" s="57">
        <v>0</v>
      </c>
      <c r="S188" s="116"/>
      <c r="T188" s="312">
        <f t="shared" si="23"/>
        <v>0</v>
      </c>
      <c r="U188" s="57">
        <f t="shared" si="24"/>
        <v>0</v>
      </c>
      <c r="V188" s="623">
        <f t="shared" si="25"/>
        <v>0</v>
      </c>
      <c r="W188" s="624"/>
      <c r="Y188" s="274">
        <f t="shared" si="26"/>
        <v>0</v>
      </c>
      <c r="Z188" s="274">
        <f t="shared" si="27"/>
        <v>0</v>
      </c>
      <c r="AA188" s="319" t="e">
        <f>VLOOKUP(B188,'[19]ACTA PARCIAL OBRA'!$B$122:$X$536,20,0)</f>
        <v>#N/A</v>
      </c>
      <c r="AB188" s="319" t="e">
        <f t="shared" si="19"/>
        <v>#N/A</v>
      </c>
      <c r="AC188" s="319">
        <v>5933495.1200000001</v>
      </c>
      <c r="AD188" s="514">
        <f t="shared" si="20"/>
        <v>-5933495.1200000001</v>
      </c>
      <c r="AE188" s="559" t="str">
        <f t="shared" si="22"/>
        <v>16.4.11</v>
      </c>
      <c r="AF188" s="560" t="str">
        <f t="shared" si="22"/>
        <v>KIT VÁLVULA DE DESCARGA ANTIVANDÁLICA  ALTA PRESIÓN PARA SANITARIO DE CONEXIÓN SUPERIOR, BOTÓN DE ACCIONAMIENTO CON PALANCA PARA DISCAPACITADOS, SIN TORNILLOS A LA VISTA, METÁLICO CROMADO IMPORTADO, REF 4-AA-880 DOCOL O  SIMILAR.</v>
      </c>
      <c r="AG188" s="558"/>
      <c r="AH188" s="558"/>
      <c r="AI188" s="558"/>
      <c r="AJ188" s="558"/>
      <c r="AK188" s="558"/>
      <c r="AL188" s="568"/>
      <c r="AM188" s="568"/>
    </row>
    <row r="189" spans="2:39" ht="12.75" customHeight="1">
      <c r="B189" s="125" t="s">
        <v>360</v>
      </c>
      <c r="C189" s="610" t="s">
        <v>361</v>
      </c>
      <c r="D189" s="611">
        <v>6</v>
      </c>
      <c r="E189" s="611">
        <v>6</v>
      </c>
      <c r="F189" s="611">
        <v>6</v>
      </c>
      <c r="G189" s="611">
        <v>6</v>
      </c>
      <c r="H189" s="612">
        <v>6</v>
      </c>
      <c r="I189" s="109" t="s">
        <v>98</v>
      </c>
      <c r="J189" s="117">
        <v>33</v>
      </c>
      <c r="K189" s="118">
        <v>256218</v>
      </c>
      <c r="L189" s="104">
        <f t="shared" si="21"/>
        <v>8455194</v>
      </c>
      <c r="M189" s="115"/>
      <c r="N189" s="313"/>
      <c r="O189" s="57">
        <v>0</v>
      </c>
      <c r="P189" s="115"/>
      <c r="Q189" s="502"/>
      <c r="R189" s="57">
        <v>0</v>
      </c>
      <c r="S189" s="116"/>
      <c r="T189" s="312">
        <f t="shared" si="23"/>
        <v>0</v>
      </c>
      <c r="U189" s="57">
        <f t="shared" si="24"/>
        <v>0</v>
      </c>
      <c r="V189" s="623">
        <f t="shared" si="25"/>
        <v>0</v>
      </c>
      <c r="W189" s="624"/>
      <c r="Y189" s="274">
        <f t="shared" si="26"/>
        <v>0</v>
      </c>
      <c r="Z189" s="274">
        <f t="shared" si="27"/>
        <v>0</v>
      </c>
      <c r="AA189" s="319" t="e">
        <f>VLOOKUP(B189,'[19]ACTA PARCIAL OBRA'!$B$122:$X$536,20,0)</f>
        <v>#N/A</v>
      </c>
      <c r="AB189" s="319" t="e">
        <f t="shared" si="19"/>
        <v>#N/A</v>
      </c>
      <c r="AC189" s="573"/>
      <c r="AE189" s="556" t="str">
        <f t="shared" si="22"/>
        <v>16.4.13</v>
      </c>
      <c r="AF189" s="557" t="str">
        <f t="shared" si="22"/>
        <v>LAVAMANOS DE SOBREPONER MARSELLA BLANCO TIPO CORONA O SIMILAR</v>
      </c>
      <c r="AG189" s="574"/>
      <c r="AH189" s="574"/>
      <c r="AI189" s="574"/>
      <c r="AJ189" s="574"/>
      <c r="AK189" s="574"/>
      <c r="AL189" s="574"/>
      <c r="AM189" s="574"/>
    </row>
    <row r="190" spans="2:39" ht="12.75" customHeight="1">
      <c r="B190" s="125" t="s">
        <v>362</v>
      </c>
      <c r="C190" s="610" t="s">
        <v>363</v>
      </c>
      <c r="D190" s="611">
        <v>6</v>
      </c>
      <c r="E190" s="611">
        <v>6</v>
      </c>
      <c r="F190" s="611">
        <v>6</v>
      </c>
      <c r="G190" s="611">
        <v>6</v>
      </c>
      <c r="H190" s="612">
        <v>6</v>
      </c>
      <c r="I190" s="109" t="s">
        <v>98</v>
      </c>
      <c r="J190" s="117">
        <v>1</v>
      </c>
      <c r="K190" s="118">
        <v>2039813</v>
      </c>
      <c r="L190" s="104">
        <f t="shared" si="21"/>
        <v>2039813</v>
      </c>
      <c r="M190" s="115"/>
      <c r="N190" s="124"/>
      <c r="O190" s="57">
        <v>0</v>
      </c>
      <c r="P190" s="115"/>
      <c r="Q190" s="502"/>
      <c r="R190" s="57">
        <v>0</v>
      </c>
      <c r="S190" s="116"/>
      <c r="T190" s="312">
        <f t="shared" si="23"/>
        <v>0</v>
      </c>
      <c r="U190" s="57">
        <f t="shared" si="24"/>
        <v>0</v>
      </c>
      <c r="V190" s="623">
        <f t="shared" si="25"/>
        <v>0</v>
      </c>
      <c r="W190" s="624"/>
      <c r="Y190" s="274">
        <f t="shared" si="26"/>
        <v>0</v>
      </c>
      <c r="Z190" s="274">
        <f t="shared" si="27"/>
        <v>0</v>
      </c>
      <c r="AA190" s="319" t="e">
        <f>VLOOKUP(B190,'[19]ACTA PARCIAL OBRA'!$B$122:$X$536,20,0)</f>
        <v>#N/A</v>
      </c>
      <c r="AB190" s="319" t="e">
        <f t="shared" si="19"/>
        <v>#N/A</v>
      </c>
      <c r="AC190" s="319">
        <v>0</v>
      </c>
      <c r="AD190" s="514">
        <f t="shared" ref="AD190:AD195" si="28">+U190-AC190</f>
        <v>0</v>
      </c>
      <c r="AE190" s="556" t="str">
        <f t="shared" si="22"/>
        <v>16.4.14</v>
      </c>
      <c r="AF190" s="557" t="str">
        <f t="shared" si="22"/>
        <v>LAVAOJOS DE EMERGENCIA DE SOBREPONER EN LA PARED, RECIPIENTE A.B.S. DE INGENIERÍA RESISTENTE A QUÍMICOS, DE ACCIONAMIENTO MANUAL CON DESAGUE Y SIFÓN CROMADOS , SUMINISTRO Ø 1/2", PRESIÓN ENTRE 40 y 60 PSI  - REF 12-AA-7260-BT DOCOL O  SIMILAR.</v>
      </c>
      <c r="AG190" s="568"/>
      <c r="AH190" s="568"/>
      <c r="AI190" s="568"/>
      <c r="AJ190" s="568"/>
      <c r="AK190" s="568"/>
      <c r="AL190" s="568"/>
      <c r="AM190" s="568"/>
    </row>
    <row r="191" spans="2:39" ht="12.75" customHeight="1">
      <c r="B191" s="111">
        <v>17.2</v>
      </c>
      <c r="C191" s="618" t="s">
        <v>364</v>
      </c>
      <c r="D191" s="619">
        <v>6</v>
      </c>
      <c r="E191" s="619">
        <v>6</v>
      </c>
      <c r="F191" s="619">
        <v>6</v>
      </c>
      <c r="G191" s="619">
        <v>6</v>
      </c>
      <c r="H191" s="620">
        <v>6</v>
      </c>
      <c r="I191" s="109">
        <v>0</v>
      </c>
      <c r="J191" s="117"/>
      <c r="K191" s="118"/>
      <c r="L191" s="104">
        <f t="shared" si="21"/>
        <v>0</v>
      </c>
      <c r="M191" s="115"/>
      <c r="N191" s="124"/>
      <c r="O191" s="57">
        <v>0</v>
      </c>
      <c r="P191" s="115"/>
      <c r="Q191" s="502"/>
      <c r="R191" s="57">
        <v>0</v>
      </c>
      <c r="S191" s="116"/>
      <c r="T191" s="312">
        <f t="shared" si="23"/>
        <v>0</v>
      </c>
      <c r="U191" s="57">
        <f t="shared" si="24"/>
        <v>0</v>
      </c>
      <c r="V191" s="623">
        <f t="shared" si="25"/>
        <v>0</v>
      </c>
      <c r="W191" s="624"/>
      <c r="Y191" s="274">
        <f t="shared" si="26"/>
        <v>0</v>
      </c>
      <c r="Z191" s="274">
        <f t="shared" si="27"/>
        <v>0</v>
      </c>
      <c r="AA191" s="319" t="e">
        <f>VLOOKUP(B191,'[19]ACTA PARCIAL OBRA'!$B$122:$X$536,20,0)</f>
        <v>#N/A</v>
      </c>
      <c r="AB191" s="319" t="e">
        <f t="shared" si="19"/>
        <v>#N/A</v>
      </c>
      <c r="AC191" s="319">
        <v>558932</v>
      </c>
      <c r="AD191" s="514">
        <f t="shared" si="28"/>
        <v>-558932</v>
      </c>
      <c r="AE191" s="559">
        <f t="shared" si="22"/>
        <v>17.2</v>
      </c>
      <c r="AF191" s="560" t="str">
        <f t="shared" si="22"/>
        <v>CIELORASOS Y DIVISIONES</v>
      </c>
      <c r="AG191" s="561"/>
      <c r="AH191" s="561"/>
      <c r="AI191" s="561"/>
      <c r="AJ191" s="561"/>
      <c r="AK191" s="562"/>
      <c r="AL191" s="568"/>
      <c r="AM191" s="568"/>
    </row>
    <row r="192" spans="2:39" ht="12.75" customHeight="1">
      <c r="B192" s="125" t="s">
        <v>365</v>
      </c>
      <c r="C192" s="610" t="s">
        <v>366</v>
      </c>
      <c r="D192" s="611">
        <v>6</v>
      </c>
      <c r="E192" s="611">
        <v>6</v>
      </c>
      <c r="F192" s="611">
        <v>6</v>
      </c>
      <c r="G192" s="611">
        <v>6</v>
      </c>
      <c r="H192" s="611">
        <v>6</v>
      </c>
      <c r="I192" s="138" t="s">
        <v>116</v>
      </c>
      <c r="J192" s="133">
        <v>98.76</v>
      </c>
      <c r="K192" s="118">
        <v>672021</v>
      </c>
      <c r="L192" s="104">
        <f t="shared" si="21"/>
        <v>66368793.960000001</v>
      </c>
      <c r="M192" s="115"/>
      <c r="N192" s="105"/>
      <c r="O192" s="57">
        <v>0</v>
      </c>
      <c r="P192" s="115"/>
      <c r="Q192" s="505"/>
      <c r="R192" s="57">
        <v>0</v>
      </c>
      <c r="S192" s="116"/>
      <c r="T192" s="312">
        <f t="shared" si="23"/>
        <v>0</v>
      </c>
      <c r="U192" s="57">
        <f t="shared" si="24"/>
        <v>0</v>
      </c>
      <c r="V192" s="623">
        <f t="shared" si="25"/>
        <v>0</v>
      </c>
      <c r="W192" s="624"/>
      <c r="Y192" s="274">
        <f t="shared" si="26"/>
        <v>0</v>
      </c>
      <c r="Z192" s="274">
        <f t="shared" si="27"/>
        <v>0</v>
      </c>
      <c r="AA192" s="319">
        <f>VLOOKUP(B192,'[19]ACTA PARCIAL OBRA'!$B$122:$X$536,20,0)</f>
        <v>0</v>
      </c>
      <c r="AB192" s="319">
        <f t="shared" si="19"/>
        <v>0</v>
      </c>
      <c r="AC192" s="319">
        <v>0</v>
      </c>
      <c r="AD192" s="514">
        <f t="shared" si="28"/>
        <v>0</v>
      </c>
      <c r="AE192" s="556" t="str">
        <f t="shared" si="22"/>
        <v>17.2.1</v>
      </c>
      <c r="AF192" s="557" t="str">
        <f t="shared" si="22"/>
        <v>DIVISIONES PARA BAÑOS EN ACERO INOXIDABLE</v>
      </c>
      <c r="AG192" s="568"/>
      <c r="AH192" s="568"/>
      <c r="AI192" s="568"/>
      <c r="AJ192" s="568"/>
      <c r="AK192" s="568"/>
      <c r="AL192" s="568"/>
      <c r="AM192" s="568"/>
    </row>
    <row r="193" spans="2:39" ht="12.75" customHeight="1">
      <c r="B193" s="111">
        <v>18</v>
      </c>
      <c r="C193" s="618" t="s">
        <v>367</v>
      </c>
      <c r="D193" s="619">
        <v>6</v>
      </c>
      <c r="E193" s="619">
        <v>6</v>
      </c>
      <c r="F193" s="619">
        <v>6</v>
      </c>
      <c r="G193" s="619">
        <v>6</v>
      </c>
      <c r="H193" s="619">
        <v>6</v>
      </c>
      <c r="I193" s="135">
        <v>0</v>
      </c>
      <c r="J193" s="133"/>
      <c r="K193" s="118"/>
      <c r="L193" s="104">
        <f t="shared" si="21"/>
        <v>0</v>
      </c>
      <c r="M193" s="115"/>
      <c r="N193" s="124"/>
      <c r="O193" s="57">
        <v>0</v>
      </c>
      <c r="P193" s="115"/>
      <c r="Q193" s="502"/>
      <c r="R193" s="57">
        <v>0</v>
      </c>
      <c r="S193" s="116"/>
      <c r="T193" s="312">
        <f t="shared" si="23"/>
        <v>0</v>
      </c>
      <c r="U193" s="57">
        <f t="shared" si="24"/>
        <v>0</v>
      </c>
      <c r="V193" s="623">
        <f t="shared" si="25"/>
        <v>0</v>
      </c>
      <c r="W193" s="624"/>
      <c r="Y193" s="274">
        <f t="shared" si="26"/>
        <v>0</v>
      </c>
      <c r="Z193" s="274">
        <f t="shared" si="27"/>
        <v>0</v>
      </c>
      <c r="AA193" s="319">
        <f>VLOOKUP(B193,'[19]ACTA PARCIAL OBRA'!$B$122:$X$536,20,0)</f>
        <v>0</v>
      </c>
      <c r="AB193" s="319">
        <f t="shared" si="19"/>
        <v>0</v>
      </c>
      <c r="AC193" s="319">
        <v>0</v>
      </c>
      <c r="AD193" s="514">
        <f t="shared" si="28"/>
        <v>0</v>
      </c>
      <c r="AE193" s="559">
        <f t="shared" si="22"/>
        <v>18</v>
      </c>
      <c r="AF193" s="560" t="str">
        <f t="shared" si="22"/>
        <v>PINTURA</v>
      </c>
      <c r="AG193" s="561"/>
      <c r="AH193" s="561"/>
      <c r="AI193" s="561"/>
      <c r="AJ193" s="561"/>
      <c r="AK193" s="562"/>
      <c r="AL193" s="568"/>
      <c r="AM193" s="568"/>
    </row>
    <row r="194" spans="2:39" ht="12.75" customHeight="1">
      <c r="B194" s="111">
        <v>18.100000000000001</v>
      </c>
      <c r="C194" s="618" t="s">
        <v>368</v>
      </c>
      <c r="D194" s="619">
        <v>6</v>
      </c>
      <c r="E194" s="619">
        <v>6</v>
      </c>
      <c r="F194" s="619">
        <v>6</v>
      </c>
      <c r="G194" s="619">
        <v>6</v>
      </c>
      <c r="H194" s="619">
        <v>6</v>
      </c>
      <c r="I194" s="132">
        <v>0</v>
      </c>
      <c r="J194" s="133"/>
      <c r="K194" s="118"/>
      <c r="L194" s="104">
        <f t="shared" si="21"/>
        <v>0</v>
      </c>
      <c r="M194" s="115"/>
      <c r="N194" s="105"/>
      <c r="O194" s="57">
        <v>0</v>
      </c>
      <c r="P194" s="115"/>
      <c r="Q194" s="505"/>
      <c r="R194" s="57">
        <v>0</v>
      </c>
      <c r="S194" s="116"/>
      <c r="T194" s="312">
        <f t="shared" si="23"/>
        <v>0</v>
      </c>
      <c r="U194" s="57">
        <f t="shared" si="24"/>
        <v>0</v>
      </c>
      <c r="V194" s="623">
        <f t="shared" si="25"/>
        <v>0</v>
      </c>
      <c r="W194" s="624"/>
      <c r="Y194" s="274">
        <f t="shared" si="26"/>
        <v>0</v>
      </c>
      <c r="Z194" s="274">
        <f t="shared" si="27"/>
        <v>0</v>
      </c>
      <c r="AA194" s="319" t="e">
        <f>VLOOKUP(B194,'[19]ACTA PARCIAL OBRA'!$B$122:$X$536,20,0)</f>
        <v>#N/A</v>
      </c>
      <c r="AB194" s="319" t="e">
        <f t="shared" si="19"/>
        <v>#N/A</v>
      </c>
      <c r="AC194" s="319">
        <v>0</v>
      </c>
      <c r="AD194" s="514">
        <f t="shared" si="28"/>
        <v>0</v>
      </c>
      <c r="AE194" s="556">
        <f t="shared" si="22"/>
        <v>18.100000000000001</v>
      </c>
      <c r="AF194" s="557" t="str">
        <f t="shared" si="22"/>
        <v>PINTURA SOBRE MAMPOSTERIA</v>
      </c>
      <c r="AG194" s="568"/>
      <c r="AH194" s="568"/>
      <c r="AI194" s="568"/>
      <c r="AJ194" s="568"/>
      <c r="AK194" s="568"/>
      <c r="AL194" s="568"/>
      <c r="AM194" s="568"/>
    </row>
    <row r="195" spans="2:39" ht="12.75" customHeight="1">
      <c r="B195" s="125" t="s">
        <v>369</v>
      </c>
      <c r="C195" s="610" t="s">
        <v>370</v>
      </c>
      <c r="D195" s="611">
        <v>6</v>
      </c>
      <c r="E195" s="611">
        <v>6</v>
      </c>
      <c r="F195" s="611">
        <v>6</v>
      </c>
      <c r="G195" s="611">
        <v>6</v>
      </c>
      <c r="H195" s="611">
        <v>6</v>
      </c>
      <c r="I195" s="139" t="s">
        <v>116</v>
      </c>
      <c r="J195" s="133">
        <v>2521.12</v>
      </c>
      <c r="K195" s="118">
        <v>7768</v>
      </c>
      <c r="L195" s="104">
        <f t="shared" si="21"/>
        <v>19584060.16</v>
      </c>
      <c r="M195" s="115"/>
      <c r="N195" s="124"/>
      <c r="O195" s="57">
        <v>0</v>
      </c>
      <c r="P195" s="115"/>
      <c r="Q195" s="504"/>
      <c r="R195" s="57">
        <v>0</v>
      </c>
      <c r="S195" s="116"/>
      <c r="T195" s="312">
        <f t="shared" si="23"/>
        <v>0</v>
      </c>
      <c r="U195" s="57">
        <f t="shared" si="24"/>
        <v>0</v>
      </c>
      <c r="V195" s="623">
        <f t="shared" si="25"/>
        <v>0</v>
      </c>
      <c r="W195" s="624"/>
      <c r="Y195" s="274">
        <f t="shared" si="26"/>
        <v>0</v>
      </c>
      <c r="Z195" s="274">
        <f t="shared" si="27"/>
        <v>0</v>
      </c>
      <c r="AA195" s="319">
        <f>VLOOKUP(B195,'[19]ACTA PARCIAL OBRA'!$B$122:$X$536,20,0)</f>
        <v>0</v>
      </c>
      <c r="AB195" s="319">
        <f t="shared" si="19"/>
        <v>0</v>
      </c>
      <c r="AC195" s="319">
        <v>8063422.5700000003</v>
      </c>
      <c r="AD195" s="514">
        <f t="shared" si="28"/>
        <v>-8063422.5700000003</v>
      </c>
      <c r="AE195" s="556" t="str">
        <f t="shared" si="22"/>
        <v>18.1.3</v>
      </c>
      <c r="AF195" s="557" t="str">
        <f t="shared" si="22"/>
        <v>ESTUCO SOBRE PAÑETE</v>
      </c>
      <c r="AG195" s="568"/>
      <c r="AH195" s="568"/>
      <c r="AI195" s="568"/>
      <c r="AJ195" s="568"/>
      <c r="AK195" s="568"/>
      <c r="AL195" s="568">
        <v>18.82</v>
      </c>
      <c r="AM195" s="568">
        <v>-16.149999999999999</v>
      </c>
    </row>
    <row r="196" spans="2:39" ht="12.75" customHeight="1">
      <c r="B196" s="125" t="s">
        <v>371</v>
      </c>
      <c r="C196" s="610" t="s">
        <v>372</v>
      </c>
      <c r="D196" s="611">
        <v>6</v>
      </c>
      <c r="E196" s="611">
        <v>6</v>
      </c>
      <c r="F196" s="611">
        <v>6</v>
      </c>
      <c r="G196" s="611">
        <v>6</v>
      </c>
      <c r="H196" s="611">
        <v>6</v>
      </c>
      <c r="I196" s="132" t="s">
        <v>116</v>
      </c>
      <c r="J196" s="133">
        <v>2521.12</v>
      </c>
      <c r="K196" s="118">
        <v>10644</v>
      </c>
      <c r="L196" s="104">
        <f t="shared" si="21"/>
        <v>26834801.280000001</v>
      </c>
      <c r="M196" s="115"/>
      <c r="N196" s="119"/>
      <c r="O196" s="57">
        <v>0</v>
      </c>
      <c r="P196" s="115"/>
      <c r="Q196" s="502"/>
      <c r="R196" s="57">
        <v>0</v>
      </c>
      <c r="S196" s="116"/>
      <c r="T196" s="312">
        <f t="shared" si="23"/>
        <v>0</v>
      </c>
      <c r="U196" s="57">
        <f t="shared" si="24"/>
        <v>0</v>
      </c>
      <c r="V196" s="623">
        <f t="shared" si="25"/>
        <v>0</v>
      </c>
      <c r="W196" s="624"/>
      <c r="Y196" s="274">
        <f t="shared" si="26"/>
        <v>0</v>
      </c>
      <c r="Z196" s="274">
        <f t="shared" si="27"/>
        <v>0</v>
      </c>
      <c r="AA196" s="319" t="e">
        <f>VLOOKUP(B196,'[19]ACTA PARCIAL OBRA'!$B$122:$X$536,20,0)</f>
        <v>#N/A</v>
      </c>
      <c r="AB196" s="319" t="e">
        <f t="shared" si="19"/>
        <v>#N/A</v>
      </c>
      <c r="AC196" s="573"/>
      <c r="AD196" s="575">
        <f>+X196-R196</f>
        <v>0</v>
      </c>
      <c r="AE196" s="556" t="str">
        <f t="shared" si="22"/>
        <v>18.1.4</v>
      </c>
      <c r="AF196" s="557" t="str">
        <f t="shared" si="22"/>
        <v>PINTURA EN VINILO TIPO 1 MUROS INTERIORES 3 MANOS</v>
      </c>
      <c r="AG196" s="568"/>
      <c r="AH196" s="568"/>
      <c r="AI196" s="568"/>
      <c r="AJ196" s="568"/>
      <c r="AK196" s="568"/>
      <c r="AL196" s="568"/>
      <c r="AM196" s="568">
        <v>25.54</v>
      </c>
    </row>
    <row r="197" spans="2:39" ht="12.75" customHeight="1">
      <c r="B197" s="111">
        <v>18.2</v>
      </c>
      <c r="C197" s="618" t="s">
        <v>373</v>
      </c>
      <c r="D197" s="619">
        <v>6</v>
      </c>
      <c r="E197" s="619">
        <v>6</v>
      </c>
      <c r="F197" s="619">
        <v>6</v>
      </c>
      <c r="G197" s="619">
        <v>6</v>
      </c>
      <c r="H197" s="619">
        <v>6</v>
      </c>
      <c r="I197" s="132">
        <v>0</v>
      </c>
      <c r="J197" s="133"/>
      <c r="K197" s="118"/>
      <c r="L197" s="104">
        <f t="shared" si="21"/>
        <v>0</v>
      </c>
      <c r="M197" s="115"/>
      <c r="N197" s="105"/>
      <c r="O197" s="57">
        <v>0</v>
      </c>
      <c r="P197" s="115"/>
      <c r="Q197" s="505"/>
      <c r="R197" s="57">
        <v>0</v>
      </c>
      <c r="S197" s="116"/>
      <c r="T197" s="312">
        <f t="shared" si="23"/>
        <v>0</v>
      </c>
      <c r="U197" s="57">
        <f t="shared" si="24"/>
        <v>0</v>
      </c>
      <c r="V197" s="623">
        <f t="shared" si="25"/>
        <v>0</v>
      </c>
      <c r="W197" s="624"/>
      <c r="Y197" s="274">
        <f t="shared" si="26"/>
        <v>0</v>
      </c>
      <c r="Z197" s="274">
        <f t="shared" si="27"/>
        <v>0</v>
      </c>
      <c r="AA197" s="319" t="e">
        <f>VLOOKUP(B197,'[19]ACTA PARCIAL OBRA'!$B$122:$X$536,20,0)</f>
        <v>#N/A</v>
      </c>
      <c r="AB197" s="319" t="e">
        <f t="shared" si="19"/>
        <v>#N/A</v>
      </c>
      <c r="AC197" s="319">
        <v>43826831.100000001</v>
      </c>
      <c r="AD197" s="514">
        <f t="shared" ref="AD197:AD204" si="29">+U197-AC197</f>
        <v>-43826831.100000001</v>
      </c>
      <c r="AE197" s="556">
        <f t="shared" si="22"/>
        <v>18.2</v>
      </c>
      <c r="AF197" s="557" t="str">
        <f t="shared" si="22"/>
        <v>PINTURA SOBRE METAL</v>
      </c>
      <c r="AG197" s="568"/>
      <c r="AH197" s="568"/>
      <c r="AI197" s="568"/>
      <c r="AJ197" s="568"/>
      <c r="AK197" s="568"/>
      <c r="AL197" s="568">
        <v>56.29</v>
      </c>
      <c r="AM197" s="568"/>
    </row>
    <row r="198" spans="2:39" ht="12.75" customHeight="1">
      <c r="B198" s="125" t="s">
        <v>374</v>
      </c>
      <c r="C198" s="610" t="s">
        <v>375</v>
      </c>
      <c r="D198" s="611">
        <v>6</v>
      </c>
      <c r="E198" s="611">
        <v>6</v>
      </c>
      <c r="F198" s="611">
        <v>6</v>
      </c>
      <c r="G198" s="611">
        <v>6</v>
      </c>
      <c r="H198" s="611">
        <v>6</v>
      </c>
      <c r="I198" s="135" t="s">
        <v>158</v>
      </c>
      <c r="J198" s="133">
        <v>2500</v>
      </c>
      <c r="K198" s="118">
        <v>6915</v>
      </c>
      <c r="L198" s="104">
        <f t="shared" si="21"/>
        <v>17287500</v>
      </c>
      <c r="M198" s="115"/>
      <c r="N198" s="124"/>
      <c r="O198" s="57">
        <v>0</v>
      </c>
      <c r="P198" s="115"/>
      <c r="Q198" s="502"/>
      <c r="R198" s="57">
        <v>0</v>
      </c>
      <c r="S198" s="116"/>
      <c r="T198" s="312">
        <f t="shared" si="23"/>
        <v>0</v>
      </c>
      <c r="U198" s="57">
        <f t="shared" si="24"/>
        <v>0</v>
      </c>
      <c r="V198" s="623">
        <f t="shared" si="25"/>
        <v>0</v>
      </c>
      <c r="W198" s="624"/>
      <c r="Y198" s="274">
        <f t="shared" si="26"/>
        <v>0</v>
      </c>
      <c r="Z198" s="274">
        <f t="shared" si="27"/>
        <v>0</v>
      </c>
      <c r="AA198" s="563" t="e">
        <f>VLOOKUP(B198,'[19]ACTA PARCIAL OBRA'!$B$122:$X$536,20,0)</f>
        <v>#N/A</v>
      </c>
      <c r="AB198" s="563" t="e">
        <f t="shared" si="19"/>
        <v>#N/A</v>
      </c>
      <c r="AC198" s="563">
        <v>21538838.399999999</v>
      </c>
      <c r="AD198" s="564">
        <f t="shared" si="29"/>
        <v>-21538838.399999999</v>
      </c>
      <c r="AE198" s="565" t="str">
        <f t="shared" si="22"/>
        <v>18.2.2</v>
      </c>
      <c r="AF198" s="566" t="str">
        <f t="shared" si="22"/>
        <v>ANTICORROSIVO S/LAMINA LINEAL</v>
      </c>
      <c r="AG198" s="576"/>
      <c r="AH198" s="576"/>
      <c r="AI198" s="576"/>
      <c r="AJ198" s="576"/>
      <c r="AK198" s="576"/>
      <c r="AL198" s="576"/>
      <c r="AM198" s="576"/>
    </row>
    <row r="199" spans="2:39" ht="12.75" customHeight="1">
      <c r="B199" s="125" t="s">
        <v>376</v>
      </c>
      <c r="C199" s="610" t="s">
        <v>377</v>
      </c>
      <c r="D199" s="611">
        <v>6</v>
      </c>
      <c r="E199" s="611">
        <v>6</v>
      </c>
      <c r="F199" s="611">
        <v>6</v>
      </c>
      <c r="G199" s="611">
        <v>6</v>
      </c>
      <c r="H199" s="611">
        <v>6</v>
      </c>
      <c r="I199" s="132" t="s">
        <v>158</v>
      </c>
      <c r="J199" s="133">
        <v>323.9272964164856</v>
      </c>
      <c r="K199" s="118">
        <v>10289</v>
      </c>
      <c r="L199" s="104">
        <f t="shared" si="21"/>
        <v>3332887.95</v>
      </c>
      <c r="M199" s="115"/>
      <c r="N199" s="124"/>
      <c r="O199" s="57">
        <v>0</v>
      </c>
      <c r="P199" s="115"/>
      <c r="Q199" s="502"/>
      <c r="R199" s="57">
        <v>0</v>
      </c>
      <c r="S199" s="116"/>
      <c r="T199" s="312">
        <f t="shared" si="23"/>
        <v>0</v>
      </c>
      <c r="U199" s="57">
        <f t="shared" si="24"/>
        <v>0</v>
      </c>
      <c r="V199" s="623">
        <f t="shared" si="25"/>
        <v>0</v>
      </c>
      <c r="W199" s="624"/>
      <c r="Y199" s="274">
        <f t="shared" si="26"/>
        <v>0</v>
      </c>
      <c r="Z199" s="274">
        <f t="shared" si="27"/>
        <v>0</v>
      </c>
      <c r="AA199" s="319" t="e">
        <f>VLOOKUP(B199,'[19]ACTA PARCIAL OBRA'!$B$122:$X$536,20,0)</f>
        <v>#N/A</v>
      </c>
      <c r="AB199" s="319" t="e">
        <f t="shared" si="19"/>
        <v>#N/A</v>
      </c>
      <c r="AC199" s="319">
        <v>314611012.49000001</v>
      </c>
      <c r="AD199" s="514">
        <f t="shared" si="29"/>
        <v>-314611012.49000001</v>
      </c>
      <c r="AE199" s="556" t="str">
        <f t="shared" ref="AE199:AF215" si="30">+B199</f>
        <v>18.2.5</v>
      </c>
      <c r="AF199" s="557" t="str">
        <f t="shared" si="30"/>
        <v>ESMALTE  S/ MARCOS LAMINA</v>
      </c>
      <c r="AG199" s="568"/>
      <c r="AH199" s="568"/>
      <c r="AI199" s="568"/>
      <c r="AJ199" s="568"/>
      <c r="AK199" s="568">
        <v>307.19</v>
      </c>
      <c r="AL199" s="568">
        <v>379.76</v>
      </c>
      <c r="AM199" s="568">
        <v>618.36</v>
      </c>
    </row>
    <row r="200" spans="2:39" ht="24">
      <c r="B200" s="111">
        <v>18.2</v>
      </c>
      <c r="C200" s="618" t="s">
        <v>378</v>
      </c>
      <c r="D200" s="619">
        <v>6</v>
      </c>
      <c r="E200" s="619">
        <v>6</v>
      </c>
      <c r="F200" s="619">
        <v>6</v>
      </c>
      <c r="G200" s="619">
        <v>6</v>
      </c>
      <c r="H200" s="619">
        <v>6</v>
      </c>
      <c r="I200" s="132">
        <v>0</v>
      </c>
      <c r="J200" s="133"/>
      <c r="K200" s="118"/>
      <c r="L200" s="104">
        <f t="shared" si="21"/>
        <v>0</v>
      </c>
      <c r="M200" s="115"/>
      <c r="N200" s="105"/>
      <c r="O200" s="57">
        <v>0</v>
      </c>
      <c r="P200" s="115"/>
      <c r="Q200" s="505"/>
      <c r="R200" s="57">
        <v>0</v>
      </c>
      <c r="S200" s="116"/>
      <c r="T200" s="312">
        <f t="shared" si="23"/>
        <v>0</v>
      </c>
      <c r="U200" s="57">
        <f t="shared" si="24"/>
        <v>0</v>
      </c>
      <c r="V200" s="623">
        <f t="shared" si="25"/>
        <v>0</v>
      </c>
      <c r="W200" s="624"/>
      <c r="Y200" s="274">
        <f t="shared" si="26"/>
        <v>0</v>
      </c>
      <c r="Z200" s="274">
        <f t="shared" si="27"/>
        <v>0</v>
      </c>
      <c r="AA200" s="563" t="e">
        <f>VLOOKUP(B200,'[19]ACTA PARCIAL OBRA'!$B$122:$X$536,20,0)</f>
        <v>#N/A</v>
      </c>
      <c r="AB200" s="563" t="e">
        <f t="shared" ref="AB200:AB263" si="31">+AA200-R200</f>
        <v>#N/A</v>
      </c>
      <c r="AC200" s="563">
        <v>314611012.49000001</v>
      </c>
      <c r="AD200" s="564">
        <f t="shared" si="29"/>
        <v>-314611012.49000001</v>
      </c>
      <c r="AE200" s="565">
        <f t="shared" si="30"/>
        <v>18.2</v>
      </c>
      <c r="AF200" s="566" t="str">
        <f t="shared" si="30"/>
        <v>VARIOS - PINTURA</v>
      </c>
      <c r="AG200" s="576"/>
      <c r="AH200" s="576"/>
      <c r="AI200" s="576"/>
      <c r="AJ200" s="576"/>
      <c r="AK200" s="576"/>
      <c r="AL200" s="576"/>
      <c r="AM200" s="576"/>
    </row>
    <row r="201" spans="2:39" ht="12.75" customHeight="1">
      <c r="B201" s="125" t="s">
        <v>379</v>
      </c>
      <c r="C201" s="610" t="s">
        <v>380</v>
      </c>
      <c r="D201" s="611">
        <v>6</v>
      </c>
      <c r="E201" s="611">
        <v>6</v>
      </c>
      <c r="F201" s="611">
        <v>6</v>
      </c>
      <c r="G201" s="611">
        <v>6</v>
      </c>
      <c r="H201" s="611">
        <v>6</v>
      </c>
      <c r="I201" s="132" t="s">
        <v>116</v>
      </c>
      <c r="J201" s="133">
        <v>472.5</v>
      </c>
      <c r="K201" s="118">
        <v>18599</v>
      </c>
      <c r="L201" s="104">
        <f t="shared" si="21"/>
        <v>8788027.5</v>
      </c>
      <c r="M201" s="115"/>
      <c r="N201" s="124"/>
      <c r="O201" s="57">
        <v>0</v>
      </c>
      <c r="P201" s="115"/>
      <c r="Q201" s="502"/>
      <c r="R201" s="57">
        <v>0</v>
      </c>
      <c r="S201" s="116"/>
      <c r="T201" s="312">
        <f t="shared" si="23"/>
        <v>0</v>
      </c>
      <c r="U201" s="57">
        <f t="shared" si="24"/>
        <v>0</v>
      </c>
      <c r="V201" s="623">
        <f t="shared" si="25"/>
        <v>0</v>
      </c>
      <c r="W201" s="624"/>
      <c r="Y201" s="274">
        <f t="shared" si="26"/>
        <v>0</v>
      </c>
      <c r="Z201" s="274">
        <f t="shared" si="27"/>
        <v>0</v>
      </c>
      <c r="AA201" s="319" t="e">
        <f>VLOOKUP(B201,'[19]ACTA PARCIAL OBRA'!$B$122:$X$536,20,0)</f>
        <v>#N/A</v>
      </c>
      <c r="AB201" s="319" t="e">
        <f t="shared" si="31"/>
        <v>#N/A</v>
      </c>
      <c r="AC201" s="319">
        <v>24599505.600000001</v>
      </c>
      <c r="AD201" s="514">
        <f t="shared" si="29"/>
        <v>-24599505.600000001</v>
      </c>
      <c r="AE201" s="556" t="str">
        <f t="shared" si="30"/>
        <v>18.4.3</v>
      </c>
      <c r="AF201" s="557" t="str">
        <f t="shared" si="30"/>
        <v xml:space="preserve">DEMARCACIÓN CON PINTURA TRÁFICO VEHICULAR CANCHA MÚLTIPLE </v>
      </c>
      <c r="AG201" s="568"/>
      <c r="AH201" s="568"/>
      <c r="AI201" s="568"/>
      <c r="AJ201" s="568"/>
      <c r="AK201" s="568"/>
      <c r="AL201" s="568"/>
      <c r="AM201" s="568"/>
    </row>
    <row r="202" spans="2:39" ht="168">
      <c r="B202" s="125" t="s">
        <v>381</v>
      </c>
      <c r="C202" s="610" t="s">
        <v>382</v>
      </c>
      <c r="D202" s="611">
        <v>6</v>
      </c>
      <c r="E202" s="611">
        <v>6</v>
      </c>
      <c r="F202" s="611">
        <v>6</v>
      </c>
      <c r="G202" s="611">
        <v>6</v>
      </c>
      <c r="H202" s="611">
        <v>6</v>
      </c>
      <c r="I202" s="134" t="s">
        <v>116</v>
      </c>
      <c r="J202" s="133">
        <v>166.07</v>
      </c>
      <c r="K202" s="118">
        <v>7334</v>
      </c>
      <c r="L202" s="104">
        <f t="shared" si="21"/>
        <v>1217957.3799999999</v>
      </c>
      <c r="M202" s="115"/>
      <c r="N202" s="124"/>
      <c r="O202" s="57">
        <v>0</v>
      </c>
      <c r="P202" s="115"/>
      <c r="Q202" s="502"/>
      <c r="R202" s="57">
        <v>0</v>
      </c>
      <c r="S202" s="116"/>
      <c r="T202" s="312">
        <f t="shared" si="23"/>
        <v>0</v>
      </c>
      <c r="U202" s="57">
        <f t="shared" si="24"/>
        <v>0</v>
      </c>
      <c r="V202" s="623">
        <f t="shared" si="25"/>
        <v>0</v>
      </c>
      <c r="W202" s="624"/>
      <c r="Y202" s="274">
        <f t="shared" si="26"/>
        <v>0</v>
      </c>
      <c r="Z202" s="274">
        <f t="shared" si="27"/>
        <v>0</v>
      </c>
      <c r="AA202" s="319" t="e">
        <f>VLOOKUP(B202,'[19]ACTA PARCIAL OBRA'!$B$122:$X$536,20,0)</f>
        <v>#N/A</v>
      </c>
      <c r="AB202" s="319" t="e">
        <f t="shared" si="31"/>
        <v>#N/A</v>
      </c>
      <c r="AC202" s="319">
        <v>0</v>
      </c>
      <c r="AD202" s="514">
        <f t="shared" si="29"/>
        <v>0</v>
      </c>
      <c r="AE202" s="556" t="str">
        <f t="shared" si="30"/>
        <v>18.4.10</v>
      </c>
      <c r="AF202" s="557" t="str">
        <f t="shared" si="30"/>
        <v>SUMINISTRO E INSTALACION DE PINTURA EPOXICA PARA PISOS, MUROS Y TECHOS INCLUYE PREPARACION DE SUPERFICIE Y PRIMER DE ADHERENCIA</v>
      </c>
      <c r="AG202" s="568"/>
      <c r="AH202" s="568"/>
      <c r="AI202" s="568"/>
      <c r="AJ202" s="568"/>
      <c r="AK202" s="568"/>
      <c r="AL202" s="568"/>
      <c r="AM202" s="568"/>
    </row>
    <row r="203" spans="2:39" ht="24">
      <c r="B203" s="111">
        <v>19</v>
      </c>
      <c r="C203" s="618" t="s">
        <v>383</v>
      </c>
      <c r="D203" s="619">
        <v>6</v>
      </c>
      <c r="E203" s="619">
        <v>6</v>
      </c>
      <c r="F203" s="619">
        <v>6</v>
      </c>
      <c r="G203" s="619">
        <v>6</v>
      </c>
      <c r="H203" s="620">
        <v>6</v>
      </c>
      <c r="I203" s="136">
        <v>0</v>
      </c>
      <c r="J203" s="117"/>
      <c r="K203" s="118"/>
      <c r="L203" s="104">
        <f t="shared" si="21"/>
        <v>0</v>
      </c>
      <c r="M203" s="115"/>
      <c r="N203" s="124"/>
      <c r="O203" s="57">
        <v>0</v>
      </c>
      <c r="P203" s="115"/>
      <c r="Q203" s="502"/>
      <c r="R203" s="57">
        <v>0</v>
      </c>
      <c r="S203" s="116"/>
      <c r="T203" s="312">
        <f t="shared" si="23"/>
        <v>0</v>
      </c>
      <c r="U203" s="57">
        <f t="shared" si="24"/>
        <v>0</v>
      </c>
      <c r="V203" s="623">
        <f t="shared" si="25"/>
        <v>0</v>
      </c>
      <c r="W203" s="624"/>
      <c r="Y203" s="274">
        <f t="shared" si="26"/>
        <v>0</v>
      </c>
      <c r="Z203" s="274">
        <f t="shared" si="27"/>
        <v>0</v>
      </c>
      <c r="AA203" s="319">
        <f>VLOOKUP(B203,'[19]ACTA PARCIAL OBRA'!$B$122:$X$536,20,0)</f>
        <v>0</v>
      </c>
      <c r="AB203" s="319">
        <f t="shared" si="31"/>
        <v>0</v>
      </c>
      <c r="AC203" s="319">
        <v>0</v>
      </c>
      <c r="AD203" s="514">
        <f t="shared" si="29"/>
        <v>0</v>
      </c>
      <c r="AE203" s="556">
        <f t="shared" si="30"/>
        <v>19</v>
      </c>
      <c r="AF203" s="557" t="str">
        <f t="shared" si="30"/>
        <v>CERRADURAS Y VIDRIOS</v>
      </c>
      <c r="AG203" s="568"/>
      <c r="AH203" s="568"/>
      <c r="AI203" s="568"/>
      <c r="AJ203" s="568"/>
      <c r="AK203" s="568"/>
      <c r="AL203" s="568"/>
      <c r="AM203" s="568"/>
    </row>
    <row r="204" spans="2:39" ht="12.75" customHeight="1">
      <c r="B204" s="111">
        <v>19.100000000000001</v>
      </c>
      <c r="C204" s="618" t="s">
        <v>384</v>
      </c>
      <c r="D204" s="619">
        <v>6</v>
      </c>
      <c r="E204" s="619">
        <v>6</v>
      </c>
      <c r="F204" s="619">
        <v>6</v>
      </c>
      <c r="G204" s="619">
        <v>6</v>
      </c>
      <c r="H204" s="620">
        <v>6</v>
      </c>
      <c r="I204" s="109">
        <v>0</v>
      </c>
      <c r="J204" s="117"/>
      <c r="K204" s="118"/>
      <c r="L204" s="104">
        <f t="shared" si="21"/>
        <v>0</v>
      </c>
      <c r="M204" s="115"/>
      <c r="N204" s="313"/>
      <c r="O204" s="57">
        <v>0</v>
      </c>
      <c r="P204" s="115"/>
      <c r="Q204" s="502"/>
      <c r="R204" s="57">
        <v>0</v>
      </c>
      <c r="S204" s="116"/>
      <c r="T204" s="312">
        <f t="shared" si="23"/>
        <v>0</v>
      </c>
      <c r="U204" s="57">
        <f t="shared" si="24"/>
        <v>0</v>
      </c>
      <c r="V204" s="623">
        <f t="shared" si="25"/>
        <v>0</v>
      </c>
      <c r="W204" s="624"/>
      <c r="Y204" s="274">
        <f t="shared" si="26"/>
        <v>0</v>
      </c>
      <c r="Z204" s="274">
        <f t="shared" si="27"/>
        <v>0</v>
      </c>
      <c r="AA204" s="319" t="e">
        <f>VLOOKUP(B204,'[19]ACTA PARCIAL OBRA'!$B$122:$X$536,20,0)</f>
        <v>#N/A</v>
      </c>
      <c r="AB204" s="319" t="e">
        <f t="shared" si="31"/>
        <v>#N/A</v>
      </c>
      <c r="AC204" s="319">
        <v>245520</v>
      </c>
      <c r="AD204" s="514">
        <f t="shared" si="29"/>
        <v>-245520</v>
      </c>
      <c r="AE204" s="556">
        <f t="shared" si="30"/>
        <v>19.100000000000001</v>
      </c>
      <c r="AF204" s="557" t="str">
        <f t="shared" si="30"/>
        <v>CERRADURAS</v>
      </c>
      <c r="AG204" s="568"/>
      <c r="AH204" s="568"/>
      <c r="AI204" s="568"/>
      <c r="AJ204" s="568"/>
      <c r="AK204" s="568"/>
      <c r="AL204" s="568"/>
      <c r="AM204" s="568"/>
    </row>
    <row r="205" spans="2:39" ht="12.75" customHeight="1">
      <c r="B205" s="125" t="s">
        <v>385</v>
      </c>
      <c r="C205" s="610" t="s">
        <v>386</v>
      </c>
      <c r="D205" s="611">
        <v>6</v>
      </c>
      <c r="E205" s="611">
        <v>6</v>
      </c>
      <c r="F205" s="611">
        <v>6</v>
      </c>
      <c r="G205" s="611">
        <v>6</v>
      </c>
      <c r="H205" s="612">
        <v>6</v>
      </c>
      <c r="I205" s="109" t="s">
        <v>98</v>
      </c>
      <c r="J205" s="117">
        <v>18</v>
      </c>
      <c r="K205" s="118">
        <v>251357</v>
      </c>
      <c r="L205" s="104">
        <f t="shared" ref="L205:L227" si="32">+ROUND(J205*K205,2)</f>
        <v>4524426</v>
      </c>
      <c r="M205" s="115"/>
      <c r="N205" s="124"/>
      <c r="O205" s="57">
        <v>0</v>
      </c>
      <c r="P205" s="115"/>
      <c r="Q205" s="502"/>
      <c r="R205" s="57">
        <v>0</v>
      </c>
      <c r="S205" s="116"/>
      <c r="T205" s="312">
        <f t="shared" si="23"/>
        <v>0</v>
      </c>
      <c r="U205" s="57">
        <f t="shared" si="24"/>
        <v>0</v>
      </c>
      <c r="V205" s="623">
        <f t="shared" si="25"/>
        <v>0</v>
      </c>
      <c r="W205" s="624"/>
      <c r="Y205" s="274">
        <f t="shared" si="26"/>
        <v>0</v>
      </c>
      <c r="Z205" s="274">
        <f t="shared" si="27"/>
        <v>0</v>
      </c>
      <c r="AA205" s="563" t="e">
        <f>VLOOKUP(B205,'[19]ACTA PARCIAL OBRA'!$B$122:$X$536,20,0)</f>
        <v>#N/A</v>
      </c>
      <c r="AB205" s="563" t="e">
        <f t="shared" si="31"/>
        <v>#N/A</v>
      </c>
      <c r="AC205" s="563"/>
      <c r="AD205" s="564">
        <f>+X205-R205</f>
        <v>0</v>
      </c>
      <c r="AE205" s="569" t="str">
        <f t="shared" si="30"/>
        <v>19.1.5</v>
      </c>
      <c r="AF205" s="570" t="str">
        <f t="shared" si="30"/>
        <v>CERRADURA PUERTAS ACCESO PRINCIPAL</v>
      </c>
      <c r="AG205" s="571"/>
      <c r="AH205" s="571"/>
      <c r="AI205" s="571"/>
      <c r="AJ205" s="571"/>
      <c r="AK205" s="572"/>
      <c r="AL205" s="576"/>
      <c r="AM205" s="576">
        <v>533.64</v>
      </c>
    </row>
    <row r="206" spans="2:39" ht="12.75" customHeight="1">
      <c r="B206" s="125" t="s">
        <v>387</v>
      </c>
      <c r="C206" s="610" t="s">
        <v>388</v>
      </c>
      <c r="D206" s="611">
        <v>6</v>
      </c>
      <c r="E206" s="611">
        <v>6</v>
      </c>
      <c r="F206" s="611">
        <v>6</v>
      </c>
      <c r="G206" s="611">
        <v>6</v>
      </c>
      <c r="H206" s="612">
        <v>6</v>
      </c>
      <c r="I206" s="130" t="s">
        <v>98</v>
      </c>
      <c r="J206" s="117">
        <v>18</v>
      </c>
      <c r="K206" s="118">
        <v>104020</v>
      </c>
      <c r="L206" s="104">
        <f t="shared" si="32"/>
        <v>1872360</v>
      </c>
      <c r="M206" s="115"/>
      <c r="N206" s="124"/>
      <c r="O206" s="57">
        <v>0</v>
      </c>
      <c r="P206" s="115"/>
      <c r="Q206" s="502"/>
      <c r="R206" s="57">
        <v>0</v>
      </c>
      <c r="S206" s="116"/>
      <c r="T206" s="312">
        <f t="shared" si="23"/>
        <v>0</v>
      </c>
      <c r="U206" s="57">
        <f t="shared" si="24"/>
        <v>0</v>
      </c>
      <c r="V206" s="623">
        <f t="shared" si="25"/>
        <v>0</v>
      </c>
      <c r="W206" s="624"/>
      <c r="Y206" s="274">
        <f t="shared" si="26"/>
        <v>0</v>
      </c>
      <c r="Z206" s="274">
        <f t="shared" si="27"/>
        <v>0</v>
      </c>
      <c r="AA206" s="319">
        <f>VLOOKUP(B206,'[19]ACTA PARCIAL OBRA'!$B$122:$X$536,20,0)</f>
        <v>0</v>
      </c>
      <c r="AB206" s="319">
        <f t="shared" si="31"/>
        <v>0</v>
      </c>
      <c r="AC206" s="319">
        <v>0</v>
      </c>
      <c r="AD206" s="514">
        <f t="shared" ref="AD206:AD214" si="33">+U206-AC206</f>
        <v>0</v>
      </c>
      <c r="AE206" s="556" t="str">
        <f t="shared" si="30"/>
        <v>19.1.6</v>
      </c>
      <c r="AF206" s="557" t="str">
        <f t="shared" si="30"/>
        <v>SUMINISTRO E INSTALACIÓN DE CERRADURA CILÍNDRICA DE POMO METÁLICO GRADO 2 FUNCIÓN AULA, (POMO INTERIOR SIEMPRE ACTIVO, POMO EXTERIOR SE ACTIVA CON LA LLAVE.) CON AMAESTRAMIENTO SEGÚN ESPECIFICACIÓN. REFERENCIA YALE  LF 5308 O EQUIVALENTE</v>
      </c>
      <c r="AG206" s="568"/>
      <c r="AH206" s="568"/>
      <c r="AI206" s="568"/>
      <c r="AJ206" s="568"/>
      <c r="AK206" s="568"/>
      <c r="AL206" s="568"/>
      <c r="AM206" s="568"/>
    </row>
    <row r="207" spans="2:39" ht="12.75" customHeight="1">
      <c r="B207" s="125" t="s">
        <v>389</v>
      </c>
      <c r="C207" s="610" t="s">
        <v>390</v>
      </c>
      <c r="D207" s="611">
        <v>6</v>
      </c>
      <c r="E207" s="611">
        <v>6</v>
      </c>
      <c r="F207" s="611">
        <v>6</v>
      </c>
      <c r="G207" s="611">
        <v>6</v>
      </c>
      <c r="H207" s="612">
        <v>6</v>
      </c>
      <c r="I207" s="131" t="s">
        <v>98</v>
      </c>
      <c r="J207" s="133">
        <v>13</v>
      </c>
      <c r="K207" s="118">
        <v>89824</v>
      </c>
      <c r="L207" s="104">
        <f t="shared" si="32"/>
        <v>1167712</v>
      </c>
      <c r="M207" s="115"/>
      <c r="N207" s="313"/>
      <c r="O207" s="57">
        <v>0</v>
      </c>
      <c r="P207" s="115"/>
      <c r="Q207" s="502"/>
      <c r="R207" s="57">
        <v>0</v>
      </c>
      <c r="S207" s="116"/>
      <c r="T207" s="312">
        <f t="shared" si="23"/>
        <v>0</v>
      </c>
      <c r="U207" s="57">
        <f t="shared" si="24"/>
        <v>0</v>
      </c>
      <c r="V207" s="623">
        <f t="shared" si="25"/>
        <v>0</v>
      </c>
      <c r="W207" s="624"/>
      <c r="Y207" s="274">
        <f t="shared" si="26"/>
        <v>0</v>
      </c>
      <c r="Z207" s="274">
        <f t="shared" si="27"/>
        <v>0</v>
      </c>
      <c r="AA207" s="319" t="e">
        <f>VLOOKUP(B207,'[19]ACTA PARCIAL OBRA'!$B$122:$X$536,20,0)</f>
        <v>#N/A</v>
      </c>
      <c r="AB207" s="319" t="e">
        <f t="shared" si="31"/>
        <v>#N/A</v>
      </c>
      <c r="AC207" s="319">
        <v>0</v>
      </c>
      <c r="AD207" s="514">
        <f t="shared" si="33"/>
        <v>0</v>
      </c>
      <c r="AE207" s="556" t="str">
        <f t="shared" si="30"/>
        <v>19.1.13</v>
      </c>
      <c r="AF207" s="557" t="str">
        <f t="shared" si="30"/>
        <v>CERRADURA SCHLAGE OFICINA A-50 PD</v>
      </c>
      <c r="AG207" s="568"/>
      <c r="AH207" s="568"/>
      <c r="AI207" s="568"/>
      <c r="AJ207" s="568"/>
      <c r="AK207" s="568"/>
      <c r="AL207" s="568"/>
      <c r="AM207" s="568"/>
    </row>
    <row r="208" spans="2:39" ht="12.75" customHeight="1">
      <c r="B208" s="125" t="s">
        <v>391</v>
      </c>
      <c r="C208" s="610" t="s">
        <v>392</v>
      </c>
      <c r="D208" s="611">
        <v>6</v>
      </c>
      <c r="E208" s="611">
        <v>6</v>
      </c>
      <c r="F208" s="611">
        <v>6</v>
      </c>
      <c r="G208" s="611">
        <v>6</v>
      </c>
      <c r="H208" s="612">
        <v>6</v>
      </c>
      <c r="I208" s="132" t="s">
        <v>98</v>
      </c>
      <c r="J208" s="133">
        <v>6</v>
      </c>
      <c r="K208" s="118">
        <v>63895</v>
      </c>
      <c r="L208" s="104">
        <f t="shared" si="32"/>
        <v>383370</v>
      </c>
      <c r="M208" s="115"/>
      <c r="N208" s="124"/>
      <c r="O208" s="57">
        <v>0</v>
      </c>
      <c r="P208" s="115"/>
      <c r="Q208" s="502"/>
      <c r="R208" s="57">
        <v>0</v>
      </c>
      <c r="S208" s="116"/>
      <c r="T208" s="312">
        <f t="shared" si="23"/>
        <v>0</v>
      </c>
      <c r="U208" s="57">
        <f t="shared" si="24"/>
        <v>0</v>
      </c>
      <c r="V208" s="623">
        <f t="shared" si="25"/>
        <v>0</v>
      </c>
      <c r="W208" s="624"/>
      <c r="Y208" s="274">
        <f t="shared" si="26"/>
        <v>0</v>
      </c>
      <c r="Z208" s="274">
        <f t="shared" si="27"/>
        <v>0</v>
      </c>
      <c r="AA208" s="319" t="e">
        <f>VLOOKUP(B208,'[19]ACTA PARCIAL OBRA'!$B$122:$X$536,20,0)</f>
        <v>#N/A</v>
      </c>
      <c r="AB208" s="319" t="e">
        <f t="shared" si="31"/>
        <v>#N/A</v>
      </c>
      <c r="AC208" s="319">
        <v>6019929.7199999997</v>
      </c>
      <c r="AD208" s="514">
        <f t="shared" si="33"/>
        <v>-6019929.7199999997</v>
      </c>
      <c r="AE208" s="559" t="str">
        <f t="shared" si="30"/>
        <v>19.1.10</v>
      </c>
      <c r="AF208" s="560" t="str">
        <f t="shared" si="30"/>
        <v>CERRADURA SCHLAGE BAÑO A-40 S</v>
      </c>
      <c r="AG208" s="561"/>
      <c r="AH208" s="561"/>
      <c r="AI208" s="561"/>
      <c r="AJ208" s="561"/>
      <c r="AK208" s="562"/>
      <c r="AL208" s="568"/>
      <c r="AM208" s="568"/>
    </row>
    <row r="209" spans="2:39" ht="12.75" customHeight="1">
      <c r="B209" s="111">
        <v>19.3</v>
      </c>
      <c r="C209" s="618" t="s">
        <v>393</v>
      </c>
      <c r="D209" s="619">
        <v>6</v>
      </c>
      <c r="E209" s="619">
        <v>6</v>
      </c>
      <c r="F209" s="619">
        <v>6</v>
      </c>
      <c r="G209" s="619">
        <v>6</v>
      </c>
      <c r="H209" s="620">
        <v>6</v>
      </c>
      <c r="I209" s="132">
        <v>0</v>
      </c>
      <c r="J209" s="133"/>
      <c r="K209" s="118"/>
      <c r="L209" s="104">
        <f t="shared" si="32"/>
        <v>0</v>
      </c>
      <c r="M209" s="115"/>
      <c r="N209" s="124"/>
      <c r="O209" s="57">
        <v>0</v>
      </c>
      <c r="P209" s="115"/>
      <c r="Q209" s="502"/>
      <c r="R209" s="57">
        <v>0</v>
      </c>
      <c r="S209" s="116"/>
      <c r="T209" s="312">
        <f t="shared" si="23"/>
        <v>0</v>
      </c>
      <c r="U209" s="57">
        <f t="shared" si="24"/>
        <v>0</v>
      </c>
      <c r="V209" s="623">
        <f t="shared" si="25"/>
        <v>0</v>
      </c>
      <c r="W209" s="624"/>
      <c r="Y209" s="274">
        <f t="shared" si="26"/>
        <v>0</v>
      </c>
      <c r="Z209" s="274">
        <f t="shared" si="27"/>
        <v>0</v>
      </c>
      <c r="AA209" s="319" t="e">
        <f>VLOOKUP(B209,'[19]ACTA PARCIAL OBRA'!$B$122:$X$536,20,0)</f>
        <v>#N/A</v>
      </c>
      <c r="AB209" s="319" t="e">
        <f t="shared" si="31"/>
        <v>#N/A</v>
      </c>
      <c r="AC209" s="319">
        <v>3680600</v>
      </c>
      <c r="AD209" s="514">
        <f t="shared" si="33"/>
        <v>-3680600</v>
      </c>
      <c r="AE209" s="556">
        <f t="shared" si="30"/>
        <v>19.3</v>
      </c>
      <c r="AF209" s="557" t="str">
        <f t="shared" si="30"/>
        <v>VIDRIOS Y ESPEJOS</v>
      </c>
      <c r="AG209" s="568"/>
      <c r="AH209" s="568"/>
      <c r="AI209" s="568"/>
      <c r="AJ209" s="568"/>
      <c r="AK209" s="568"/>
      <c r="AL209" s="568">
        <v>5975</v>
      </c>
      <c r="AM209" s="568"/>
    </row>
    <row r="210" spans="2:39" ht="12.75" customHeight="1">
      <c r="B210" s="125" t="s">
        <v>394</v>
      </c>
      <c r="C210" s="610" t="s">
        <v>395</v>
      </c>
      <c r="D210" s="611">
        <v>6</v>
      </c>
      <c r="E210" s="611">
        <v>6</v>
      </c>
      <c r="F210" s="611">
        <v>6</v>
      </c>
      <c r="G210" s="611">
        <v>6</v>
      </c>
      <c r="H210" s="611">
        <v>6</v>
      </c>
      <c r="I210" s="490" t="s">
        <v>116</v>
      </c>
      <c r="J210" s="133">
        <v>31.25</v>
      </c>
      <c r="K210" s="118">
        <v>63268</v>
      </c>
      <c r="L210" s="104">
        <f t="shared" si="32"/>
        <v>1977125</v>
      </c>
      <c r="M210" s="115"/>
      <c r="N210" s="124"/>
      <c r="O210" s="57">
        <v>0</v>
      </c>
      <c r="P210" s="115"/>
      <c r="Q210" s="502"/>
      <c r="R210" s="57">
        <v>0</v>
      </c>
      <c r="S210" s="116"/>
      <c r="T210" s="312">
        <f t="shared" si="23"/>
        <v>0</v>
      </c>
      <c r="U210" s="57">
        <f t="shared" si="24"/>
        <v>0</v>
      </c>
      <c r="V210" s="623">
        <f t="shared" si="25"/>
        <v>0</v>
      </c>
      <c r="W210" s="624"/>
      <c r="Y210" s="274">
        <f t="shared" si="26"/>
        <v>0</v>
      </c>
      <c r="Z210" s="274">
        <f t="shared" si="27"/>
        <v>0</v>
      </c>
      <c r="AA210" s="319" t="e">
        <f>VLOOKUP(B210,'[19]ACTA PARCIAL OBRA'!$B$122:$X$536,20,0)</f>
        <v>#N/A</v>
      </c>
      <c r="AB210" s="319" t="e">
        <f t="shared" si="31"/>
        <v>#N/A</v>
      </c>
      <c r="AC210" s="319">
        <v>2893435.2</v>
      </c>
      <c r="AD210" s="514">
        <f t="shared" si="33"/>
        <v>-2893435.2</v>
      </c>
      <c r="AE210" s="556" t="str">
        <f t="shared" si="30"/>
        <v>19.3.1</v>
      </c>
      <c r="AF210" s="557" t="str">
        <f t="shared" si="30"/>
        <v>ESPEJO CRISTAL 4 mm - BISELADO 2 cm</v>
      </c>
      <c r="AG210" s="568"/>
      <c r="AH210" s="568"/>
      <c r="AI210" s="568"/>
      <c r="AJ210" s="568"/>
      <c r="AK210" s="568"/>
      <c r="AL210" s="568"/>
      <c r="AM210" s="568"/>
    </row>
    <row r="211" spans="2:39" ht="12.75" customHeight="1">
      <c r="B211" s="125" t="s">
        <v>396</v>
      </c>
      <c r="C211" s="610" t="s">
        <v>397</v>
      </c>
      <c r="D211" s="611">
        <v>6</v>
      </c>
      <c r="E211" s="611">
        <v>6</v>
      </c>
      <c r="F211" s="611">
        <v>6</v>
      </c>
      <c r="G211" s="611">
        <v>6</v>
      </c>
      <c r="H211" s="611">
        <v>6</v>
      </c>
      <c r="I211" s="135" t="s">
        <v>116</v>
      </c>
      <c r="J211" s="133">
        <v>31.25</v>
      </c>
      <c r="K211" s="118">
        <v>11547</v>
      </c>
      <c r="L211" s="104">
        <f t="shared" si="32"/>
        <v>360843.75</v>
      </c>
      <c r="M211" s="115"/>
      <c r="N211" s="105"/>
      <c r="O211" s="57">
        <v>0</v>
      </c>
      <c r="P211" s="115"/>
      <c r="Q211" s="505"/>
      <c r="R211" s="57">
        <v>0</v>
      </c>
      <c r="S211" s="116"/>
      <c r="T211" s="312">
        <f t="shared" si="23"/>
        <v>0</v>
      </c>
      <c r="U211" s="57">
        <f t="shared" si="24"/>
        <v>0</v>
      </c>
      <c r="V211" s="623">
        <f t="shared" si="25"/>
        <v>0</v>
      </c>
      <c r="W211" s="624"/>
      <c r="Y211" s="274">
        <f t="shared" si="26"/>
        <v>0</v>
      </c>
      <c r="Z211" s="274">
        <f t="shared" si="27"/>
        <v>0</v>
      </c>
      <c r="AA211" s="319" t="e">
        <f>VLOOKUP(B211,'[19]ACTA PARCIAL OBRA'!$B$122:$X$536,20,0)</f>
        <v>#N/A</v>
      </c>
      <c r="AB211" s="319" t="e">
        <f t="shared" si="31"/>
        <v>#N/A</v>
      </c>
      <c r="AC211" s="319">
        <v>0</v>
      </c>
      <c r="AD211" s="514">
        <f t="shared" si="33"/>
        <v>0</v>
      </c>
      <c r="AE211" s="556" t="str">
        <f t="shared" si="30"/>
        <v>19.3.2</v>
      </c>
      <c r="AF211" s="557" t="str">
        <f t="shared" si="30"/>
        <v>INSTALACION ESPEJOS (M.O.)</v>
      </c>
      <c r="AG211" s="568"/>
      <c r="AH211" s="568"/>
      <c r="AI211" s="568"/>
      <c r="AJ211" s="568"/>
      <c r="AK211" s="568"/>
      <c r="AL211" s="568"/>
      <c r="AM211" s="568"/>
    </row>
    <row r="212" spans="2:39" ht="12.75" customHeight="1">
      <c r="B212" s="111">
        <v>20</v>
      </c>
      <c r="C212" s="618" t="s">
        <v>398</v>
      </c>
      <c r="D212" s="619">
        <v>6</v>
      </c>
      <c r="E212" s="619">
        <v>6</v>
      </c>
      <c r="F212" s="619">
        <v>6</v>
      </c>
      <c r="G212" s="619">
        <v>6</v>
      </c>
      <c r="H212" s="619">
        <v>6</v>
      </c>
      <c r="I212" s="132" t="s">
        <v>399</v>
      </c>
      <c r="J212" s="133"/>
      <c r="K212" s="118"/>
      <c r="L212" s="104">
        <f t="shared" si="32"/>
        <v>0</v>
      </c>
      <c r="M212" s="115"/>
      <c r="N212" s="124"/>
      <c r="O212" s="57">
        <v>0</v>
      </c>
      <c r="P212" s="115"/>
      <c r="Q212" s="502"/>
      <c r="R212" s="57">
        <v>0</v>
      </c>
      <c r="S212" s="116"/>
      <c r="T212" s="312">
        <f t="shared" si="23"/>
        <v>0</v>
      </c>
      <c r="U212" s="57">
        <f t="shared" si="24"/>
        <v>0</v>
      </c>
      <c r="V212" s="623">
        <f t="shared" si="25"/>
        <v>0</v>
      </c>
      <c r="W212" s="624"/>
      <c r="Y212" s="274">
        <f t="shared" si="26"/>
        <v>0</v>
      </c>
      <c r="Z212" s="274">
        <f t="shared" si="27"/>
        <v>0</v>
      </c>
      <c r="AA212" s="319" t="e">
        <f>VLOOKUP(B212,'[19]ACTA PARCIAL OBRA'!$B$122:$X$536,20,0)</f>
        <v>#N/A</v>
      </c>
      <c r="AB212" s="319" t="e">
        <f t="shared" si="31"/>
        <v>#N/A</v>
      </c>
      <c r="AC212" s="319">
        <v>0</v>
      </c>
      <c r="AD212" s="514">
        <f t="shared" si="33"/>
        <v>0</v>
      </c>
      <c r="AE212" s="556">
        <f t="shared" si="30"/>
        <v>20</v>
      </c>
      <c r="AF212" s="557" t="str">
        <f t="shared" si="30"/>
        <v>OBRAS COMPLEMENTARIAS COMPROMETIDAS</v>
      </c>
      <c r="AG212" s="568"/>
      <c r="AH212" s="568"/>
      <c r="AI212" s="568"/>
      <c r="AJ212" s="568"/>
      <c r="AK212" s="568"/>
      <c r="AL212" s="568"/>
      <c r="AM212" s="568"/>
    </row>
    <row r="213" spans="2:39" ht="12.75" customHeight="1">
      <c r="B213" s="111">
        <v>20.3</v>
      </c>
      <c r="C213" s="618" t="s">
        <v>400</v>
      </c>
      <c r="D213" s="619">
        <v>6</v>
      </c>
      <c r="E213" s="619">
        <v>6</v>
      </c>
      <c r="F213" s="619">
        <v>6</v>
      </c>
      <c r="G213" s="619">
        <v>6</v>
      </c>
      <c r="H213" s="619">
        <v>6</v>
      </c>
      <c r="I213" s="490">
        <v>0</v>
      </c>
      <c r="J213" s="274"/>
      <c r="K213" s="274"/>
      <c r="L213" s="104">
        <f t="shared" si="32"/>
        <v>0</v>
      </c>
      <c r="M213" s="115"/>
      <c r="N213" s="313"/>
      <c r="O213" s="57">
        <v>0</v>
      </c>
      <c r="P213" s="115"/>
      <c r="Q213" s="502"/>
      <c r="R213" s="57">
        <v>0</v>
      </c>
      <c r="S213" s="116"/>
      <c r="T213" s="312">
        <f t="shared" si="23"/>
        <v>0</v>
      </c>
      <c r="U213" s="57">
        <f t="shared" si="24"/>
        <v>0</v>
      </c>
      <c r="V213" s="623">
        <f t="shared" si="25"/>
        <v>0</v>
      </c>
      <c r="W213" s="624"/>
      <c r="Y213" s="274">
        <f t="shared" si="26"/>
        <v>0</v>
      </c>
      <c r="Z213" s="274">
        <f t="shared" si="27"/>
        <v>0</v>
      </c>
      <c r="AA213" s="319" t="e">
        <f>VLOOKUP(B213,'[19]ACTA PARCIAL OBRA'!$B$122:$X$536,20,0)</f>
        <v>#N/A</v>
      </c>
      <c r="AB213" s="319" t="e">
        <f t="shared" si="31"/>
        <v>#N/A</v>
      </c>
      <c r="AC213" s="319">
        <v>0</v>
      </c>
      <c r="AD213" s="514">
        <f t="shared" si="33"/>
        <v>0</v>
      </c>
      <c r="AE213" s="556">
        <f t="shared" si="30"/>
        <v>20.3</v>
      </c>
      <c r="AF213" s="557" t="str">
        <f t="shared" si="30"/>
        <v>CERRAMIENTOS Y MOBILIARIO URBANO</v>
      </c>
      <c r="AG213" s="568"/>
      <c r="AH213" s="568"/>
      <c r="AI213" s="568"/>
      <c r="AJ213" s="568"/>
      <c r="AK213" s="568"/>
      <c r="AL213" s="568"/>
      <c r="AM213" s="568"/>
    </row>
    <row r="214" spans="2:39" ht="12.75" customHeight="1">
      <c r="B214" s="125" t="s">
        <v>401</v>
      </c>
      <c r="C214" s="610" t="s">
        <v>402</v>
      </c>
      <c r="D214" s="611">
        <v>6</v>
      </c>
      <c r="E214" s="611">
        <v>6</v>
      </c>
      <c r="F214" s="611">
        <v>6</v>
      </c>
      <c r="G214" s="611">
        <v>6</v>
      </c>
      <c r="H214" s="611">
        <v>6</v>
      </c>
      <c r="I214" s="140" t="s">
        <v>116</v>
      </c>
      <c r="J214" s="133">
        <v>169.4</v>
      </c>
      <c r="K214" s="118">
        <v>106945</v>
      </c>
      <c r="L214" s="104">
        <f t="shared" si="32"/>
        <v>18116483</v>
      </c>
      <c r="M214" s="115"/>
      <c r="N214" s="124"/>
      <c r="O214" s="57">
        <v>0</v>
      </c>
      <c r="P214" s="115"/>
      <c r="Q214" s="502"/>
      <c r="R214" s="57">
        <v>0</v>
      </c>
      <c r="S214" s="116"/>
      <c r="T214" s="312">
        <f t="shared" si="23"/>
        <v>0</v>
      </c>
      <c r="U214" s="57">
        <f t="shared" si="24"/>
        <v>0</v>
      </c>
      <c r="V214" s="623">
        <f t="shared" si="25"/>
        <v>0</v>
      </c>
      <c r="W214" s="624"/>
      <c r="Y214" s="274">
        <f t="shared" si="26"/>
        <v>0</v>
      </c>
      <c r="Z214" s="274">
        <f t="shared" si="27"/>
        <v>0</v>
      </c>
      <c r="AA214" s="319" t="e">
        <f>VLOOKUP(B214,'[19]ACTA PARCIAL OBRA'!$B$122:$X$536,20,0)</f>
        <v>#N/A</v>
      </c>
      <c r="AB214" s="319" t="e">
        <f t="shared" si="31"/>
        <v>#N/A</v>
      </c>
      <c r="AC214" s="319">
        <v>1755306.72</v>
      </c>
      <c r="AD214" s="514">
        <f t="shared" si="33"/>
        <v>-1755306.72</v>
      </c>
      <c r="AE214" s="556" t="str">
        <f t="shared" si="30"/>
        <v>20.3.1</v>
      </c>
      <c r="AF214" s="557" t="str">
        <f t="shared" si="30"/>
        <v>CERRAMIENTO TUBO Y MALLA ONDULADA</v>
      </c>
      <c r="AG214" s="568"/>
      <c r="AH214" s="568"/>
      <c r="AI214" s="568"/>
      <c r="AJ214" s="568"/>
      <c r="AK214" s="568"/>
      <c r="AL214" s="568"/>
      <c r="AM214" s="568"/>
    </row>
    <row r="215" spans="2:39" ht="12.75" customHeight="1">
      <c r="B215" s="125" t="s">
        <v>403</v>
      </c>
      <c r="C215" s="610" t="s">
        <v>404</v>
      </c>
      <c r="D215" s="611">
        <v>6</v>
      </c>
      <c r="E215" s="611">
        <v>6</v>
      </c>
      <c r="F215" s="611">
        <v>6</v>
      </c>
      <c r="G215" s="611">
        <v>6</v>
      </c>
      <c r="H215" s="612">
        <v>6</v>
      </c>
      <c r="I215" s="141" t="s">
        <v>158</v>
      </c>
      <c r="J215" s="133">
        <v>211.84971246540422</v>
      </c>
      <c r="K215" s="118">
        <v>566524</v>
      </c>
      <c r="L215" s="104">
        <f t="shared" si="32"/>
        <v>120017946.5</v>
      </c>
      <c r="M215" s="115"/>
      <c r="N215" s="124"/>
      <c r="O215" s="57">
        <v>0</v>
      </c>
      <c r="P215" s="115"/>
      <c r="Q215" s="502"/>
      <c r="R215" s="57">
        <v>0</v>
      </c>
      <c r="S215" s="116"/>
      <c r="T215" s="312">
        <f t="shared" si="23"/>
        <v>0</v>
      </c>
      <c r="U215" s="57">
        <f t="shared" si="24"/>
        <v>0</v>
      </c>
      <c r="V215" s="623">
        <f t="shared" si="25"/>
        <v>0</v>
      </c>
      <c r="W215" s="624"/>
      <c r="Y215" s="274">
        <f t="shared" si="26"/>
        <v>0</v>
      </c>
      <c r="Z215" s="274">
        <f t="shared" si="27"/>
        <v>0</v>
      </c>
      <c r="AA215" s="319" t="e">
        <f>VLOOKUP(B215,'[19]ACTA PARCIAL OBRA'!$B$122:$X$536,20,0)</f>
        <v>#N/A</v>
      </c>
      <c r="AB215" s="319" t="e">
        <f t="shared" si="31"/>
        <v>#N/A</v>
      </c>
      <c r="AE215" s="556" t="str">
        <f t="shared" si="30"/>
        <v>20.3.5</v>
      </c>
      <c r="AF215" s="557" t="str">
        <f t="shared" si="30"/>
        <v xml:space="preserve">CERRAMIENTO TIPICO S.E.D.  INC. CIMENTACIÓN (S/DISEÑO AJUSTADO 2006 - VER PLANOS E IMÁGENES) INCLUYE EXCAVACION, RETIRO DE SOBRANTES Y LOCALIZACION H= 2.40 </v>
      </c>
      <c r="AG215" s="568"/>
      <c r="AH215" s="568"/>
      <c r="AI215" s="568"/>
      <c r="AJ215" s="568"/>
      <c r="AK215" s="568"/>
      <c r="AL215" s="568"/>
      <c r="AM215" s="568"/>
    </row>
    <row r="216" spans="2:39" ht="12.75" customHeight="1">
      <c r="B216" s="125" t="s">
        <v>405</v>
      </c>
      <c r="C216" s="610" t="s">
        <v>406</v>
      </c>
      <c r="D216" s="611">
        <v>6</v>
      </c>
      <c r="E216" s="611">
        <v>6</v>
      </c>
      <c r="F216" s="611">
        <v>6</v>
      </c>
      <c r="G216" s="611">
        <v>6</v>
      </c>
      <c r="H216" s="612">
        <v>6</v>
      </c>
      <c r="I216" s="109" t="s">
        <v>116</v>
      </c>
      <c r="J216" s="117">
        <v>18</v>
      </c>
      <c r="K216" s="118">
        <v>106670</v>
      </c>
      <c r="L216" s="104">
        <f t="shared" si="32"/>
        <v>1920060</v>
      </c>
      <c r="M216" s="115"/>
      <c r="N216" s="124"/>
      <c r="O216" s="57">
        <v>0</v>
      </c>
      <c r="P216" s="115"/>
      <c r="Q216" s="502"/>
      <c r="R216" s="57">
        <v>0</v>
      </c>
      <c r="S216" s="116"/>
      <c r="T216" s="312">
        <f t="shared" si="23"/>
        <v>0</v>
      </c>
      <c r="U216" s="57">
        <f t="shared" si="24"/>
        <v>0</v>
      </c>
      <c r="V216" s="623">
        <f t="shared" si="25"/>
        <v>0</v>
      </c>
      <c r="W216" s="624"/>
      <c r="Y216" s="274">
        <f t="shared" si="26"/>
        <v>0</v>
      </c>
      <c r="Z216" s="274">
        <f t="shared" si="27"/>
        <v>0</v>
      </c>
      <c r="AA216" s="319" t="e">
        <f>VLOOKUP(B216,'[19]ACTA PARCIAL OBRA'!$B$122:$X$536,20,0)</f>
        <v>#N/A</v>
      </c>
      <c r="AB216" s="319" t="e">
        <f t="shared" si="31"/>
        <v>#N/A</v>
      </c>
      <c r="AC216" s="319">
        <v>825112.44</v>
      </c>
      <c r="AD216" s="514">
        <f>+U216-AC216</f>
        <v>-825112.44</v>
      </c>
      <c r="AE216" s="559">
        <v>7</v>
      </c>
      <c r="AF216" s="560" t="str">
        <f t="shared" ref="AF216:AF279" si="34">+C216</f>
        <v>PORTON EN  TUBO Y MALLA ONDULADA</v>
      </c>
      <c r="AG216" s="561"/>
      <c r="AH216" s="561"/>
      <c r="AI216" s="561"/>
      <c r="AJ216" s="561"/>
      <c r="AK216" s="562"/>
      <c r="AL216" s="568"/>
      <c r="AM216" s="568"/>
    </row>
    <row r="217" spans="2:39" ht="12.75" customHeight="1">
      <c r="B217" s="125" t="s">
        <v>407</v>
      </c>
      <c r="C217" s="610" t="s">
        <v>408</v>
      </c>
      <c r="D217" s="611">
        <v>6</v>
      </c>
      <c r="E217" s="611">
        <v>6</v>
      </c>
      <c r="F217" s="611">
        <v>6</v>
      </c>
      <c r="G217" s="611">
        <v>6</v>
      </c>
      <c r="H217" s="612">
        <v>6</v>
      </c>
      <c r="I217" s="109" t="s">
        <v>98</v>
      </c>
      <c r="J217" s="117">
        <v>1</v>
      </c>
      <c r="K217" s="118">
        <v>110099432.69</v>
      </c>
      <c r="L217" s="104">
        <f t="shared" si="32"/>
        <v>110099432.69</v>
      </c>
      <c r="M217" s="115"/>
      <c r="N217" s="124"/>
      <c r="O217" s="57">
        <v>0</v>
      </c>
      <c r="P217" s="115"/>
      <c r="Q217" s="502"/>
      <c r="R217" s="57">
        <v>0</v>
      </c>
      <c r="S217" s="116"/>
      <c r="T217" s="312">
        <f t="shared" si="23"/>
        <v>0</v>
      </c>
      <c r="U217" s="57">
        <f t="shared" si="24"/>
        <v>0</v>
      </c>
      <c r="V217" s="623">
        <f t="shared" si="25"/>
        <v>0</v>
      </c>
      <c r="W217" s="624"/>
      <c r="Y217" s="274">
        <f t="shared" si="26"/>
        <v>0</v>
      </c>
      <c r="Z217" s="274">
        <f t="shared" si="27"/>
        <v>0</v>
      </c>
      <c r="AA217" s="319" t="e">
        <f>VLOOKUP(B217,'[19]ACTA PARCIAL OBRA'!$B$122:$X$536,20,0)</f>
        <v>#N/A</v>
      </c>
      <c r="AB217" s="319" t="e">
        <f t="shared" si="31"/>
        <v>#N/A</v>
      </c>
      <c r="AC217" s="319">
        <v>0</v>
      </c>
      <c r="AD217" s="514">
        <f>+U217-AC217</f>
        <v>0</v>
      </c>
      <c r="AE217" s="556" t="str">
        <f t="shared" ref="AE217:AF280" si="35">+B217</f>
        <v>20.3.7</v>
      </c>
      <c r="AF217" s="557" t="str">
        <f t="shared" si="34"/>
        <v xml:space="preserve">ESTRUCTURA TOTAL PARA CANCHA MÚLTIPLE BALONCESTO - MICROFUTBOL - VOLEIBOL - ÁREA = 32,00 x 18,50 (INC. LOCALIZACIÓN Y REPLANTEO, EXCAVACIÓN MECÁMICA Y RETIRO, SUB-BASE B-400, ACERO DE TRANSMISIÓN DE ESFUERZOS, MALLA 15x15 Ø 5 mm., PLACA CONCRETO 3000 PSI </v>
      </c>
      <c r="AG217" s="568"/>
      <c r="AH217" s="568"/>
      <c r="AI217" s="568"/>
      <c r="AJ217" s="568"/>
      <c r="AK217" s="568"/>
      <c r="AL217" s="568"/>
      <c r="AM217" s="568"/>
    </row>
    <row r="218" spans="2:39" ht="12.75" customHeight="1">
      <c r="B218" s="111">
        <v>21</v>
      </c>
      <c r="C218" s="618" t="s">
        <v>409</v>
      </c>
      <c r="D218" s="619">
        <v>6</v>
      </c>
      <c r="E218" s="619">
        <v>6</v>
      </c>
      <c r="F218" s="619">
        <v>6</v>
      </c>
      <c r="G218" s="619">
        <v>6</v>
      </c>
      <c r="H218" s="620">
        <v>6</v>
      </c>
      <c r="I218" s="91">
        <v>0</v>
      </c>
      <c r="J218" s="493"/>
      <c r="K218" s="92"/>
      <c r="L218" s="104">
        <f t="shared" si="32"/>
        <v>0</v>
      </c>
      <c r="M218" s="115"/>
      <c r="N218" s="105"/>
      <c r="O218" s="57">
        <v>0</v>
      </c>
      <c r="P218" s="115"/>
      <c r="Q218" s="505"/>
      <c r="R218" s="57">
        <v>0</v>
      </c>
      <c r="S218" s="116"/>
      <c r="T218" s="312">
        <f t="shared" si="23"/>
        <v>0</v>
      </c>
      <c r="U218" s="57">
        <f t="shared" si="24"/>
        <v>0</v>
      </c>
      <c r="V218" s="623">
        <f t="shared" si="25"/>
        <v>0</v>
      </c>
      <c r="W218" s="624"/>
      <c r="Y218" s="274">
        <f t="shared" si="26"/>
        <v>0</v>
      </c>
      <c r="Z218" s="274">
        <f t="shared" si="27"/>
        <v>0</v>
      </c>
      <c r="AA218" s="319">
        <f>VLOOKUP(B218,'[19]ACTA PARCIAL OBRA'!$B$122:$X$536,20,0)</f>
        <v>0</v>
      </c>
      <c r="AB218" s="319">
        <f t="shared" si="31"/>
        <v>0</v>
      </c>
      <c r="AC218" s="319">
        <v>0</v>
      </c>
      <c r="AD218" s="514">
        <f>+U218-AC218</f>
        <v>0</v>
      </c>
      <c r="AE218" s="556">
        <f t="shared" si="35"/>
        <v>21</v>
      </c>
      <c r="AF218" s="557" t="str">
        <f t="shared" si="34"/>
        <v>ASEO Y VARIOS</v>
      </c>
      <c r="AG218" s="568"/>
      <c r="AH218" s="568"/>
      <c r="AI218" s="568"/>
      <c r="AJ218" s="568"/>
      <c r="AK218" s="568"/>
      <c r="AL218" s="568"/>
      <c r="AM218" s="568"/>
    </row>
    <row r="219" spans="2:39" ht="24">
      <c r="B219" s="111">
        <v>21.1</v>
      </c>
      <c r="C219" s="618" t="s">
        <v>410</v>
      </c>
      <c r="D219" s="619">
        <v>6</v>
      </c>
      <c r="E219" s="619">
        <v>6</v>
      </c>
      <c r="F219" s="619">
        <v>6</v>
      </c>
      <c r="G219" s="619">
        <v>6</v>
      </c>
      <c r="H219" s="620">
        <v>6</v>
      </c>
      <c r="I219" s="142">
        <v>0</v>
      </c>
      <c r="J219" s="117"/>
      <c r="K219" s="118"/>
      <c r="L219" s="104">
        <f t="shared" si="32"/>
        <v>0</v>
      </c>
      <c r="M219" s="115"/>
      <c r="N219" s="124"/>
      <c r="O219" s="57">
        <v>0</v>
      </c>
      <c r="P219" s="115"/>
      <c r="Q219" s="504"/>
      <c r="R219" s="57">
        <v>0</v>
      </c>
      <c r="S219" s="116"/>
      <c r="T219" s="312">
        <f t="shared" si="23"/>
        <v>0</v>
      </c>
      <c r="U219" s="57">
        <f t="shared" si="24"/>
        <v>0</v>
      </c>
      <c r="V219" s="623">
        <f t="shared" si="25"/>
        <v>0</v>
      </c>
      <c r="W219" s="624"/>
      <c r="Y219" s="274">
        <f t="shared" si="26"/>
        <v>0</v>
      </c>
      <c r="Z219" s="274">
        <f t="shared" si="27"/>
        <v>0</v>
      </c>
      <c r="AA219" s="319" t="e">
        <f>VLOOKUP(B219,'[19]ACTA PARCIAL OBRA'!$B$122:$X$536,20,0)</f>
        <v>#N/A</v>
      </c>
      <c r="AB219" s="319" t="e">
        <f t="shared" si="31"/>
        <v>#N/A</v>
      </c>
      <c r="AC219" s="319">
        <v>0</v>
      </c>
      <c r="AD219" s="514">
        <f>+U219-AC219</f>
        <v>0</v>
      </c>
      <c r="AE219" s="556">
        <f t="shared" si="35"/>
        <v>21.1</v>
      </c>
      <c r="AF219" s="557" t="str">
        <f t="shared" si="34"/>
        <v>ASEO Y LIMPIEZA</v>
      </c>
      <c r="AG219" s="568"/>
      <c r="AH219" s="568"/>
      <c r="AI219" s="568"/>
      <c r="AJ219" s="568"/>
      <c r="AK219" s="568"/>
      <c r="AL219" s="568"/>
      <c r="AM219" s="568"/>
    </row>
    <row r="220" spans="2:39">
      <c r="B220" s="125" t="s">
        <v>411</v>
      </c>
      <c r="C220" s="610" t="s">
        <v>412</v>
      </c>
      <c r="D220" s="611">
        <v>6</v>
      </c>
      <c r="E220" s="611">
        <v>6</v>
      </c>
      <c r="F220" s="611">
        <v>6</v>
      </c>
      <c r="G220" s="611">
        <v>6</v>
      </c>
      <c r="H220" s="612">
        <v>6</v>
      </c>
      <c r="I220" s="130" t="s">
        <v>116</v>
      </c>
      <c r="J220" s="117">
        <v>3434.07</v>
      </c>
      <c r="K220" s="118">
        <v>2448</v>
      </c>
      <c r="L220" s="104">
        <f t="shared" si="32"/>
        <v>8406603.3599999994</v>
      </c>
      <c r="M220" s="115"/>
      <c r="N220" s="124"/>
      <c r="O220" s="57">
        <v>0</v>
      </c>
      <c r="P220" s="115"/>
      <c r="Q220" s="502">
        <v>2405.1534999999999</v>
      </c>
      <c r="R220" s="57">
        <v>5887807.2000000002</v>
      </c>
      <c r="S220" s="116"/>
      <c r="T220" s="312">
        <f t="shared" si="23"/>
        <v>2405.1534999999999</v>
      </c>
      <c r="U220" s="57">
        <f t="shared" si="24"/>
        <v>5887807.2000000002</v>
      </c>
      <c r="V220" s="623">
        <f t="shared" si="25"/>
        <v>0.7003788507514408</v>
      </c>
      <c r="W220" s="624"/>
      <c r="Y220" s="274">
        <f t="shared" si="26"/>
        <v>5887807.2000000002</v>
      </c>
      <c r="Z220" s="274">
        <f t="shared" si="27"/>
        <v>0</v>
      </c>
      <c r="AA220" s="319">
        <f>VLOOKUP(B220,'[19]ACTA PARCIAL OBRA'!$B$122:$X$536,20,0)</f>
        <v>0</v>
      </c>
      <c r="AB220" s="319">
        <f t="shared" si="31"/>
        <v>-5887807.2000000002</v>
      </c>
      <c r="AC220" s="319">
        <v>0</v>
      </c>
      <c r="AD220" s="514">
        <f>+U220-AC220</f>
        <v>5887807.2000000002</v>
      </c>
      <c r="AE220" s="556" t="str">
        <f t="shared" si="35"/>
        <v>21.1.1</v>
      </c>
      <c r="AF220" s="557" t="str">
        <f t="shared" si="34"/>
        <v>ASEO GENERAL</v>
      </c>
      <c r="AG220" s="568"/>
      <c r="AH220" s="568"/>
      <c r="AI220" s="568"/>
      <c r="AJ220" s="568"/>
      <c r="AK220" s="568"/>
      <c r="AL220" s="568"/>
      <c r="AM220" s="568"/>
    </row>
    <row r="221" spans="2:39" ht="108">
      <c r="B221" s="125" t="s">
        <v>413</v>
      </c>
      <c r="C221" s="610" t="s">
        <v>414</v>
      </c>
      <c r="D221" s="611">
        <v>6</v>
      </c>
      <c r="E221" s="611">
        <v>6</v>
      </c>
      <c r="F221" s="611">
        <v>6</v>
      </c>
      <c r="G221" s="611">
        <v>6</v>
      </c>
      <c r="H221" s="611">
        <v>6</v>
      </c>
      <c r="I221" s="492" t="s">
        <v>158</v>
      </c>
      <c r="J221" s="117">
        <v>30</v>
      </c>
      <c r="K221" s="118">
        <v>191521</v>
      </c>
      <c r="L221" s="104">
        <f t="shared" si="32"/>
        <v>5745630</v>
      </c>
      <c r="M221" s="115"/>
      <c r="N221" s="124"/>
      <c r="O221" s="57">
        <v>0</v>
      </c>
      <c r="P221" s="115"/>
      <c r="Q221" s="314"/>
      <c r="R221" s="57">
        <v>0</v>
      </c>
      <c r="S221" s="116"/>
      <c r="T221" s="312">
        <f t="shared" si="23"/>
        <v>0</v>
      </c>
      <c r="U221" s="57">
        <f t="shared" si="24"/>
        <v>0</v>
      </c>
      <c r="V221" s="623">
        <f t="shared" si="25"/>
        <v>0</v>
      </c>
      <c r="W221" s="624"/>
      <c r="Y221" s="274">
        <f t="shared" si="26"/>
        <v>0</v>
      </c>
      <c r="Z221" s="274">
        <f t="shared" si="27"/>
        <v>0</v>
      </c>
      <c r="AA221" s="319" t="e">
        <f>VLOOKUP(B221,'[19]ACTA PARCIAL OBRA'!$B$122:$X$536,20,0)</f>
        <v>#N/A</v>
      </c>
      <c r="AB221" s="319" t="e">
        <f t="shared" si="31"/>
        <v>#N/A</v>
      </c>
      <c r="AE221" s="556" t="str">
        <f t="shared" si="35"/>
        <v>21.1.15</v>
      </c>
      <c r="AF221" s="557" t="str">
        <f t="shared" si="34"/>
        <v>CARCAMO EN CONCRETO 3000 PSI (INTERIOR 60 x 20 CM). INCLUYE REJILLA PREFABRICADA</v>
      </c>
      <c r="AG221" s="568"/>
      <c r="AH221" s="568"/>
      <c r="AI221" s="568"/>
      <c r="AJ221" s="568"/>
      <c r="AK221" s="568"/>
      <c r="AL221" s="568"/>
      <c r="AM221" s="568"/>
    </row>
    <row r="222" spans="2:39" ht="72">
      <c r="B222" s="125" t="s">
        <v>415</v>
      </c>
      <c r="C222" s="610" t="s">
        <v>416</v>
      </c>
      <c r="D222" s="611">
        <v>6</v>
      </c>
      <c r="E222" s="611">
        <v>6</v>
      </c>
      <c r="F222" s="611">
        <v>6</v>
      </c>
      <c r="G222" s="611">
        <v>6</v>
      </c>
      <c r="H222" s="612">
        <v>6</v>
      </c>
      <c r="I222" s="136" t="s">
        <v>168</v>
      </c>
      <c r="J222" s="117">
        <v>104.04</v>
      </c>
      <c r="K222" s="118">
        <v>37766</v>
      </c>
      <c r="L222" s="104">
        <f t="shared" si="32"/>
        <v>3929174.64</v>
      </c>
      <c r="M222" s="115"/>
      <c r="N222" s="124"/>
      <c r="O222" s="57">
        <v>0</v>
      </c>
      <c r="P222" s="115"/>
      <c r="Q222" s="314"/>
      <c r="R222" s="57">
        <v>0</v>
      </c>
      <c r="S222" s="116"/>
      <c r="T222" s="312">
        <f t="shared" si="23"/>
        <v>0</v>
      </c>
      <c r="U222" s="57">
        <f t="shared" si="24"/>
        <v>0</v>
      </c>
      <c r="V222" s="623">
        <f t="shared" si="25"/>
        <v>0</v>
      </c>
      <c r="W222" s="624"/>
      <c r="Y222" s="274">
        <f t="shared" si="26"/>
        <v>0</v>
      </c>
      <c r="Z222" s="274">
        <f t="shared" si="27"/>
        <v>0</v>
      </c>
      <c r="AA222" s="319" t="e">
        <f>VLOOKUP(B222,'[19]ACTA PARCIAL OBRA'!$B$122:$X$536,20,0)</f>
        <v>#N/A</v>
      </c>
      <c r="AB222" s="319" t="e">
        <f t="shared" si="31"/>
        <v>#N/A</v>
      </c>
      <c r="AE222" s="556" t="str">
        <f t="shared" si="35"/>
        <v>21.1.4</v>
      </c>
      <c r="AF222" s="557" t="str">
        <f t="shared" si="34"/>
        <v>CARGUE Y RETIRO DE ESCOMBROS Y/O MATERIAL DE EXCAVACIÓN</v>
      </c>
      <c r="AG222" s="568"/>
      <c r="AH222" s="568"/>
      <c r="AI222" s="568"/>
      <c r="AJ222" s="568"/>
      <c r="AK222" s="568"/>
      <c r="AL222" s="568"/>
      <c r="AM222" s="568"/>
    </row>
    <row r="223" spans="2:39" ht="36">
      <c r="B223" s="125" t="s">
        <v>417</v>
      </c>
      <c r="C223" s="610" t="s">
        <v>418</v>
      </c>
      <c r="D223" s="611">
        <v>6</v>
      </c>
      <c r="E223" s="611">
        <v>6</v>
      </c>
      <c r="F223" s="611">
        <v>6</v>
      </c>
      <c r="G223" s="611">
        <v>6</v>
      </c>
      <c r="H223" s="612">
        <v>6</v>
      </c>
      <c r="I223" s="126" t="s">
        <v>158</v>
      </c>
      <c r="J223" s="117">
        <v>35</v>
      </c>
      <c r="K223" s="118">
        <v>2250</v>
      </c>
      <c r="L223" s="104">
        <f t="shared" si="32"/>
        <v>78750</v>
      </c>
      <c r="M223" s="115"/>
      <c r="N223" s="124"/>
      <c r="O223" s="57">
        <v>0</v>
      </c>
      <c r="P223" s="115"/>
      <c r="Q223" s="314"/>
      <c r="R223" s="57">
        <v>0</v>
      </c>
      <c r="S223" s="116"/>
      <c r="T223" s="312">
        <f t="shared" si="23"/>
        <v>0</v>
      </c>
      <c r="U223" s="57">
        <f t="shared" si="24"/>
        <v>0</v>
      </c>
      <c r="V223" s="623">
        <f t="shared" si="25"/>
        <v>0</v>
      </c>
      <c r="W223" s="624"/>
      <c r="Y223" s="274">
        <f t="shared" si="26"/>
        <v>0</v>
      </c>
      <c r="Z223" s="274">
        <f t="shared" si="27"/>
        <v>0</v>
      </c>
      <c r="AA223" s="319" t="e">
        <f>VLOOKUP(B223,'[19]ACTA PARCIAL OBRA'!$B$122:$X$536,20,0)</f>
        <v>#N/A</v>
      </c>
      <c r="AB223" s="319" t="e">
        <f t="shared" si="31"/>
        <v>#N/A</v>
      </c>
      <c r="AE223" s="556" t="str">
        <f t="shared" si="35"/>
        <v>21.1.5</v>
      </c>
      <c r="AF223" s="557" t="str">
        <f t="shared" si="34"/>
        <v>LIMPIEZA DE CANALES Y BAJANTES</v>
      </c>
      <c r="AG223" s="568"/>
      <c r="AH223" s="568"/>
      <c r="AI223" s="568"/>
      <c r="AJ223" s="568"/>
      <c r="AK223" s="568"/>
      <c r="AL223" s="568"/>
      <c r="AM223" s="568"/>
    </row>
    <row r="224" spans="2:39" ht="12.75" customHeight="1">
      <c r="B224" s="125" t="s">
        <v>419</v>
      </c>
      <c r="C224" s="610" t="s">
        <v>420</v>
      </c>
      <c r="D224" s="611">
        <v>6</v>
      </c>
      <c r="E224" s="611">
        <v>6</v>
      </c>
      <c r="F224" s="611">
        <v>6</v>
      </c>
      <c r="G224" s="611">
        <v>6</v>
      </c>
      <c r="H224" s="612">
        <v>6</v>
      </c>
      <c r="I224" s="126" t="s">
        <v>158</v>
      </c>
      <c r="J224" s="117">
        <v>101.5</v>
      </c>
      <c r="K224" s="118">
        <v>5637</v>
      </c>
      <c r="L224" s="104">
        <f t="shared" si="32"/>
        <v>572155.5</v>
      </c>
      <c r="M224" s="115"/>
      <c r="N224" s="105"/>
      <c r="O224" s="57">
        <v>0</v>
      </c>
      <c r="P224" s="115"/>
      <c r="Q224" s="316"/>
      <c r="R224" s="57">
        <v>0</v>
      </c>
      <c r="S224" s="116"/>
      <c r="T224" s="312">
        <f t="shared" si="23"/>
        <v>0</v>
      </c>
      <c r="U224" s="57">
        <f t="shared" si="24"/>
        <v>0</v>
      </c>
      <c r="V224" s="623">
        <f t="shared" si="25"/>
        <v>0</v>
      </c>
      <c r="W224" s="624"/>
      <c r="Y224" s="274">
        <f t="shared" si="26"/>
        <v>0</v>
      </c>
      <c r="Z224" s="274">
        <f t="shared" si="27"/>
        <v>0</v>
      </c>
      <c r="AA224" s="319" t="e">
        <f>VLOOKUP(B224,'[19]ACTA PARCIAL OBRA'!$B$122:$X$536,20,0)</f>
        <v>#N/A</v>
      </c>
      <c r="AB224" s="319" t="e">
        <f t="shared" si="31"/>
        <v>#N/A</v>
      </c>
      <c r="AE224" s="556" t="str">
        <f t="shared" si="35"/>
        <v>21.1.6</v>
      </c>
      <c r="AF224" s="557" t="str">
        <f t="shared" si="34"/>
        <v>SONDEO Y REVISIÓN DE DESAGUES</v>
      </c>
      <c r="AG224" s="568"/>
      <c r="AH224" s="568"/>
      <c r="AI224" s="568"/>
      <c r="AJ224" s="568"/>
      <c r="AK224" s="568"/>
      <c r="AL224" s="568"/>
      <c r="AM224" s="568"/>
    </row>
    <row r="225" spans="2:39" ht="12.75" customHeight="1">
      <c r="B225" s="125" t="s">
        <v>421</v>
      </c>
      <c r="C225" s="610" t="s">
        <v>422</v>
      </c>
      <c r="D225" s="611">
        <v>6</v>
      </c>
      <c r="E225" s="611">
        <v>6</v>
      </c>
      <c r="F225" s="611">
        <v>6</v>
      </c>
      <c r="G225" s="611">
        <v>6</v>
      </c>
      <c r="H225" s="612">
        <v>6</v>
      </c>
      <c r="I225" s="126" t="s">
        <v>98</v>
      </c>
      <c r="J225" s="117">
        <v>7</v>
      </c>
      <c r="K225" s="118">
        <v>21963</v>
      </c>
      <c r="L225" s="104">
        <f t="shared" si="32"/>
        <v>153741</v>
      </c>
      <c r="M225" s="115"/>
      <c r="N225" s="105"/>
      <c r="O225" s="57">
        <v>0</v>
      </c>
      <c r="P225" s="115"/>
      <c r="Q225" s="312"/>
      <c r="R225" s="57">
        <v>0</v>
      </c>
      <c r="S225" s="116"/>
      <c r="T225" s="312">
        <f t="shared" si="23"/>
        <v>0</v>
      </c>
      <c r="U225" s="57">
        <f t="shared" si="24"/>
        <v>0</v>
      </c>
      <c r="V225" s="623">
        <f t="shared" si="25"/>
        <v>0</v>
      </c>
      <c r="W225" s="624"/>
      <c r="Y225" s="274">
        <f t="shared" si="26"/>
        <v>0</v>
      </c>
      <c r="Z225" s="274">
        <f t="shared" si="27"/>
        <v>0</v>
      </c>
      <c r="AA225" s="319" t="e">
        <f>VLOOKUP(B225,'[19]ACTA PARCIAL OBRA'!$B$122:$X$536,20,0)</f>
        <v>#N/A</v>
      </c>
      <c r="AB225" s="319" t="e">
        <f t="shared" si="31"/>
        <v>#N/A</v>
      </c>
      <c r="AC225" s="319">
        <v>5933495.1200000001</v>
      </c>
      <c r="AD225" s="514">
        <f t="shared" ref="AD225:AD288" si="36">+U225-AC225</f>
        <v>-5933495.1200000001</v>
      </c>
      <c r="AE225" s="556" t="str">
        <f t="shared" si="35"/>
        <v>21.1.7</v>
      </c>
      <c r="AF225" s="557" t="str">
        <f t="shared" si="34"/>
        <v xml:space="preserve">LIMPIEZA DE CAJAS DE INSPECCIÓN </v>
      </c>
      <c r="AG225" s="568"/>
      <c r="AH225" s="568"/>
      <c r="AI225" s="568"/>
      <c r="AJ225" s="568"/>
      <c r="AK225" s="568"/>
      <c r="AL225" s="568"/>
      <c r="AM225" s="568"/>
    </row>
    <row r="226" spans="2:39" ht="12.75" customHeight="1">
      <c r="B226" s="125">
        <v>25.8</v>
      </c>
      <c r="C226" s="618" t="s">
        <v>423</v>
      </c>
      <c r="D226" s="619">
        <v>6</v>
      </c>
      <c r="E226" s="619">
        <v>6</v>
      </c>
      <c r="F226" s="619">
        <v>6</v>
      </c>
      <c r="G226" s="619">
        <v>6</v>
      </c>
      <c r="H226" s="620">
        <v>6</v>
      </c>
      <c r="I226" s="130">
        <v>0</v>
      </c>
      <c r="J226" s="117">
        <v>0</v>
      </c>
      <c r="K226" s="118">
        <v>0</v>
      </c>
      <c r="L226" s="104">
        <f t="shared" si="32"/>
        <v>0</v>
      </c>
      <c r="M226" s="115"/>
      <c r="N226" s="313"/>
      <c r="O226" s="57">
        <v>0</v>
      </c>
      <c r="P226" s="115"/>
      <c r="Q226" s="314"/>
      <c r="R226" s="57">
        <v>0</v>
      </c>
      <c r="S226" s="116"/>
      <c r="T226" s="312">
        <f t="shared" si="23"/>
        <v>0</v>
      </c>
      <c r="U226" s="57">
        <f t="shared" si="24"/>
        <v>0</v>
      </c>
      <c r="V226" s="623">
        <f t="shared" si="25"/>
        <v>0</v>
      </c>
      <c r="W226" s="624"/>
      <c r="Y226" s="274">
        <f t="shared" si="26"/>
        <v>0</v>
      </c>
      <c r="Z226" s="274">
        <f t="shared" si="27"/>
        <v>0</v>
      </c>
      <c r="AA226" s="319" t="e">
        <f>VLOOKUP(B226,'[19]ACTA PARCIAL OBRA'!$B$122:$X$536,20,0)</f>
        <v>#N/A</v>
      </c>
      <c r="AB226" s="319" t="e">
        <f t="shared" si="31"/>
        <v>#N/A</v>
      </c>
      <c r="AC226" s="319">
        <v>5933495.1200000001</v>
      </c>
      <c r="AD226" s="514">
        <f t="shared" si="36"/>
        <v>-5933495.1200000001</v>
      </c>
      <c r="AE226" s="556">
        <f t="shared" si="35"/>
        <v>25.8</v>
      </c>
      <c r="AF226" s="557" t="str">
        <f t="shared" si="34"/>
        <v>RECUPERACION DE ESTRUCTURAS DE CONCRETO</v>
      </c>
      <c r="AG226" s="568"/>
      <c r="AH226" s="568"/>
      <c r="AI226" s="568"/>
      <c r="AJ226" s="568"/>
      <c r="AK226" s="568"/>
      <c r="AL226" s="568"/>
      <c r="AM226" s="568"/>
    </row>
    <row r="227" spans="2:39" ht="12.75" customHeight="1">
      <c r="B227" s="125" t="s">
        <v>424</v>
      </c>
      <c r="C227" s="768" t="s">
        <v>425</v>
      </c>
      <c r="D227" s="769"/>
      <c r="E227" s="769"/>
      <c r="F227" s="769"/>
      <c r="G227" s="769"/>
      <c r="H227" s="770"/>
      <c r="I227" s="494" t="s">
        <v>116</v>
      </c>
      <c r="J227" s="133">
        <v>15.3</v>
      </c>
      <c r="K227" s="118">
        <v>58811</v>
      </c>
      <c r="L227" s="104">
        <f t="shared" si="32"/>
        <v>899808.3</v>
      </c>
      <c r="M227" s="115"/>
      <c r="N227" s="124"/>
      <c r="O227" s="57">
        <v>0</v>
      </c>
      <c r="P227" s="115"/>
      <c r="Q227" s="314"/>
      <c r="R227" s="57">
        <v>0</v>
      </c>
      <c r="S227" s="116"/>
      <c r="T227" s="312">
        <f t="shared" si="23"/>
        <v>0</v>
      </c>
      <c r="U227" s="57">
        <f t="shared" si="24"/>
        <v>0</v>
      </c>
      <c r="V227" s="623">
        <f t="shared" si="25"/>
        <v>0</v>
      </c>
      <c r="W227" s="624"/>
      <c r="Y227" s="274">
        <f t="shared" si="26"/>
        <v>0</v>
      </c>
      <c r="Z227" s="274">
        <f t="shared" si="27"/>
        <v>0</v>
      </c>
      <c r="AA227" s="319" t="e">
        <f>VLOOKUP(B227,'[19]ACTA PARCIAL OBRA'!$B$122:$X$536,20,0)</f>
        <v>#N/A</v>
      </c>
      <c r="AB227" s="319" t="e">
        <f t="shared" si="31"/>
        <v>#N/A</v>
      </c>
      <c r="AC227" s="319">
        <v>0</v>
      </c>
      <c r="AD227" s="514">
        <f t="shared" si="36"/>
        <v>0</v>
      </c>
      <c r="AE227" s="556" t="str">
        <f t="shared" si="35"/>
        <v>25.8.6</v>
      </c>
      <c r="AF227" s="557" t="str">
        <f t="shared" si="34"/>
        <v>PUENTE DE ADHERENCIA PARA LA PEGA DE CONCRETO FRESCO A CONCRETO ENDURECIDO</v>
      </c>
      <c r="AG227" s="568"/>
      <c r="AH227" s="568"/>
      <c r="AI227" s="568"/>
      <c r="AJ227" s="568"/>
      <c r="AK227" s="568"/>
      <c r="AL227" s="568"/>
      <c r="AM227" s="568"/>
    </row>
    <row r="228" spans="2:39" ht="4.5" customHeight="1">
      <c r="B228" s="125"/>
      <c r="C228" s="257"/>
      <c r="D228" s="258"/>
      <c r="E228" s="258"/>
      <c r="F228" s="258"/>
      <c r="G228" s="258"/>
      <c r="H228" s="259"/>
      <c r="I228" s="126"/>
      <c r="J228" s="117"/>
      <c r="K228" s="118"/>
      <c r="L228" s="104"/>
      <c r="M228" s="115"/>
      <c r="N228" s="105"/>
      <c r="O228" s="57">
        <v>0</v>
      </c>
      <c r="P228" s="115"/>
      <c r="Q228" s="90"/>
      <c r="R228" s="57"/>
      <c r="S228" s="116"/>
      <c r="T228" s="312">
        <f t="shared" ref="T228:T231" si="37">+N228+Q228</f>
        <v>0</v>
      </c>
      <c r="U228" s="57"/>
      <c r="V228" s="260"/>
      <c r="W228" s="261"/>
      <c r="AA228" s="319">
        <f>VLOOKUP(B228,'[19]ACTA PARCIAL OBRA'!$B$122:$X$536,20,0)</f>
        <v>0</v>
      </c>
      <c r="AB228" s="319">
        <f t="shared" si="31"/>
        <v>0</v>
      </c>
      <c r="AC228" s="319">
        <v>0</v>
      </c>
      <c r="AD228" s="514">
        <f t="shared" si="36"/>
        <v>0</v>
      </c>
      <c r="AE228" s="556">
        <f t="shared" si="35"/>
        <v>0</v>
      </c>
      <c r="AF228" s="557">
        <f t="shared" si="34"/>
        <v>0</v>
      </c>
      <c r="AG228" s="568"/>
      <c r="AH228" s="568"/>
      <c r="AI228" s="568"/>
      <c r="AJ228" s="568"/>
      <c r="AK228" s="568"/>
      <c r="AL228" s="568"/>
      <c r="AM228" s="568"/>
    </row>
    <row r="229" spans="2:39" ht="84">
      <c r="B229" s="111">
        <v>27</v>
      </c>
      <c r="C229" s="771" t="s">
        <v>426</v>
      </c>
      <c r="D229" s="772"/>
      <c r="E229" s="772"/>
      <c r="F229" s="772"/>
      <c r="G229" s="772"/>
      <c r="H229" s="773"/>
      <c r="I229" s="126"/>
      <c r="J229" s="117"/>
      <c r="K229" s="118"/>
      <c r="L229" s="104"/>
      <c r="M229" s="115"/>
      <c r="N229" s="105"/>
      <c r="O229" s="57">
        <v>0</v>
      </c>
      <c r="P229" s="115"/>
      <c r="Q229" s="90"/>
      <c r="R229" s="57"/>
      <c r="S229" s="116"/>
      <c r="T229" s="312">
        <f t="shared" si="37"/>
        <v>0</v>
      </c>
      <c r="U229" s="57">
        <f t="shared" ref="U229" si="38">+ROUND((ROUNDDOWN(T229,2))*K229,2)</f>
        <v>0</v>
      </c>
      <c r="V229" s="623">
        <f t="array" ref="V229">'Anexo Acta Complementaria'!U11:U11</f>
        <v>0</v>
      </c>
      <c r="W229" s="624"/>
      <c r="Y229" s="274">
        <f>+R229+O229</f>
        <v>0</v>
      </c>
      <c r="Z229" s="274">
        <f>+U229-Y229</f>
        <v>0</v>
      </c>
      <c r="AA229" s="319">
        <f>VLOOKUP(B229,'[19]ACTA PARCIAL OBRA'!$B$122:$X$536,20,0)</f>
        <v>0</v>
      </c>
      <c r="AB229" s="319">
        <f t="shared" si="31"/>
        <v>0</v>
      </c>
      <c r="AC229" s="319">
        <v>0</v>
      </c>
      <c r="AD229" s="514">
        <f t="shared" si="36"/>
        <v>0</v>
      </c>
      <c r="AE229" s="556">
        <f t="shared" si="35"/>
        <v>27</v>
      </c>
      <c r="AF229" s="557" t="str">
        <f t="shared" si="34"/>
        <v>OBRAS COMPLEMENTARIAS (Ver detalle en Anexo Acta Complementaria)</v>
      </c>
      <c r="AG229" s="568"/>
      <c r="AH229" s="568"/>
      <c r="AI229" s="568"/>
      <c r="AJ229" s="568"/>
      <c r="AK229" s="568"/>
      <c r="AL229" s="568"/>
      <c r="AM229" s="568"/>
    </row>
    <row r="230" spans="2:39" ht="48">
      <c r="B230" s="125" t="s">
        <v>427</v>
      </c>
      <c r="C230" s="264" t="s">
        <v>428</v>
      </c>
      <c r="D230" s="265"/>
      <c r="E230" s="265"/>
      <c r="F230" s="265"/>
      <c r="G230" s="265"/>
      <c r="H230" s="266"/>
      <c r="I230" s="109"/>
      <c r="J230" s="117"/>
      <c r="K230" s="118"/>
      <c r="L230" s="104">
        <f>'Anexo Acta Complementaria'!K11</f>
        <v>0</v>
      </c>
      <c r="M230" s="115"/>
      <c r="N230" s="124"/>
      <c r="O230" s="104">
        <f>'Anexo Acta Complementaria'!N11</f>
        <v>0</v>
      </c>
      <c r="P230" s="115"/>
      <c r="Q230" s="119"/>
      <c r="R230" s="104"/>
      <c r="S230" s="116"/>
      <c r="T230" s="312">
        <f t="shared" si="37"/>
        <v>0</v>
      </c>
      <c r="U230" s="104">
        <f>'Anexo Acta Complementaria'!T11</f>
        <v>0</v>
      </c>
      <c r="V230" s="623">
        <f t="array" ref="V230">'Anexo Acta Complementaria'!U68:U68</f>
        <v>0</v>
      </c>
      <c r="W230" s="624"/>
      <c r="AA230" s="319">
        <f>VLOOKUP(B230,'[19]ACTA PARCIAL OBRA'!$B$122:$X$536,20,0)</f>
        <v>0</v>
      </c>
      <c r="AB230" s="319">
        <f t="shared" si="31"/>
        <v>0</v>
      </c>
      <c r="AC230" s="319">
        <v>0</v>
      </c>
      <c r="AD230" s="514">
        <f t="shared" si="36"/>
        <v>0</v>
      </c>
      <c r="AE230" s="556" t="str">
        <f t="shared" si="35"/>
        <v>27.1</v>
      </c>
      <c r="AF230" s="557" t="str">
        <f t="shared" si="34"/>
        <v>Diseño de obras complementarias</v>
      </c>
      <c r="AG230" s="568"/>
      <c r="AH230" s="568"/>
      <c r="AI230" s="568"/>
      <c r="AJ230" s="568"/>
      <c r="AK230" s="568"/>
      <c r="AL230" s="568"/>
      <c r="AM230" s="568"/>
    </row>
    <row r="231" spans="2:39" ht="48">
      <c r="B231" s="125" t="s">
        <v>429</v>
      </c>
      <c r="C231" s="713" t="s">
        <v>430</v>
      </c>
      <c r="D231" s="714"/>
      <c r="E231" s="714"/>
      <c r="F231" s="714"/>
      <c r="G231" s="714"/>
      <c r="H231" s="715"/>
      <c r="I231" s="109"/>
      <c r="J231" s="117"/>
      <c r="K231" s="118"/>
      <c r="L231" s="104">
        <f>'Anexo Acta Complementaria'!K68</f>
        <v>0</v>
      </c>
      <c r="M231" s="115"/>
      <c r="N231" s="124"/>
      <c r="O231" s="104">
        <f>'Anexo Acta Complementaria'!N68</f>
        <v>0</v>
      </c>
      <c r="P231" s="115"/>
      <c r="Q231" s="119"/>
      <c r="R231" s="104">
        <f>'Anexo Acta Complementaria'!Q68</f>
        <v>0</v>
      </c>
      <c r="S231" s="116"/>
      <c r="T231" s="312">
        <f t="shared" si="37"/>
        <v>0</v>
      </c>
      <c r="U231" s="104">
        <f>'Anexo Acta Complementaria'!T68</f>
        <v>0</v>
      </c>
      <c r="V231" s="623">
        <f t="shared" ref="V231" si="39">IF(L231=0,0)+IF(L231&gt;0,U231/L231)</f>
        <v>0</v>
      </c>
      <c r="W231" s="624"/>
      <c r="Y231" s="274">
        <f>+R231+O231</f>
        <v>0</v>
      </c>
      <c r="Z231" s="274">
        <f>+U231-Y231</f>
        <v>0</v>
      </c>
      <c r="AA231" s="319">
        <f>VLOOKUP(B231,'[19]ACTA PARCIAL OBRA'!$B$122:$X$536,20,0)</f>
        <v>41635762.310000002</v>
      </c>
      <c r="AB231" s="319">
        <f t="shared" si="31"/>
        <v>41635762.310000002</v>
      </c>
      <c r="AC231" s="319">
        <v>0</v>
      </c>
      <c r="AD231" s="514">
        <f t="shared" si="36"/>
        <v>0</v>
      </c>
      <c r="AE231" s="556" t="str">
        <f t="shared" si="35"/>
        <v>27.2</v>
      </c>
      <c r="AF231" s="557" t="str">
        <f t="shared" si="34"/>
        <v>Ejecución de obras complementarias</v>
      </c>
      <c r="AG231" s="568"/>
      <c r="AH231" s="568"/>
      <c r="AI231" s="568"/>
      <c r="AJ231" s="568"/>
      <c r="AK231" s="568"/>
      <c r="AL231" s="568"/>
      <c r="AM231" s="568"/>
    </row>
    <row r="232" spans="2:39" ht="84">
      <c r="B232" s="111">
        <v>28</v>
      </c>
      <c r="C232" s="771" t="s">
        <v>431</v>
      </c>
      <c r="D232" s="772"/>
      <c r="E232" s="772"/>
      <c r="F232" s="772"/>
      <c r="G232" s="772"/>
      <c r="H232" s="773"/>
      <c r="I232" s="126"/>
      <c r="J232" s="117"/>
      <c r="K232" s="118"/>
      <c r="L232" s="104"/>
      <c r="M232" s="115"/>
      <c r="N232" s="105"/>
      <c r="O232" s="57">
        <f t="shared" ref="O232" si="40">+ROUND((ROUNDDOWN(N232,2))*K232,2)</f>
        <v>0</v>
      </c>
      <c r="P232" s="115"/>
      <c r="Q232" s="90"/>
      <c r="R232" s="57">
        <f t="shared" ref="R232" si="41">+ROUND(Q232*K232,2)</f>
        <v>0</v>
      </c>
      <c r="S232" s="116"/>
      <c r="T232" s="312">
        <f t="shared" ref="T232:T233" si="42">+N232+Q232</f>
        <v>0</v>
      </c>
      <c r="U232" s="57">
        <f t="shared" ref="U232" si="43">+ROUND((ROUNDDOWN(T232,2))*K232,2)</f>
        <v>0</v>
      </c>
      <c r="V232" s="623">
        <f t="array" ref="V232">'Anexo Acta Complementaria'!U14:U14</f>
        <v>0</v>
      </c>
      <c r="W232" s="624"/>
      <c r="Y232" s="274">
        <f>+R232+O232</f>
        <v>0</v>
      </c>
      <c r="Z232" s="274">
        <f>+U232-Y232</f>
        <v>0</v>
      </c>
      <c r="AA232" s="319">
        <f>VLOOKUP(B232,'[19]ACTA PARCIAL OBRA'!$B$122:$X$536,20,0)</f>
        <v>0</v>
      </c>
      <c r="AB232" s="319">
        <f t="shared" si="31"/>
        <v>0</v>
      </c>
      <c r="AC232" s="319">
        <v>0</v>
      </c>
      <c r="AD232" s="514">
        <f t="shared" si="36"/>
        <v>0</v>
      </c>
      <c r="AE232" s="556">
        <f t="shared" si="35"/>
        <v>28</v>
      </c>
      <c r="AF232" s="557" t="str">
        <f t="shared" si="34"/>
        <v>OBRAS DE MEJORAMIENTO (Ver detalle en Anexo Obras mejoramiento)</v>
      </c>
      <c r="AG232" s="568"/>
      <c r="AH232" s="568"/>
      <c r="AI232" s="568"/>
      <c r="AJ232" s="568"/>
      <c r="AK232" s="568"/>
      <c r="AL232" s="568"/>
      <c r="AM232" s="568"/>
    </row>
    <row r="233" spans="2:39" ht="36">
      <c r="B233" s="125" t="s">
        <v>432</v>
      </c>
      <c r="C233" s="713" t="s">
        <v>433</v>
      </c>
      <c r="D233" s="714"/>
      <c r="E233" s="714"/>
      <c r="F233" s="714"/>
      <c r="G233" s="714"/>
      <c r="H233" s="715"/>
      <c r="I233" s="109"/>
      <c r="J233" s="117"/>
      <c r="K233" s="118"/>
      <c r="L233" s="104">
        <f>'Anexo Acta Complementaria'!K14</f>
        <v>0</v>
      </c>
      <c r="M233" s="115"/>
      <c r="N233" s="124"/>
      <c r="O233" s="104">
        <f>+'Anexo Obras mejoramiento'!N58</f>
        <v>0</v>
      </c>
      <c r="P233" s="115"/>
      <c r="Q233" s="119"/>
      <c r="R233" s="104">
        <f>'Anexo Acta Complementaria'!Q14</f>
        <v>0</v>
      </c>
      <c r="S233" s="116"/>
      <c r="T233" s="312">
        <f t="shared" si="42"/>
        <v>0</v>
      </c>
      <c r="U233" s="104">
        <f>'Anexo Acta Complementaria'!T14</f>
        <v>0</v>
      </c>
      <c r="V233" s="623">
        <f t="array" ref="V233">'Anexo Acta Complementaria'!U71:U71</f>
        <v>0</v>
      </c>
      <c r="W233" s="624"/>
      <c r="AA233" s="319">
        <f>VLOOKUP(B233,'[19]ACTA PARCIAL OBRA'!$B$122:$X$536,20,0)</f>
        <v>124144604.76000001</v>
      </c>
      <c r="AB233" s="319">
        <f t="shared" si="31"/>
        <v>124144604.76000001</v>
      </c>
      <c r="AC233" s="319">
        <v>0</v>
      </c>
      <c r="AD233" s="514">
        <f t="shared" si="36"/>
        <v>0</v>
      </c>
      <c r="AE233" s="556" t="str">
        <f t="shared" si="35"/>
        <v>28.1</v>
      </c>
      <c r="AF233" s="557" t="str">
        <f t="shared" si="34"/>
        <v>Ejecución de obras de mejoramiento</v>
      </c>
      <c r="AG233" s="568"/>
      <c r="AH233" s="568"/>
      <c r="AI233" s="568"/>
      <c r="AJ233" s="568"/>
      <c r="AK233" s="568"/>
      <c r="AL233" s="568"/>
      <c r="AM233" s="568"/>
    </row>
    <row r="234" spans="2:39" ht="15" customHeight="1">
      <c r="B234" s="317"/>
      <c r="C234" s="318"/>
      <c r="D234" s="318"/>
      <c r="E234" s="319"/>
      <c r="F234" s="144"/>
      <c r="G234" s="144"/>
      <c r="H234" s="144"/>
      <c r="I234" s="145"/>
      <c r="J234" s="282"/>
      <c r="K234" s="146"/>
      <c r="L234" s="147"/>
      <c r="M234" s="115"/>
      <c r="N234" s="254"/>
      <c r="O234" s="147"/>
      <c r="P234" s="115"/>
      <c r="Q234" s="148"/>
      <c r="R234" s="147"/>
      <c r="S234" s="115"/>
      <c r="T234" s="149"/>
      <c r="U234" s="147"/>
      <c r="V234" s="150"/>
      <c r="W234" s="151"/>
      <c r="Y234" s="274">
        <f>+R234+O234</f>
        <v>0</v>
      </c>
      <c r="Z234" s="274">
        <f>+U234-Y234</f>
        <v>0</v>
      </c>
      <c r="AA234" s="319">
        <f>VLOOKUP(B234,'[19]ACTA PARCIAL OBRA'!$B$122:$X$536,20,0)</f>
        <v>0</v>
      </c>
      <c r="AB234" s="319">
        <f t="shared" si="31"/>
        <v>0</v>
      </c>
      <c r="AC234" s="319">
        <v>5933495.1200000001</v>
      </c>
      <c r="AD234" s="514">
        <f t="shared" si="36"/>
        <v>-5933495.1200000001</v>
      </c>
      <c r="AE234" s="556">
        <f t="shared" si="35"/>
        <v>0</v>
      </c>
      <c r="AF234" s="557">
        <f t="shared" si="34"/>
        <v>0</v>
      </c>
      <c r="AG234" s="568"/>
      <c r="AH234" s="568"/>
      <c r="AI234" s="568"/>
      <c r="AJ234" s="568"/>
      <c r="AK234" s="568"/>
      <c r="AL234" s="568"/>
      <c r="AM234" s="568"/>
    </row>
    <row r="235" spans="2:39" ht="19.5" customHeight="1">
      <c r="B235" s="152" t="s">
        <v>434</v>
      </c>
      <c r="C235" s="153"/>
      <c r="D235" s="153"/>
      <c r="E235" s="153"/>
      <c r="F235" s="153"/>
      <c r="G235" s="153"/>
      <c r="H235" s="153"/>
      <c r="I235" s="154"/>
      <c r="J235" s="155"/>
      <c r="K235" s="156"/>
      <c r="L235" s="157">
        <f>SUM(L75:L231)</f>
        <v>2404791721.0000544</v>
      </c>
      <c r="M235" s="158"/>
      <c r="N235" s="127"/>
      <c r="O235" s="106">
        <f>ROUND(SUM(O76:O233)-O230,2)</f>
        <v>50399056.75</v>
      </c>
      <c r="P235" s="158"/>
      <c r="Q235" s="152"/>
      <c r="R235" s="106">
        <f>SUM(R76:R234)</f>
        <v>26570498.440000001</v>
      </c>
      <c r="S235" s="158"/>
      <c r="T235" s="152"/>
      <c r="U235" s="106">
        <f>ROUND(SUM(U76:U231),2)</f>
        <v>76975817.719999999</v>
      </c>
      <c r="V235" s="716">
        <f>IF(L235=0,0)+IF(L235&gt;0,U235/L235)</f>
        <v>3.2009349104041705E-2</v>
      </c>
      <c r="W235" s="717"/>
      <c r="Y235" s="274">
        <f>+R235+O235</f>
        <v>76969555.189999998</v>
      </c>
      <c r="Z235" s="274">
        <f>+U235-Y235</f>
        <v>6262.5300000011921</v>
      </c>
      <c r="AA235" s="319">
        <f>VLOOKUP(B235,'[19]ACTA PARCIAL OBRA'!$B$122:$X$536,20,0)</f>
        <v>1597428672.28</v>
      </c>
      <c r="AB235" s="319">
        <f t="shared" si="31"/>
        <v>1570858173.8399999</v>
      </c>
      <c r="AC235" s="319">
        <v>876888</v>
      </c>
      <c r="AD235" s="514">
        <f t="shared" si="36"/>
        <v>76098929.719999999</v>
      </c>
      <c r="AE235" s="556" t="str">
        <f t="shared" si="35"/>
        <v>COSTO DIRECTO FASE DE CONSTRUCCIÓN</v>
      </c>
      <c r="AF235" s="557">
        <f t="shared" si="34"/>
        <v>0</v>
      </c>
      <c r="AG235" s="568"/>
      <c r="AH235" s="568"/>
      <c r="AI235" s="568"/>
      <c r="AJ235" s="568"/>
      <c r="AK235" s="568"/>
      <c r="AL235" s="568"/>
      <c r="AM235" s="568"/>
    </row>
    <row r="236" spans="2:39" ht="19.5" customHeight="1">
      <c r="B236" s="158"/>
      <c r="C236" s="159"/>
      <c r="D236" s="159"/>
      <c r="E236" s="159"/>
      <c r="F236" s="159"/>
      <c r="G236" s="159"/>
      <c r="H236" s="159"/>
      <c r="I236" s="160"/>
      <c r="J236" s="161"/>
      <c r="K236" s="162"/>
      <c r="L236" s="66"/>
      <c r="M236" s="158"/>
      <c r="N236" s="163"/>
      <c r="O236" s="66"/>
      <c r="P236" s="158"/>
      <c r="Q236" s="158"/>
      <c r="R236" s="66"/>
      <c r="S236" s="158"/>
      <c r="T236" s="158"/>
      <c r="U236" s="66"/>
      <c r="V236" s="164"/>
      <c r="W236" s="164"/>
      <c r="Y236" s="274">
        <f>+R236+O236</f>
        <v>0</v>
      </c>
      <c r="Z236" s="274">
        <f>+U236-Y236</f>
        <v>0</v>
      </c>
      <c r="AA236" s="319">
        <f>VLOOKUP(B236,'[19]ACTA PARCIAL OBRA'!$B$122:$X$536,20,0)</f>
        <v>0</v>
      </c>
      <c r="AB236" s="319">
        <f t="shared" si="31"/>
        <v>0</v>
      </c>
      <c r="AC236" s="319">
        <v>581768</v>
      </c>
      <c r="AD236" s="514">
        <f t="shared" si="36"/>
        <v>-581768</v>
      </c>
      <c r="AE236" s="556">
        <f t="shared" si="35"/>
        <v>0</v>
      </c>
      <c r="AF236" s="557">
        <f t="shared" si="34"/>
        <v>0</v>
      </c>
      <c r="AG236" s="568"/>
      <c r="AH236" s="568"/>
      <c r="AI236" s="568"/>
      <c r="AJ236" s="568"/>
      <c r="AK236" s="568"/>
      <c r="AL236" s="568"/>
      <c r="AM236" s="568"/>
    </row>
    <row r="237" spans="2:39" ht="15" customHeight="1">
      <c r="B237" s="718" t="s">
        <v>435</v>
      </c>
      <c r="C237" s="719"/>
      <c r="D237" s="719"/>
      <c r="E237" s="719"/>
      <c r="F237" s="719"/>
      <c r="G237" s="719"/>
      <c r="H237" s="719"/>
      <c r="I237" s="719"/>
      <c r="J237" s="719"/>
      <c r="K237" s="719"/>
      <c r="L237" s="720"/>
      <c r="M237" s="60"/>
      <c r="N237" s="721" t="s">
        <v>436</v>
      </c>
      <c r="O237" s="722"/>
      <c r="P237" s="722"/>
      <c r="Q237" s="722"/>
      <c r="R237" s="722"/>
      <c r="S237" s="722"/>
      <c r="T237" s="722"/>
      <c r="U237" s="722"/>
      <c r="V237" s="722"/>
      <c r="W237" s="723"/>
      <c r="Y237" s="274">
        <f>+R237+O237</f>
        <v>0</v>
      </c>
      <c r="Z237" s="274">
        <f>+U237-Y237</f>
        <v>0</v>
      </c>
      <c r="AA237" s="319" t="e">
        <f>VLOOKUP(B237,'[19]ACTA PARCIAL OBRA'!$B$122:$X$536,20,0)</f>
        <v>#REF!</v>
      </c>
      <c r="AB237" s="319" t="e">
        <f t="shared" si="31"/>
        <v>#REF!</v>
      </c>
      <c r="AC237" s="319">
        <v>0</v>
      </c>
      <c r="AD237" s="514">
        <f t="shared" si="36"/>
        <v>0</v>
      </c>
      <c r="AE237" s="556" t="str">
        <f t="shared" si="35"/>
        <v>OBRAS NO PREVISTAS</v>
      </c>
      <c r="AF237" s="557">
        <f t="shared" si="34"/>
        <v>0</v>
      </c>
      <c r="AG237" s="568"/>
      <c r="AH237" s="568"/>
      <c r="AI237" s="568"/>
      <c r="AJ237" s="568"/>
      <c r="AK237" s="568"/>
      <c r="AL237" s="568"/>
      <c r="AM237" s="568"/>
    </row>
    <row r="238" spans="2:39" ht="15" customHeight="1">
      <c r="B238" s="60"/>
      <c r="C238" s="165"/>
      <c r="D238" s="165"/>
      <c r="E238" s="165"/>
      <c r="F238" s="165"/>
      <c r="G238" s="165"/>
      <c r="H238" s="165"/>
      <c r="I238" s="77"/>
      <c r="J238" s="78"/>
      <c r="K238" s="166"/>
      <c r="L238" s="165"/>
      <c r="M238" s="60"/>
      <c r="N238" s="274"/>
      <c r="O238" s="60"/>
      <c r="P238" s="60"/>
      <c r="Q238" s="60"/>
      <c r="R238" s="60"/>
      <c r="S238" s="60"/>
      <c r="T238" s="60"/>
      <c r="U238" s="60"/>
      <c r="V238" s="167"/>
      <c r="W238" s="167"/>
      <c r="AA238" s="319">
        <f>VLOOKUP(B238,'[19]ACTA PARCIAL OBRA'!$B$122:$X$536,20,0)</f>
        <v>0</v>
      </c>
      <c r="AB238" s="319">
        <f t="shared" si="31"/>
        <v>0</v>
      </c>
      <c r="AC238" s="319">
        <v>1072192</v>
      </c>
      <c r="AD238" s="514">
        <f t="shared" si="36"/>
        <v>-1072192</v>
      </c>
      <c r="AE238" s="556">
        <f t="shared" si="35"/>
        <v>0</v>
      </c>
      <c r="AF238" s="557">
        <f t="shared" si="34"/>
        <v>0</v>
      </c>
      <c r="AG238" s="568"/>
      <c r="AH238" s="568"/>
      <c r="AI238" s="568"/>
      <c r="AJ238" s="568"/>
      <c r="AK238" s="568"/>
      <c r="AL238" s="568"/>
      <c r="AM238" s="568"/>
    </row>
    <row r="239" spans="2:39" ht="15" customHeight="1">
      <c r="B239" s="168" t="s">
        <v>96</v>
      </c>
      <c r="C239" s="169" t="s">
        <v>97</v>
      </c>
      <c r="D239" s="170"/>
      <c r="E239" s="170"/>
      <c r="F239" s="170"/>
      <c r="G239" s="170"/>
      <c r="H239" s="171"/>
      <c r="I239" s="172" t="s">
        <v>98</v>
      </c>
      <c r="J239" s="320" t="s">
        <v>99</v>
      </c>
      <c r="K239" s="173" t="s">
        <v>100</v>
      </c>
      <c r="L239" s="174" t="s">
        <v>101</v>
      </c>
      <c r="M239" s="60"/>
      <c r="N239" s="94" t="s">
        <v>102</v>
      </c>
      <c r="O239" s="95"/>
      <c r="P239" s="93"/>
      <c r="Q239" s="96" t="s">
        <v>103</v>
      </c>
      <c r="R239" s="97"/>
      <c r="S239" s="86"/>
      <c r="T239" s="97" t="s">
        <v>104</v>
      </c>
      <c r="U239" s="97"/>
      <c r="V239" s="97"/>
      <c r="W239" s="95"/>
      <c r="AA239" s="319" t="e">
        <f>VLOOKUP(B239,'[19]ACTA PARCIAL OBRA'!$B$122:$X$536,20,0)</f>
        <v>#REF!</v>
      </c>
      <c r="AB239" s="319" t="e">
        <f t="shared" si="31"/>
        <v>#REF!</v>
      </c>
      <c r="AC239" s="319">
        <v>350416</v>
      </c>
      <c r="AD239" s="514">
        <f t="shared" si="36"/>
        <v>-350416</v>
      </c>
      <c r="AE239" s="556" t="str">
        <f t="shared" si="35"/>
        <v>ITEM</v>
      </c>
      <c r="AF239" s="557" t="str">
        <f t="shared" si="34"/>
        <v>DESCRIPCION</v>
      </c>
      <c r="AG239" s="568"/>
      <c r="AH239" s="568"/>
      <c r="AI239" s="568"/>
      <c r="AJ239" s="568"/>
      <c r="AK239" s="568"/>
      <c r="AL239" s="568"/>
      <c r="AM239" s="568"/>
    </row>
    <row r="240" spans="2:39" ht="15" customHeight="1">
      <c r="B240" s="125" t="s">
        <v>437</v>
      </c>
      <c r="C240" s="602" t="s">
        <v>438</v>
      </c>
      <c r="D240" s="603"/>
      <c r="E240" s="603"/>
      <c r="F240" s="603"/>
      <c r="G240" s="603"/>
      <c r="H240" s="603"/>
      <c r="I240" s="490" t="s">
        <v>439</v>
      </c>
      <c r="J240" s="117">
        <v>500.67</v>
      </c>
      <c r="K240" s="506">
        <v>32698.35</v>
      </c>
      <c r="L240" s="104">
        <f>+ROUND(J240*K240,0)</f>
        <v>16371083</v>
      </c>
      <c r="M240" s="60"/>
      <c r="N240" s="124"/>
      <c r="O240" s="57"/>
      <c r="P240" s="93"/>
      <c r="Q240" s="313">
        <v>4.4400000000000004</v>
      </c>
      <c r="R240" s="57">
        <f>+ROUND(Q240*K240,2)</f>
        <v>145180.67000000001</v>
      </c>
      <c r="S240" s="107"/>
      <c r="T240" s="312">
        <f t="shared" ref="T240:T250" si="44">+N240+Q240</f>
        <v>4.4400000000000004</v>
      </c>
      <c r="U240" s="57">
        <f t="shared" ref="U240:U250" si="45">+ROUND((ROUNDDOWN(T240,2))*K240,2)</f>
        <v>145180.67000000001</v>
      </c>
      <c r="V240" s="724">
        <f t="shared" ref="V240" si="46">IF(L240=0,0)+IF(L240&gt;0,U240/L240)</f>
        <v>8.8681164221084217E-3</v>
      </c>
      <c r="W240" s="725"/>
      <c r="AA240" s="319" t="e">
        <f>VLOOKUP(B240,'[19]ACTA PARCIAL OBRA'!$B$122:$X$536,20,0)</f>
        <v>#N/A</v>
      </c>
      <c r="AB240" s="319" t="e">
        <f t="shared" si="31"/>
        <v>#N/A</v>
      </c>
      <c r="AC240" s="319">
        <v>220956</v>
      </c>
      <c r="AD240" s="514">
        <f t="shared" si="36"/>
        <v>-75775.329999999987</v>
      </c>
      <c r="AE240" s="556" t="str">
        <f t="shared" si="35"/>
        <v>NP-2</v>
      </c>
      <c r="AF240" s="557" t="str">
        <f t="shared" si="34"/>
        <v>VIGA CINTA DE CONFINAMIENTO MAMPOSTERIA 0,15 MTS X 0,10 MTS</v>
      </c>
      <c r="AG240" s="568"/>
      <c r="AH240" s="568"/>
      <c r="AI240" s="568"/>
      <c r="AJ240" s="568"/>
      <c r="AK240" s="568"/>
      <c r="AL240" s="568"/>
      <c r="AM240" s="568"/>
    </row>
    <row r="241" spans="2:39" ht="15" customHeight="1">
      <c r="B241" s="495" t="s">
        <v>440</v>
      </c>
      <c r="C241" s="633" t="s">
        <v>441</v>
      </c>
      <c r="D241" s="634">
        <v>6</v>
      </c>
      <c r="E241" s="634">
        <v>6</v>
      </c>
      <c r="F241" s="634">
        <v>6</v>
      </c>
      <c r="G241" s="634">
        <v>6</v>
      </c>
      <c r="H241" s="635">
        <v>6</v>
      </c>
      <c r="I241" s="496" t="s">
        <v>116</v>
      </c>
      <c r="J241" s="480">
        <v>540</v>
      </c>
      <c r="K241" s="497">
        <v>17424</v>
      </c>
      <c r="L241" s="482">
        <f>+ROUND(J241*K241,0)</f>
        <v>9408960</v>
      </c>
      <c r="M241" s="60"/>
      <c r="N241" s="124"/>
      <c r="O241" s="57">
        <f t="shared" ref="O241:O250" si="47">+ROUND((ROUNDDOWN(N241,2))*K241,2)</f>
        <v>0</v>
      </c>
      <c r="P241" s="93"/>
      <c r="Q241" s="110"/>
      <c r="R241" s="57">
        <f t="shared" ref="R241:R250" si="48">+ROUND(Q241*K241,2)</f>
        <v>0</v>
      </c>
      <c r="S241" s="107"/>
      <c r="T241" s="312">
        <f t="shared" si="44"/>
        <v>0</v>
      </c>
      <c r="U241" s="57">
        <f t="shared" si="45"/>
        <v>0</v>
      </c>
      <c r="V241" s="623">
        <f t="shared" ref="V241:V250" si="49">IF(L241=0,0)+IF(L241&gt;0,U241/L241)</f>
        <v>0</v>
      </c>
      <c r="W241" s="624"/>
      <c r="AA241" s="319" t="e">
        <f>VLOOKUP(B241,'[19]ACTA PARCIAL OBRA'!$B$122:$X$536,20,0)</f>
        <v>#N/A</v>
      </c>
      <c r="AB241" s="319" t="e">
        <f t="shared" si="31"/>
        <v>#N/A</v>
      </c>
      <c r="AC241" s="319">
        <v>0</v>
      </c>
      <c r="AD241" s="514">
        <f t="shared" si="36"/>
        <v>0</v>
      </c>
      <c r="AE241" s="556" t="str">
        <f t="shared" si="35"/>
        <v>NP-3</v>
      </c>
      <c r="AF241" s="557" t="str">
        <f t="shared" si="34"/>
        <v>RESANES MUROS (INCLUYE RASQUETEO O RETIRO  DE SUPERFICIE Y NIVELACION)</v>
      </c>
      <c r="AG241" s="568"/>
      <c r="AH241" s="568"/>
      <c r="AI241" s="568"/>
      <c r="AJ241" s="568"/>
      <c r="AK241" s="568"/>
      <c r="AL241" s="568"/>
      <c r="AM241" s="568"/>
    </row>
    <row r="242" spans="2:39" ht="15" customHeight="1">
      <c r="B242" s="495" t="s">
        <v>442</v>
      </c>
      <c r="C242" s="710" t="s">
        <v>443</v>
      </c>
      <c r="D242" s="711">
        <v>6</v>
      </c>
      <c r="E242" s="711">
        <v>6</v>
      </c>
      <c r="F242" s="711">
        <v>6</v>
      </c>
      <c r="G242" s="711">
        <v>6</v>
      </c>
      <c r="H242" s="711">
        <v>6</v>
      </c>
      <c r="I242" s="498" t="s">
        <v>116</v>
      </c>
      <c r="J242" s="499">
        <v>1688.68</v>
      </c>
      <c r="K242" s="497">
        <v>62872</v>
      </c>
      <c r="L242" s="482">
        <f>+ROUND(J242*K242,0)</f>
        <v>106170689</v>
      </c>
      <c r="M242" s="60"/>
      <c r="N242" s="124"/>
      <c r="O242" s="57"/>
      <c r="P242" s="93"/>
      <c r="Q242" s="110"/>
      <c r="R242" s="57"/>
      <c r="S242" s="107"/>
      <c r="T242" s="312"/>
      <c r="U242" s="57"/>
      <c r="V242" s="260"/>
      <c r="W242" s="261"/>
      <c r="AA242" s="319" t="e">
        <f>VLOOKUP(B242,'[19]ACTA PARCIAL OBRA'!$B$122:$X$536,20,0)</f>
        <v>#N/A</v>
      </c>
      <c r="AB242" s="319" t="e">
        <f t="shared" si="31"/>
        <v>#N/A</v>
      </c>
      <c r="AC242" s="319">
        <v>0</v>
      </c>
      <c r="AD242" s="514">
        <f t="shared" si="36"/>
        <v>0</v>
      </c>
      <c r="AE242" s="556" t="str">
        <f t="shared" si="35"/>
        <v>NP-4</v>
      </c>
      <c r="AF242" s="557" t="str">
        <f t="shared" si="34"/>
        <v>PISO EN TABLON DE 30 X 30 CM TIPO SAHARA O EQUIVALENTE INCLUYE MATERIAL DE PEGA</v>
      </c>
      <c r="AG242" s="568"/>
      <c r="AH242" s="568"/>
      <c r="AI242" s="568"/>
      <c r="AJ242" s="568"/>
      <c r="AK242" s="568"/>
      <c r="AL242" s="568"/>
      <c r="AM242" s="568"/>
    </row>
    <row r="243" spans="2:39" ht="15" customHeight="1">
      <c r="B243" s="495" t="s">
        <v>444</v>
      </c>
      <c r="C243" s="633" t="s">
        <v>445</v>
      </c>
      <c r="D243" s="634">
        <v>6</v>
      </c>
      <c r="E243" s="634">
        <v>6</v>
      </c>
      <c r="F243" s="634">
        <v>6</v>
      </c>
      <c r="G243" s="634">
        <v>6</v>
      </c>
      <c r="H243" s="634">
        <v>6</v>
      </c>
      <c r="I243" s="500" t="s">
        <v>158</v>
      </c>
      <c r="J243" s="499">
        <v>759.02</v>
      </c>
      <c r="K243" s="497">
        <v>18658.25</v>
      </c>
      <c r="L243" s="482">
        <f>+ROUND(J243*K243,0)</f>
        <v>14161985</v>
      </c>
      <c r="M243" s="177"/>
      <c r="N243" s="124"/>
      <c r="O243" s="57">
        <f t="shared" si="47"/>
        <v>0</v>
      </c>
      <c r="P243" s="93"/>
      <c r="Q243" s="110"/>
      <c r="R243" s="57">
        <f t="shared" si="48"/>
        <v>0</v>
      </c>
      <c r="S243" s="107"/>
      <c r="T243" s="312">
        <f t="shared" si="44"/>
        <v>0</v>
      </c>
      <c r="U243" s="57">
        <f t="shared" si="45"/>
        <v>0</v>
      </c>
      <c r="V243" s="623">
        <f t="shared" si="49"/>
        <v>0</v>
      </c>
      <c r="W243" s="624"/>
      <c r="AA243" s="319" t="e">
        <f>VLOOKUP(B243,'[19]ACTA PARCIAL OBRA'!$B$122:$X$536,20,0)</f>
        <v>#N/A</v>
      </c>
      <c r="AB243" s="319" t="e">
        <f t="shared" si="31"/>
        <v>#N/A</v>
      </c>
      <c r="AC243" s="319">
        <v>0</v>
      </c>
      <c r="AD243" s="514">
        <f t="shared" si="36"/>
        <v>0</v>
      </c>
      <c r="AE243" s="556" t="str">
        <f t="shared" si="35"/>
        <v>NP-5</v>
      </c>
      <c r="AF243" s="557" t="str">
        <f t="shared" si="34"/>
        <v xml:space="preserve">GUARDAESCOBA EN GRESS TIPO SAHARA </v>
      </c>
      <c r="AG243" s="568"/>
      <c r="AH243" s="568"/>
      <c r="AI243" s="568"/>
      <c r="AJ243" s="568"/>
      <c r="AK243" s="568"/>
      <c r="AL243" s="568"/>
      <c r="AM243" s="568"/>
    </row>
    <row r="244" spans="2:39" ht="27" customHeight="1">
      <c r="B244" s="495" t="s">
        <v>446</v>
      </c>
      <c r="C244" s="710" t="s">
        <v>447</v>
      </c>
      <c r="D244" s="711">
        <v>6</v>
      </c>
      <c r="E244" s="711">
        <v>6</v>
      </c>
      <c r="F244" s="711">
        <v>6</v>
      </c>
      <c r="G244" s="711">
        <v>6</v>
      </c>
      <c r="H244" s="712">
        <v>6</v>
      </c>
      <c r="I244" s="479" t="s">
        <v>116</v>
      </c>
      <c r="J244" s="480">
        <v>114.75</v>
      </c>
      <c r="K244" s="497">
        <v>83919</v>
      </c>
      <c r="L244" s="482">
        <f t="shared" ref="L244:L245" si="50">+ROUND(J244*K244,0)</f>
        <v>9629705</v>
      </c>
      <c r="M244" s="177"/>
      <c r="N244" s="313"/>
      <c r="O244" s="57">
        <f t="shared" si="47"/>
        <v>0</v>
      </c>
      <c r="P244" s="93"/>
      <c r="Q244" s="110"/>
      <c r="R244" s="57">
        <f t="shared" si="48"/>
        <v>0</v>
      </c>
      <c r="S244" s="107"/>
      <c r="T244" s="312">
        <f t="shared" si="44"/>
        <v>0</v>
      </c>
      <c r="U244" s="57">
        <f t="shared" si="45"/>
        <v>0</v>
      </c>
      <c r="V244" s="623">
        <f t="shared" si="49"/>
        <v>0</v>
      </c>
      <c r="W244" s="624"/>
      <c r="AA244" s="319" t="e">
        <f>VLOOKUP(B244,'[19]ACTA PARCIAL OBRA'!$B$122:$X$536,20,0)</f>
        <v>#N/A</v>
      </c>
      <c r="AB244" s="319" t="e">
        <f t="shared" si="31"/>
        <v>#N/A</v>
      </c>
      <c r="AC244" s="319">
        <v>0</v>
      </c>
      <c r="AD244" s="514">
        <f t="shared" si="36"/>
        <v>0</v>
      </c>
      <c r="AE244" s="556" t="str">
        <f t="shared" si="35"/>
        <v>NP-6</v>
      </c>
      <c r="AF244" s="557" t="str">
        <f t="shared" si="34"/>
        <v>CIELO RASO PLANO BLANCO EN LAMINA DE DRYWALL RESISTENTE AL FUEGO (RF)E:6MMINCLUYE ARMADURA DE SOPORTE REMATES BOCELES)</v>
      </c>
      <c r="AG244" s="568"/>
      <c r="AH244" s="568"/>
      <c r="AI244" s="568"/>
      <c r="AJ244" s="568"/>
      <c r="AK244" s="568"/>
      <c r="AL244" s="568"/>
      <c r="AM244" s="568"/>
    </row>
    <row r="245" spans="2:39" ht="15" customHeight="1">
      <c r="B245" s="495" t="s">
        <v>448</v>
      </c>
      <c r="C245" s="710" t="s">
        <v>449</v>
      </c>
      <c r="D245" s="711">
        <v>6</v>
      </c>
      <c r="E245" s="711">
        <v>6</v>
      </c>
      <c r="F245" s="711">
        <v>6</v>
      </c>
      <c r="G245" s="711">
        <v>6</v>
      </c>
      <c r="H245" s="712">
        <v>6</v>
      </c>
      <c r="I245" s="501" t="s">
        <v>158</v>
      </c>
      <c r="J245" s="480">
        <v>195.26</v>
      </c>
      <c r="K245" s="497">
        <v>29033.53</v>
      </c>
      <c r="L245" s="482">
        <f t="shared" si="50"/>
        <v>5669087</v>
      </c>
      <c r="M245" s="177"/>
      <c r="N245" s="124"/>
      <c r="O245" s="57">
        <f>+ROUND((ROUNDDOWN(N245,2))*K245,2)</f>
        <v>0</v>
      </c>
      <c r="P245" s="93"/>
      <c r="Q245" s="110"/>
      <c r="R245" s="57">
        <f t="shared" si="48"/>
        <v>0</v>
      </c>
      <c r="S245" s="107"/>
      <c r="T245" s="312">
        <f t="shared" si="44"/>
        <v>0</v>
      </c>
      <c r="U245" s="57">
        <f t="shared" si="45"/>
        <v>0</v>
      </c>
      <c r="V245" s="623">
        <f t="shared" si="49"/>
        <v>0</v>
      </c>
      <c r="W245" s="624"/>
      <c r="AA245" s="319" t="e">
        <f>VLOOKUP(B245,'[19]ACTA PARCIAL OBRA'!$B$122:$X$536,20,0)</f>
        <v>#N/A</v>
      </c>
      <c r="AB245" s="319" t="e">
        <f t="shared" si="31"/>
        <v>#N/A</v>
      </c>
      <c r="AC245" s="319">
        <v>869568</v>
      </c>
      <c r="AD245" s="514">
        <f t="shared" si="36"/>
        <v>-869568</v>
      </c>
      <c r="AE245" s="556" t="str">
        <f t="shared" si="35"/>
        <v>NP-7</v>
      </c>
      <c r="AF245" s="557" t="str">
        <f t="shared" si="34"/>
        <v>MEDIA CAÑA EN PERFIL PVC 9CMS</v>
      </c>
      <c r="AG245" s="568"/>
      <c r="AH245" s="568"/>
      <c r="AI245" s="568"/>
      <c r="AJ245" s="568"/>
      <c r="AK245" s="568"/>
      <c r="AL245" s="568"/>
      <c r="AM245" s="568"/>
    </row>
    <row r="246" spans="2:39" ht="31.5" customHeight="1">
      <c r="B246" s="495" t="s">
        <v>450</v>
      </c>
      <c r="C246" s="710" t="s">
        <v>451</v>
      </c>
      <c r="D246" s="711">
        <v>6</v>
      </c>
      <c r="E246" s="711">
        <v>6</v>
      </c>
      <c r="F246" s="711">
        <v>6</v>
      </c>
      <c r="G246" s="711">
        <v>6</v>
      </c>
      <c r="H246" s="711">
        <v>6</v>
      </c>
      <c r="I246" s="498" t="s">
        <v>439</v>
      </c>
      <c r="J246" s="499">
        <v>1250</v>
      </c>
      <c r="K246" s="497">
        <v>17739.47</v>
      </c>
      <c r="L246" s="482">
        <f>+ROUND(J246*K246,0)</f>
        <v>22174338</v>
      </c>
      <c r="M246" s="177"/>
      <c r="N246" s="119"/>
      <c r="O246" s="57">
        <f t="shared" si="47"/>
        <v>0</v>
      </c>
      <c r="P246" s="93"/>
      <c r="Q246" s="313"/>
      <c r="R246" s="57">
        <f t="shared" si="48"/>
        <v>0</v>
      </c>
      <c r="S246" s="107"/>
      <c r="T246" s="312">
        <f t="shared" si="44"/>
        <v>0</v>
      </c>
      <c r="U246" s="57">
        <f t="shared" si="45"/>
        <v>0</v>
      </c>
      <c r="V246" s="623">
        <f t="shared" si="49"/>
        <v>0</v>
      </c>
      <c r="W246" s="624"/>
      <c r="AA246" s="319" t="e">
        <f>VLOOKUP(B246,'[19]ACTA PARCIAL OBRA'!$B$122:$X$536,20,0)</f>
        <v>#N/A</v>
      </c>
      <c r="AB246" s="319" t="e">
        <f t="shared" si="31"/>
        <v>#N/A</v>
      </c>
      <c r="AC246" s="319">
        <v>0</v>
      </c>
      <c r="AD246" s="514">
        <f t="shared" si="36"/>
        <v>0</v>
      </c>
      <c r="AE246" s="556" t="str">
        <f t="shared" si="35"/>
        <v>NP-8</v>
      </c>
      <c r="AF246" s="557" t="str">
        <f t="shared" si="34"/>
        <v>REPARACION DE SUPERFICIE CON RECONSTRUCCION DE FILOS(INCLUYE ESCARIFICACION ,APLICACIÓN DE MEZCLA:INVERCRYL-ESTUCO-PEGACOR-YESO Y DISPOSICION DE MATERIAL</v>
      </c>
      <c r="AG246" s="568"/>
      <c r="AH246" s="568"/>
      <c r="AI246" s="568"/>
      <c r="AJ246" s="568"/>
      <c r="AK246" s="568"/>
      <c r="AL246" s="568"/>
      <c r="AM246" s="568"/>
    </row>
    <row r="247" spans="2:39" ht="15" customHeight="1">
      <c r="B247" s="495" t="s">
        <v>452</v>
      </c>
      <c r="C247" s="710" t="s">
        <v>453</v>
      </c>
      <c r="D247" s="711">
        <v>6</v>
      </c>
      <c r="E247" s="711">
        <v>6</v>
      </c>
      <c r="F247" s="711">
        <v>6</v>
      </c>
      <c r="G247" s="711">
        <v>6</v>
      </c>
      <c r="H247" s="711">
        <v>6</v>
      </c>
      <c r="I247" s="500" t="s">
        <v>116</v>
      </c>
      <c r="J247" s="499">
        <v>2076.79</v>
      </c>
      <c r="K247" s="497">
        <v>18311</v>
      </c>
      <c r="L247" s="482">
        <f>+ROUND(J247*K247,0)</f>
        <v>38028102</v>
      </c>
      <c r="M247" s="177"/>
      <c r="N247" s="313"/>
      <c r="O247" s="57">
        <f t="shared" si="47"/>
        <v>0</v>
      </c>
      <c r="P247" s="93"/>
      <c r="Q247" s="313"/>
      <c r="R247" s="57">
        <f t="shared" si="48"/>
        <v>0</v>
      </c>
      <c r="S247" s="107"/>
      <c r="T247" s="312">
        <f t="shared" si="44"/>
        <v>0</v>
      </c>
      <c r="U247" s="57">
        <f t="shared" si="45"/>
        <v>0</v>
      </c>
      <c r="V247" s="623">
        <f t="shared" si="49"/>
        <v>0</v>
      </c>
      <c r="W247" s="624"/>
      <c r="AA247" s="319" t="e">
        <f>VLOOKUP(B247,'[19]ACTA PARCIAL OBRA'!$B$122:$X$536,20,0)</f>
        <v>#N/A</v>
      </c>
      <c r="AB247" s="319" t="e">
        <f t="shared" si="31"/>
        <v>#N/A</v>
      </c>
      <c r="AC247" s="319">
        <v>918680</v>
      </c>
      <c r="AD247" s="514">
        <f t="shared" si="36"/>
        <v>-918680</v>
      </c>
      <c r="AE247" s="556" t="str">
        <f t="shared" si="35"/>
        <v>NP-9</v>
      </c>
      <c r="AF247" s="557" t="str">
        <f t="shared" si="34"/>
        <v>GRANIPLAST FACHADAS</v>
      </c>
      <c r="AG247" s="568"/>
      <c r="AH247" s="568"/>
      <c r="AI247" s="568"/>
      <c r="AJ247" s="568"/>
      <c r="AK247" s="568"/>
      <c r="AL247" s="568"/>
      <c r="AM247" s="568"/>
    </row>
    <row r="248" spans="2:39" ht="15" customHeight="1">
      <c r="B248" s="321"/>
      <c r="C248" s="736"/>
      <c r="D248" s="737"/>
      <c r="E248" s="737"/>
      <c r="F248" s="737"/>
      <c r="G248" s="737"/>
      <c r="H248" s="738"/>
      <c r="I248" s="508"/>
      <c r="J248" s="509"/>
      <c r="K248" s="510"/>
      <c r="L248" s="104"/>
      <c r="M248" s="177"/>
      <c r="N248" s="119"/>
      <c r="O248" s="57">
        <f t="shared" si="47"/>
        <v>0</v>
      </c>
      <c r="P248" s="93"/>
      <c r="Q248" s="313"/>
      <c r="R248" s="57">
        <f t="shared" si="48"/>
        <v>0</v>
      </c>
      <c r="S248" s="107"/>
      <c r="T248" s="312">
        <f t="shared" si="44"/>
        <v>0</v>
      </c>
      <c r="U248" s="57">
        <f t="shared" si="45"/>
        <v>0</v>
      </c>
      <c r="V248" s="623">
        <f t="shared" si="49"/>
        <v>0</v>
      </c>
      <c r="W248" s="624"/>
      <c r="AA248" s="319">
        <f>VLOOKUP(B248,'[19]ACTA PARCIAL OBRA'!$B$122:$X$536,20,0)</f>
        <v>0</v>
      </c>
      <c r="AB248" s="319">
        <f t="shared" si="31"/>
        <v>0</v>
      </c>
      <c r="AC248" s="319">
        <v>361944</v>
      </c>
      <c r="AD248" s="514">
        <f t="shared" si="36"/>
        <v>-361944</v>
      </c>
      <c r="AE248" s="556">
        <f t="shared" si="35"/>
        <v>0</v>
      </c>
      <c r="AF248" s="557">
        <f t="shared" si="34"/>
        <v>0</v>
      </c>
      <c r="AG248" s="568"/>
      <c r="AH248" s="568"/>
      <c r="AI248" s="568"/>
      <c r="AJ248" s="568"/>
      <c r="AK248" s="568"/>
      <c r="AL248" s="568"/>
      <c r="AM248" s="568"/>
    </row>
    <row r="249" spans="2:39" ht="15" customHeight="1">
      <c r="B249" s="321"/>
      <c r="C249" s="736"/>
      <c r="D249" s="737"/>
      <c r="E249" s="737"/>
      <c r="F249" s="737"/>
      <c r="G249" s="737"/>
      <c r="H249" s="738"/>
      <c r="I249" s="508"/>
      <c r="J249" s="509"/>
      <c r="K249" s="510"/>
      <c r="L249" s="104"/>
      <c r="M249" s="177"/>
      <c r="N249" s="124"/>
      <c r="O249" s="57">
        <f t="shared" si="47"/>
        <v>0</v>
      </c>
      <c r="P249" s="93"/>
      <c r="Q249" s="110"/>
      <c r="R249" s="57">
        <f t="shared" si="48"/>
        <v>0</v>
      </c>
      <c r="S249" s="107"/>
      <c r="T249" s="312">
        <f t="shared" si="44"/>
        <v>0</v>
      </c>
      <c r="U249" s="57">
        <f t="shared" si="45"/>
        <v>0</v>
      </c>
      <c r="V249" s="623">
        <f t="shared" si="49"/>
        <v>0</v>
      </c>
      <c r="W249" s="624"/>
      <c r="AA249" s="319">
        <f>VLOOKUP(B249,'[19]ACTA PARCIAL OBRA'!$B$122:$X$536,20,0)</f>
        <v>0</v>
      </c>
      <c r="AB249" s="319">
        <f t="shared" si="31"/>
        <v>0</v>
      </c>
      <c r="AC249" s="319">
        <v>0</v>
      </c>
      <c r="AD249" s="514">
        <f t="shared" si="36"/>
        <v>0</v>
      </c>
      <c r="AE249" s="556">
        <f t="shared" si="35"/>
        <v>0</v>
      </c>
      <c r="AF249" s="557">
        <f t="shared" si="34"/>
        <v>0</v>
      </c>
      <c r="AG249" s="568"/>
      <c r="AH249" s="568"/>
      <c r="AI249" s="568"/>
      <c r="AJ249" s="568"/>
      <c r="AK249" s="568"/>
      <c r="AL249" s="568"/>
      <c r="AM249" s="568"/>
    </row>
    <row r="250" spans="2:39" ht="15" customHeight="1">
      <c r="B250" s="323"/>
      <c r="C250" s="736"/>
      <c r="D250" s="737"/>
      <c r="E250" s="737"/>
      <c r="F250" s="737"/>
      <c r="G250" s="737"/>
      <c r="H250" s="738"/>
      <c r="I250" s="511"/>
      <c r="J250" s="512"/>
      <c r="K250" s="513"/>
      <c r="L250" s="104"/>
      <c r="M250" s="177"/>
      <c r="N250" s="124"/>
      <c r="O250" s="57">
        <f t="shared" si="47"/>
        <v>0</v>
      </c>
      <c r="P250" s="93"/>
      <c r="Q250" s="110"/>
      <c r="R250" s="57">
        <f t="shared" si="48"/>
        <v>0</v>
      </c>
      <c r="S250" s="107"/>
      <c r="T250" s="312">
        <f t="shared" si="44"/>
        <v>0</v>
      </c>
      <c r="U250" s="57">
        <f t="shared" si="45"/>
        <v>0</v>
      </c>
      <c r="V250" s="623">
        <f t="shared" si="49"/>
        <v>0</v>
      </c>
      <c r="W250" s="624"/>
      <c r="AA250" s="319">
        <f>VLOOKUP(B250,'[19]ACTA PARCIAL OBRA'!$B$122:$X$536,20,0)</f>
        <v>0</v>
      </c>
      <c r="AB250" s="319">
        <f t="shared" si="31"/>
        <v>0</v>
      </c>
      <c r="AC250" s="319">
        <v>0</v>
      </c>
      <c r="AD250" s="514">
        <f t="shared" si="36"/>
        <v>0</v>
      </c>
      <c r="AE250" s="556">
        <f t="shared" si="35"/>
        <v>0</v>
      </c>
      <c r="AF250" s="557">
        <f t="shared" si="34"/>
        <v>0</v>
      </c>
      <c r="AG250" s="568"/>
      <c r="AH250" s="568"/>
      <c r="AI250" s="568"/>
      <c r="AJ250" s="568"/>
      <c r="AK250" s="568"/>
      <c r="AL250" s="568"/>
      <c r="AM250" s="568"/>
    </row>
    <row r="251" spans="2:39" ht="15" customHeight="1">
      <c r="B251" s="325"/>
      <c r="C251" s="270"/>
      <c r="D251" s="270"/>
      <c r="E251" s="270"/>
      <c r="F251" s="270"/>
      <c r="G251" s="270"/>
      <c r="H251" s="270"/>
      <c r="I251" s="160"/>
      <c r="J251" s="161"/>
      <c r="K251" s="162"/>
      <c r="L251" s="159"/>
      <c r="M251" s="158"/>
      <c r="N251" s="163"/>
      <c r="O251" s="158"/>
      <c r="P251" s="93"/>
      <c r="Q251" s="158"/>
      <c r="R251" s="57">
        <f>+ROUND((ROUNDDOWN(Q251,2))*K251,2)</f>
        <v>0</v>
      </c>
      <c r="S251" s="158"/>
      <c r="T251" s="158"/>
      <c r="U251" s="158"/>
      <c r="V251" s="180"/>
      <c r="W251" s="180"/>
      <c r="AA251" s="319">
        <f>VLOOKUP(B251,'[19]ACTA PARCIAL OBRA'!$B$122:$X$536,20,0)</f>
        <v>0</v>
      </c>
      <c r="AB251" s="319">
        <f t="shared" si="31"/>
        <v>0</v>
      </c>
      <c r="AC251" s="319">
        <v>0</v>
      </c>
      <c r="AD251" s="514">
        <f t="shared" si="36"/>
        <v>0</v>
      </c>
      <c r="AE251" s="556">
        <f t="shared" si="35"/>
        <v>0</v>
      </c>
      <c r="AF251" s="557">
        <f t="shared" si="34"/>
        <v>0</v>
      </c>
      <c r="AG251" s="568"/>
      <c r="AH251" s="568"/>
      <c r="AI251" s="568"/>
      <c r="AJ251" s="568"/>
      <c r="AK251" s="568"/>
      <c r="AL251" s="568"/>
      <c r="AM251" s="568"/>
    </row>
    <row r="252" spans="2:39" ht="15" customHeight="1">
      <c r="B252" s="326"/>
      <c r="C252" s="181"/>
      <c r="D252" s="181"/>
      <c r="E252" s="181"/>
      <c r="F252" s="181"/>
      <c r="G252" s="181"/>
      <c r="H252" s="181"/>
      <c r="I252" s="154"/>
      <c r="J252" s="155"/>
      <c r="K252" s="182"/>
      <c r="L252" s="157">
        <f>SUM(L240:L250)</f>
        <v>221613949</v>
      </c>
      <c r="M252" s="158"/>
      <c r="N252" s="183"/>
      <c r="O252" s="157">
        <f>SUM(O240:O250)</f>
        <v>0</v>
      </c>
      <c r="P252" s="158"/>
      <c r="Q252" s="184"/>
      <c r="R252" s="157">
        <f>SUM(R240:R250)</f>
        <v>145180.67000000001</v>
      </c>
      <c r="S252" s="158"/>
      <c r="T252" s="152"/>
      <c r="U252" s="157">
        <f>SUM(U240:U250)</f>
        <v>145180.67000000001</v>
      </c>
      <c r="V252" s="734"/>
      <c r="W252" s="735"/>
      <c r="AA252" s="319">
        <f>VLOOKUP(B252,'[19]ACTA PARCIAL OBRA'!$B$122:$X$536,20,0)</f>
        <v>0</v>
      </c>
      <c r="AB252" s="319">
        <f t="shared" si="31"/>
        <v>-145180.67000000001</v>
      </c>
      <c r="AC252" s="319">
        <v>0</v>
      </c>
      <c r="AD252" s="514">
        <f t="shared" si="36"/>
        <v>145180.67000000001</v>
      </c>
      <c r="AE252" s="556">
        <f t="shared" si="35"/>
        <v>0</v>
      </c>
      <c r="AF252" s="557">
        <f t="shared" si="34"/>
        <v>0</v>
      </c>
      <c r="AG252" s="568"/>
      <c r="AH252" s="568"/>
      <c r="AI252" s="568"/>
      <c r="AJ252" s="568"/>
      <c r="AK252" s="568"/>
      <c r="AL252" s="568"/>
      <c r="AM252" s="568"/>
    </row>
    <row r="253" spans="2:39" ht="15" customHeight="1">
      <c r="B253" s="158"/>
      <c r="C253" s="159"/>
      <c r="D253" s="159"/>
      <c r="E253" s="159"/>
      <c r="F253" s="159"/>
      <c r="G253" s="159"/>
      <c r="H253" s="159"/>
      <c r="I253" s="160"/>
      <c r="J253" s="161"/>
      <c r="K253" s="162"/>
      <c r="L253" s="66"/>
      <c r="M253" s="158"/>
      <c r="N253" s="163"/>
      <c r="O253" s="66"/>
      <c r="P253" s="158"/>
      <c r="Q253" s="158"/>
      <c r="R253" s="66"/>
      <c r="S253" s="158"/>
      <c r="T253" s="66"/>
      <c r="U253" s="66"/>
      <c r="V253" s="164"/>
      <c r="W253" s="164"/>
      <c r="AA253" s="319">
        <f>VLOOKUP(B253,'[19]ACTA PARCIAL OBRA'!$B$122:$X$536,20,0)</f>
        <v>0</v>
      </c>
      <c r="AB253" s="319">
        <f t="shared" si="31"/>
        <v>0</v>
      </c>
      <c r="AC253" s="319">
        <v>0</v>
      </c>
      <c r="AD253" s="514">
        <f t="shared" si="36"/>
        <v>0</v>
      </c>
      <c r="AE253" s="556">
        <f t="shared" si="35"/>
        <v>0</v>
      </c>
      <c r="AF253" s="557">
        <f t="shared" si="34"/>
        <v>0</v>
      </c>
      <c r="AG253" s="568"/>
      <c r="AH253" s="568"/>
      <c r="AI253" s="568"/>
      <c r="AJ253" s="568"/>
      <c r="AK253" s="568"/>
      <c r="AL253" s="568"/>
      <c r="AM253" s="568"/>
    </row>
    <row r="254" spans="2:39" ht="15" customHeight="1">
      <c r="B254" s="327"/>
      <c r="C254" s="185"/>
      <c r="D254" s="185"/>
      <c r="E254" s="185"/>
      <c r="F254" s="185"/>
      <c r="G254" s="185"/>
      <c r="H254" s="185"/>
      <c r="I254" s="72"/>
      <c r="J254" s="73"/>
      <c r="K254" s="186"/>
      <c r="L254" s="75"/>
      <c r="M254" s="71"/>
      <c r="N254" s="75"/>
      <c r="O254" s="75"/>
      <c r="P254" s="71"/>
      <c r="Q254" s="71"/>
      <c r="R254" s="75"/>
      <c r="S254" s="71"/>
      <c r="T254" s="71"/>
      <c r="U254" s="75"/>
      <c r="V254" s="187"/>
      <c r="W254" s="188"/>
      <c r="AA254" s="319">
        <f>VLOOKUP(B254,'[19]ACTA PARCIAL OBRA'!$B$122:$X$536,20,0)</f>
        <v>0</v>
      </c>
      <c r="AB254" s="319">
        <f t="shared" si="31"/>
        <v>0</v>
      </c>
      <c r="AC254" s="319">
        <v>0</v>
      </c>
      <c r="AD254" s="514">
        <f t="shared" si="36"/>
        <v>0</v>
      </c>
      <c r="AE254" s="556">
        <f t="shared" si="35"/>
        <v>0</v>
      </c>
      <c r="AF254" s="557">
        <f t="shared" si="34"/>
        <v>0</v>
      </c>
      <c r="AG254" s="568"/>
      <c r="AH254" s="568"/>
      <c r="AI254" s="568"/>
      <c r="AJ254" s="568"/>
      <c r="AK254" s="568"/>
      <c r="AL254" s="568"/>
      <c r="AM254" s="568"/>
    </row>
    <row r="255" spans="2:39" ht="15" customHeight="1">
      <c r="B255" s="60"/>
      <c r="C255" s="165"/>
      <c r="D255" s="165"/>
      <c r="E255" s="165"/>
      <c r="F255" s="165"/>
      <c r="G255" s="165"/>
      <c r="H255" s="165"/>
      <c r="I255" s="77"/>
      <c r="J255" s="78"/>
      <c r="K255" s="166"/>
      <c r="L255" s="165"/>
      <c r="M255" s="60"/>
      <c r="N255" s="163"/>
      <c r="O255" s="60"/>
      <c r="P255" s="60"/>
      <c r="Q255" s="60"/>
      <c r="R255" s="60"/>
      <c r="S255" s="60"/>
      <c r="T255" s="60"/>
      <c r="U255" s="60"/>
      <c r="V255" s="167"/>
      <c r="W255" s="167"/>
      <c r="AA255" s="319">
        <f>VLOOKUP(B255,'[19]ACTA PARCIAL OBRA'!$B$122:$X$536,20,0)</f>
        <v>0</v>
      </c>
      <c r="AB255" s="319">
        <f t="shared" si="31"/>
        <v>0</v>
      </c>
      <c r="AC255" s="319">
        <v>0</v>
      </c>
      <c r="AD255" s="514">
        <f t="shared" si="36"/>
        <v>0</v>
      </c>
      <c r="AE255" s="556">
        <f t="shared" si="35"/>
        <v>0</v>
      </c>
      <c r="AF255" s="557">
        <f t="shared" si="34"/>
        <v>0</v>
      </c>
      <c r="AG255" s="568"/>
      <c r="AH255" s="568"/>
      <c r="AI255" s="568"/>
      <c r="AJ255" s="568"/>
      <c r="AK255" s="568"/>
      <c r="AL255" s="568"/>
      <c r="AM255" s="568"/>
    </row>
    <row r="256" spans="2:39" ht="18.95" customHeight="1">
      <c r="B256" s="721" t="s">
        <v>454</v>
      </c>
      <c r="C256" s="722"/>
      <c r="D256" s="722"/>
      <c r="E256" s="722"/>
      <c r="F256" s="722"/>
      <c r="G256" s="722"/>
      <c r="H256" s="722"/>
      <c r="I256" s="722"/>
      <c r="J256" s="722"/>
      <c r="K256" s="722"/>
      <c r="L256" s="723"/>
      <c r="M256" s="60"/>
      <c r="N256" s="721" t="s">
        <v>455</v>
      </c>
      <c r="O256" s="722"/>
      <c r="P256" s="722"/>
      <c r="Q256" s="722"/>
      <c r="R256" s="722"/>
      <c r="S256" s="722"/>
      <c r="T256" s="722"/>
      <c r="U256" s="722"/>
      <c r="V256" s="722"/>
      <c r="W256" s="723"/>
      <c r="Y256" s="274">
        <f>+R256+O256</f>
        <v>0</v>
      </c>
      <c r="Z256" s="274">
        <f>+U256-Y256</f>
        <v>0</v>
      </c>
      <c r="AA256" s="319" t="e">
        <f>VLOOKUP(B256,'[19]ACTA PARCIAL OBRA'!$B$122:$X$536,20,0)</f>
        <v>#REF!</v>
      </c>
      <c r="AB256" s="319" t="e">
        <f t="shared" si="31"/>
        <v>#REF!</v>
      </c>
      <c r="AC256" s="319">
        <v>5933495.1200000001</v>
      </c>
      <c r="AD256" s="514">
        <f t="shared" si="36"/>
        <v>-5933495.1200000001</v>
      </c>
      <c r="AE256" s="559" t="str">
        <f t="shared" si="35"/>
        <v xml:space="preserve">MAYORES CANTIDADES </v>
      </c>
      <c r="AF256" s="560">
        <f t="shared" si="34"/>
        <v>0</v>
      </c>
      <c r="AG256" s="558"/>
      <c r="AH256" s="558"/>
      <c r="AI256" s="558"/>
      <c r="AJ256" s="558"/>
      <c r="AK256" s="558"/>
      <c r="AL256" s="568"/>
      <c r="AM256" s="568"/>
    </row>
    <row r="257" spans="2:39" ht="15" customHeight="1">
      <c r="B257" s="60"/>
      <c r="C257" s="165"/>
      <c r="D257" s="165"/>
      <c r="E257" s="165"/>
      <c r="F257" s="165"/>
      <c r="G257" s="165"/>
      <c r="H257" s="165"/>
      <c r="I257" s="77"/>
      <c r="J257" s="78"/>
      <c r="K257" s="166"/>
      <c r="L257" s="165"/>
      <c r="M257" s="60"/>
      <c r="N257" s="274"/>
      <c r="O257" s="60"/>
      <c r="P257" s="60"/>
      <c r="Q257" s="60"/>
      <c r="R257" s="60"/>
      <c r="S257" s="60"/>
      <c r="T257" s="60"/>
      <c r="U257" s="60"/>
      <c r="V257" s="167"/>
      <c r="W257" s="167"/>
      <c r="Y257" s="274">
        <f>+R257+O257</f>
        <v>0</v>
      </c>
      <c r="Z257" s="274">
        <f>+U257-Y257</f>
        <v>0</v>
      </c>
      <c r="AA257" s="319">
        <f>VLOOKUP(B257,'[19]ACTA PARCIAL OBRA'!$B$122:$X$536,20,0)</f>
        <v>0</v>
      </c>
      <c r="AB257" s="319">
        <f t="shared" si="31"/>
        <v>0</v>
      </c>
      <c r="AC257" s="319">
        <v>5933495.1200000001</v>
      </c>
      <c r="AD257" s="514">
        <f t="shared" si="36"/>
        <v>-5933495.1200000001</v>
      </c>
      <c r="AE257" s="559">
        <f t="shared" si="35"/>
        <v>0</v>
      </c>
      <c r="AF257" s="560">
        <f t="shared" si="34"/>
        <v>0</v>
      </c>
      <c r="AG257" s="558"/>
      <c r="AH257" s="558"/>
      <c r="AI257" s="558"/>
      <c r="AJ257" s="558"/>
      <c r="AK257" s="558"/>
      <c r="AL257" s="568"/>
      <c r="AM257" s="568"/>
    </row>
    <row r="258" spans="2:39" ht="15" customHeight="1">
      <c r="B258" s="168" t="s">
        <v>96</v>
      </c>
      <c r="C258" s="169" t="s">
        <v>97</v>
      </c>
      <c r="D258" s="170"/>
      <c r="E258" s="170"/>
      <c r="F258" s="170"/>
      <c r="G258" s="170"/>
      <c r="H258" s="171"/>
      <c r="I258" s="172" t="s">
        <v>98</v>
      </c>
      <c r="J258" s="320" t="s">
        <v>99</v>
      </c>
      <c r="K258" s="173" t="s">
        <v>100</v>
      </c>
      <c r="L258" s="174" t="s">
        <v>101</v>
      </c>
      <c r="M258" s="60"/>
      <c r="N258" s="94" t="s">
        <v>102</v>
      </c>
      <c r="O258" s="95"/>
      <c r="P258" s="93"/>
      <c r="Q258" s="96" t="s">
        <v>103</v>
      </c>
      <c r="R258" s="97"/>
      <c r="S258" s="86"/>
      <c r="T258" s="97" t="s">
        <v>104</v>
      </c>
      <c r="U258" s="97"/>
      <c r="V258" s="97"/>
      <c r="W258" s="95"/>
      <c r="Y258" s="274">
        <f>+R258+O258</f>
        <v>0</v>
      </c>
      <c r="Z258" s="274">
        <f>+U258-Y258</f>
        <v>0</v>
      </c>
      <c r="AA258" s="319" t="e">
        <f>VLOOKUP(B258,'[19]ACTA PARCIAL OBRA'!$B$122:$X$536,20,0)</f>
        <v>#REF!</v>
      </c>
      <c r="AB258" s="319" t="e">
        <f t="shared" si="31"/>
        <v>#REF!</v>
      </c>
      <c r="AC258" s="319">
        <v>0</v>
      </c>
      <c r="AD258" s="514">
        <f t="shared" si="36"/>
        <v>0</v>
      </c>
      <c r="AE258" s="556" t="str">
        <f t="shared" si="35"/>
        <v>ITEM</v>
      </c>
      <c r="AF258" s="557" t="str">
        <f t="shared" si="34"/>
        <v>DESCRIPCION</v>
      </c>
      <c r="AG258" s="568"/>
      <c r="AH258" s="568"/>
      <c r="AI258" s="568"/>
      <c r="AJ258" s="568"/>
      <c r="AK258" s="568"/>
      <c r="AL258" s="568"/>
      <c r="AM258" s="568"/>
    </row>
    <row r="259" spans="2:39" ht="15" customHeight="1">
      <c r="B259" s="108" t="s">
        <v>456</v>
      </c>
      <c r="C259" s="602" t="s">
        <v>157</v>
      </c>
      <c r="D259" s="603"/>
      <c r="E259" s="603"/>
      <c r="F259" s="603"/>
      <c r="G259" s="603"/>
      <c r="H259" s="604"/>
      <c r="I259" s="109" t="s">
        <v>158</v>
      </c>
      <c r="J259" s="117">
        <v>0.25</v>
      </c>
      <c r="K259" s="483">
        <v>27097</v>
      </c>
      <c r="L259" s="104">
        <f t="shared" ref="L259:L260" si="51">+ROUND(J259*K259,0)</f>
        <v>6774</v>
      </c>
      <c r="M259" s="60"/>
      <c r="N259" s="105"/>
      <c r="O259" s="57">
        <f t="shared" ref="O259:O264" si="52">+ROUND((ROUNDDOWN(N259,2))*K259,2)</f>
        <v>0</v>
      </c>
      <c r="P259" s="93"/>
      <c r="Q259" s="312">
        <v>0.25</v>
      </c>
      <c r="R259" s="57">
        <v>6774.25</v>
      </c>
      <c r="S259" s="107"/>
      <c r="T259" s="312">
        <f t="shared" ref="T259:T264" si="53">+N259+Q259</f>
        <v>0.25</v>
      </c>
      <c r="U259" s="57">
        <f t="shared" ref="U259:U264" si="54">+ROUND((ROUNDDOWN(T259,2))*K259,2)</f>
        <v>6774.25</v>
      </c>
      <c r="V259" s="623">
        <f t="shared" ref="V259:V264" si="55">IF(L259=0,0)+IF(L259&gt;0,U259/L259)</f>
        <v>1.0000369058163567</v>
      </c>
      <c r="W259" s="624"/>
      <c r="Y259" s="274">
        <f>+R259+O259</f>
        <v>6774.25</v>
      </c>
      <c r="Z259" s="274">
        <f>+U259-Y259</f>
        <v>0</v>
      </c>
      <c r="AA259" s="319" t="e">
        <f>VLOOKUP(B259,'[19]ACTA PARCIAL OBRA'!$B$122:$X$536,20,0)</f>
        <v>#N/A</v>
      </c>
      <c r="AB259" s="319" t="e">
        <f t="shared" si="31"/>
        <v>#N/A</v>
      </c>
      <c r="AC259" s="319">
        <v>0</v>
      </c>
      <c r="AD259" s="514">
        <f t="shared" si="36"/>
        <v>6774.25</v>
      </c>
      <c r="AE259" s="556" t="str">
        <f t="shared" si="35"/>
        <v>1.3.7</v>
      </c>
      <c r="AF259" s="557" t="str">
        <f t="shared" si="34"/>
        <v>DEMOLICIÓN DE ORINAL O LAVAMANOS CORRIDO (INC. RETIRO DE SOBR.)</v>
      </c>
      <c r="AG259" s="568"/>
      <c r="AH259" s="568"/>
      <c r="AI259" s="568"/>
      <c r="AJ259" s="568"/>
      <c r="AK259" s="568"/>
      <c r="AL259" s="568"/>
      <c r="AM259" s="568"/>
    </row>
    <row r="260" spans="2:39" ht="15" customHeight="1">
      <c r="B260" s="108" t="s">
        <v>457</v>
      </c>
      <c r="C260" s="602" t="s">
        <v>162</v>
      </c>
      <c r="D260" s="603"/>
      <c r="E260" s="603"/>
      <c r="F260" s="603"/>
      <c r="G260" s="603"/>
      <c r="H260" s="604"/>
      <c r="I260" s="109" t="s">
        <v>116</v>
      </c>
      <c r="J260" s="117">
        <v>255.67</v>
      </c>
      <c r="K260" s="483">
        <v>9097</v>
      </c>
      <c r="L260" s="104">
        <f t="shared" si="51"/>
        <v>2325830</v>
      </c>
      <c r="M260" s="60"/>
      <c r="N260" s="105"/>
      <c r="O260" s="57">
        <f t="shared" si="52"/>
        <v>0</v>
      </c>
      <c r="P260" s="93"/>
      <c r="Q260" s="312">
        <v>255.67</v>
      </c>
      <c r="R260" s="57">
        <v>2325829.9900000002</v>
      </c>
      <c r="S260" s="107"/>
      <c r="T260" s="312">
        <f t="shared" si="53"/>
        <v>255.67</v>
      </c>
      <c r="U260" s="57">
        <f t="shared" si="54"/>
        <v>2325829.9900000002</v>
      </c>
      <c r="V260" s="623">
        <f t="shared" ref="V260" si="56">IF(L260=0,0)+IF(L260&gt;0,U260/L260)</f>
        <v>0.99999999570045972</v>
      </c>
      <c r="W260" s="624"/>
      <c r="AA260" s="319" t="e">
        <f>VLOOKUP(B260,'[19]ACTA PARCIAL OBRA'!$B$122:$X$536,20,0)</f>
        <v>#N/A</v>
      </c>
      <c r="AB260" s="319" t="e">
        <f t="shared" si="31"/>
        <v>#N/A</v>
      </c>
      <c r="AC260" s="319">
        <v>0</v>
      </c>
      <c r="AD260" s="514">
        <f t="shared" si="36"/>
        <v>2325829.9900000002</v>
      </c>
      <c r="AE260" s="556" t="str">
        <f t="shared" si="35"/>
        <v>1.3.12</v>
      </c>
      <c r="AF260" s="557" t="str">
        <f t="shared" si="34"/>
        <v>DEMOLICION PAÑETES (INC. RETIRO DE SOBR.)</v>
      </c>
      <c r="AG260" s="568"/>
      <c r="AH260" s="568"/>
      <c r="AI260" s="568"/>
      <c r="AJ260" s="568"/>
      <c r="AK260" s="568"/>
      <c r="AL260" s="568"/>
      <c r="AM260" s="568"/>
    </row>
    <row r="261" spans="2:39" ht="15" customHeight="1">
      <c r="B261" s="108" t="s">
        <v>458</v>
      </c>
      <c r="C261" s="602" t="s">
        <v>167</v>
      </c>
      <c r="D261" s="603"/>
      <c r="E261" s="603"/>
      <c r="F261" s="603"/>
      <c r="G261" s="603"/>
      <c r="H261" s="604"/>
      <c r="I261" s="109" t="s">
        <v>168</v>
      </c>
      <c r="J261" s="117">
        <v>211</v>
      </c>
      <c r="K261" s="483">
        <v>37766</v>
      </c>
      <c r="L261" s="104">
        <f>+ROUND(J261*K261,0)</f>
        <v>7968626</v>
      </c>
      <c r="M261" s="177"/>
      <c r="N261" s="328"/>
      <c r="O261" s="57">
        <f t="shared" si="52"/>
        <v>0</v>
      </c>
      <c r="P261" s="93"/>
      <c r="Q261" s="313">
        <v>211</v>
      </c>
      <c r="R261" s="57">
        <v>7968626</v>
      </c>
      <c r="S261" s="107"/>
      <c r="T261" s="312">
        <f t="shared" si="53"/>
        <v>211</v>
      </c>
      <c r="U261" s="57">
        <f t="shared" si="54"/>
        <v>7968626</v>
      </c>
      <c r="V261" s="623">
        <f t="shared" si="55"/>
        <v>1</v>
      </c>
      <c r="W261" s="624"/>
      <c r="AA261" s="319" t="e">
        <f>VLOOKUP(B261,'[19]ACTA PARCIAL OBRA'!$B$122:$X$536,20,0)</f>
        <v>#N/A</v>
      </c>
      <c r="AB261" s="319" t="e">
        <f t="shared" si="31"/>
        <v>#N/A</v>
      </c>
      <c r="AC261" s="319">
        <v>0</v>
      </c>
      <c r="AD261" s="514">
        <f t="shared" si="36"/>
        <v>7968626</v>
      </c>
      <c r="AE261" s="556" t="str">
        <f t="shared" si="35"/>
        <v>1.4.2</v>
      </c>
      <c r="AF261" s="557" t="str">
        <f t="shared" si="34"/>
        <v>RETIRO DE SOBRANTES CARGUE TRANSPORTE Y DISPOSICION FINAL DE ESCOMBROS A SITIO AUTORIZADO</v>
      </c>
      <c r="AG261" s="568"/>
      <c r="AH261" s="568"/>
      <c r="AI261" s="568"/>
      <c r="AJ261" s="568"/>
      <c r="AK261" s="568"/>
      <c r="AL261" s="568"/>
      <c r="AM261" s="568"/>
    </row>
    <row r="262" spans="2:39" ht="15" customHeight="1">
      <c r="B262" s="321"/>
      <c r="C262" s="736"/>
      <c r="D262" s="737"/>
      <c r="E262" s="737"/>
      <c r="F262" s="737"/>
      <c r="G262" s="737"/>
      <c r="H262" s="738"/>
      <c r="I262" s="175"/>
      <c r="J262" s="322"/>
      <c r="K262" s="176"/>
      <c r="L262" s="104"/>
      <c r="M262" s="177"/>
      <c r="N262" s="313"/>
      <c r="O262" s="57">
        <f t="shared" si="52"/>
        <v>0</v>
      </c>
      <c r="P262" s="93"/>
      <c r="Q262" s="110"/>
      <c r="R262" s="57">
        <f t="shared" ref="R262:R264" si="57">Q262*K262</f>
        <v>0</v>
      </c>
      <c r="S262" s="107"/>
      <c r="T262" s="312">
        <f t="shared" si="53"/>
        <v>0</v>
      </c>
      <c r="U262" s="57">
        <f t="shared" si="54"/>
        <v>0</v>
      </c>
      <c r="V262" s="623">
        <f t="shared" si="55"/>
        <v>0</v>
      </c>
      <c r="W262" s="624"/>
      <c r="AA262" s="319">
        <f>VLOOKUP(B262,'[19]ACTA PARCIAL OBRA'!$B$122:$X$536,20,0)</f>
        <v>0</v>
      </c>
      <c r="AB262" s="319">
        <f t="shared" si="31"/>
        <v>0</v>
      </c>
      <c r="AC262" s="319">
        <v>0</v>
      </c>
      <c r="AD262" s="514">
        <f t="shared" si="36"/>
        <v>0</v>
      </c>
      <c r="AE262" s="556">
        <f t="shared" si="35"/>
        <v>0</v>
      </c>
      <c r="AF262" s="557">
        <f t="shared" si="34"/>
        <v>0</v>
      </c>
      <c r="AG262" s="568"/>
      <c r="AH262" s="568"/>
      <c r="AI262" s="568"/>
      <c r="AJ262" s="568"/>
      <c r="AK262" s="568"/>
      <c r="AL262" s="568"/>
      <c r="AM262" s="568"/>
    </row>
    <row r="263" spans="2:39" ht="15" customHeight="1">
      <c r="B263" s="321"/>
      <c r="C263" s="736"/>
      <c r="D263" s="737"/>
      <c r="E263" s="737"/>
      <c r="F263" s="737"/>
      <c r="G263" s="737"/>
      <c r="H263" s="738"/>
      <c r="I263" s="175"/>
      <c r="J263" s="322"/>
      <c r="K263" s="176"/>
      <c r="L263" s="104"/>
      <c r="M263" s="177"/>
      <c r="N263" s="124"/>
      <c r="O263" s="57">
        <f t="shared" si="52"/>
        <v>0</v>
      </c>
      <c r="P263" s="93"/>
      <c r="Q263" s="110"/>
      <c r="R263" s="57">
        <f t="shared" si="57"/>
        <v>0</v>
      </c>
      <c r="S263" s="107"/>
      <c r="T263" s="312">
        <f t="shared" si="53"/>
        <v>0</v>
      </c>
      <c r="U263" s="57">
        <f t="shared" si="54"/>
        <v>0</v>
      </c>
      <c r="V263" s="623">
        <f t="shared" si="55"/>
        <v>0</v>
      </c>
      <c r="W263" s="624"/>
      <c r="AA263" s="319">
        <f>VLOOKUP(B263,'[19]ACTA PARCIAL OBRA'!$B$122:$X$536,20,0)</f>
        <v>0</v>
      </c>
      <c r="AB263" s="319">
        <f t="shared" si="31"/>
        <v>0</v>
      </c>
      <c r="AC263" s="319">
        <v>0</v>
      </c>
      <c r="AD263" s="514">
        <f t="shared" si="36"/>
        <v>0</v>
      </c>
      <c r="AE263" s="556">
        <f t="shared" si="35"/>
        <v>0</v>
      </c>
      <c r="AF263" s="557">
        <f t="shared" si="34"/>
        <v>0</v>
      </c>
      <c r="AG263" s="568"/>
      <c r="AH263" s="568"/>
      <c r="AI263" s="568"/>
      <c r="AJ263" s="568"/>
      <c r="AK263" s="568"/>
      <c r="AL263" s="568"/>
      <c r="AM263" s="568"/>
    </row>
    <row r="264" spans="2:39" ht="15" customHeight="1">
      <c r="B264" s="323"/>
      <c r="C264" s="736"/>
      <c r="D264" s="737"/>
      <c r="E264" s="737"/>
      <c r="F264" s="737"/>
      <c r="G264" s="737"/>
      <c r="H264" s="738"/>
      <c r="I264" s="178"/>
      <c r="J264" s="324"/>
      <c r="K264" s="179"/>
      <c r="L264" s="104"/>
      <c r="M264" s="177"/>
      <c r="N264" s="124"/>
      <c r="O264" s="57">
        <f t="shared" si="52"/>
        <v>0</v>
      </c>
      <c r="P264" s="93"/>
      <c r="Q264" s="110"/>
      <c r="R264" s="57">
        <f t="shared" si="57"/>
        <v>0</v>
      </c>
      <c r="S264" s="107"/>
      <c r="T264" s="312">
        <f t="shared" si="53"/>
        <v>0</v>
      </c>
      <c r="U264" s="57">
        <f t="shared" si="54"/>
        <v>0</v>
      </c>
      <c r="V264" s="623">
        <f t="shared" si="55"/>
        <v>0</v>
      </c>
      <c r="W264" s="624"/>
      <c r="AA264" s="319">
        <f>VLOOKUP(B264,'[19]ACTA PARCIAL OBRA'!$B$122:$X$536,20,0)</f>
        <v>0</v>
      </c>
      <c r="AB264" s="319">
        <f t="shared" ref="AB264:AB327" si="58">+AA264-R264</f>
        <v>0</v>
      </c>
      <c r="AC264" s="319">
        <v>0</v>
      </c>
      <c r="AD264" s="514">
        <f t="shared" si="36"/>
        <v>0</v>
      </c>
      <c r="AE264" s="556">
        <f t="shared" si="35"/>
        <v>0</v>
      </c>
      <c r="AF264" s="557">
        <f t="shared" si="34"/>
        <v>0</v>
      </c>
      <c r="AG264" s="568"/>
      <c r="AH264" s="568"/>
      <c r="AI264" s="568"/>
      <c r="AJ264" s="568"/>
      <c r="AK264" s="568"/>
      <c r="AL264" s="568"/>
      <c r="AM264" s="568"/>
    </row>
    <row r="265" spans="2:39" ht="12" customHeight="1">
      <c r="B265" s="325"/>
      <c r="C265" s="270"/>
      <c r="D265" s="270"/>
      <c r="E265" s="270"/>
      <c r="F265" s="270"/>
      <c r="G265" s="270"/>
      <c r="H265" s="270"/>
      <c r="I265" s="160"/>
      <c r="J265" s="161"/>
      <c r="K265" s="162"/>
      <c r="L265" s="159"/>
      <c r="M265" s="158"/>
      <c r="N265" s="163"/>
      <c r="O265" s="158"/>
      <c r="P265" s="93"/>
      <c r="Q265" s="158"/>
      <c r="R265" s="57">
        <f>+ROUND((ROUNDDOWN(Q265,2))*K265,2)</f>
        <v>0</v>
      </c>
      <c r="S265" s="158"/>
      <c r="T265" s="158"/>
      <c r="U265" s="158"/>
      <c r="V265" s="180"/>
      <c r="W265" s="180"/>
      <c r="AA265" s="319">
        <f>VLOOKUP(B265,'[19]ACTA PARCIAL OBRA'!$B$122:$X$536,20,0)</f>
        <v>0</v>
      </c>
      <c r="AB265" s="319">
        <f t="shared" si="58"/>
        <v>0</v>
      </c>
      <c r="AC265" s="319">
        <v>0</v>
      </c>
      <c r="AD265" s="514">
        <f t="shared" si="36"/>
        <v>0</v>
      </c>
      <c r="AE265" s="556">
        <f t="shared" si="35"/>
        <v>0</v>
      </c>
      <c r="AF265" s="557">
        <f t="shared" si="34"/>
        <v>0</v>
      </c>
      <c r="AG265" s="568"/>
      <c r="AH265" s="568"/>
      <c r="AI265" s="568"/>
      <c r="AJ265" s="568"/>
      <c r="AK265" s="568"/>
      <c r="AL265" s="568"/>
      <c r="AM265" s="568"/>
    </row>
    <row r="266" spans="2:39" ht="21" customHeight="1">
      <c r="B266" s="326"/>
      <c r="C266" s="181"/>
      <c r="D266" s="181"/>
      <c r="E266" s="181"/>
      <c r="F266" s="181"/>
      <c r="G266" s="181"/>
      <c r="H266" s="181"/>
      <c r="I266" s="154"/>
      <c r="J266" s="155"/>
      <c r="K266" s="182"/>
      <c r="L266" s="157">
        <f>SUM(L259:L264)</f>
        <v>10301230</v>
      </c>
      <c r="M266" s="158"/>
      <c r="N266" s="183"/>
      <c r="O266" s="157">
        <f>SUM(O259:O264)</f>
        <v>0</v>
      </c>
      <c r="P266" s="158"/>
      <c r="Q266" s="184"/>
      <c r="R266" s="157">
        <f>SUM(R259:R264)</f>
        <v>10301230.24</v>
      </c>
      <c r="S266" s="158"/>
      <c r="T266" s="152"/>
      <c r="U266" s="157">
        <f>SUM(U259:U264)</f>
        <v>10301230.24</v>
      </c>
      <c r="V266" s="734"/>
      <c r="W266" s="735"/>
      <c r="AA266" s="319">
        <f>VLOOKUP(B266,'[19]ACTA PARCIAL OBRA'!$B$122:$X$536,20,0)</f>
        <v>0</v>
      </c>
      <c r="AB266" s="319">
        <f t="shared" si="58"/>
        <v>-10301230.24</v>
      </c>
      <c r="AC266" s="319">
        <v>5933495.1200000001</v>
      </c>
      <c r="AD266" s="514">
        <f t="shared" si="36"/>
        <v>4367735.12</v>
      </c>
      <c r="AE266" s="559">
        <f t="shared" si="35"/>
        <v>0</v>
      </c>
      <c r="AF266" s="560">
        <f t="shared" si="34"/>
        <v>0</v>
      </c>
      <c r="AG266" s="558"/>
      <c r="AH266" s="558"/>
      <c r="AI266" s="558"/>
      <c r="AJ266" s="558"/>
      <c r="AK266" s="558"/>
      <c r="AL266" s="568"/>
      <c r="AM266" s="568"/>
    </row>
    <row r="267" spans="2:39" ht="4.5" customHeight="1">
      <c r="B267" s="158"/>
      <c r="C267" s="159"/>
      <c r="D267" s="159"/>
      <c r="E267" s="159"/>
      <c r="F267" s="159"/>
      <c r="G267" s="159"/>
      <c r="H267" s="159"/>
      <c r="I267" s="160"/>
      <c r="J267" s="161"/>
      <c r="K267" s="162"/>
      <c r="L267" s="66"/>
      <c r="M267" s="158"/>
      <c r="N267" s="163"/>
      <c r="O267" s="66"/>
      <c r="P267" s="158"/>
      <c r="Q267" s="158"/>
      <c r="R267" s="66"/>
      <c r="S267" s="158"/>
      <c r="T267" s="66"/>
      <c r="U267" s="66"/>
      <c r="V267" s="164"/>
      <c r="W267" s="164"/>
      <c r="AA267" s="319">
        <f>VLOOKUP(B267,'[19]ACTA PARCIAL OBRA'!$B$122:$X$536,20,0)</f>
        <v>0</v>
      </c>
      <c r="AB267" s="319">
        <f t="shared" si="58"/>
        <v>0</v>
      </c>
      <c r="AC267" s="319">
        <v>5933495.1200000001</v>
      </c>
      <c r="AD267" s="514">
        <f t="shared" si="36"/>
        <v>-5933495.1200000001</v>
      </c>
      <c r="AE267" s="559">
        <f t="shared" si="35"/>
        <v>0</v>
      </c>
      <c r="AF267" s="560">
        <f t="shared" si="34"/>
        <v>0</v>
      </c>
      <c r="AG267" s="558"/>
      <c r="AH267" s="558"/>
      <c r="AI267" s="558"/>
      <c r="AJ267" s="558"/>
      <c r="AK267" s="558"/>
      <c r="AL267" s="568"/>
      <c r="AM267" s="568"/>
    </row>
    <row r="268" spans="2:39" ht="9" customHeight="1">
      <c r="B268" s="329"/>
      <c r="C268" s="330"/>
      <c r="K268" s="98"/>
      <c r="AA268" s="319">
        <f>VLOOKUP(B268,'[19]ACTA PARCIAL OBRA'!$B$122:$X$536,20,0)</f>
        <v>0</v>
      </c>
      <c r="AB268" s="319">
        <f t="shared" si="58"/>
        <v>0</v>
      </c>
      <c r="AC268" s="319">
        <v>0</v>
      </c>
      <c r="AD268" s="514">
        <f t="shared" si="36"/>
        <v>0</v>
      </c>
      <c r="AE268" s="556">
        <f t="shared" si="35"/>
        <v>0</v>
      </c>
      <c r="AF268" s="557">
        <f t="shared" si="34"/>
        <v>0</v>
      </c>
      <c r="AG268" s="568"/>
      <c r="AH268" s="568"/>
      <c r="AI268" s="568"/>
      <c r="AJ268" s="568"/>
      <c r="AK268" s="568"/>
      <c r="AL268" s="568"/>
      <c r="AM268" s="568"/>
    </row>
    <row r="269" spans="2:39" ht="7.5" customHeight="1">
      <c r="B269" s="189"/>
      <c r="C269" s="190"/>
      <c r="D269" s="190"/>
      <c r="E269" s="190"/>
      <c r="F269" s="190"/>
      <c r="G269" s="190"/>
      <c r="H269" s="190"/>
      <c r="I269" s="331"/>
      <c r="J269" s="320"/>
      <c r="K269" s="332"/>
      <c r="L269" s="191"/>
      <c r="M269" s="50"/>
      <c r="N269" s="192"/>
      <c r="O269" s="193"/>
      <c r="P269" s="50"/>
      <c r="Q269" s="189"/>
      <c r="R269" s="194"/>
      <c r="S269" s="195"/>
      <c r="T269" s="190"/>
      <c r="U269" s="196"/>
      <c r="V269" s="197"/>
      <c r="W269" s="198"/>
      <c r="AA269" s="319">
        <f>VLOOKUP(B269,'[19]ACTA PARCIAL OBRA'!$B$122:$X$536,20,0)</f>
        <v>0</v>
      </c>
      <c r="AB269" s="319">
        <f t="shared" si="58"/>
        <v>0</v>
      </c>
      <c r="AC269" s="319">
        <v>5933495.1200000001</v>
      </c>
      <c r="AD269" s="514">
        <f t="shared" si="36"/>
        <v>-5933495.1200000001</v>
      </c>
      <c r="AE269" s="559">
        <f t="shared" si="35"/>
        <v>0</v>
      </c>
      <c r="AF269" s="560">
        <f t="shared" si="34"/>
        <v>0</v>
      </c>
      <c r="AG269" s="558"/>
      <c r="AH269" s="558"/>
      <c r="AI269" s="558"/>
      <c r="AJ269" s="558"/>
      <c r="AK269" s="558"/>
      <c r="AL269" s="568"/>
      <c r="AM269" s="568"/>
    </row>
    <row r="270" spans="2:39" ht="20.100000000000001" customHeight="1">
      <c r="B270" s="199" t="s">
        <v>459</v>
      </c>
      <c r="C270" s="200"/>
      <c r="D270" s="200"/>
      <c r="E270" s="200"/>
      <c r="F270" s="200"/>
      <c r="G270" s="200"/>
      <c r="H270" s="200"/>
      <c r="L270" s="201">
        <f>+ROUND(L235+L252+L266,2)</f>
        <v>2636706900</v>
      </c>
      <c r="M270" s="158"/>
      <c r="N270" s="202"/>
      <c r="O270" s="203">
        <f>+ROUND(O252+O235+O266,2)</f>
        <v>50399056.75</v>
      </c>
      <c r="P270" s="158"/>
      <c r="Q270" s="204"/>
      <c r="R270" s="203">
        <f>+ROUND(R266+R235+R252,2)</f>
        <v>37016909.350000001</v>
      </c>
      <c r="S270" s="205"/>
      <c r="T270" s="158"/>
      <c r="U270" s="203">
        <f>R270+O270</f>
        <v>87415966.099999994</v>
      </c>
      <c r="V270" s="726">
        <f>IF(L270=0,0)+IF(L270&gt;0,U270/L270)</f>
        <v>3.3153463549551142E-2</v>
      </c>
      <c r="W270" s="727"/>
      <c r="AA270" s="319">
        <f>VLOOKUP(B270,'[19]ACTA PARCIAL OBRA'!$B$122:$X$536,20,0)</f>
        <v>1746591092.6600001</v>
      </c>
      <c r="AB270" s="319">
        <f t="shared" si="58"/>
        <v>1709574183.3100002</v>
      </c>
      <c r="AC270" s="319">
        <v>0</v>
      </c>
      <c r="AD270" s="514">
        <f t="shared" si="36"/>
        <v>87415966.099999994</v>
      </c>
      <c r="AE270" s="556" t="str">
        <f t="shared" si="35"/>
        <v>VALOR  COSTO DIRECTO OBRA</v>
      </c>
      <c r="AF270" s="557">
        <f t="shared" si="34"/>
        <v>0</v>
      </c>
      <c r="AG270" s="568"/>
      <c r="AH270" s="568"/>
      <c r="AI270" s="568"/>
      <c r="AJ270" s="568"/>
      <c r="AK270" s="568"/>
      <c r="AL270" s="568"/>
      <c r="AM270" s="568"/>
    </row>
    <row r="271" spans="2:39" ht="9.9499999999999993" customHeight="1">
      <c r="B271" s="206"/>
      <c r="C271" s="50"/>
      <c r="D271" s="269"/>
      <c r="E271" s="269"/>
      <c r="F271" s="269"/>
      <c r="G271" s="269"/>
      <c r="H271" s="50"/>
      <c r="L271" s="207"/>
      <c r="M271" s="158"/>
      <c r="N271" s="202"/>
      <c r="O271" s="184"/>
      <c r="P271" s="158"/>
      <c r="Q271" s="204"/>
      <c r="R271" s="184"/>
      <c r="S271" s="205"/>
      <c r="T271" s="158"/>
      <c r="U271" s="184"/>
      <c r="V271" s="267"/>
      <c r="W271" s="268"/>
      <c r="AA271" s="319">
        <f>VLOOKUP(B271,'[19]ACTA PARCIAL OBRA'!$B$122:$X$536,20,0)</f>
        <v>0</v>
      </c>
      <c r="AB271" s="319">
        <f t="shared" si="58"/>
        <v>0</v>
      </c>
      <c r="AC271" s="319">
        <v>0</v>
      </c>
      <c r="AD271" s="514">
        <f t="shared" si="36"/>
        <v>0</v>
      </c>
      <c r="AE271" s="556">
        <f t="shared" si="35"/>
        <v>0</v>
      </c>
      <c r="AF271" s="557">
        <f t="shared" si="34"/>
        <v>0</v>
      </c>
      <c r="AG271" s="568"/>
      <c r="AH271" s="568"/>
      <c r="AI271" s="568"/>
      <c r="AJ271" s="568"/>
      <c r="AK271" s="568"/>
      <c r="AL271" s="568"/>
      <c r="AM271" s="568"/>
    </row>
    <row r="272" spans="2:39" ht="20.100000000000001" customHeight="1">
      <c r="B272" s="199" t="s">
        <v>460</v>
      </c>
      <c r="C272" s="200"/>
      <c r="D272" s="208"/>
      <c r="E272" s="209" t="s">
        <v>461</v>
      </c>
      <c r="F272" s="210">
        <v>0.25</v>
      </c>
      <c r="G272" s="211"/>
      <c r="H272" s="200" t="s">
        <v>462</v>
      </c>
      <c r="L272" s="201">
        <f>+ROUND(L270*F272,2)</f>
        <v>659176725</v>
      </c>
      <c r="M272" s="158"/>
      <c r="N272" s="202"/>
      <c r="O272" s="203">
        <f>ROUND(O270*F272,2)</f>
        <v>12599764.189999999</v>
      </c>
      <c r="P272" s="158"/>
      <c r="Q272" s="204"/>
      <c r="R272" s="203">
        <f>ROUND(R270*F272,2)</f>
        <v>9254227.3399999999</v>
      </c>
      <c r="S272" s="205"/>
      <c r="T272" s="158"/>
      <c r="U272" s="203">
        <f>+IF(U270="OJO ERROR EN SUMA","OJO ERROR EN SUMA",R272+O272)</f>
        <v>21853991.530000001</v>
      </c>
      <c r="V272" s="726">
        <f>IF(L272=0,0)+IF(L272&gt;0,U272/L272)</f>
        <v>3.3153463557136366E-2</v>
      </c>
      <c r="W272" s="727"/>
      <c r="AA272" s="319">
        <f>VLOOKUP(B272,'[19]ACTA PARCIAL OBRA'!$B$122:$X$536,20,0)</f>
        <v>436647773.17000002</v>
      </c>
      <c r="AB272" s="319">
        <f t="shared" si="58"/>
        <v>427393545.83000004</v>
      </c>
      <c r="AC272" s="319">
        <v>5933495.1200000001</v>
      </c>
      <c r="AD272" s="514">
        <f t="shared" si="36"/>
        <v>15920496.41</v>
      </c>
      <c r="AE272" s="559" t="str">
        <f t="shared" si="35"/>
        <v>ADMINISTRACION</v>
      </c>
      <c r="AF272" s="560">
        <f t="shared" si="34"/>
        <v>0</v>
      </c>
      <c r="AG272" s="558"/>
      <c r="AH272" s="558"/>
      <c r="AI272" s="558"/>
      <c r="AJ272" s="558"/>
      <c r="AK272" s="558"/>
      <c r="AL272" s="568"/>
      <c r="AM272" s="568"/>
    </row>
    <row r="273" spans="2:39" ht="9.9499999999999993" customHeight="1">
      <c r="B273" s="199"/>
      <c r="C273" s="200"/>
      <c r="D273" s="200"/>
      <c r="E273" s="200"/>
      <c r="F273" s="200"/>
      <c r="G273" s="200"/>
      <c r="H273" s="200"/>
      <c r="L273" s="207"/>
      <c r="M273" s="158"/>
      <c r="N273" s="202"/>
      <c r="O273" s="184"/>
      <c r="P273" s="158"/>
      <c r="Q273" s="204"/>
      <c r="R273" s="184"/>
      <c r="S273" s="205"/>
      <c r="T273" s="158"/>
      <c r="U273" s="184"/>
      <c r="V273" s="212"/>
      <c r="W273" s="213"/>
      <c r="AA273" s="319">
        <f>VLOOKUP(B273,'[19]ACTA PARCIAL OBRA'!$B$122:$X$536,20,0)</f>
        <v>0</v>
      </c>
      <c r="AB273" s="319">
        <f t="shared" si="58"/>
        <v>0</v>
      </c>
      <c r="AC273" s="319">
        <v>5933495.1200000001</v>
      </c>
      <c r="AD273" s="514">
        <f t="shared" si="36"/>
        <v>-5933495.1200000001</v>
      </c>
      <c r="AE273" s="559">
        <f t="shared" si="35"/>
        <v>0</v>
      </c>
      <c r="AF273" s="560">
        <f t="shared" si="34"/>
        <v>0</v>
      </c>
      <c r="AG273" s="558"/>
      <c r="AH273" s="558"/>
      <c r="AI273" s="558"/>
      <c r="AJ273" s="558"/>
      <c r="AK273" s="558"/>
      <c r="AL273" s="568"/>
      <c r="AM273" s="568"/>
    </row>
    <row r="274" spans="2:39" ht="20.100000000000001" customHeight="1">
      <c r="B274" s="199" t="s">
        <v>463</v>
      </c>
      <c r="C274" s="200"/>
      <c r="D274" s="208"/>
      <c r="E274" s="209" t="s">
        <v>461</v>
      </c>
      <c r="F274" s="210">
        <v>5.0000000000000001E-3</v>
      </c>
      <c r="G274" s="211"/>
      <c r="H274" s="200" t="s">
        <v>462</v>
      </c>
      <c r="I274" s="333"/>
      <c r="L274" s="201">
        <f>+ROUND(L270*F274,2)</f>
        <v>13183534.5</v>
      </c>
      <c r="M274" s="158"/>
      <c r="N274" s="202"/>
      <c r="O274" s="203">
        <f>ROUND(O270*F274,2)</f>
        <v>251995.28</v>
      </c>
      <c r="P274" s="158"/>
      <c r="Q274" s="204"/>
      <c r="R274" s="203">
        <f>ROUND(R270*F274,2)</f>
        <v>185084.55</v>
      </c>
      <c r="S274" s="205"/>
      <c r="T274" s="158"/>
      <c r="U274" s="203">
        <f>+IF(U270="OJO ERROR EN SUMA","OJO ERROR EN SUMA",R274+O274)</f>
        <v>437079.82999999996</v>
      </c>
      <c r="V274" s="726">
        <f>IF(L274=0,0)+IF(L274&gt;0,U274/L274)</f>
        <v>3.3153463511625049E-2</v>
      </c>
      <c r="W274" s="727"/>
      <c r="AA274" s="319">
        <f>VLOOKUP(B274,'[19]ACTA PARCIAL OBRA'!$B$122:$X$536,20,0)</f>
        <v>17465910.93</v>
      </c>
      <c r="AB274" s="319">
        <f t="shared" si="58"/>
        <v>17280826.379999999</v>
      </c>
      <c r="AC274" s="319">
        <v>0</v>
      </c>
      <c r="AD274" s="514">
        <f t="shared" si="36"/>
        <v>437079.82999999996</v>
      </c>
      <c r="AE274" s="556" t="str">
        <f t="shared" si="35"/>
        <v>IMPREVISTOS.</v>
      </c>
      <c r="AF274" s="557">
        <f t="shared" si="34"/>
        <v>0</v>
      </c>
      <c r="AG274" s="568"/>
      <c r="AH274" s="568"/>
      <c r="AI274" s="568"/>
      <c r="AJ274" s="568"/>
      <c r="AK274" s="568"/>
      <c r="AL274" s="568"/>
      <c r="AM274" s="568"/>
    </row>
    <row r="275" spans="2:39" ht="9.9499999999999993" customHeight="1">
      <c r="B275" s="199"/>
      <c r="C275" s="200"/>
      <c r="D275" s="200"/>
      <c r="E275" s="200"/>
      <c r="F275" s="200"/>
      <c r="G275" s="200"/>
      <c r="H275" s="200"/>
      <c r="L275" s="207"/>
      <c r="M275" s="158"/>
      <c r="N275" s="202"/>
      <c r="O275" s="184"/>
      <c r="P275" s="158"/>
      <c r="Q275" s="204"/>
      <c r="R275" s="184"/>
      <c r="S275" s="205"/>
      <c r="T275" s="158"/>
      <c r="U275" s="184"/>
      <c r="V275" s="212"/>
      <c r="W275" s="213"/>
      <c r="AA275" s="319">
        <f>VLOOKUP(B275,'[19]ACTA PARCIAL OBRA'!$B$122:$X$536,20,0)</f>
        <v>0</v>
      </c>
      <c r="AB275" s="319">
        <f t="shared" si="58"/>
        <v>0</v>
      </c>
      <c r="AC275" s="319">
        <v>0</v>
      </c>
      <c r="AD275" s="514">
        <f t="shared" si="36"/>
        <v>0</v>
      </c>
      <c r="AE275" s="556">
        <f t="shared" si="35"/>
        <v>0</v>
      </c>
      <c r="AF275" s="557">
        <f t="shared" si="34"/>
        <v>0</v>
      </c>
      <c r="AG275" s="568"/>
      <c r="AH275" s="568"/>
      <c r="AI275" s="568"/>
      <c r="AJ275" s="568"/>
      <c r="AK275" s="568"/>
      <c r="AL275" s="568"/>
      <c r="AM275" s="568"/>
    </row>
    <row r="276" spans="2:39" ht="20.100000000000001" customHeight="1">
      <c r="B276" s="199" t="s">
        <v>464</v>
      </c>
      <c r="C276" s="200"/>
      <c r="D276" s="208"/>
      <c r="E276" s="209" t="s">
        <v>461</v>
      </c>
      <c r="F276" s="210">
        <v>3.7815126050420103E-2</v>
      </c>
      <c r="G276" s="211"/>
      <c r="H276" s="200" t="s">
        <v>462</v>
      </c>
      <c r="I276" s="334">
        <f>+F272+F274+F276+F276*F278</f>
        <v>0.29999999999999993</v>
      </c>
      <c r="L276" s="201">
        <f>+ROUND(L270*F276,2)</f>
        <v>99707403.780000001</v>
      </c>
      <c r="M276" s="158"/>
      <c r="N276" s="202"/>
      <c r="O276" s="203">
        <f>ROUND(O270*F276,2)</f>
        <v>1905846.68</v>
      </c>
      <c r="P276" s="158"/>
      <c r="Q276" s="204"/>
      <c r="R276" s="203">
        <f>ROUND(R270*F276,2)</f>
        <v>1399799.09</v>
      </c>
      <c r="S276" s="205"/>
      <c r="T276" s="158"/>
      <c r="U276" s="203">
        <f>+IF(U270="OJO ERROR EN SUMA","OJO ERROR EN SUMA",R276+O276)</f>
        <v>3305645.77</v>
      </c>
      <c r="V276" s="726">
        <f>IF(L276=0,0)+IF(L276&gt;0,U276/L276)</f>
        <v>3.315346348094432E-2</v>
      </c>
      <c r="W276" s="727"/>
      <c r="AA276" s="319">
        <f>VLOOKUP(B276,'[19]ACTA PARCIAL OBRA'!$B$122:$X$536,20,0)</f>
        <v>58708944.289999999</v>
      </c>
      <c r="AB276" s="319">
        <f t="shared" si="58"/>
        <v>57309145.199999996</v>
      </c>
      <c r="AC276" s="319">
        <v>0</v>
      </c>
      <c r="AD276" s="514">
        <f t="shared" si="36"/>
        <v>3305645.77</v>
      </c>
      <c r="AE276" s="556" t="str">
        <f t="shared" si="35"/>
        <v>UTILIDAD.</v>
      </c>
      <c r="AF276" s="557">
        <f t="shared" si="34"/>
        <v>0</v>
      </c>
      <c r="AG276" s="568"/>
      <c r="AH276" s="568"/>
      <c r="AI276" s="568"/>
      <c r="AJ276" s="568"/>
      <c r="AK276" s="568"/>
      <c r="AL276" s="568"/>
      <c r="AM276" s="568"/>
    </row>
    <row r="277" spans="2:39" ht="9.9499999999999993" customHeight="1">
      <c r="B277" s="199"/>
      <c r="C277" s="200"/>
      <c r="D277" s="200"/>
      <c r="E277" s="200"/>
      <c r="F277" s="200"/>
      <c r="G277" s="200"/>
      <c r="H277" s="200"/>
      <c r="L277" s="207"/>
      <c r="M277" s="158"/>
      <c r="N277" s="202"/>
      <c r="O277" s="184"/>
      <c r="P277" s="158"/>
      <c r="Q277" s="204"/>
      <c r="R277" s="184"/>
      <c r="S277" s="205"/>
      <c r="T277" s="158"/>
      <c r="U277" s="184"/>
      <c r="V277" s="212"/>
      <c r="W277" s="213"/>
      <c r="AA277" s="319">
        <f>VLOOKUP(B277,'[19]ACTA PARCIAL OBRA'!$B$122:$X$536,20,0)</f>
        <v>0</v>
      </c>
      <c r="AB277" s="319">
        <f t="shared" si="58"/>
        <v>0</v>
      </c>
      <c r="AC277" s="319">
        <v>0</v>
      </c>
      <c r="AD277" s="514">
        <f t="shared" si="36"/>
        <v>0</v>
      </c>
      <c r="AE277" s="556">
        <f t="shared" si="35"/>
        <v>0</v>
      </c>
      <c r="AF277" s="557">
        <f t="shared" si="34"/>
        <v>0</v>
      </c>
      <c r="AG277" s="568"/>
      <c r="AH277" s="568"/>
      <c r="AI277" s="568"/>
      <c r="AJ277" s="568"/>
      <c r="AK277" s="568"/>
      <c r="AL277" s="568"/>
      <c r="AM277" s="568"/>
    </row>
    <row r="278" spans="2:39" ht="20.100000000000001" customHeight="1">
      <c r="B278" s="199" t="s">
        <v>465</v>
      </c>
      <c r="C278" s="200"/>
      <c r="D278" s="200"/>
      <c r="E278" s="209" t="s">
        <v>461</v>
      </c>
      <c r="F278" s="210">
        <v>0.19</v>
      </c>
      <c r="G278" s="211"/>
      <c r="H278" s="200" t="s">
        <v>462</v>
      </c>
      <c r="I278" s="214"/>
      <c r="L278" s="201">
        <f>+ROUND(L276*F278,2)</f>
        <v>18944406.719999999</v>
      </c>
      <c r="M278" s="158"/>
      <c r="N278" s="202"/>
      <c r="O278" s="203">
        <f>ROUND(O276*F278,2)</f>
        <v>362110.87</v>
      </c>
      <c r="P278" s="158"/>
      <c r="Q278" s="204"/>
      <c r="R278" s="203">
        <f>+ROUND(R276*F278,2)</f>
        <v>265961.83</v>
      </c>
      <c r="S278" s="205"/>
      <c r="T278" s="158"/>
      <c r="U278" s="203">
        <f>+IF(U270="OJO ERROR EN SUMA","OJO ERROR EN SUMA",R278+O278)</f>
        <v>628072.69999999995</v>
      </c>
      <c r="V278" s="726">
        <f>IF(L278=0,0)+IF(L278&gt;0,U278/L278)</f>
        <v>3.3153463673102561E-2</v>
      </c>
      <c r="W278" s="727"/>
      <c r="AA278" s="319">
        <f>VLOOKUP(B278,'[19]ACTA PARCIAL OBRA'!$B$122:$X$536,20,0)</f>
        <v>11154699.41</v>
      </c>
      <c r="AB278" s="319">
        <f t="shared" si="58"/>
        <v>10888737.58</v>
      </c>
      <c r="AC278" s="319">
        <v>0</v>
      </c>
      <c r="AD278" s="514">
        <f t="shared" si="36"/>
        <v>628072.69999999995</v>
      </c>
      <c r="AE278" s="556" t="str">
        <f t="shared" si="35"/>
        <v>IVA SOBRE UTILIDAD</v>
      </c>
      <c r="AF278" s="557">
        <f t="shared" si="34"/>
        <v>0</v>
      </c>
      <c r="AG278" s="568"/>
      <c r="AH278" s="568"/>
      <c r="AI278" s="568"/>
      <c r="AJ278" s="568"/>
      <c r="AK278" s="568"/>
      <c r="AL278" s="568"/>
      <c r="AM278" s="568"/>
    </row>
    <row r="279" spans="2:39" ht="9.9499999999999993" customHeight="1">
      <c r="B279" s="199"/>
      <c r="C279" s="200"/>
      <c r="D279" s="200"/>
      <c r="E279" s="200"/>
      <c r="F279" s="200"/>
      <c r="G279" s="200"/>
      <c r="H279" s="200"/>
      <c r="L279" s="207"/>
      <c r="M279" s="158"/>
      <c r="N279" s="202"/>
      <c r="O279" s="184"/>
      <c r="P279" s="158"/>
      <c r="Q279" s="204"/>
      <c r="R279" s="184"/>
      <c r="S279" s="205"/>
      <c r="T279" s="158"/>
      <c r="U279" s="184"/>
      <c r="V279" s="212"/>
      <c r="W279" s="213"/>
      <c r="AA279" s="319">
        <f>VLOOKUP(B279,'[19]ACTA PARCIAL OBRA'!$B$122:$X$536,20,0)</f>
        <v>0</v>
      </c>
      <c r="AB279" s="319">
        <f t="shared" si="58"/>
        <v>0</v>
      </c>
      <c r="AC279" s="319">
        <v>0</v>
      </c>
      <c r="AD279" s="514">
        <f t="shared" si="36"/>
        <v>0</v>
      </c>
      <c r="AE279" s="556">
        <f t="shared" si="35"/>
        <v>0</v>
      </c>
      <c r="AF279" s="557">
        <f t="shared" si="34"/>
        <v>0</v>
      </c>
      <c r="AG279" s="568"/>
      <c r="AH279" s="568"/>
      <c r="AI279" s="568"/>
      <c r="AJ279" s="568"/>
      <c r="AK279" s="568"/>
      <c r="AL279" s="568"/>
      <c r="AM279" s="568"/>
    </row>
    <row r="280" spans="2:39" ht="20.100000000000001" customHeight="1">
      <c r="B280" s="199" t="s">
        <v>466</v>
      </c>
      <c r="C280" s="200"/>
      <c r="D280" s="200"/>
      <c r="E280" s="200"/>
      <c r="F280" s="311"/>
      <c r="G280" s="311"/>
      <c r="H280" s="311"/>
      <c r="I280" s="214"/>
      <c r="L280" s="201">
        <f>+ROUND(L270+L272+L274+L276+L278,2)</f>
        <v>3427718970</v>
      </c>
      <c r="M280" s="158"/>
      <c r="N280" s="202"/>
      <c r="O280" s="203">
        <f>(O270+O272+O274+O276+O278)</f>
        <v>65518773.769999996</v>
      </c>
      <c r="P280" s="158"/>
      <c r="Q280" s="204"/>
      <c r="R280" s="203">
        <f>ROUND(R270+R272+R274+R276+R278,2)</f>
        <v>48121982.159999996</v>
      </c>
      <c r="S280" s="205"/>
      <c r="T280" s="158"/>
      <c r="U280" s="203">
        <f>+ROUND(U270+U272+U274+U276+U278,2)</f>
        <v>113640755.93000001</v>
      </c>
      <c r="V280" s="726">
        <f>IF(L280=0,0)+IF(L280&gt;0,U280/L280)</f>
        <v>3.3153463549551149E-2</v>
      </c>
      <c r="W280" s="727"/>
      <c r="AA280" s="563">
        <f>VLOOKUP(B280,'[19]ACTA PARCIAL OBRA'!$B$122:$X$536,20,0)</f>
        <v>2270568420.46</v>
      </c>
      <c r="AB280" s="563">
        <f t="shared" si="58"/>
        <v>2222446438.3000002</v>
      </c>
      <c r="AC280" s="563">
        <v>0</v>
      </c>
      <c r="AD280" s="564">
        <f t="shared" si="36"/>
        <v>113640755.93000001</v>
      </c>
      <c r="AE280" s="565" t="str">
        <f t="shared" si="35"/>
        <v>VALOR TOTAL  OBRA</v>
      </c>
      <c r="AF280" s="566">
        <f t="shared" si="35"/>
        <v>0</v>
      </c>
      <c r="AG280" s="576"/>
      <c r="AH280" s="576"/>
      <c r="AI280" s="576"/>
      <c r="AJ280" s="576"/>
      <c r="AK280" s="576"/>
      <c r="AL280" s="576"/>
      <c r="AM280" s="576"/>
    </row>
    <row r="281" spans="2:39" ht="9.9499999999999993" customHeight="1">
      <c r="B281" s="199"/>
      <c r="C281" s="200"/>
      <c r="D281" s="200"/>
      <c r="E281" s="200"/>
      <c r="F281" s="200"/>
      <c r="G281" s="200"/>
      <c r="H281" s="200"/>
      <c r="L281" s="207"/>
      <c r="M281" s="158"/>
      <c r="N281" s="202"/>
      <c r="O281" s="184"/>
      <c r="P281" s="158"/>
      <c r="Q281" s="204"/>
      <c r="R281" s="184"/>
      <c r="S281" s="205"/>
      <c r="T281" s="158"/>
      <c r="U281" s="184"/>
      <c r="V281" s="212"/>
      <c r="W281" s="213"/>
      <c r="AA281" s="563">
        <f>VLOOKUP(B281,'[19]ACTA PARCIAL OBRA'!$B$122:$X$536,20,0)</f>
        <v>0</v>
      </c>
      <c r="AB281" s="563">
        <f t="shared" si="58"/>
        <v>0</v>
      </c>
      <c r="AC281" s="563">
        <v>0</v>
      </c>
      <c r="AD281" s="564">
        <f t="shared" si="36"/>
        <v>0</v>
      </c>
      <c r="AE281" s="565">
        <f t="shared" ref="AE281:AF311" si="59">+B281</f>
        <v>0</v>
      </c>
      <c r="AF281" s="566">
        <f t="shared" si="59"/>
        <v>0</v>
      </c>
      <c r="AG281" s="576"/>
      <c r="AH281" s="576"/>
      <c r="AI281" s="576"/>
      <c r="AJ281" s="576"/>
      <c r="AK281" s="576"/>
      <c r="AL281" s="576"/>
      <c r="AM281" s="576"/>
    </row>
    <row r="282" spans="2:39" ht="20.100000000000001" customHeight="1">
      <c r="B282" s="199" t="s">
        <v>467</v>
      </c>
      <c r="C282" s="200"/>
      <c r="D282" s="200"/>
      <c r="E282" s="200"/>
      <c r="F282" s="200"/>
      <c r="G282" s="200"/>
      <c r="H282" s="200"/>
      <c r="L282" s="201">
        <f>L64+L55+L230</f>
        <v>0</v>
      </c>
      <c r="M282" s="158"/>
      <c r="N282" s="202"/>
      <c r="O282" s="203">
        <f>ROUND(O64+O55+O230,2)</f>
        <v>0</v>
      </c>
      <c r="P282" s="158"/>
      <c r="Q282" s="204"/>
      <c r="R282" s="203">
        <f>ROUND(R64+R55,2)</f>
        <v>0</v>
      </c>
      <c r="S282" s="205"/>
      <c r="T282" s="158"/>
      <c r="U282" s="203">
        <f>R282+O282</f>
        <v>0</v>
      </c>
      <c r="V282" s="726">
        <f>IF(L282=0,0)+IF(L282&gt;0,U282/L282)</f>
        <v>0</v>
      </c>
      <c r="W282" s="727"/>
      <c r="AA282" s="563">
        <f>VLOOKUP(B282,'[19]ACTA PARCIAL OBRA'!$B$122:$X$536,20,0)</f>
        <v>39923083.109999999</v>
      </c>
      <c r="AB282" s="563">
        <f t="shared" si="58"/>
        <v>39923083.109999999</v>
      </c>
      <c r="AC282" s="563">
        <v>0</v>
      </c>
      <c r="AD282" s="564">
        <f t="shared" si="36"/>
        <v>0</v>
      </c>
      <c r="AE282" s="565" t="str">
        <f t="shared" si="59"/>
        <v>VALOR  COSTO DIRECTO ESTUDIOS Y DISEÑOS</v>
      </c>
      <c r="AF282" s="566">
        <f t="shared" si="59"/>
        <v>0</v>
      </c>
      <c r="AG282" s="576"/>
      <c r="AH282" s="576"/>
      <c r="AI282" s="576"/>
      <c r="AJ282" s="576"/>
      <c r="AK282" s="576"/>
      <c r="AL282" s="576"/>
      <c r="AM282" s="576"/>
    </row>
    <row r="283" spans="2:39" ht="9.9499999999999993" customHeight="1">
      <c r="B283" s="206"/>
      <c r="C283" s="50"/>
      <c r="D283" s="269"/>
      <c r="E283" s="269"/>
      <c r="F283" s="269"/>
      <c r="G283" s="269"/>
      <c r="H283" s="50"/>
      <c r="L283" s="207"/>
      <c r="M283" s="158"/>
      <c r="N283" s="202"/>
      <c r="O283" s="184"/>
      <c r="P283" s="158"/>
      <c r="Q283" s="204"/>
      <c r="R283" s="184"/>
      <c r="S283" s="205"/>
      <c r="T283" s="158"/>
      <c r="U283" s="184"/>
      <c r="V283" s="267"/>
      <c r="W283" s="268"/>
      <c r="AA283" s="563">
        <f>VLOOKUP(B283,'[19]ACTA PARCIAL OBRA'!$B$122:$X$536,20,0)</f>
        <v>0</v>
      </c>
      <c r="AB283" s="563">
        <f t="shared" si="58"/>
        <v>0</v>
      </c>
      <c r="AC283" s="563">
        <v>0</v>
      </c>
      <c r="AD283" s="564">
        <f t="shared" si="36"/>
        <v>0</v>
      </c>
      <c r="AE283" s="565">
        <f t="shared" si="59"/>
        <v>0</v>
      </c>
      <c r="AF283" s="566">
        <f t="shared" si="59"/>
        <v>0</v>
      </c>
      <c r="AG283" s="576"/>
      <c r="AH283" s="576"/>
      <c r="AI283" s="576"/>
      <c r="AJ283" s="576"/>
      <c r="AK283" s="576"/>
      <c r="AL283" s="576"/>
      <c r="AM283" s="576"/>
    </row>
    <row r="284" spans="2:39" ht="20.100000000000001" customHeight="1">
      <c r="B284" s="199" t="s">
        <v>468</v>
      </c>
      <c r="C284" s="200"/>
      <c r="D284" s="208"/>
      <c r="E284" s="208"/>
      <c r="F284" s="210">
        <v>0.19</v>
      </c>
      <c r="G284" s="211"/>
      <c r="H284" s="200" t="s">
        <v>462</v>
      </c>
      <c r="L284" s="201">
        <f>L282*F284</f>
        <v>0</v>
      </c>
      <c r="M284" s="158"/>
      <c r="N284" s="202"/>
      <c r="O284" s="203">
        <f>ROUND(O282*F284,2)</f>
        <v>0</v>
      </c>
      <c r="P284" s="158"/>
      <c r="Q284" s="204"/>
      <c r="R284" s="203">
        <f>ROUND(R282*F284,2)</f>
        <v>0</v>
      </c>
      <c r="S284" s="205"/>
      <c r="T284" s="158"/>
      <c r="U284" s="203">
        <f>O284+R284</f>
        <v>0</v>
      </c>
      <c r="V284" s="726">
        <f>IF(L284=0,0)+IF(L284&gt;0,U284/L284)</f>
        <v>0</v>
      </c>
      <c r="W284" s="727"/>
      <c r="AA284" s="319">
        <f>VLOOKUP(B284,'[19]ACTA PARCIAL OBRA'!$B$122:$X$536,20,0)</f>
        <v>7585385.79</v>
      </c>
      <c r="AB284" s="319">
        <f t="shared" si="58"/>
        <v>7585385.79</v>
      </c>
      <c r="AC284" s="319">
        <v>0</v>
      </c>
      <c r="AD284" s="514">
        <f t="shared" si="36"/>
        <v>0</v>
      </c>
      <c r="AE284" s="556" t="str">
        <f t="shared" si="59"/>
        <v xml:space="preserve">I.        V.          A.                                                (  </v>
      </c>
      <c r="AF284" s="557">
        <f t="shared" si="59"/>
        <v>0</v>
      </c>
      <c r="AG284" s="568"/>
      <c r="AH284" s="568"/>
      <c r="AI284" s="568"/>
      <c r="AJ284" s="568"/>
      <c r="AK284" s="568"/>
      <c r="AL284" s="568"/>
      <c r="AM284" s="568"/>
    </row>
    <row r="285" spans="2:39" ht="9.9499999999999993" customHeight="1">
      <c r="B285" s="199"/>
      <c r="C285" s="200"/>
      <c r="D285" s="200"/>
      <c r="E285" s="200"/>
      <c r="F285" s="200"/>
      <c r="G285" s="200"/>
      <c r="H285" s="200"/>
      <c r="L285" s="207"/>
      <c r="M285" s="158"/>
      <c r="N285" s="202"/>
      <c r="O285" s="184"/>
      <c r="P285" s="158"/>
      <c r="Q285" s="204"/>
      <c r="R285" s="184"/>
      <c r="S285" s="205"/>
      <c r="T285" s="158"/>
      <c r="U285" s="184"/>
      <c r="V285" s="212"/>
      <c r="W285" s="213"/>
      <c r="AA285" s="563">
        <f>VLOOKUP(B285,'[19]ACTA PARCIAL OBRA'!$B$122:$X$536,20,0)</f>
        <v>0</v>
      </c>
      <c r="AB285" s="563">
        <f t="shared" si="58"/>
        <v>0</v>
      </c>
      <c r="AC285" s="563">
        <v>0</v>
      </c>
      <c r="AD285" s="564">
        <f t="shared" si="36"/>
        <v>0</v>
      </c>
      <c r="AE285" s="565">
        <f t="shared" si="59"/>
        <v>0</v>
      </c>
      <c r="AF285" s="566">
        <f t="shared" si="59"/>
        <v>0</v>
      </c>
      <c r="AG285" s="576"/>
      <c r="AH285" s="576"/>
      <c r="AI285" s="576"/>
      <c r="AJ285" s="576"/>
      <c r="AK285" s="576"/>
      <c r="AL285" s="576"/>
      <c r="AM285" s="576"/>
    </row>
    <row r="286" spans="2:39" ht="20.100000000000001" customHeight="1">
      <c r="B286" s="199" t="s">
        <v>469</v>
      </c>
      <c r="C286" s="200"/>
      <c r="D286" s="200"/>
      <c r="E286" s="200"/>
      <c r="F286" s="311"/>
      <c r="G286" s="311"/>
      <c r="H286" s="311"/>
      <c r="I286" s="214"/>
      <c r="L286" s="201">
        <f>L282+L284</f>
        <v>0</v>
      </c>
      <c r="M286" s="158"/>
      <c r="N286" s="202"/>
      <c r="O286" s="203">
        <f>O282+O284</f>
        <v>0</v>
      </c>
      <c r="P286" s="158"/>
      <c r="Q286" s="204"/>
      <c r="R286" s="203">
        <f>ROUND(R284+R282,2)</f>
        <v>0</v>
      </c>
      <c r="S286" s="205"/>
      <c r="T286" s="158"/>
      <c r="U286" s="203">
        <f>+U284+U282</f>
        <v>0</v>
      </c>
      <c r="V286" s="726">
        <f>IF(L286=0,0)+IF(L286&gt;0,U286/L286)</f>
        <v>0</v>
      </c>
      <c r="W286" s="727"/>
      <c r="AA286" s="563">
        <f>VLOOKUP(B286,'[19]ACTA PARCIAL OBRA'!$B$122:$X$536,20,0)</f>
        <v>47508468.899999999</v>
      </c>
      <c r="AB286" s="563">
        <f t="shared" si="58"/>
        <v>47508468.899999999</v>
      </c>
      <c r="AC286" s="563">
        <v>0</v>
      </c>
      <c r="AD286" s="564">
        <f t="shared" si="36"/>
        <v>0</v>
      </c>
      <c r="AE286" s="565" t="str">
        <f t="shared" si="59"/>
        <v>VALOR TOTAL  ESTUDIOS Y DISEÑOS</v>
      </c>
      <c r="AF286" s="566">
        <f t="shared" si="59"/>
        <v>0</v>
      </c>
      <c r="AG286" s="576"/>
      <c r="AH286" s="576"/>
      <c r="AI286" s="576"/>
      <c r="AJ286" s="576"/>
      <c r="AK286" s="576"/>
      <c r="AL286" s="576"/>
      <c r="AM286" s="576"/>
    </row>
    <row r="287" spans="2:39" ht="9.9499999999999993" customHeight="1">
      <c r="B287" s="199"/>
      <c r="C287" s="200"/>
      <c r="D287" s="200"/>
      <c r="E287" s="200"/>
      <c r="F287" s="200"/>
      <c r="G287" s="200"/>
      <c r="H287" s="200"/>
      <c r="L287" s="207"/>
      <c r="M287" s="158"/>
      <c r="N287" s="202"/>
      <c r="O287" s="184"/>
      <c r="P287" s="158"/>
      <c r="Q287" s="204"/>
      <c r="R287" s="184"/>
      <c r="S287" s="205"/>
      <c r="T287" s="158"/>
      <c r="U287" s="184"/>
      <c r="V287" s="212"/>
      <c r="W287" s="213"/>
      <c r="AA287" s="563">
        <f>VLOOKUP(B287,'[19]ACTA PARCIAL OBRA'!$B$122:$X$536,20,0)</f>
        <v>0</v>
      </c>
      <c r="AB287" s="563">
        <f t="shared" si="58"/>
        <v>0</v>
      </c>
      <c r="AC287" s="563">
        <v>0</v>
      </c>
      <c r="AD287" s="564">
        <f t="shared" si="36"/>
        <v>0</v>
      </c>
      <c r="AE287" s="565">
        <f t="shared" si="59"/>
        <v>0</v>
      </c>
      <c r="AF287" s="566">
        <f t="shared" si="59"/>
        <v>0</v>
      </c>
      <c r="AG287" s="576"/>
      <c r="AH287" s="576"/>
      <c r="AI287" s="576"/>
      <c r="AJ287" s="576"/>
      <c r="AK287" s="576"/>
      <c r="AL287" s="576"/>
      <c r="AM287" s="576"/>
    </row>
    <row r="288" spans="2:39" ht="20.100000000000001" customHeight="1">
      <c r="B288" s="199" t="s">
        <v>470</v>
      </c>
      <c r="C288" s="200"/>
      <c r="D288" s="200"/>
      <c r="E288" s="200"/>
      <c r="F288" s="200"/>
      <c r="G288" s="200"/>
      <c r="H288" s="200"/>
      <c r="L288" s="201">
        <f>L71</f>
        <v>0</v>
      </c>
      <c r="M288" s="158"/>
      <c r="N288" s="202"/>
      <c r="O288" s="203">
        <f>ROUND(O71,2)</f>
        <v>0</v>
      </c>
      <c r="P288" s="158"/>
      <c r="Q288" s="204"/>
      <c r="R288" s="203">
        <f>ROUND(R71,2)</f>
        <v>0</v>
      </c>
      <c r="S288" s="205"/>
      <c r="T288" s="158"/>
      <c r="U288" s="203">
        <f>R288+O288</f>
        <v>0</v>
      </c>
      <c r="V288" s="726">
        <f>IF(L288=0,0)+IF(L288&gt;0,U288/L288)</f>
        <v>0</v>
      </c>
      <c r="W288" s="727"/>
      <c r="AA288" s="563">
        <f>VLOOKUP(B288,'[19]ACTA PARCIAL OBRA'!$B$122:$X$536,20,0)</f>
        <v>0</v>
      </c>
      <c r="AB288" s="563">
        <f t="shared" si="58"/>
        <v>0</v>
      </c>
      <c r="AC288" s="563">
        <v>0</v>
      </c>
      <c r="AD288" s="564">
        <f t="shared" si="36"/>
        <v>0</v>
      </c>
      <c r="AE288" s="565" t="str">
        <f t="shared" si="59"/>
        <v>VALOR  COSTO DIRECTO IMPLEMENTACIÓN PAPSO</v>
      </c>
      <c r="AF288" s="566">
        <f t="shared" si="59"/>
        <v>0</v>
      </c>
      <c r="AG288" s="576"/>
      <c r="AH288" s="576"/>
      <c r="AI288" s="576"/>
      <c r="AJ288" s="576"/>
      <c r="AK288" s="576"/>
      <c r="AL288" s="576"/>
      <c r="AM288" s="576"/>
    </row>
    <row r="289" spans="2:39" ht="9.9499999999999993" customHeight="1">
      <c r="B289" s="206"/>
      <c r="C289" s="50"/>
      <c r="D289" s="269"/>
      <c r="E289" s="269"/>
      <c r="F289" s="269"/>
      <c r="G289" s="269"/>
      <c r="H289" s="50"/>
      <c r="L289" s="207"/>
      <c r="M289" s="158"/>
      <c r="N289" s="202"/>
      <c r="O289" s="184"/>
      <c r="P289" s="158"/>
      <c r="Q289" s="204"/>
      <c r="R289" s="184"/>
      <c r="S289" s="205"/>
      <c r="T289" s="158"/>
      <c r="U289" s="184"/>
      <c r="V289" s="267"/>
      <c r="W289" s="268"/>
      <c r="AA289" s="563">
        <f>VLOOKUP(B289,'[19]ACTA PARCIAL OBRA'!$B$122:$X$536,20,0)</f>
        <v>0</v>
      </c>
      <c r="AB289" s="563">
        <f t="shared" si="58"/>
        <v>0</v>
      </c>
      <c r="AC289" s="563">
        <v>0</v>
      </c>
      <c r="AD289" s="564">
        <f t="shared" ref="AD289:AD352" si="60">+U289-AC289</f>
        <v>0</v>
      </c>
      <c r="AE289" s="565">
        <f t="shared" si="59"/>
        <v>0</v>
      </c>
      <c r="AF289" s="566">
        <f t="shared" si="59"/>
        <v>0</v>
      </c>
      <c r="AG289" s="576"/>
      <c r="AH289" s="576"/>
      <c r="AI289" s="576"/>
      <c r="AJ289" s="576"/>
      <c r="AK289" s="576"/>
      <c r="AL289" s="576"/>
      <c r="AM289" s="576"/>
    </row>
    <row r="290" spans="2:39" ht="20.100000000000001" customHeight="1">
      <c r="B290" s="199" t="s">
        <v>468</v>
      </c>
      <c r="C290" s="200"/>
      <c r="D290" s="208"/>
      <c r="E290" s="208"/>
      <c r="F290" s="210">
        <v>0.19</v>
      </c>
      <c r="G290" s="211"/>
      <c r="H290" s="200" t="s">
        <v>462</v>
      </c>
      <c r="L290" s="201">
        <f>L288*F290</f>
        <v>0</v>
      </c>
      <c r="M290" s="158"/>
      <c r="N290" s="202"/>
      <c r="O290" s="203">
        <f>ROUND(O288*F290,2)</f>
        <v>0</v>
      </c>
      <c r="P290" s="158"/>
      <c r="Q290" s="204"/>
      <c r="R290" s="203">
        <f>ROUND(R288*F290,2)</f>
        <v>0</v>
      </c>
      <c r="S290" s="205"/>
      <c r="T290" s="158"/>
      <c r="U290" s="203">
        <f>O290+R290</f>
        <v>0</v>
      </c>
      <c r="V290" s="726">
        <f>IF(L290=0,0)+IF(L290&gt;0,U290/L290)</f>
        <v>0</v>
      </c>
      <c r="W290" s="727"/>
      <c r="AA290" s="563">
        <f>VLOOKUP(B290,'[19]ACTA PARCIAL OBRA'!$B$122:$X$536,20,0)</f>
        <v>7585385.79</v>
      </c>
      <c r="AB290" s="563">
        <f t="shared" si="58"/>
        <v>7585385.79</v>
      </c>
      <c r="AC290" s="563">
        <v>0</v>
      </c>
      <c r="AD290" s="564">
        <f t="shared" si="60"/>
        <v>0</v>
      </c>
      <c r="AE290" s="565" t="str">
        <f t="shared" si="59"/>
        <v xml:space="preserve">I.        V.          A.                                                (  </v>
      </c>
      <c r="AF290" s="566">
        <f t="shared" si="59"/>
        <v>0</v>
      </c>
      <c r="AG290" s="576"/>
      <c r="AH290" s="576"/>
      <c r="AI290" s="576"/>
      <c r="AJ290" s="576"/>
      <c r="AK290" s="576"/>
      <c r="AL290" s="576"/>
      <c r="AM290" s="576"/>
    </row>
    <row r="291" spans="2:39" ht="9.9499999999999993" customHeight="1">
      <c r="B291" s="199"/>
      <c r="C291" s="200"/>
      <c r="D291" s="200"/>
      <c r="E291" s="200"/>
      <c r="F291" s="200"/>
      <c r="G291" s="200"/>
      <c r="H291" s="200"/>
      <c r="L291" s="207"/>
      <c r="M291" s="158"/>
      <c r="N291" s="202"/>
      <c r="O291" s="184"/>
      <c r="P291" s="158"/>
      <c r="Q291" s="204"/>
      <c r="R291" s="184"/>
      <c r="S291" s="205"/>
      <c r="T291" s="158"/>
      <c r="U291" s="184"/>
      <c r="V291" s="212"/>
      <c r="W291" s="213"/>
      <c r="AA291" s="319">
        <f>VLOOKUP(B291,'[19]ACTA PARCIAL OBRA'!$B$122:$X$536,20,0)</f>
        <v>0</v>
      </c>
      <c r="AB291" s="319">
        <f t="shared" si="58"/>
        <v>0</v>
      </c>
      <c r="AC291" s="319">
        <v>0</v>
      </c>
      <c r="AD291" s="514">
        <f t="shared" si="60"/>
        <v>0</v>
      </c>
      <c r="AE291" s="556">
        <f t="shared" si="59"/>
        <v>0</v>
      </c>
      <c r="AF291" s="557">
        <f t="shared" si="59"/>
        <v>0</v>
      </c>
      <c r="AG291" s="568"/>
      <c r="AH291" s="568"/>
      <c r="AI291" s="568"/>
      <c r="AJ291" s="568"/>
      <c r="AK291" s="568"/>
      <c r="AL291" s="568"/>
      <c r="AM291" s="568"/>
    </row>
    <row r="292" spans="2:39" ht="20.100000000000001" customHeight="1">
      <c r="B292" s="199" t="s">
        <v>471</v>
      </c>
      <c r="C292" s="200"/>
      <c r="D292" s="200"/>
      <c r="E292" s="200"/>
      <c r="F292" s="311"/>
      <c r="G292" s="311"/>
      <c r="H292" s="311"/>
      <c r="I292" s="214"/>
      <c r="L292" s="201">
        <f>L288+L290</f>
        <v>0</v>
      </c>
      <c r="M292" s="158"/>
      <c r="N292" s="202"/>
      <c r="O292" s="203">
        <f>O288+O290</f>
        <v>0</v>
      </c>
      <c r="P292" s="158"/>
      <c r="Q292" s="204"/>
      <c r="R292" s="203">
        <f>ROUND(R290+R288,2)</f>
        <v>0</v>
      </c>
      <c r="S292" s="205"/>
      <c r="T292" s="158"/>
      <c r="U292" s="203">
        <f>+U290+U288</f>
        <v>0</v>
      </c>
      <c r="V292" s="726">
        <f>IF(L292=0,0)+IF(L292&gt;0,U292/L292)</f>
        <v>0</v>
      </c>
      <c r="W292" s="727"/>
      <c r="AA292" s="563">
        <f>VLOOKUP(B292,'[19]ACTA PARCIAL OBRA'!$B$122:$X$536,20,0)</f>
        <v>0</v>
      </c>
      <c r="AB292" s="563">
        <f t="shared" si="58"/>
        <v>0</v>
      </c>
      <c r="AC292" s="563">
        <v>0</v>
      </c>
      <c r="AD292" s="564">
        <f t="shared" si="60"/>
        <v>0</v>
      </c>
      <c r="AE292" s="565" t="str">
        <f t="shared" si="59"/>
        <v>VALOR TOTAL IMPLEMENTACIÓN PAPSO</v>
      </c>
      <c r="AF292" s="566">
        <f t="shared" si="59"/>
        <v>0</v>
      </c>
      <c r="AG292" s="576"/>
      <c r="AH292" s="576"/>
      <c r="AI292" s="576"/>
      <c r="AJ292" s="576"/>
      <c r="AK292" s="576"/>
      <c r="AL292" s="576"/>
      <c r="AM292" s="576"/>
    </row>
    <row r="293" spans="2:39" ht="9.75" customHeight="1">
      <c r="B293" s="199"/>
      <c r="C293" s="200"/>
      <c r="D293" s="200"/>
      <c r="E293" s="200"/>
      <c r="F293" s="311"/>
      <c r="G293" s="311"/>
      <c r="H293" s="311"/>
      <c r="I293" s="214"/>
      <c r="K293" s="98"/>
      <c r="L293" s="207"/>
      <c r="M293" s="158"/>
      <c r="N293" s="202"/>
      <c r="O293" s="157"/>
      <c r="P293" s="158"/>
      <c r="Q293" s="204"/>
      <c r="R293" s="157"/>
      <c r="S293" s="205"/>
      <c r="T293" s="158"/>
      <c r="U293" s="157"/>
      <c r="V293" s="267"/>
      <c r="W293" s="268"/>
      <c r="AA293" s="563">
        <f>VLOOKUP(B293,'[19]ACTA PARCIAL OBRA'!$B$122:$X$536,20,0)</f>
        <v>0</v>
      </c>
      <c r="AB293" s="563">
        <f t="shared" si="58"/>
        <v>0</v>
      </c>
      <c r="AC293" s="563">
        <v>0</v>
      </c>
      <c r="AD293" s="564">
        <f t="shared" si="60"/>
        <v>0</v>
      </c>
      <c r="AE293" s="565">
        <f t="shared" si="59"/>
        <v>0</v>
      </c>
      <c r="AF293" s="566">
        <f t="shared" si="59"/>
        <v>0</v>
      </c>
      <c r="AG293" s="576"/>
      <c r="AH293" s="576"/>
      <c r="AI293" s="576"/>
      <c r="AJ293" s="576"/>
      <c r="AK293" s="576"/>
      <c r="AL293" s="576"/>
      <c r="AM293" s="576"/>
    </row>
    <row r="294" spans="2:39" ht="11.25" customHeight="1">
      <c r="B294" s="199"/>
      <c r="C294" s="200"/>
      <c r="D294" s="200"/>
      <c r="E294" s="200"/>
      <c r="F294" s="311"/>
      <c r="G294" s="311"/>
      <c r="H294" s="311"/>
      <c r="I294" s="214"/>
      <c r="K294" s="98"/>
      <c r="L294" s="255"/>
      <c r="M294" s="158"/>
      <c r="N294" s="202"/>
      <c r="O294" s="157"/>
      <c r="P294" s="158"/>
      <c r="Q294" s="204"/>
      <c r="R294" s="157"/>
      <c r="S294" s="205"/>
      <c r="T294" s="158"/>
      <c r="U294" s="157"/>
      <c r="V294" s="267"/>
      <c r="W294" s="268"/>
      <c r="AA294" s="319">
        <f>VLOOKUP(B294,'[19]ACTA PARCIAL OBRA'!$B$122:$X$536,20,0)</f>
        <v>0</v>
      </c>
      <c r="AB294" s="319">
        <f t="shared" si="58"/>
        <v>0</v>
      </c>
      <c r="AC294" s="319">
        <v>0</v>
      </c>
      <c r="AD294" s="514">
        <f t="shared" si="60"/>
        <v>0</v>
      </c>
      <c r="AE294" s="556">
        <f t="shared" si="59"/>
        <v>0</v>
      </c>
      <c r="AF294" s="557">
        <f t="shared" si="59"/>
        <v>0</v>
      </c>
      <c r="AG294" s="568"/>
      <c r="AH294" s="568"/>
      <c r="AI294" s="568"/>
      <c r="AJ294" s="568"/>
      <c r="AK294" s="568"/>
      <c r="AL294" s="568"/>
      <c r="AM294" s="568"/>
    </row>
    <row r="295" spans="2:39" ht="24.75" customHeight="1">
      <c r="B295" s="199" t="s">
        <v>472</v>
      </c>
      <c r="C295" s="200"/>
      <c r="D295" s="200"/>
      <c r="E295" s="200"/>
      <c r="F295" s="311"/>
      <c r="G295" s="311"/>
      <c r="H295" s="311"/>
      <c r="I295" s="214"/>
      <c r="K295" s="405"/>
      <c r="L295" s="201">
        <f>+L280+L286+L292</f>
        <v>3427718970</v>
      </c>
      <c r="M295" s="158"/>
      <c r="N295" s="202"/>
      <c r="O295" s="203">
        <f>+O286+O280+O292</f>
        <v>65518773.769999996</v>
      </c>
      <c r="P295" s="158"/>
      <c r="Q295" s="204"/>
      <c r="R295" s="203">
        <f>+R286+R280+R292</f>
        <v>48121982.159999996</v>
      </c>
      <c r="S295" s="205"/>
      <c r="T295" s="158"/>
      <c r="U295" s="203">
        <f>+U280+U286+U292</f>
        <v>113640755.93000001</v>
      </c>
      <c r="V295" s="726">
        <f>IF(L295=0,0)+IF(L295&gt;0,U295/L295)</f>
        <v>3.3153463549551149E-2</v>
      </c>
      <c r="W295" s="727"/>
      <c r="AA295" s="563">
        <f>VLOOKUP(B295,'[19]ACTA PARCIAL OBRA'!$B$122:$X$536,20,0)</f>
        <v>2318076889.3600001</v>
      </c>
      <c r="AB295" s="563">
        <f t="shared" si="58"/>
        <v>2269954907.2000003</v>
      </c>
      <c r="AC295" s="563">
        <v>0</v>
      </c>
      <c r="AD295" s="564">
        <f t="shared" si="60"/>
        <v>113640755.93000001</v>
      </c>
      <c r="AE295" s="565" t="str">
        <f t="shared" si="59"/>
        <v>VALOR TOTAL  ESTUDIOS , DISEÑOS , PAPSO,  Y OBRA</v>
      </c>
      <c r="AF295" s="566">
        <f t="shared" si="59"/>
        <v>0</v>
      </c>
      <c r="AG295" s="576"/>
      <c r="AH295" s="576"/>
      <c r="AI295" s="576"/>
      <c r="AJ295" s="576"/>
      <c r="AK295" s="576"/>
      <c r="AL295" s="576"/>
      <c r="AM295" s="576"/>
    </row>
    <row r="296" spans="2:39" ht="9.9499999999999993" customHeight="1">
      <c r="B296" s="199"/>
      <c r="C296" s="200"/>
      <c r="D296" s="200"/>
      <c r="E296" s="200"/>
      <c r="F296" s="200"/>
      <c r="G296" s="200"/>
      <c r="H296" s="200"/>
      <c r="L296" s="207"/>
      <c r="M296" s="158"/>
      <c r="N296" s="202"/>
      <c r="O296" s="184"/>
      <c r="P296" s="158"/>
      <c r="Q296" s="204"/>
      <c r="R296" s="184"/>
      <c r="S296" s="205"/>
      <c r="T296" s="158"/>
      <c r="U296" s="184"/>
      <c r="V296" s="215"/>
      <c r="W296" s="216"/>
      <c r="AA296" s="563">
        <f>VLOOKUP(B296,'[19]ACTA PARCIAL OBRA'!$B$122:$X$536,20,0)</f>
        <v>0</v>
      </c>
      <c r="AB296" s="563">
        <f t="shared" si="58"/>
        <v>0</v>
      </c>
      <c r="AC296" s="563">
        <v>5933495.1200000001</v>
      </c>
      <c r="AD296" s="564">
        <f t="shared" si="60"/>
        <v>-5933495.1200000001</v>
      </c>
      <c r="AE296" s="565">
        <f t="shared" si="59"/>
        <v>0</v>
      </c>
      <c r="AF296" s="566">
        <f t="shared" si="59"/>
        <v>0</v>
      </c>
      <c r="AG296" s="576"/>
      <c r="AH296" s="576"/>
      <c r="AI296" s="576"/>
      <c r="AJ296" s="576"/>
      <c r="AK296" s="576"/>
      <c r="AL296" s="576"/>
      <c r="AM296" s="576"/>
    </row>
    <row r="297" spans="2:39" ht="20.100000000000001" customHeight="1">
      <c r="B297" s="199" t="s">
        <v>473</v>
      </c>
      <c r="C297" s="200"/>
      <c r="D297" s="200"/>
      <c r="E297" s="200"/>
      <c r="F297" s="200"/>
      <c r="G297" s="200"/>
      <c r="H297" s="200"/>
      <c r="L297" s="587">
        <f>+L295-M24</f>
        <v>0</v>
      </c>
      <c r="M297" s="158"/>
      <c r="N297" s="202"/>
      <c r="O297" s="203">
        <f>+O299-O295</f>
        <v>0.23000000417232513</v>
      </c>
      <c r="P297" s="158"/>
      <c r="Q297" s="204"/>
      <c r="R297" s="203">
        <f>+R299-R295</f>
        <v>-0.15999999642372131</v>
      </c>
      <c r="S297" s="205"/>
      <c r="T297" s="158"/>
      <c r="U297" s="203">
        <v>0.06</v>
      </c>
      <c r="V297" s="726">
        <f>IF(L297=0,0)+IF(L297&gt;0,U297/L297)</f>
        <v>0</v>
      </c>
      <c r="W297" s="727"/>
      <c r="AA297" s="563">
        <f>VLOOKUP(B297,'[19]ACTA PARCIAL OBRA'!$B$122:$X$536,20,0)</f>
        <v>0.64</v>
      </c>
      <c r="AB297" s="563">
        <f t="shared" si="58"/>
        <v>0.79999999642372133</v>
      </c>
      <c r="AC297" s="563">
        <v>0</v>
      </c>
      <c r="AD297" s="564">
        <f t="shared" si="60"/>
        <v>0.06</v>
      </c>
      <c r="AE297" s="565" t="str">
        <f t="shared" si="59"/>
        <v xml:space="preserve">VALOR AJUSTE AL PESO </v>
      </c>
      <c r="AF297" s="566">
        <f t="shared" si="59"/>
        <v>0</v>
      </c>
      <c r="AG297" s="576"/>
      <c r="AH297" s="576"/>
      <c r="AI297" s="576"/>
      <c r="AJ297" s="576"/>
      <c r="AK297" s="576"/>
      <c r="AL297" s="576"/>
      <c r="AM297" s="576"/>
    </row>
    <row r="298" spans="2:39" ht="9.9499999999999993" customHeight="1">
      <c r="B298" s="199"/>
      <c r="C298" s="200"/>
      <c r="D298" s="200"/>
      <c r="E298" s="200"/>
      <c r="F298" s="200"/>
      <c r="G298" s="200"/>
      <c r="H298" s="200"/>
      <c r="L298" s="207"/>
      <c r="M298" s="158"/>
      <c r="N298" s="202"/>
      <c r="O298" s="184"/>
      <c r="P298" s="158"/>
      <c r="Q298" s="204"/>
      <c r="R298" s="184"/>
      <c r="S298" s="205"/>
      <c r="T298" s="158"/>
      <c r="U298" s="184"/>
      <c r="V298" s="215"/>
      <c r="W298" s="216"/>
      <c r="AA298" s="563">
        <f>VLOOKUP(B298,'[19]ACTA PARCIAL OBRA'!$B$122:$X$536,20,0)</f>
        <v>0</v>
      </c>
      <c r="AB298" s="563">
        <f t="shared" si="58"/>
        <v>0</v>
      </c>
      <c r="AC298" s="563">
        <v>0</v>
      </c>
      <c r="AD298" s="564">
        <f t="shared" si="60"/>
        <v>0</v>
      </c>
      <c r="AE298" s="565">
        <f t="shared" si="59"/>
        <v>0</v>
      </c>
      <c r="AF298" s="566">
        <f t="shared" si="59"/>
        <v>0</v>
      </c>
      <c r="AG298" s="576"/>
      <c r="AH298" s="576"/>
      <c r="AI298" s="576"/>
      <c r="AJ298" s="576"/>
      <c r="AK298" s="576"/>
      <c r="AL298" s="576"/>
      <c r="AM298" s="576"/>
    </row>
    <row r="299" spans="2:39" ht="20.100000000000001" customHeight="1">
      <c r="B299" s="199" t="s">
        <v>474</v>
      </c>
      <c r="C299" s="200"/>
      <c r="D299" s="200"/>
      <c r="E299" s="200"/>
      <c r="F299" s="311"/>
      <c r="G299" s="311"/>
      <c r="H299" s="311"/>
      <c r="I299" s="214"/>
      <c r="K299" s="405"/>
      <c r="L299" s="207"/>
      <c r="M299" s="158"/>
      <c r="N299" s="202"/>
      <c r="O299" s="217">
        <f>+ROUND(O295,0)</f>
        <v>65518774</v>
      </c>
      <c r="P299" s="158"/>
      <c r="Q299" s="204"/>
      <c r="R299" s="203">
        <f>+ROUND(R295,0)</f>
        <v>48121982</v>
      </c>
      <c r="S299" s="205"/>
      <c r="T299" s="158"/>
      <c r="U299" s="203">
        <f>+U295+U297</f>
        <v>113640755.99000001</v>
      </c>
      <c r="V299" s="726">
        <f>IF(L299=0,0)+IF(L299&gt;0,U299/L299)</f>
        <v>0</v>
      </c>
      <c r="W299" s="727"/>
      <c r="AA299" s="319">
        <f>VLOOKUP(B299,'[19]ACTA PARCIAL OBRA'!$B$122:$X$536,20,0)</f>
        <v>2318076890</v>
      </c>
      <c r="AB299" s="319">
        <f t="shared" si="58"/>
        <v>2269954908</v>
      </c>
      <c r="AC299" s="319">
        <v>0</v>
      </c>
      <c r="AD299" s="514">
        <f t="shared" si="60"/>
        <v>113640755.99000001</v>
      </c>
      <c r="AE299" s="556" t="str">
        <f t="shared" si="59"/>
        <v>VALOR TOTAL  ESTUDIOS , DISEÑOS  Y OBRA AJUSTADA AL PESO</v>
      </c>
      <c r="AF299" s="557">
        <f t="shared" si="59"/>
        <v>0</v>
      </c>
      <c r="AG299" s="568"/>
      <c r="AH299" s="568"/>
      <c r="AI299" s="568"/>
      <c r="AJ299" s="568"/>
      <c r="AK299" s="568"/>
      <c r="AL299" s="568"/>
      <c r="AM299" s="568"/>
    </row>
    <row r="300" spans="2:39" ht="9.9499999999999993" customHeight="1">
      <c r="B300" s="199"/>
      <c r="C300" s="200"/>
      <c r="D300" s="200"/>
      <c r="E300" s="200"/>
      <c r="F300" s="200"/>
      <c r="G300" s="200"/>
      <c r="H300" s="200"/>
      <c r="L300" s="207"/>
      <c r="M300" s="158"/>
      <c r="N300" s="202"/>
      <c r="O300" s="184"/>
      <c r="P300" s="158"/>
      <c r="Q300" s="204"/>
      <c r="R300" s="184"/>
      <c r="S300" s="205"/>
      <c r="T300" s="158"/>
      <c r="U300" s="184"/>
      <c r="V300" s="215"/>
      <c r="W300" s="216"/>
      <c r="AA300" s="319">
        <f>VLOOKUP(B300,'[19]ACTA PARCIAL OBRA'!$B$122:$X$536,20,0)</f>
        <v>0</v>
      </c>
      <c r="AB300" s="319">
        <f t="shared" si="58"/>
        <v>0</v>
      </c>
      <c r="AC300" s="319">
        <v>0</v>
      </c>
      <c r="AD300" s="514">
        <f t="shared" si="60"/>
        <v>0</v>
      </c>
      <c r="AE300" s="556">
        <f t="shared" si="59"/>
        <v>0</v>
      </c>
      <c r="AF300" s="557">
        <f t="shared" si="59"/>
        <v>0</v>
      </c>
      <c r="AG300" s="568"/>
      <c r="AH300" s="568"/>
      <c r="AI300" s="568"/>
      <c r="AJ300" s="568"/>
      <c r="AK300" s="568"/>
      <c r="AL300" s="568"/>
      <c r="AM300" s="568"/>
    </row>
    <row r="301" spans="2:39" ht="20.100000000000001" customHeight="1">
      <c r="B301" s="199" t="s">
        <v>475</v>
      </c>
      <c r="C301" s="200"/>
      <c r="D301" s="200"/>
      <c r="E301" s="200"/>
      <c r="F301" s="218">
        <f>L18</f>
        <v>0.2</v>
      </c>
      <c r="G301" s="219"/>
      <c r="H301" s="200" t="s">
        <v>462</v>
      </c>
      <c r="L301" s="201">
        <f>+F301*L280</f>
        <v>685543794</v>
      </c>
      <c r="M301" s="158"/>
      <c r="N301" s="220">
        <f>IF(L301=0,0,IF(O280=0,0,((0.25*O295)/O280)))</f>
        <v>0.25</v>
      </c>
      <c r="O301" s="217">
        <f>ROUND(O299*$N$301,0)</f>
        <v>16379694</v>
      </c>
      <c r="P301" s="158"/>
      <c r="Q301" s="204"/>
      <c r="R301" s="203">
        <f>ROUND(R299*$N$301,0)</f>
        <v>12030496</v>
      </c>
      <c r="S301" s="205"/>
      <c r="T301" s="158"/>
      <c r="U301" s="203">
        <f>+R301+O301</f>
        <v>28410190</v>
      </c>
      <c r="V301" s="726">
        <f>IF(L301=0,0)+IF(L301&gt;0,U301/L301)</f>
        <v>4.1441830921162125E-2</v>
      </c>
      <c r="W301" s="727"/>
      <c r="X301" s="336"/>
      <c r="AA301" s="319">
        <f>VLOOKUP(B301,'[19]ACTA PARCIAL OBRA'!$B$122:$X$536,20,0)</f>
        <v>567642105</v>
      </c>
      <c r="AB301" s="319">
        <f t="shared" si="58"/>
        <v>555611609</v>
      </c>
      <c r="AC301" s="319">
        <v>0</v>
      </c>
      <c r="AD301" s="514">
        <f t="shared" si="60"/>
        <v>28410190</v>
      </c>
      <c r="AE301" s="556" t="str">
        <f t="shared" si="59"/>
        <v>AMORTIZACION DEL ANTICIPO                       (</v>
      </c>
      <c r="AF301" s="557">
        <f t="shared" si="59"/>
        <v>0</v>
      </c>
      <c r="AG301" s="568"/>
      <c r="AH301" s="568"/>
      <c r="AI301" s="568"/>
      <c r="AJ301" s="568"/>
      <c r="AK301" s="568"/>
      <c r="AL301" s="568"/>
      <c r="AM301" s="568"/>
    </row>
    <row r="302" spans="2:39" ht="9.9499999999999993" customHeight="1">
      <c r="B302" s="199"/>
      <c r="C302" s="200"/>
      <c r="D302" s="200"/>
      <c r="E302" s="200"/>
      <c r="F302" s="200"/>
      <c r="G302" s="200"/>
      <c r="H302" s="200"/>
      <c r="L302" s="207"/>
      <c r="M302" s="158"/>
      <c r="N302" s="202"/>
      <c r="O302" s="184"/>
      <c r="P302" s="158"/>
      <c r="Q302" s="204"/>
      <c r="R302" s="184"/>
      <c r="S302" s="205"/>
      <c r="T302" s="158"/>
      <c r="U302" s="184"/>
      <c r="V302" s="221"/>
      <c r="W302" s="222"/>
      <c r="AA302" s="319">
        <f>VLOOKUP(B302,'[19]ACTA PARCIAL OBRA'!$B$122:$X$536,20,0)</f>
        <v>0</v>
      </c>
      <c r="AB302" s="319">
        <f t="shared" si="58"/>
        <v>0</v>
      </c>
      <c r="AC302" s="319">
        <v>0</v>
      </c>
      <c r="AD302" s="514">
        <f t="shared" si="60"/>
        <v>0</v>
      </c>
      <c r="AE302" s="556">
        <f t="shared" si="59"/>
        <v>0</v>
      </c>
      <c r="AF302" s="557">
        <f t="shared" si="59"/>
        <v>0</v>
      </c>
      <c r="AG302" s="568"/>
      <c r="AH302" s="568"/>
      <c r="AI302" s="568"/>
      <c r="AJ302" s="568"/>
      <c r="AK302" s="568"/>
      <c r="AL302" s="568"/>
      <c r="AM302" s="568"/>
    </row>
    <row r="303" spans="2:39" ht="20.100000000000001" customHeight="1">
      <c r="B303" s="199" t="s">
        <v>476</v>
      </c>
      <c r="C303" s="200"/>
      <c r="D303" s="200"/>
      <c r="E303" s="200"/>
      <c r="F303" s="311"/>
      <c r="G303" s="311"/>
      <c r="H303" s="311"/>
      <c r="I303" s="214"/>
      <c r="L303" s="207"/>
      <c r="M303" s="158"/>
      <c r="N303" s="202"/>
      <c r="O303" s="203">
        <f>+ROUND(O299-O301,2)</f>
        <v>49139080</v>
      </c>
      <c r="P303" s="158"/>
      <c r="Q303" s="204"/>
      <c r="R303" s="203">
        <f>+ROUND(R299-R301,2)</f>
        <v>36091486</v>
      </c>
      <c r="S303" s="205"/>
      <c r="T303" s="158"/>
      <c r="U303" s="203">
        <f>+U299-U301</f>
        <v>85230565.99000001</v>
      </c>
      <c r="V303" s="778">
        <f>IF(L303=0,0)+IF(L303&gt;0,U303/L303)</f>
        <v>0</v>
      </c>
      <c r="W303" s="779"/>
      <c r="AA303" s="319">
        <f>VLOOKUP(B303,'[19]ACTA PARCIAL OBRA'!$B$122:$X$536,20,0)</f>
        <v>1750434785</v>
      </c>
      <c r="AB303" s="319">
        <f t="shared" si="58"/>
        <v>1714343299</v>
      </c>
      <c r="AC303" s="319">
        <v>0</v>
      </c>
      <c r="AD303" s="514">
        <f t="shared" si="60"/>
        <v>85230565.99000001</v>
      </c>
      <c r="AE303" s="556" t="str">
        <f t="shared" si="59"/>
        <v>VALOR TOTAL ACTA</v>
      </c>
      <c r="AF303" s="557">
        <f t="shared" si="59"/>
        <v>0</v>
      </c>
      <c r="AG303" s="568"/>
      <c r="AH303" s="568"/>
      <c r="AI303" s="568"/>
      <c r="AJ303" s="568"/>
      <c r="AK303" s="568"/>
      <c r="AL303" s="568"/>
      <c r="AM303" s="568"/>
    </row>
    <row r="304" spans="2:39" ht="9.9499999999999993" customHeight="1">
      <c r="B304" s="199"/>
      <c r="C304" s="200"/>
      <c r="D304" s="200"/>
      <c r="E304" s="200"/>
      <c r="F304" s="200"/>
      <c r="G304" s="200"/>
      <c r="H304" s="200"/>
      <c r="L304" s="207"/>
      <c r="M304" s="158"/>
      <c r="N304" s="202"/>
      <c r="O304" s="184"/>
      <c r="P304" s="158"/>
      <c r="Q304" s="204"/>
      <c r="R304" s="184"/>
      <c r="S304" s="205"/>
      <c r="T304" s="158"/>
      <c r="U304" s="184"/>
      <c r="V304" s="223"/>
      <c r="W304" s="224"/>
      <c r="AA304" s="319">
        <f>VLOOKUP(B304,'[19]ACTA PARCIAL OBRA'!$B$122:$X$536,20,0)</f>
        <v>0</v>
      </c>
      <c r="AB304" s="319">
        <f t="shared" si="58"/>
        <v>0</v>
      </c>
      <c r="AC304" s="319">
        <v>0</v>
      </c>
      <c r="AD304" s="514">
        <f t="shared" si="60"/>
        <v>0</v>
      </c>
      <c r="AE304" s="556">
        <f t="shared" si="59"/>
        <v>0</v>
      </c>
      <c r="AF304" s="557">
        <f t="shared" si="59"/>
        <v>0</v>
      </c>
      <c r="AG304" s="568"/>
      <c r="AH304" s="568"/>
      <c r="AI304" s="568"/>
      <c r="AJ304" s="568"/>
      <c r="AK304" s="568"/>
      <c r="AL304" s="568"/>
      <c r="AM304" s="568"/>
    </row>
    <row r="305" spans="2:39" ht="12.75" customHeight="1">
      <c r="B305" s="199"/>
      <c r="C305" s="200"/>
      <c r="D305" s="200"/>
      <c r="E305" s="200"/>
      <c r="F305" s="200"/>
      <c r="G305" s="200"/>
      <c r="H305" s="200"/>
      <c r="L305" s="335"/>
      <c r="M305" s="158"/>
      <c r="N305" s="202"/>
      <c r="O305" s="184"/>
      <c r="P305" s="158"/>
      <c r="Q305" s="204"/>
      <c r="R305" s="184"/>
      <c r="S305" s="205"/>
      <c r="T305" s="158"/>
      <c r="U305" s="184"/>
      <c r="V305" s="223"/>
      <c r="W305" s="224"/>
      <c r="AA305" s="319">
        <f>VLOOKUP(B305,'[19]ACTA PARCIAL OBRA'!$B$122:$X$536,20,0)</f>
        <v>0</v>
      </c>
      <c r="AB305" s="319">
        <f t="shared" si="58"/>
        <v>0</v>
      </c>
      <c r="AC305" s="319">
        <v>0</v>
      </c>
      <c r="AD305" s="514">
        <f t="shared" si="60"/>
        <v>0</v>
      </c>
      <c r="AE305" s="556">
        <f t="shared" si="59"/>
        <v>0</v>
      </c>
      <c r="AF305" s="557">
        <f t="shared" si="59"/>
        <v>0</v>
      </c>
      <c r="AG305" s="568"/>
      <c r="AH305" s="568"/>
      <c r="AI305" s="568"/>
      <c r="AJ305" s="568"/>
      <c r="AK305" s="568"/>
      <c r="AL305" s="568"/>
      <c r="AM305" s="568"/>
    </row>
    <row r="306" spans="2:39" ht="20.100000000000001" customHeight="1">
      <c r="B306" s="199" t="s">
        <v>477</v>
      </c>
      <c r="C306" s="200"/>
      <c r="D306" s="200"/>
      <c r="E306" s="200"/>
      <c r="F306" s="200"/>
      <c r="G306" s="200"/>
      <c r="H306" s="200"/>
      <c r="L306" s="337"/>
      <c r="M306" s="158"/>
      <c r="N306" s="202"/>
      <c r="O306" s="225">
        <f>+O295/$L$295</f>
        <v>1.9114394833249705E-2</v>
      </c>
      <c r="P306" s="158"/>
      <c r="Q306" s="204"/>
      <c r="R306" s="225">
        <f>+R295/L295</f>
        <v>1.403906871630144E-2</v>
      </c>
      <c r="S306" s="205"/>
      <c r="T306" s="158"/>
      <c r="U306" s="225">
        <f>+O306+R306</f>
        <v>3.3153463549551149E-2</v>
      </c>
      <c r="V306" s="778"/>
      <c r="W306" s="779"/>
      <c r="AA306" s="319">
        <f>VLOOKUP(B306,'[19]ACTA PARCIAL OBRA'!$B$122:$X$536,20,0)</f>
        <v>0.71559060557668797</v>
      </c>
      <c r="AB306" s="319">
        <f t="shared" si="58"/>
        <v>0.70155153686038652</v>
      </c>
      <c r="AC306" s="319">
        <v>5933495.1200000001</v>
      </c>
      <c r="AD306" s="514">
        <f t="shared" si="60"/>
        <v>-5933495.086846537</v>
      </c>
      <c r="AE306" s="559" t="str">
        <f t="shared" si="59"/>
        <v>PORCENTAJE EJECUTADO PRESENTE ACTA</v>
      </c>
      <c r="AF306" s="560">
        <f t="shared" si="59"/>
        <v>0</v>
      </c>
      <c r="AG306" s="558"/>
      <c r="AH306" s="558"/>
      <c r="AI306" s="558"/>
      <c r="AJ306" s="558"/>
      <c r="AK306" s="558"/>
      <c r="AL306" s="568"/>
      <c r="AM306" s="568"/>
    </row>
    <row r="307" spans="2:39" ht="8.25" customHeight="1">
      <c r="B307" s="199"/>
      <c r="C307" s="200"/>
      <c r="D307" s="200"/>
      <c r="E307" s="200"/>
      <c r="F307" s="200"/>
      <c r="G307" s="200"/>
      <c r="H307" s="200"/>
      <c r="L307" s="335"/>
      <c r="M307" s="158"/>
      <c r="N307" s="202"/>
      <c r="O307" s="184"/>
      <c r="P307" s="158"/>
      <c r="Q307" s="204"/>
      <c r="R307" s="184"/>
      <c r="S307" s="205"/>
      <c r="T307" s="158"/>
      <c r="U307" s="184"/>
      <c r="V307" s="223"/>
      <c r="W307" s="224"/>
      <c r="AA307" s="319">
        <f>VLOOKUP(B307,'[19]ACTA PARCIAL OBRA'!$B$122:$X$536,20,0)</f>
        <v>0</v>
      </c>
      <c r="AB307" s="319">
        <f t="shared" si="58"/>
        <v>0</v>
      </c>
      <c r="AC307" s="319">
        <v>0</v>
      </c>
      <c r="AD307" s="514">
        <f t="shared" si="60"/>
        <v>0</v>
      </c>
      <c r="AE307" s="556">
        <f t="shared" si="59"/>
        <v>0</v>
      </c>
      <c r="AF307" s="557">
        <f t="shared" si="59"/>
        <v>0</v>
      </c>
      <c r="AG307" s="568"/>
      <c r="AH307" s="568"/>
      <c r="AI307" s="568"/>
      <c r="AJ307" s="568"/>
      <c r="AK307" s="568"/>
      <c r="AL307" s="568"/>
      <c r="AM307" s="568"/>
    </row>
    <row r="308" spans="2:39" ht="20.100000000000001" customHeight="1">
      <c r="B308" s="199" t="s">
        <v>478</v>
      </c>
      <c r="C308" s="200"/>
      <c r="D308" s="200"/>
      <c r="E308" s="200"/>
      <c r="F308" s="200"/>
      <c r="G308" s="200"/>
      <c r="H308" s="200"/>
      <c r="L308" s="337"/>
      <c r="M308" s="158"/>
      <c r="N308" s="202"/>
      <c r="O308" s="203">
        <f>+O303</f>
        <v>49139080</v>
      </c>
      <c r="P308" s="158"/>
      <c r="Q308" s="204"/>
      <c r="R308" s="203">
        <f>+R303</f>
        <v>36091486</v>
      </c>
      <c r="S308" s="205"/>
      <c r="T308" s="158"/>
      <c r="U308" s="217">
        <f>+R308+O308</f>
        <v>85230566</v>
      </c>
      <c r="V308" s="778">
        <f>IF(L308=0,0)+IF(L308&gt;0,U308/L308)</f>
        <v>0</v>
      </c>
      <c r="W308" s="779"/>
      <c r="AA308" s="319">
        <f>VLOOKUP(B308,'[19]ACTA PARCIAL OBRA'!$B$122:$X$536,20,0)</f>
        <v>1750434785</v>
      </c>
      <c r="AB308" s="319">
        <f t="shared" si="58"/>
        <v>1714343299</v>
      </c>
      <c r="AC308" s="319">
        <v>0</v>
      </c>
      <c r="AD308" s="514">
        <f t="shared" si="60"/>
        <v>85230566</v>
      </c>
      <c r="AE308" s="556" t="str">
        <f t="shared" si="59"/>
        <v>VALOR A PAGAR AJUSTADO AL PESO</v>
      </c>
      <c r="AF308" s="557">
        <f t="shared" si="59"/>
        <v>0</v>
      </c>
      <c r="AG308" s="568"/>
      <c r="AH308" s="568"/>
      <c r="AI308" s="568"/>
      <c r="AJ308" s="568"/>
      <c r="AK308" s="568"/>
      <c r="AL308" s="568"/>
      <c r="AM308" s="568"/>
    </row>
    <row r="309" spans="2:39" ht="9" customHeight="1">
      <c r="B309" s="226"/>
      <c r="C309" s="227"/>
      <c r="D309" s="228"/>
      <c r="E309" s="228"/>
      <c r="F309" s="228"/>
      <c r="G309" s="228"/>
      <c r="H309" s="227"/>
      <c r="I309" s="338"/>
      <c r="J309" s="339"/>
      <c r="K309" s="340"/>
      <c r="L309" s="229"/>
      <c r="M309" s="60"/>
      <c r="N309" s="230"/>
      <c r="O309" s="231"/>
      <c r="P309" s="60"/>
      <c r="Q309" s="232"/>
      <c r="R309" s="231"/>
      <c r="S309" s="233"/>
      <c r="T309" s="232"/>
      <c r="U309" s="234"/>
      <c r="V309" s="235"/>
      <c r="W309" s="236"/>
      <c r="AA309" s="319">
        <f>VLOOKUP(B309,'[19]ACTA PARCIAL OBRA'!$B$122:$X$536,20,0)</f>
        <v>0</v>
      </c>
      <c r="AB309" s="319">
        <f t="shared" si="58"/>
        <v>0</v>
      </c>
      <c r="AC309" s="319">
        <v>0</v>
      </c>
      <c r="AD309" s="514">
        <f t="shared" si="60"/>
        <v>0</v>
      </c>
      <c r="AE309" s="556">
        <f t="shared" si="59"/>
        <v>0</v>
      </c>
      <c r="AF309" s="557">
        <f t="shared" si="59"/>
        <v>0</v>
      </c>
      <c r="AG309" s="568"/>
      <c r="AH309" s="568"/>
      <c r="AI309" s="568"/>
      <c r="AJ309" s="568"/>
      <c r="AK309" s="568"/>
      <c r="AL309" s="568"/>
      <c r="AM309" s="568"/>
    </row>
    <row r="310" spans="2:39" ht="8.1" customHeight="1">
      <c r="B310" s="60"/>
      <c r="C310" s="165"/>
      <c r="D310" s="165"/>
      <c r="E310" s="165"/>
      <c r="F310" s="165"/>
      <c r="G310" s="165"/>
      <c r="H310" s="165"/>
      <c r="L310" s="165"/>
      <c r="M310" s="165"/>
      <c r="N310" s="237"/>
      <c r="O310" s="165"/>
      <c r="P310" s="165"/>
      <c r="Q310" s="165"/>
      <c r="R310" s="165"/>
      <c r="S310" s="165"/>
      <c r="T310" s="165"/>
      <c r="U310" s="165"/>
      <c r="V310" s="165"/>
      <c r="W310" s="165"/>
      <c r="AA310" s="319">
        <f>VLOOKUP(B310,'[19]ACTA PARCIAL OBRA'!$B$122:$X$536,20,0)</f>
        <v>0</v>
      </c>
      <c r="AB310" s="319">
        <f t="shared" si="58"/>
        <v>0</v>
      </c>
      <c r="AC310" s="319">
        <v>0</v>
      </c>
      <c r="AD310" s="514">
        <f t="shared" si="60"/>
        <v>0</v>
      </c>
      <c r="AE310" s="556">
        <f t="shared" si="59"/>
        <v>0</v>
      </c>
      <c r="AF310" s="557">
        <f t="shared" si="59"/>
        <v>0</v>
      </c>
      <c r="AG310" s="568"/>
      <c r="AH310" s="568"/>
      <c r="AI310" s="568"/>
      <c r="AJ310" s="568"/>
      <c r="AK310" s="568"/>
      <c r="AL310" s="568"/>
      <c r="AM310" s="568"/>
    </row>
    <row r="311" spans="2:39" ht="15.75" customHeight="1">
      <c r="B311" s="238" t="s">
        <v>479</v>
      </c>
      <c r="C311" s="263"/>
      <c r="D311" s="785">
        <f>+L295-U308-L301</f>
        <v>2656944610</v>
      </c>
      <c r="E311" s="786"/>
      <c r="F311" s="263"/>
      <c r="G311" s="263"/>
      <c r="H311" s="263"/>
      <c r="I311" s="341" t="s">
        <v>480</v>
      </c>
      <c r="J311" s="342"/>
      <c r="K311" s="343"/>
      <c r="L311" s="203">
        <f>L301-U301</f>
        <v>657133604</v>
      </c>
      <c r="M311" s="269"/>
      <c r="N311" s="239" t="s">
        <v>102</v>
      </c>
      <c r="O311" s="240"/>
      <c r="P311" s="50"/>
      <c r="Q311" s="96" t="s">
        <v>103</v>
      </c>
      <c r="R311" s="97"/>
      <c r="S311" s="195"/>
      <c r="T311" s="97" t="s">
        <v>104</v>
      </c>
      <c r="U311" s="97"/>
      <c r="V311" s="97"/>
      <c r="W311" s="95"/>
      <c r="AA311" s="319" t="e">
        <f>VLOOKUP(B311,'[19]ACTA PARCIAL OBRA'!$B$122:$X$536,20,0)</f>
        <v>#REF!</v>
      </c>
      <c r="AB311" s="319" t="e">
        <f t="shared" si="58"/>
        <v>#REF!</v>
      </c>
      <c r="AC311" s="319">
        <v>0</v>
      </c>
      <c r="AD311" s="514">
        <f t="shared" si="60"/>
        <v>0</v>
      </c>
      <c r="AE311" s="556" t="str">
        <f t="shared" si="59"/>
        <v>SALDO DEL CONTRATO</v>
      </c>
      <c r="AF311" s="557">
        <f t="shared" si="59"/>
        <v>0</v>
      </c>
      <c r="AG311" s="568"/>
      <c r="AH311" s="568"/>
      <c r="AI311" s="568"/>
      <c r="AJ311" s="568"/>
      <c r="AK311" s="568"/>
      <c r="AL311" s="568"/>
      <c r="AM311" s="568"/>
    </row>
    <row r="312" spans="2:39" ht="17.45" customHeight="1">
      <c r="B312" s="206"/>
      <c r="C312" s="50"/>
      <c r="D312" s="50"/>
      <c r="E312" s="50"/>
      <c r="F312" s="50"/>
      <c r="G312" s="50"/>
      <c r="H312" s="50"/>
      <c r="K312" s="344"/>
      <c r="L312" s="50"/>
      <c r="M312" s="50"/>
      <c r="N312" s="80"/>
      <c r="O312" s="50"/>
      <c r="P312" s="50"/>
      <c r="Q312" s="50"/>
      <c r="R312" s="50"/>
      <c r="S312" s="50"/>
      <c r="T312" s="50"/>
      <c r="U312" s="50"/>
      <c r="V312" s="50"/>
      <c r="W312" s="191"/>
      <c r="AA312" s="319">
        <f>VLOOKUP(B312,'[19]ACTA PARCIAL OBRA'!$B$122:$X$536,20,0)</f>
        <v>0</v>
      </c>
      <c r="AB312" s="319">
        <f t="shared" si="58"/>
        <v>0</v>
      </c>
      <c r="AC312" s="319">
        <v>0</v>
      </c>
      <c r="AD312" s="514">
        <f t="shared" si="60"/>
        <v>0</v>
      </c>
      <c r="AE312" s="559">
        <v>8</v>
      </c>
      <c r="AF312" s="560">
        <f t="shared" ref="AF312:AF375" si="61">+C312</f>
        <v>0</v>
      </c>
      <c r="AG312" s="561"/>
      <c r="AH312" s="561"/>
      <c r="AI312" s="561"/>
      <c r="AJ312" s="561"/>
      <c r="AK312" s="562"/>
      <c r="AL312" s="568"/>
      <c r="AM312" s="568"/>
    </row>
    <row r="313" spans="2:39" ht="6" customHeight="1">
      <c r="B313" s="206"/>
      <c r="C313" s="50"/>
      <c r="D313" s="50"/>
      <c r="E313" s="50"/>
      <c r="F313" s="50"/>
      <c r="G313" s="50"/>
      <c r="H313" s="50"/>
      <c r="K313" s="344"/>
      <c r="L313" s="50"/>
      <c r="M313" s="50"/>
      <c r="N313" s="80"/>
      <c r="O313" s="50"/>
      <c r="P313" s="50"/>
      <c r="Q313" s="50"/>
      <c r="R313" s="50"/>
      <c r="S313" s="50"/>
      <c r="T313" s="50"/>
      <c r="U313" s="50"/>
      <c r="V313" s="50"/>
      <c r="W313" s="241"/>
      <c r="AA313" s="319">
        <f>VLOOKUP(B313,'[19]ACTA PARCIAL OBRA'!$B$122:$X$536,20,0)</f>
        <v>0</v>
      </c>
      <c r="AB313" s="319">
        <f t="shared" si="58"/>
        <v>0</v>
      </c>
      <c r="AC313" s="319">
        <v>0</v>
      </c>
      <c r="AD313" s="514">
        <f t="shared" si="60"/>
        <v>0</v>
      </c>
      <c r="AE313" s="556">
        <f t="shared" ref="AE313:AF376" si="62">+B313</f>
        <v>0</v>
      </c>
      <c r="AF313" s="557">
        <f t="shared" si="61"/>
        <v>0</v>
      </c>
      <c r="AG313" s="568"/>
      <c r="AH313" s="568"/>
      <c r="AI313" s="568"/>
      <c r="AJ313" s="568"/>
      <c r="AK313" s="568"/>
      <c r="AL313" s="568"/>
      <c r="AM313" s="568"/>
    </row>
    <row r="314" spans="2:39" ht="36" hidden="1">
      <c r="B314" s="783" t="s">
        <v>481</v>
      </c>
      <c r="C314" s="784"/>
      <c r="D314" s="784"/>
      <c r="E314" s="784"/>
      <c r="F314" s="784"/>
      <c r="G314" s="784"/>
      <c r="H314" s="784"/>
      <c r="I314" s="784"/>
      <c r="J314" s="784"/>
      <c r="K314" s="784"/>
      <c r="L314" s="784"/>
      <c r="M314" s="784"/>
      <c r="N314" s="784"/>
      <c r="O314" s="784"/>
      <c r="P314" s="784"/>
      <c r="Q314" s="784"/>
      <c r="R314" s="37"/>
      <c r="S314" s="60"/>
      <c r="T314" s="60"/>
      <c r="U314" s="60"/>
      <c r="V314" s="60"/>
      <c r="W314" s="242"/>
      <c r="AA314" s="319" t="e">
        <f>VLOOKUP(B314,'[19]ACTA PARCIAL OBRA'!$B$122:$X$536,20,0)</f>
        <v>#REF!</v>
      </c>
      <c r="AB314" s="319" t="e">
        <f t="shared" si="58"/>
        <v>#REF!</v>
      </c>
      <c r="AC314" s="319">
        <v>0</v>
      </c>
      <c r="AD314" s="514">
        <f t="shared" si="60"/>
        <v>0</v>
      </c>
      <c r="AE314" s="556" t="str">
        <f t="shared" si="62"/>
        <v xml:space="preserve"> RESUMEN PRESENTE ACTA POR TIPOS DE PAGO</v>
      </c>
      <c r="AF314" s="557">
        <f t="shared" si="61"/>
        <v>0</v>
      </c>
      <c r="AG314" s="568"/>
      <c r="AH314" s="568"/>
      <c r="AI314" s="568"/>
      <c r="AJ314" s="568"/>
      <c r="AK314" s="568"/>
      <c r="AL314" s="568"/>
      <c r="AM314" s="568"/>
    </row>
    <row r="315" spans="2:39" ht="26.45" customHeight="1">
      <c r="B315" s="272" t="s">
        <v>482</v>
      </c>
      <c r="C315" s="755" t="s">
        <v>483</v>
      </c>
      <c r="D315" s="756"/>
      <c r="E315" s="757"/>
      <c r="F315" s="780" t="s">
        <v>484</v>
      </c>
      <c r="G315" s="781"/>
      <c r="H315" s="781"/>
      <c r="I315" s="781"/>
      <c r="J315" s="782"/>
      <c r="K315" s="38" t="s">
        <v>485</v>
      </c>
      <c r="L315" s="787" t="s">
        <v>486</v>
      </c>
      <c r="M315" s="787"/>
      <c r="N315" s="39" t="s">
        <v>487</v>
      </c>
      <c r="O315" s="755" t="s">
        <v>488</v>
      </c>
      <c r="P315" s="757"/>
      <c r="Q315" s="754" t="s">
        <v>489</v>
      </c>
      <c r="R315" s="754"/>
      <c r="S315" s="60"/>
      <c r="T315" s="60"/>
      <c r="U315" s="60"/>
      <c r="V315" s="60"/>
      <c r="W315" s="242"/>
      <c r="AA315" s="319" t="e">
        <f>VLOOKUP(B315,'[19]ACTA PARCIAL OBRA'!$B$122:$X$536,20,0)</f>
        <v>#REF!</v>
      </c>
      <c r="AB315" s="319" t="e">
        <f t="shared" si="58"/>
        <v>#REF!</v>
      </c>
      <c r="AC315" s="319">
        <v>0</v>
      </c>
      <c r="AD315" s="514">
        <f t="shared" si="60"/>
        <v>0</v>
      </c>
      <c r="AE315" s="556" t="str">
        <f t="shared" si="62"/>
        <v>No.</v>
      </c>
      <c r="AF315" s="557" t="str">
        <f t="shared" si="61"/>
        <v>TIPO DE PAGO</v>
      </c>
      <c r="AG315" s="568"/>
      <c r="AH315" s="568"/>
      <c r="AI315" s="568"/>
      <c r="AJ315" s="568"/>
      <c r="AK315" s="568"/>
      <c r="AL315" s="568"/>
      <c r="AM315" s="568"/>
    </row>
    <row r="316" spans="2:39" ht="21.75" customHeight="1">
      <c r="B316" s="48">
        <v>1</v>
      </c>
      <c r="C316" s="728" t="s">
        <v>490</v>
      </c>
      <c r="D316" s="729"/>
      <c r="E316" s="730"/>
      <c r="F316" s="746" t="s">
        <v>491</v>
      </c>
      <c r="G316" s="732"/>
      <c r="H316" s="732"/>
      <c r="I316" s="732"/>
      <c r="J316" s="733"/>
      <c r="K316" s="40">
        <f>O64*1.19</f>
        <v>0</v>
      </c>
      <c r="L316" s="741">
        <v>0</v>
      </c>
      <c r="M316" s="742"/>
      <c r="N316" s="41">
        <f>ROUND((IFERROR(+K316+L316,"")),0)</f>
        <v>0</v>
      </c>
      <c r="O316" s="741">
        <v>0</v>
      </c>
      <c r="P316" s="742"/>
      <c r="Q316" s="741">
        <f>IFERROR(+N316-O316,0)</f>
        <v>0</v>
      </c>
      <c r="R316" s="742"/>
      <c r="S316" s="60"/>
      <c r="T316" s="243">
        <f>+O299*0.25</f>
        <v>16379693.5</v>
      </c>
      <c r="U316" s="60"/>
      <c r="V316" s="60"/>
      <c r="W316" s="242"/>
      <c r="AA316" s="319" t="e">
        <f>VLOOKUP(B316,'[19]ACTA PARCIAL OBRA'!$B$122:$X$536,20,0)</f>
        <v>#REF!</v>
      </c>
      <c r="AB316" s="319" t="e">
        <f t="shared" si="58"/>
        <v>#REF!</v>
      </c>
      <c r="AC316" s="319">
        <v>0</v>
      </c>
      <c r="AD316" s="514">
        <f t="shared" si="60"/>
        <v>0</v>
      </c>
      <c r="AE316" s="556">
        <f t="shared" si="62"/>
        <v>1</v>
      </c>
      <c r="AF316" s="557" t="str">
        <f t="shared" si="61"/>
        <v>B-OBRA - PRIMER PAGO ESTUDIOS Y DISEÑOS 90%</v>
      </c>
      <c r="AG316" s="568"/>
      <c r="AH316" s="568"/>
      <c r="AI316" s="568"/>
      <c r="AJ316" s="568"/>
      <c r="AK316" s="568"/>
      <c r="AL316" s="568"/>
      <c r="AM316" s="568"/>
    </row>
    <row r="317" spans="2:39" ht="21.75" customHeight="1">
      <c r="B317" s="48">
        <v>2</v>
      </c>
      <c r="C317" s="743" t="s">
        <v>492</v>
      </c>
      <c r="D317" s="744"/>
      <c r="E317" s="745"/>
      <c r="F317" s="731" t="s">
        <v>491</v>
      </c>
      <c r="G317" s="732"/>
      <c r="H317" s="732"/>
      <c r="I317" s="732"/>
      <c r="J317" s="733"/>
      <c r="K317" s="40">
        <f>(O55+O230)*1.19</f>
        <v>0</v>
      </c>
      <c r="L317" s="741">
        <v>0</v>
      </c>
      <c r="M317" s="742"/>
      <c r="N317" s="41">
        <f>ROUND((IFERROR(+K317+L317,"")),0)</f>
        <v>0</v>
      </c>
      <c r="O317" s="741">
        <v>0</v>
      </c>
      <c r="P317" s="742"/>
      <c r="Q317" s="741">
        <f>IFERROR(+N317-O317,0)</f>
        <v>0</v>
      </c>
      <c r="R317" s="742"/>
      <c r="S317" s="60"/>
      <c r="T317" s="243"/>
      <c r="U317" s="60"/>
      <c r="V317" s="60"/>
      <c r="W317" s="242"/>
      <c r="AA317" s="319">
        <f>VLOOKUP(B317,'[19]ACTA PARCIAL OBRA'!$B$122:$X$536,20,0)</f>
        <v>0</v>
      </c>
      <c r="AB317" s="319">
        <f t="shared" si="58"/>
        <v>0</v>
      </c>
      <c r="AC317" s="319">
        <v>0</v>
      </c>
      <c r="AD317" s="514">
        <f t="shared" si="60"/>
        <v>0</v>
      </c>
      <c r="AE317" s="556">
        <f t="shared" si="62"/>
        <v>2</v>
      </c>
      <c r="AF317" s="557" t="str">
        <f t="shared" si="61"/>
        <v>B-OBRA - AVANCE F2 90%</v>
      </c>
      <c r="AG317" s="568"/>
      <c r="AH317" s="568"/>
      <c r="AI317" s="568"/>
      <c r="AJ317" s="568"/>
      <c r="AK317" s="568"/>
      <c r="AL317" s="568"/>
      <c r="AM317" s="568"/>
    </row>
    <row r="318" spans="2:39" ht="21.75" customHeight="1">
      <c r="B318" s="48"/>
      <c r="C318" s="743" t="s">
        <v>492</v>
      </c>
      <c r="D318" s="744"/>
      <c r="E318" s="745"/>
      <c r="F318" s="731" t="s">
        <v>493</v>
      </c>
      <c r="G318" s="732"/>
      <c r="H318" s="732"/>
      <c r="I318" s="732"/>
      <c r="J318" s="733"/>
      <c r="K318" s="40">
        <f>+O71*1.19</f>
        <v>0</v>
      </c>
      <c r="L318" s="741">
        <v>0</v>
      </c>
      <c r="M318" s="742"/>
      <c r="N318" s="41">
        <f>ROUND((IFERROR(+K318+L318,"")),0)</f>
        <v>0</v>
      </c>
      <c r="O318" s="741">
        <v>0</v>
      </c>
      <c r="P318" s="742"/>
      <c r="Q318" s="741">
        <f>IFERROR(+N318-O318,0)</f>
        <v>0</v>
      </c>
      <c r="R318" s="742"/>
      <c r="S318" s="60"/>
      <c r="T318" s="256"/>
      <c r="U318" s="60"/>
      <c r="V318" s="60"/>
      <c r="W318" s="242"/>
      <c r="AA318" s="319">
        <f>VLOOKUP(B318,'[19]ACTA PARCIAL OBRA'!$B$122:$X$536,20,0)</f>
        <v>0</v>
      </c>
      <c r="AB318" s="319">
        <f t="shared" si="58"/>
        <v>0</v>
      </c>
      <c r="AC318" s="319">
        <v>0</v>
      </c>
      <c r="AD318" s="514">
        <f t="shared" si="60"/>
        <v>0</v>
      </c>
      <c r="AE318" s="556">
        <f t="shared" si="62"/>
        <v>0</v>
      </c>
      <c r="AF318" s="557" t="str">
        <f t="shared" si="61"/>
        <v>B-OBRA - AVANCE F2 90%</v>
      </c>
      <c r="AG318" s="568"/>
      <c r="AH318" s="568"/>
      <c r="AI318" s="568"/>
      <c r="AJ318" s="568"/>
      <c r="AK318" s="568"/>
      <c r="AL318" s="568"/>
      <c r="AM318" s="568"/>
    </row>
    <row r="319" spans="2:39" ht="21.75" customHeight="1">
      <c r="B319" s="48">
        <v>3</v>
      </c>
      <c r="C319" s="775" t="s">
        <v>492</v>
      </c>
      <c r="D319" s="776"/>
      <c r="E319" s="777"/>
      <c r="F319" s="746" t="s">
        <v>494</v>
      </c>
      <c r="G319" s="732"/>
      <c r="H319" s="732"/>
      <c r="I319" s="732"/>
      <c r="J319" s="733"/>
      <c r="K319" s="40">
        <f>O270</f>
        <v>50399056.75</v>
      </c>
      <c r="L319" s="741">
        <f>K319*$I$276</f>
        <v>15119717.024999997</v>
      </c>
      <c r="M319" s="742"/>
      <c r="N319" s="41">
        <f>ROUND((IFERROR(+K319+L319,"")),0)</f>
        <v>65518774</v>
      </c>
      <c r="O319" s="741">
        <f>O301</f>
        <v>16379694</v>
      </c>
      <c r="P319" s="742"/>
      <c r="Q319" s="741">
        <f>IFERROR(+N319-O319,0)</f>
        <v>49139080</v>
      </c>
      <c r="R319" s="742"/>
      <c r="S319" s="60"/>
      <c r="T319" s="60"/>
      <c r="U319" s="60"/>
      <c r="V319" s="60"/>
      <c r="W319" s="242"/>
      <c r="AA319" s="319">
        <f>VLOOKUP(B319,'[19]ACTA PARCIAL OBRA'!$B$122:$X$536,20,0)</f>
        <v>0</v>
      </c>
      <c r="AB319" s="319">
        <f t="shared" si="58"/>
        <v>0</v>
      </c>
      <c r="AC319" s="319">
        <v>1854583.5</v>
      </c>
      <c r="AD319" s="514">
        <f t="shared" si="60"/>
        <v>-1854583.5</v>
      </c>
      <c r="AE319" s="556">
        <f t="shared" si="62"/>
        <v>3</v>
      </c>
      <c r="AF319" s="557" t="str">
        <f t="shared" si="61"/>
        <v>B-OBRA - AVANCE F2 90%</v>
      </c>
      <c r="AG319" s="568"/>
      <c r="AH319" s="568"/>
      <c r="AI319" s="568"/>
      <c r="AJ319" s="568"/>
      <c r="AK319" s="568"/>
      <c r="AL319" s="568"/>
      <c r="AM319" s="568"/>
    </row>
    <row r="320" spans="2:39" ht="19.5" customHeight="1">
      <c r="B320" s="48">
        <v>3</v>
      </c>
      <c r="C320" s="761" t="s">
        <v>495</v>
      </c>
      <c r="D320" s="762"/>
      <c r="E320" s="763"/>
      <c r="F320" s="746" t="s">
        <v>496</v>
      </c>
      <c r="G320" s="732"/>
      <c r="H320" s="732"/>
      <c r="I320" s="732"/>
      <c r="J320" s="733"/>
      <c r="K320" s="40">
        <v>0</v>
      </c>
      <c r="L320" s="741">
        <f>K320*$I$276</f>
        <v>0</v>
      </c>
      <c r="M320" s="742"/>
      <c r="N320" s="41">
        <f>ROUND((IFERROR(+K320+L320,"")),0)</f>
        <v>0</v>
      </c>
      <c r="O320" s="741"/>
      <c r="P320" s="742"/>
      <c r="Q320" s="741">
        <f>IFERROR(+N320-O320,0)</f>
        <v>0</v>
      </c>
      <c r="R320" s="742"/>
      <c r="S320" s="60"/>
      <c r="T320" s="60"/>
      <c r="U320" s="60"/>
      <c r="V320" s="60"/>
      <c r="W320" s="242"/>
      <c r="AA320" s="319">
        <f>VLOOKUP(B320,'[19]ACTA PARCIAL OBRA'!$B$122:$X$536,20,0)</f>
        <v>0</v>
      </c>
      <c r="AB320" s="319">
        <f t="shared" si="58"/>
        <v>0</v>
      </c>
      <c r="AC320" s="319">
        <v>84780.75</v>
      </c>
      <c r="AD320" s="514">
        <f t="shared" si="60"/>
        <v>-84780.75</v>
      </c>
      <c r="AE320" s="556">
        <f t="shared" si="62"/>
        <v>3</v>
      </c>
      <c r="AF320" s="557" t="str">
        <f t="shared" si="61"/>
        <v>B-OBRA - LIQUIDACIÓN F2 10%</v>
      </c>
      <c r="AG320" s="568"/>
      <c r="AH320" s="568"/>
      <c r="AI320" s="568"/>
      <c r="AJ320" s="568"/>
      <c r="AK320" s="568"/>
      <c r="AL320" s="568"/>
      <c r="AM320" s="568"/>
    </row>
    <row r="321" spans="2:39" ht="21.75" customHeight="1">
      <c r="B321" s="758" t="s">
        <v>497</v>
      </c>
      <c r="C321" s="758"/>
      <c r="D321" s="758"/>
      <c r="E321" s="758"/>
      <c r="F321" s="758"/>
      <c r="G321" s="758"/>
      <c r="H321" s="758"/>
      <c r="I321" s="758"/>
      <c r="J321" s="758"/>
      <c r="K321" s="406">
        <f>ROUND(SUM(K316:K320),0)</f>
        <v>50399057</v>
      </c>
      <c r="L321" s="759">
        <f>ROUND(SUM(L316:M320),0)</f>
        <v>15119717</v>
      </c>
      <c r="M321" s="760"/>
      <c r="N321" s="406">
        <f>ROUND(SUM(N316:N320),0)</f>
        <v>65518774</v>
      </c>
      <c r="O321" s="759">
        <f>ROUND(SUM(O316:O320),0)</f>
        <v>16379694</v>
      </c>
      <c r="P321" s="760"/>
      <c r="Q321" s="759">
        <f>ROUND(SUM(Q316:R320),0)</f>
        <v>49139080</v>
      </c>
      <c r="R321" s="760"/>
      <c r="S321" s="60"/>
      <c r="T321" s="60"/>
      <c r="U321" s="60"/>
      <c r="V321" s="60"/>
      <c r="W321" s="242"/>
      <c r="AA321" s="319" t="e">
        <f>VLOOKUP(B321,'[19]ACTA PARCIAL OBRA'!$B$122:$X$536,20,0)</f>
        <v>#REF!</v>
      </c>
      <c r="AB321" s="319" t="e">
        <f t="shared" si="58"/>
        <v>#REF!</v>
      </c>
      <c r="AC321" s="319">
        <v>14752155</v>
      </c>
      <c r="AD321" s="514">
        <f t="shared" si="60"/>
        <v>-14752155</v>
      </c>
      <c r="AE321" s="559" t="str">
        <f t="shared" si="62"/>
        <v>TOTALES</v>
      </c>
      <c r="AF321" s="560">
        <f t="shared" si="61"/>
        <v>0</v>
      </c>
      <c r="AG321" s="561"/>
      <c r="AH321" s="561"/>
      <c r="AI321" s="561"/>
      <c r="AJ321" s="561"/>
      <c r="AK321" s="562"/>
      <c r="AL321" s="568"/>
      <c r="AM321" s="568"/>
    </row>
    <row r="322" spans="2:39">
      <c r="B322" s="42"/>
      <c r="C322" s="408"/>
      <c r="D322" s="408"/>
      <c r="E322" s="408"/>
      <c r="F322" s="408"/>
      <c r="G322" s="408"/>
      <c r="H322" s="408"/>
      <c r="I322" s="408"/>
      <c r="J322" s="408"/>
      <c r="K322" s="43"/>
      <c r="L322" s="44"/>
      <c r="M322" s="44"/>
      <c r="N322" s="43"/>
      <c r="O322" s="44"/>
      <c r="P322" s="44"/>
      <c r="Q322" s="45"/>
      <c r="R322" s="46"/>
      <c r="S322" s="60"/>
      <c r="T322" s="60"/>
      <c r="U322" s="60"/>
      <c r="V322" s="60"/>
      <c r="W322" s="242"/>
      <c r="AA322" s="319">
        <f>VLOOKUP(B322,'[19]ACTA PARCIAL OBRA'!$B$122:$X$536,20,0)</f>
        <v>0</v>
      </c>
      <c r="AB322" s="319">
        <f t="shared" si="58"/>
        <v>0</v>
      </c>
      <c r="AC322" s="319">
        <v>0</v>
      </c>
      <c r="AD322" s="514">
        <f t="shared" si="60"/>
        <v>0</v>
      </c>
      <c r="AE322" s="556">
        <f t="shared" si="62"/>
        <v>0</v>
      </c>
      <c r="AF322" s="557">
        <f t="shared" si="61"/>
        <v>0</v>
      </c>
      <c r="AG322" s="568"/>
      <c r="AH322" s="568"/>
      <c r="AI322" s="568"/>
      <c r="AJ322" s="568"/>
      <c r="AK322" s="568"/>
      <c r="AL322" s="568"/>
      <c r="AM322" s="568"/>
    </row>
    <row r="323" spans="2:39" ht="24" customHeight="1">
      <c r="B323" s="42"/>
      <c r="C323" s="748" t="s">
        <v>498</v>
      </c>
      <c r="D323" s="748"/>
      <c r="E323" s="748"/>
      <c r="F323" s="748" t="s">
        <v>499</v>
      </c>
      <c r="G323" s="748"/>
      <c r="H323" s="748"/>
      <c r="I323" s="748"/>
      <c r="J323" s="748"/>
      <c r="K323" s="47">
        <f>O230</f>
        <v>0</v>
      </c>
      <c r="L323" s="741">
        <f>K323*$I$276</f>
        <v>0</v>
      </c>
      <c r="M323" s="742"/>
      <c r="N323" s="41">
        <f>IFERROR(+K323+L323,"")</f>
        <v>0</v>
      </c>
      <c r="O323" s="752">
        <v>0</v>
      </c>
      <c r="P323" s="753"/>
      <c r="Q323" s="741">
        <f>IFERROR(+N323-O323,0)</f>
        <v>0</v>
      </c>
      <c r="R323" s="742"/>
      <c r="S323" s="60"/>
      <c r="T323" s="60"/>
      <c r="U323" s="60"/>
      <c r="V323" s="60"/>
      <c r="W323" s="242"/>
      <c r="AA323" s="319">
        <f>VLOOKUP(B323,'[19]ACTA PARCIAL OBRA'!$B$122:$X$536,20,0)</f>
        <v>0</v>
      </c>
      <c r="AB323" s="319">
        <f t="shared" si="58"/>
        <v>0</v>
      </c>
      <c r="AC323" s="319">
        <v>7639012</v>
      </c>
      <c r="AD323" s="514">
        <f t="shared" si="60"/>
        <v>-7639012</v>
      </c>
      <c r="AE323" s="556">
        <f t="shared" si="62"/>
        <v>0</v>
      </c>
      <c r="AF323" s="557" t="str">
        <f t="shared" si="61"/>
        <v>Obras complementarias</v>
      </c>
      <c r="AG323" s="568"/>
      <c r="AH323" s="568"/>
      <c r="AI323" s="568"/>
      <c r="AJ323" s="568"/>
      <c r="AK323" s="568"/>
      <c r="AL323" s="568"/>
      <c r="AM323" s="568"/>
    </row>
    <row r="324" spans="2:39" ht="24" customHeight="1">
      <c r="B324" s="42"/>
      <c r="C324" s="748" t="s">
        <v>498</v>
      </c>
      <c r="D324" s="748"/>
      <c r="E324" s="748"/>
      <c r="F324" s="749" t="s">
        <v>430</v>
      </c>
      <c r="G324" s="750"/>
      <c r="H324" s="750"/>
      <c r="I324" s="750"/>
      <c r="J324" s="751"/>
      <c r="K324" s="47">
        <f>O231</f>
        <v>0</v>
      </c>
      <c r="L324" s="741">
        <f>K324*$I$276</f>
        <v>0</v>
      </c>
      <c r="M324" s="742"/>
      <c r="N324" s="41">
        <f>IFERROR(+K324+L324,"")</f>
        <v>0</v>
      </c>
      <c r="O324" s="752">
        <v>0</v>
      </c>
      <c r="P324" s="753"/>
      <c r="Q324" s="741">
        <f>IFERROR(+N324-O324,0)</f>
        <v>0</v>
      </c>
      <c r="R324" s="742"/>
      <c r="S324" s="60"/>
      <c r="T324" s="60"/>
      <c r="U324" s="60"/>
      <c r="V324" s="60"/>
      <c r="W324" s="242"/>
      <c r="AA324" s="319">
        <f>VLOOKUP(B324,'[19]ACTA PARCIAL OBRA'!$B$122:$X$536,20,0)</f>
        <v>0</v>
      </c>
      <c r="AB324" s="319">
        <f t="shared" si="58"/>
        <v>0</v>
      </c>
      <c r="AC324" s="319">
        <v>0</v>
      </c>
      <c r="AD324" s="514">
        <f t="shared" si="60"/>
        <v>0</v>
      </c>
      <c r="AE324" s="556">
        <f t="shared" si="62"/>
        <v>0</v>
      </c>
      <c r="AF324" s="557" t="str">
        <f t="shared" si="61"/>
        <v>Obras complementarias</v>
      </c>
      <c r="AG324" s="568"/>
      <c r="AH324" s="568"/>
      <c r="AI324" s="568"/>
      <c r="AJ324" s="568"/>
      <c r="AK324" s="568"/>
      <c r="AL324" s="568"/>
      <c r="AM324" s="568"/>
    </row>
    <row r="325" spans="2:39" ht="24" customHeight="1">
      <c r="B325" s="42"/>
      <c r="C325" s="748" t="s">
        <v>500</v>
      </c>
      <c r="D325" s="748"/>
      <c r="E325" s="748"/>
      <c r="F325" s="749" t="s">
        <v>501</v>
      </c>
      <c r="G325" s="750"/>
      <c r="H325" s="750"/>
      <c r="I325" s="750"/>
      <c r="J325" s="751"/>
      <c r="K325" s="47">
        <f>O233</f>
        <v>0</v>
      </c>
      <c r="L325" s="741">
        <f>K325*$I$276</f>
        <v>0</v>
      </c>
      <c r="M325" s="742"/>
      <c r="N325" s="41">
        <f>IFERROR(+K325+L325,"")</f>
        <v>0</v>
      </c>
      <c r="O325" s="752">
        <v>0</v>
      </c>
      <c r="P325" s="753"/>
      <c r="Q325" s="741">
        <f>IFERROR(+N325-O325,0)</f>
        <v>0</v>
      </c>
      <c r="R325" s="742"/>
      <c r="S325" s="60"/>
      <c r="T325" s="60"/>
      <c r="U325" s="60"/>
      <c r="V325" s="60"/>
      <c r="W325" s="242"/>
      <c r="AA325" s="319">
        <f>VLOOKUP(B325,'[19]ACTA PARCIAL OBRA'!$B$122:$X$536,20,0)</f>
        <v>0</v>
      </c>
      <c r="AB325" s="319">
        <f t="shared" si="58"/>
        <v>0</v>
      </c>
      <c r="AC325" s="319">
        <v>0</v>
      </c>
      <c r="AD325" s="514">
        <f t="shared" si="60"/>
        <v>0</v>
      </c>
      <c r="AE325" s="556">
        <f t="shared" si="62"/>
        <v>0</v>
      </c>
      <c r="AF325" s="557" t="str">
        <f t="shared" si="61"/>
        <v>Obras de Mejoramiento</v>
      </c>
      <c r="AG325" s="568"/>
      <c r="AH325" s="568"/>
      <c r="AI325" s="568"/>
      <c r="AJ325" s="568"/>
      <c r="AK325" s="568"/>
      <c r="AL325" s="568"/>
      <c r="AM325" s="568"/>
    </row>
    <row r="326" spans="2:39" ht="17.45" customHeight="1">
      <c r="B326" s="199"/>
      <c r="C326" s="165"/>
      <c r="D326" s="165"/>
      <c r="E326" s="165"/>
      <c r="F326" s="165"/>
      <c r="G326" s="165"/>
      <c r="H326" s="165"/>
      <c r="K326" s="344"/>
      <c r="L326" s="165"/>
      <c r="M326" s="60"/>
      <c r="N326" s="177"/>
      <c r="O326" s="60"/>
      <c r="P326" s="60"/>
      <c r="Q326" s="60"/>
      <c r="R326" s="60"/>
      <c r="S326" s="60"/>
      <c r="T326" s="60"/>
      <c r="U326" s="60"/>
      <c r="V326" s="60"/>
      <c r="W326" s="242"/>
      <c r="AA326" s="319">
        <f>VLOOKUP(B326,'[19]ACTA PARCIAL OBRA'!$B$122:$X$536,20,0)</f>
        <v>0</v>
      </c>
      <c r="AB326" s="319">
        <f t="shared" si="58"/>
        <v>0</v>
      </c>
      <c r="AC326" s="319">
        <v>0</v>
      </c>
      <c r="AD326" s="514">
        <f t="shared" si="60"/>
        <v>0</v>
      </c>
      <c r="AE326" s="556">
        <f t="shared" si="62"/>
        <v>0</v>
      </c>
      <c r="AF326" s="557">
        <f t="shared" si="61"/>
        <v>0</v>
      </c>
      <c r="AG326" s="568"/>
      <c r="AH326" s="568"/>
      <c r="AI326" s="568"/>
      <c r="AJ326" s="568"/>
      <c r="AK326" s="568"/>
      <c r="AL326" s="568"/>
      <c r="AM326" s="568"/>
    </row>
    <row r="327" spans="2:39" ht="17.45" customHeight="1">
      <c r="B327" s="199"/>
      <c r="C327" s="165"/>
      <c r="D327" s="165"/>
      <c r="E327" s="165"/>
      <c r="F327" s="165"/>
      <c r="G327" s="165"/>
      <c r="H327" s="165"/>
      <c r="K327" s="344"/>
      <c r="L327" s="165"/>
      <c r="M327" s="60"/>
      <c r="N327" s="177"/>
      <c r="O327" s="60"/>
      <c r="P327" s="60"/>
      <c r="Q327" s="60"/>
      <c r="R327" s="60"/>
      <c r="S327" s="60"/>
      <c r="T327" s="60"/>
      <c r="U327" s="60"/>
      <c r="V327" s="60"/>
      <c r="W327" s="242"/>
      <c r="AA327" s="319">
        <f>VLOOKUP(B327,'[19]ACTA PARCIAL OBRA'!$B$122:$X$536,20,0)</f>
        <v>0</v>
      </c>
      <c r="AB327" s="319">
        <f t="shared" si="58"/>
        <v>0</v>
      </c>
      <c r="AC327" s="319">
        <v>0</v>
      </c>
      <c r="AD327" s="514">
        <f t="shared" si="60"/>
        <v>0</v>
      </c>
      <c r="AE327" s="556">
        <f t="shared" si="62"/>
        <v>0</v>
      </c>
      <c r="AF327" s="557">
        <f t="shared" si="61"/>
        <v>0</v>
      </c>
      <c r="AG327" s="568"/>
      <c r="AH327" s="568"/>
      <c r="AI327" s="568"/>
      <c r="AJ327" s="568"/>
      <c r="AK327" s="568"/>
      <c r="AL327" s="568"/>
      <c r="AM327" s="568"/>
    </row>
    <row r="328" spans="2:39" ht="17.45" customHeight="1">
      <c r="B328" s="199"/>
      <c r="C328" s="409" t="str">
        <f>IF(AND(O286&lt;&gt;0,C316="")," Debe diligenciar el tipo de pago de estudios y diseños conforme a la forma de pago","")</f>
        <v/>
      </c>
      <c r="D328" s="409"/>
      <c r="E328" s="409"/>
      <c r="F328" s="409"/>
      <c r="G328" s="409"/>
      <c r="H328" s="409"/>
      <c r="I328" s="409"/>
      <c r="J328" s="409"/>
      <c r="K328" s="344"/>
      <c r="L328" s="165"/>
      <c r="M328" s="60"/>
      <c r="N328" s="177"/>
      <c r="O328" s="60"/>
      <c r="P328" s="60"/>
      <c r="Q328" s="60"/>
      <c r="R328" s="60"/>
      <c r="S328" s="60"/>
      <c r="T328" s="60"/>
      <c r="U328" s="60"/>
      <c r="V328" s="60"/>
      <c r="W328" s="242"/>
      <c r="AA328" s="319">
        <f>VLOOKUP(B328,'[19]ACTA PARCIAL OBRA'!$B$122:$X$536,20,0)</f>
        <v>0</v>
      </c>
      <c r="AB328" s="319">
        <f t="shared" ref="AB328:AB391" si="63">+AA328-R328</f>
        <v>0</v>
      </c>
      <c r="AC328" s="319">
        <v>0</v>
      </c>
      <c r="AD328" s="514">
        <f t="shared" si="60"/>
        <v>0</v>
      </c>
      <c r="AE328" s="556">
        <f t="shared" si="62"/>
        <v>0</v>
      </c>
      <c r="AF328" s="557" t="str">
        <f t="shared" si="61"/>
        <v/>
      </c>
      <c r="AG328" s="568"/>
      <c r="AH328" s="568"/>
      <c r="AI328" s="568"/>
      <c r="AJ328" s="568"/>
      <c r="AK328" s="568"/>
      <c r="AL328" s="568"/>
      <c r="AM328" s="568"/>
    </row>
    <row r="329" spans="2:39" ht="17.45" customHeight="1">
      <c r="B329" s="199"/>
      <c r="C329" s="165"/>
      <c r="D329" s="165"/>
      <c r="E329" s="165"/>
      <c r="F329" s="165"/>
      <c r="G329" s="165"/>
      <c r="H329" s="165"/>
      <c r="K329" s="344"/>
      <c r="L329" s="165"/>
      <c r="M329" s="60"/>
      <c r="N329" s="177"/>
      <c r="O329" s="177"/>
      <c r="P329" s="60"/>
      <c r="Q329" s="60"/>
      <c r="R329" s="60"/>
      <c r="S329" s="60"/>
      <c r="T329" s="60"/>
      <c r="U329" s="60"/>
      <c r="V329" s="60"/>
      <c r="W329" s="242"/>
      <c r="AA329" s="319">
        <f>VLOOKUP(B329,'[19]ACTA PARCIAL OBRA'!$B$122:$X$536,20,0)</f>
        <v>0</v>
      </c>
      <c r="AB329" s="319">
        <f t="shared" si="63"/>
        <v>0</v>
      </c>
      <c r="AC329" s="319">
        <v>1237629</v>
      </c>
      <c r="AD329" s="514">
        <f t="shared" si="60"/>
        <v>-1237629</v>
      </c>
      <c r="AE329" s="559">
        <f t="shared" si="62"/>
        <v>0</v>
      </c>
      <c r="AF329" s="560">
        <f t="shared" si="61"/>
        <v>0</v>
      </c>
      <c r="AG329" s="561"/>
      <c r="AH329" s="561"/>
      <c r="AI329" s="561"/>
      <c r="AJ329" s="561"/>
      <c r="AK329" s="562"/>
      <c r="AL329" s="568"/>
      <c r="AM329" s="568"/>
    </row>
    <row r="330" spans="2:39" ht="17.45" customHeight="1">
      <c r="B330" s="199"/>
      <c r="C330" s="507"/>
      <c r="D330" s="507"/>
      <c r="E330" s="507"/>
      <c r="F330" s="507"/>
      <c r="G330" s="165"/>
      <c r="H330" s="165"/>
      <c r="K330" s="344"/>
      <c r="L330" s="410"/>
      <c r="M330" s="60"/>
      <c r="N330" s="177"/>
      <c r="O330" s="60"/>
      <c r="P330" s="60"/>
      <c r="Q330" s="60"/>
      <c r="R330" s="507"/>
      <c r="S330" s="507"/>
      <c r="T330" s="507"/>
      <c r="U330" s="507"/>
      <c r="V330" s="60"/>
      <c r="W330" s="242"/>
      <c r="AA330" s="319">
        <f>VLOOKUP(B330,'[19]ACTA PARCIAL OBRA'!$B$122:$X$536,20,0)</f>
        <v>0</v>
      </c>
      <c r="AB330" s="319">
        <f t="shared" si="63"/>
        <v>0</v>
      </c>
      <c r="AC330" s="319">
        <v>0</v>
      </c>
      <c r="AD330" s="514">
        <f t="shared" si="60"/>
        <v>0</v>
      </c>
      <c r="AE330" s="556">
        <f t="shared" si="62"/>
        <v>0</v>
      </c>
      <c r="AF330" s="557">
        <f t="shared" si="61"/>
        <v>0</v>
      </c>
      <c r="AG330" s="568"/>
      <c r="AH330" s="568"/>
      <c r="AI330" s="568"/>
      <c r="AJ330" s="568"/>
      <c r="AK330" s="568"/>
      <c r="AL330" s="568"/>
      <c r="AM330" s="568"/>
    </row>
    <row r="331" spans="2:39" ht="17.45" customHeight="1">
      <c r="B331" s="199"/>
      <c r="C331" s="747" t="s">
        <v>502</v>
      </c>
      <c r="D331" s="747"/>
      <c r="E331" s="747"/>
      <c r="F331" s="747"/>
      <c r="G331" s="165"/>
      <c r="H331" s="165"/>
      <c r="K331" s="344"/>
      <c r="L331" s="411"/>
      <c r="M331" s="60"/>
      <c r="N331" s="177"/>
      <c r="O331" s="177"/>
      <c r="P331" s="60"/>
      <c r="Q331" s="60"/>
      <c r="R331" s="747" t="s">
        <v>503</v>
      </c>
      <c r="S331" s="747"/>
      <c r="T331" s="747"/>
      <c r="U331" s="747"/>
      <c r="V331" s="60"/>
      <c r="W331" s="242"/>
      <c r="AA331" s="319">
        <f>VLOOKUP(B331,'[19]ACTA PARCIAL OBRA'!$B$122:$X$536,20,0)</f>
        <v>0</v>
      </c>
      <c r="AB331" s="319" t="e">
        <f t="shared" si="63"/>
        <v>#VALUE!</v>
      </c>
      <c r="AC331" s="319">
        <v>0</v>
      </c>
      <c r="AD331" s="514">
        <f t="shared" si="60"/>
        <v>0</v>
      </c>
      <c r="AE331" s="556">
        <f t="shared" si="62"/>
        <v>0</v>
      </c>
      <c r="AF331" s="557" t="str">
        <f t="shared" si="61"/>
        <v>HECTOR ADALBERTO ORDOÑEZ ORTIZ</v>
      </c>
      <c r="AG331" s="568"/>
      <c r="AH331" s="568"/>
      <c r="AI331" s="568"/>
      <c r="AJ331" s="568"/>
      <c r="AK331" s="568"/>
      <c r="AL331" s="568"/>
      <c r="AM331" s="568"/>
    </row>
    <row r="332" spans="2:39" ht="17.45" customHeight="1">
      <c r="B332" s="199"/>
      <c r="C332" s="739" t="s">
        <v>504</v>
      </c>
      <c r="D332" s="739"/>
      <c r="E332" s="739"/>
      <c r="F332" s="739"/>
      <c r="G332" s="273"/>
      <c r="I332" s="214"/>
      <c r="K332" s="344"/>
      <c r="M332" s="311"/>
      <c r="O332" s="311"/>
      <c r="Q332" s="311"/>
      <c r="R332" s="739" t="s">
        <v>504</v>
      </c>
      <c r="S332" s="739"/>
      <c r="T332" s="739"/>
      <c r="U332" s="739"/>
      <c r="V332" s="311"/>
      <c r="W332" s="337"/>
      <c r="AA332" s="319">
        <f>VLOOKUP(B332,'[19]ACTA PARCIAL OBRA'!$B$122:$X$536,20,0)</f>
        <v>0</v>
      </c>
      <c r="AB332" s="319" t="e">
        <f t="shared" si="63"/>
        <v>#VALUE!</v>
      </c>
      <c r="AC332" s="319">
        <v>0</v>
      </c>
      <c r="AD332" s="514">
        <f t="shared" si="60"/>
        <v>0</v>
      </c>
      <c r="AE332" s="559">
        <f t="shared" si="62"/>
        <v>0</v>
      </c>
      <c r="AF332" s="560" t="str">
        <f t="shared" si="61"/>
        <v>REPRESENTANTE LEGAL</v>
      </c>
      <c r="AG332" s="561"/>
      <c r="AH332" s="561"/>
      <c r="AI332" s="561"/>
      <c r="AJ332" s="561"/>
      <c r="AK332" s="562"/>
      <c r="AL332" s="568"/>
      <c r="AM332" s="568"/>
    </row>
    <row r="333" spans="2:39" ht="17.45" customHeight="1">
      <c r="B333" s="199"/>
      <c r="C333" s="740" t="s">
        <v>505</v>
      </c>
      <c r="D333" s="740"/>
      <c r="E333" s="740"/>
      <c r="F333" s="740"/>
      <c r="G333" s="93"/>
      <c r="I333" s="214"/>
      <c r="K333" s="344"/>
      <c r="M333" s="311"/>
      <c r="O333" s="311"/>
      <c r="Q333" s="311"/>
      <c r="R333" s="740" t="s">
        <v>506</v>
      </c>
      <c r="S333" s="740"/>
      <c r="T333" s="740"/>
      <c r="U333" s="740"/>
      <c r="V333" s="311"/>
      <c r="W333" s="337"/>
      <c r="AA333" s="319">
        <f>VLOOKUP(B333,'[19]ACTA PARCIAL OBRA'!$B$122:$X$536,20,0)</f>
        <v>0</v>
      </c>
      <c r="AB333" s="319" t="e">
        <f t="shared" si="63"/>
        <v>#VALUE!</v>
      </c>
      <c r="AC333" s="319">
        <v>0</v>
      </c>
      <c r="AD333" s="514">
        <f t="shared" si="60"/>
        <v>0</v>
      </c>
      <c r="AE333" s="556">
        <f t="shared" si="62"/>
        <v>0</v>
      </c>
      <c r="AF333" s="557" t="str">
        <f t="shared" si="61"/>
        <v>CONSORCIO  M&amp;E CANAAN FFIE</v>
      </c>
      <c r="AG333" s="568"/>
      <c r="AH333" s="568"/>
      <c r="AI333" s="568"/>
      <c r="AJ333" s="568"/>
      <c r="AK333" s="568"/>
      <c r="AL333" s="568"/>
      <c r="AM333" s="568"/>
    </row>
    <row r="334" spans="2:39">
      <c r="B334" s="412"/>
      <c r="C334" s="413"/>
      <c r="D334" s="413"/>
      <c r="E334" s="413"/>
      <c r="F334" s="413"/>
      <c r="G334" s="413"/>
      <c r="H334" s="413"/>
      <c r="I334" s="338"/>
      <c r="J334" s="339"/>
      <c r="K334" s="340"/>
      <c r="L334" s="413"/>
      <c r="M334" s="413"/>
      <c r="N334" s="414"/>
      <c r="O334" s="413"/>
      <c r="P334" s="413"/>
      <c r="Q334" s="413"/>
      <c r="R334" s="413"/>
      <c r="S334" s="413"/>
      <c r="T334" s="413"/>
      <c r="U334" s="413"/>
      <c r="V334" s="413"/>
      <c r="W334" s="415"/>
      <c r="AA334" s="319">
        <f>VLOOKUP(B334,'[19]ACTA PARCIAL OBRA'!$B$122:$X$536,20,0)</f>
        <v>0</v>
      </c>
      <c r="AB334" s="319">
        <f t="shared" si="63"/>
        <v>0</v>
      </c>
      <c r="AC334" s="319">
        <v>0</v>
      </c>
      <c r="AD334" s="514">
        <f t="shared" si="60"/>
        <v>0</v>
      </c>
      <c r="AE334" s="556">
        <f t="shared" si="62"/>
        <v>0</v>
      </c>
      <c r="AF334" s="557">
        <f t="shared" si="61"/>
        <v>0</v>
      </c>
      <c r="AG334" s="568"/>
      <c r="AH334" s="568"/>
      <c r="AI334" s="568"/>
      <c r="AJ334" s="568"/>
      <c r="AK334" s="568"/>
      <c r="AL334" s="568"/>
      <c r="AM334" s="568"/>
    </row>
    <row r="335" spans="2:39">
      <c r="AA335" s="319">
        <f>VLOOKUP(B335,'[19]ACTA PARCIAL OBRA'!$B$122:$X$536,20,0)</f>
        <v>0</v>
      </c>
      <c r="AB335" s="319">
        <f t="shared" si="63"/>
        <v>0</v>
      </c>
      <c r="AC335" s="319">
        <v>0</v>
      </c>
      <c r="AD335" s="514">
        <f t="shared" si="60"/>
        <v>0</v>
      </c>
      <c r="AE335" s="556">
        <f t="shared" si="62"/>
        <v>0</v>
      </c>
      <c r="AF335" s="557">
        <f t="shared" si="61"/>
        <v>0</v>
      </c>
      <c r="AG335" s="568"/>
      <c r="AH335" s="568"/>
      <c r="AI335" s="568"/>
      <c r="AJ335" s="568"/>
      <c r="AK335" s="568"/>
      <c r="AL335" s="568"/>
      <c r="AM335" s="568"/>
    </row>
    <row r="336" spans="2:39">
      <c r="AA336" s="319">
        <f>VLOOKUP(B336,'[19]ACTA PARCIAL OBRA'!$B$122:$X$536,20,0)</f>
        <v>0</v>
      </c>
      <c r="AB336" s="319">
        <f t="shared" si="63"/>
        <v>0</v>
      </c>
      <c r="AC336" s="319">
        <v>0</v>
      </c>
      <c r="AD336" s="514">
        <f t="shared" si="60"/>
        <v>0</v>
      </c>
      <c r="AE336" s="556">
        <f t="shared" si="62"/>
        <v>0</v>
      </c>
      <c r="AF336" s="557">
        <f t="shared" si="61"/>
        <v>0</v>
      </c>
      <c r="AG336" s="568"/>
      <c r="AH336" s="568"/>
      <c r="AI336" s="568"/>
      <c r="AJ336" s="568"/>
      <c r="AK336" s="568"/>
      <c r="AL336" s="568"/>
      <c r="AM336" s="568"/>
    </row>
    <row r="337" spans="15:39">
      <c r="AA337" s="319">
        <f>VLOOKUP(B337,'[19]ACTA PARCIAL OBRA'!$B$122:$X$536,20,0)</f>
        <v>0</v>
      </c>
      <c r="AB337" s="319">
        <f t="shared" si="63"/>
        <v>0</v>
      </c>
      <c r="AC337" s="319">
        <v>0</v>
      </c>
      <c r="AD337" s="514">
        <f t="shared" si="60"/>
        <v>0</v>
      </c>
      <c r="AE337" s="556">
        <f t="shared" si="62"/>
        <v>0</v>
      </c>
      <c r="AF337" s="557">
        <f t="shared" si="61"/>
        <v>0</v>
      </c>
      <c r="AG337" s="568"/>
      <c r="AH337" s="568"/>
      <c r="AI337" s="568"/>
      <c r="AJ337" s="568"/>
      <c r="AK337" s="568"/>
      <c r="AL337" s="568"/>
      <c r="AM337" s="568"/>
    </row>
    <row r="338" spans="15:39">
      <c r="AA338" s="319">
        <f>VLOOKUP(B338,'[19]ACTA PARCIAL OBRA'!$B$122:$X$536,20,0)</f>
        <v>0</v>
      </c>
      <c r="AB338" s="319">
        <f t="shared" si="63"/>
        <v>0</v>
      </c>
      <c r="AC338" s="319">
        <v>0</v>
      </c>
      <c r="AD338" s="514">
        <f t="shared" si="60"/>
        <v>0</v>
      </c>
      <c r="AE338" s="556">
        <f t="shared" si="62"/>
        <v>0</v>
      </c>
      <c r="AF338" s="557">
        <f t="shared" si="61"/>
        <v>0</v>
      </c>
      <c r="AG338" s="568"/>
      <c r="AH338" s="568"/>
      <c r="AI338" s="568"/>
      <c r="AJ338" s="568"/>
      <c r="AK338" s="568"/>
      <c r="AL338" s="568"/>
      <c r="AM338" s="568"/>
    </row>
    <row r="339" spans="15:39">
      <c r="AA339" s="319">
        <f>VLOOKUP(B339,'[19]ACTA PARCIAL OBRA'!$B$122:$X$536,20,0)</f>
        <v>0</v>
      </c>
      <c r="AB339" s="319">
        <f t="shared" si="63"/>
        <v>0</v>
      </c>
      <c r="AC339" s="319">
        <v>0</v>
      </c>
      <c r="AD339" s="514">
        <f t="shared" si="60"/>
        <v>0</v>
      </c>
      <c r="AE339" s="556">
        <f t="shared" si="62"/>
        <v>0</v>
      </c>
      <c r="AF339" s="557">
        <f t="shared" si="61"/>
        <v>0</v>
      </c>
      <c r="AG339" s="568"/>
      <c r="AH339" s="568"/>
      <c r="AI339" s="568"/>
      <c r="AJ339" s="568"/>
      <c r="AK339" s="568"/>
      <c r="AL339" s="568"/>
      <c r="AM339" s="568"/>
    </row>
    <row r="340" spans="15:39">
      <c r="AA340" s="319">
        <f>VLOOKUP(B340,'[19]ACTA PARCIAL OBRA'!$B$122:$X$536,20,0)</f>
        <v>0</v>
      </c>
      <c r="AB340" s="319">
        <f t="shared" si="63"/>
        <v>0</v>
      </c>
      <c r="AC340" s="319">
        <v>0</v>
      </c>
      <c r="AD340" s="514">
        <f t="shared" si="60"/>
        <v>0</v>
      </c>
      <c r="AE340" s="556">
        <f t="shared" si="62"/>
        <v>0</v>
      </c>
      <c r="AF340" s="557">
        <f t="shared" si="61"/>
        <v>0</v>
      </c>
      <c r="AG340" s="568"/>
      <c r="AH340" s="568"/>
      <c r="AI340" s="568"/>
      <c r="AJ340" s="568"/>
      <c r="AK340" s="568"/>
      <c r="AL340" s="568"/>
      <c r="AM340" s="568"/>
    </row>
    <row r="341" spans="15:39">
      <c r="AA341" s="319">
        <f>VLOOKUP(B341,'[19]ACTA PARCIAL OBRA'!$B$122:$X$536,20,0)</f>
        <v>0</v>
      </c>
      <c r="AB341" s="319">
        <f t="shared" si="63"/>
        <v>0</v>
      </c>
      <c r="AC341" s="319">
        <v>0</v>
      </c>
      <c r="AD341" s="514">
        <f t="shared" si="60"/>
        <v>0</v>
      </c>
      <c r="AE341" s="556">
        <f t="shared" si="62"/>
        <v>0</v>
      </c>
      <c r="AF341" s="557">
        <f t="shared" si="61"/>
        <v>0</v>
      </c>
      <c r="AG341" s="568"/>
      <c r="AH341" s="568"/>
      <c r="AI341" s="568"/>
      <c r="AJ341" s="568"/>
      <c r="AK341" s="568"/>
      <c r="AL341" s="568"/>
      <c r="AM341" s="568"/>
    </row>
    <row r="342" spans="15:39">
      <c r="O342" s="345"/>
      <c r="AA342" s="319">
        <f>VLOOKUP(B342,'[19]ACTA PARCIAL OBRA'!$B$122:$X$536,20,0)</f>
        <v>0</v>
      </c>
      <c r="AB342" s="319">
        <f t="shared" si="63"/>
        <v>0</v>
      </c>
      <c r="AC342" s="319">
        <v>0</v>
      </c>
      <c r="AD342" s="514">
        <f t="shared" si="60"/>
        <v>0</v>
      </c>
      <c r="AE342" s="556">
        <f t="shared" si="62"/>
        <v>0</v>
      </c>
      <c r="AF342" s="557">
        <f t="shared" si="61"/>
        <v>0</v>
      </c>
      <c r="AG342" s="568"/>
      <c r="AH342" s="568"/>
      <c r="AI342" s="568"/>
      <c r="AJ342" s="568"/>
      <c r="AK342" s="568"/>
      <c r="AL342" s="568"/>
      <c r="AM342" s="568"/>
    </row>
    <row r="343" spans="15:39">
      <c r="AA343" s="319">
        <f>VLOOKUP(B343,'[19]ACTA PARCIAL OBRA'!$B$122:$X$536,20,0)</f>
        <v>0</v>
      </c>
      <c r="AB343" s="319">
        <f t="shared" si="63"/>
        <v>0</v>
      </c>
      <c r="AC343" s="319">
        <v>0</v>
      </c>
      <c r="AD343" s="514">
        <f t="shared" si="60"/>
        <v>0</v>
      </c>
      <c r="AE343" s="556">
        <f t="shared" si="62"/>
        <v>0</v>
      </c>
      <c r="AF343" s="557">
        <f t="shared" si="61"/>
        <v>0</v>
      </c>
      <c r="AG343" s="568"/>
      <c r="AH343" s="568"/>
      <c r="AI343" s="568"/>
      <c r="AJ343" s="568"/>
      <c r="AK343" s="568"/>
      <c r="AL343" s="568"/>
      <c r="AM343" s="568"/>
    </row>
    <row r="344" spans="15:39">
      <c r="AA344" s="319">
        <f>VLOOKUP(B344,'[19]ACTA PARCIAL OBRA'!$B$122:$X$536,20,0)</f>
        <v>0</v>
      </c>
      <c r="AB344" s="319">
        <f t="shared" si="63"/>
        <v>0</v>
      </c>
      <c r="AC344" s="319">
        <v>0</v>
      </c>
      <c r="AD344" s="514">
        <f t="shared" si="60"/>
        <v>0</v>
      </c>
      <c r="AE344" s="556">
        <f t="shared" si="62"/>
        <v>0</v>
      </c>
      <c r="AF344" s="557">
        <f t="shared" si="61"/>
        <v>0</v>
      </c>
      <c r="AG344" s="568"/>
      <c r="AH344" s="568"/>
      <c r="AI344" s="568"/>
      <c r="AJ344" s="568"/>
      <c r="AK344" s="568"/>
      <c r="AL344" s="568"/>
      <c r="AM344" s="568"/>
    </row>
    <row r="345" spans="15:39">
      <c r="AA345" s="319">
        <f>VLOOKUP(B345,'[19]ACTA PARCIAL OBRA'!$B$122:$X$536,20,0)</f>
        <v>0</v>
      </c>
      <c r="AB345" s="319">
        <f t="shared" si="63"/>
        <v>0</v>
      </c>
      <c r="AC345" s="319">
        <v>0</v>
      </c>
      <c r="AD345" s="514">
        <f t="shared" si="60"/>
        <v>0</v>
      </c>
      <c r="AE345" s="556">
        <f t="shared" si="62"/>
        <v>0</v>
      </c>
      <c r="AF345" s="557">
        <f t="shared" si="61"/>
        <v>0</v>
      </c>
      <c r="AG345" s="568"/>
      <c r="AH345" s="568"/>
      <c r="AI345" s="568"/>
      <c r="AJ345" s="568"/>
      <c r="AK345" s="568"/>
      <c r="AL345" s="568"/>
      <c r="AM345" s="568"/>
    </row>
    <row r="346" spans="15:39">
      <c r="AA346" s="319">
        <f>VLOOKUP(B346,'[19]ACTA PARCIAL OBRA'!$B$122:$X$536,20,0)</f>
        <v>0</v>
      </c>
      <c r="AB346" s="319">
        <f t="shared" si="63"/>
        <v>0</v>
      </c>
      <c r="AC346" s="319">
        <v>0</v>
      </c>
      <c r="AD346" s="514">
        <f t="shared" si="60"/>
        <v>0</v>
      </c>
      <c r="AE346" s="556">
        <f t="shared" si="62"/>
        <v>0</v>
      </c>
      <c r="AF346" s="557">
        <f t="shared" si="61"/>
        <v>0</v>
      </c>
      <c r="AG346" s="568"/>
      <c r="AH346" s="568"/>
      <c r="AI346" s="568"/>
      <c r="AJ346" s="568"/>
      <c r="AK346" s="568"/>
      <c r="AL346" s="568"/>
      <c r="AM346" s="568"/>
    </row>
    <row r="347" spans="15:39">
      <c r="AA347" s="319">
        <f>VLOOKUP(B347,'[19]ACTA PARCIAL OBRA'!$B$122:$X$536,20,0)</f>
        <v>0</v>
      </c>
      <c r="AB347" s="319">
        <f t="shared" si="63"/>
        <v>0</v>
      </c>
      <c r="AC347" s="319">
        <v>502231</v>
      </c>
      <c r="AD347" s="514">
        <f t="shared" si="60"/>
        <v>-502231</v>
      </c>
      <c r="AE347" s="556">
        <f t="shared" si="62"/>
        <v>0</v>
      </c>
      <c r="AF347" s="557">
        <f t="shared" si="61"/>
        <v>0</v>
      </c>
      <c r="AG347" s="568"/>
      <c r="AH347" s="568"/>
      <c r="AI347" s="568"/>
      <c r="AJ347" s="568"/>
      <c r="AK347" s="568"/>
      <c r="AL347" s="568"/>
      <c r="AM347" s="568"/>
    </row>
    <row r="348" spans="15:39">
      <c r="AA348" s="319">
        <f>VLOOKUP(B348,'[19]ACTA PARCIAL OBRA'!$B$122:$X$536,20,0)</f>
        <v>0</v>
      </c>
      <c r="AB348" s="319">
        <f t="shared" si="63"/>
        <v>0</v>
      </c>
      <c r="AC348" s="319">
        <v>0</v>
      </c>
      <c r="AD348" s="514">
        <f t="shared" si="60"/>
        <v>0</v>
      </c>
      <c r="AE348" s="556">
        <f t="shared" si="62"/>
        <v>0</v>
      </c>
      <c r="AF348" s="557">
        <f t="shared" si="61"/>
        <v>0</v>
      </c>
      <c r="AG348" s="568"/>
      <c r="AH348" s="568"/>
      <c r="AI348" s="568"/>
      <c r="AJ348" s="568"/>
      <c r="AK348" s="568"/>
      <c r="AL348" s="568"/>
      <c r="AM348" s="568"/>
    </row>
    <row r="349" spans="15:39">
      <c r="AA349" s="319">
        <f>VLOOKUP(B349,'[19]ACTA PARCIAL OBRA'!$B$122:$X$536,20,0)</f>
        <v>0</v>
      </c>
      <c r="AB349" s="319">
        <f t="shared" si="63"/>
        <v>0</v>
      </c>
      <c r="AC349" s="319">
        <v>0</v>
      </c>
      <c r="AD349" s="514">
        <f t="shared" si="60"/>
        <v>0</v>
      </c>
      <c r="AE349" s="559">
        <f t="shared" si="62"/>
        <v>0</v>
      </c>
      <c r="AF349" s="560">
        <f t="shared" si="61"/>
        <v>0</v>
      </c>
      <c r="AG349" s="561"/>
      <c r="AH349" s="561"/>
      <c r="AI349" s="561"/>
      <c r="AJ349" s="561"/>
      <c r="AK349" s="562"/>
      <c r="AL349" s="568"/>
      <c r="AM349" s="568"/>
    </row>
    <row r="350" spans="15:39">
      <c r="AA350" s="319">
        <f>VLOOKUP(B350,'[19]ACTA PARCIAL OBRA'!$B$122:$X$536,20,0)</f>
        <v>0</v>
      </c>
      <c r="AB350" s="319">
        <f t="shared" si="63"/>
        <v>0</v>
      </c>
      <c r="AC350" s="319">
        <v>0</v>
      </c>
      <c r="AD350" s="514">
        <f t="shared" si="60"/>
        <v>0</v>
      </c>
      <c r="AE350" s="559">
        <f t="shared" si="62"/>
        <v>0</v>
      </c>
      <c r="AF350" s="560">
        <f t="shared" si="61"/>
        <v>0</v>
      </c>
      <c r="AG350" s="561"/>
      <c r="AH350" s="561"/>
      <c r="AI350" s="561"/>
      <c r="AJ350" s="561"/>
      <c r="AK350" s="562"/>
      <c r="AL350" s="568"/>
      <c r="AM350" s="568"/>
    </row>
    <row r="351" spans="15:39">
      <c r="AA351" s="319">
        <f>VLOOKUP(B351,'[19]ACTA PARCIAL OBRA'!$B$122:$X$536,20,0)</f>
        <v>0</v>
      </c>
      <c r="AB351" s="319">
        <f t="shared" si="63"/>
        <v>0</v>
      </c>
      <c r="AC351" s="319">
        <v>0</v>
      </c>
      <c r="AD351" s="514">
        <f t="shared" si="60"/>
        <v>0</v>
      </c>
      <c r="AE351" s="559">
        <f t="shared" si="62"/>
        <v>0</v>
      </c>
      <c r="AF351" s="560">
        <f t="shared" si="61"/>
        <v>0</v>
      </c>
      <c r="AG351" s="561"/>
      <c r="AH351" s="561"/>
      <c r="AI351" s="561"/>
      <c r="AJ351" s="561"/>
      <c r="AK351" s="562"/>
      <c r="AL351" s="568"/>
      <c r="AM351" s="568"/>
    </row>
    <row r="352" spans="15:39">
      <c r="AA352" s="319">
        <f>VLOOKUP(B352,'[19]ACTA PARCIAL OBRA'!$B$122:$X$536,20,0)</f>
        <v>0</v>
      </c>
      <c r="AB352" s="319">
        <f t="shared" si="63"/>
        <v>0</v>
      </c>
      <c r="AC352" s="319">
        <v>0</v>
      </c>
      <c r="AD352" s="514">
        <f t="shared" si="60"/>
        <v>0</v>
      </c>
      <c r="AE352" s="556">
        <f t="shared" si="62"/>
        <v>0</v>
      </c>
      <c r="AF352" s="557">
        <f t="shared" si="61"/>
        <v>0</v>
      </c>
      <c r="AG352" s="568"/>
      <c r="AH352" s="568"/>
      <c r="AI352" s="568"/>
      <c r="AJ352" s="568"/>
      <c r="AK352" s="568"/>
      <c r="AL352" s="568"/>
      <c r="AM352" s="568"/>
    </row>
    <row r="353" spans="27:39">
      <c r="AA353" s="319">
        <f>VLOOKUP(B353,'[19]ACTA PARCIAL OBRA'!$B$122:$X$536,20,0)</f>
        <v>0</v>
      </c>
      <c r="AB353" s="319">
        <f t="shared" si="63"/>
        <v>0</v>
      </c>
      <c r="AC353" s="319">
        <v>0</v>
      </c>
      <c r="AD353" s="514">
        <f t="shared" ref="AD353:AD400" si="64">+U353-AC353</f>
        <v>0</v>
      </c>
      <c r="AE353" s="556">
        <f t="shared" si="62"/>
        <v>0</v>
      </c>
      <c r="AF353" s="557">
        <f t="shared" si="61"/>
        <v>0</v>
      </c>
      <c r="AG353" s="568"/>
      <c r="AH353" s="568"/>
      <c r="AI353" s="568"/>
      <c r="AJ353" s="568"/>
      <c r="AK353" s="568"/>
      <c r="AL353" s="568"/>
      <c r="AM353" s="568"/>
    </row>
    <row r="354" spans="27:39">
      <c r="AA354" s="319">
        <f>VLOOKUP(B354,'[19]ACTA PARCIAL OBRA'!$B$122:$X$536,20,0)</f>
        <v>0</v>
      </c>
      <c r="AB354" s="319">
        <f t="shared" si="63"/>
        <v>0</v>
      </c>
      <c r="AC354" s="319">
        <v>0</v>
      </c>
      <c r="AD354" s="514">
        <f t="shared" si="64"/>
        <v>0</v>
      </c>
      <c r="AE354" s="556">
        <f t="shared" si="62"/>
        <v>0</v>
      </c>
      <c r="AF354" s="557">
        <f t="shared" si="61"/>
        <v>0</v>
      </c>
      <c r="AG354" s="568"/>
      <c r="AH354" s="568"/>
      <c r="AI354" s="568"/>
      <c r="AJ354" s="568"/>
      <c r="AK354" s="568"/>
      <c r="AL354" s="568"/>
      <c r="AM354" s="568"/>
    </row>
    <row r="355" spans="27:39">
      <c r="AA355" s="319">
        <f>VLOOKUP(B355,'[19]ACTA PARCIAL OBRA'!$B$122:$X$536,20,0)</f>
        <v>0</v>
      </c>
      <c r="AB355" s="319">
        <f t="shared" si="63"/>
        <v>0</v>
      </c>
      <c r="AC355" s="319">
        <v>0</v>
      </c>
      <c r="AD355" s="514">
        <f t="shared" si="64"/>
        <v>0</v>
      </c>
      <c r="AE355" s="556">
        <f t="shared" si="62"/>
        <v>0</v>
      </c>
      <c r="AF355" s="557">
        <f t="shared" si="61"/>
        <v>0</v>
      </c>
      <c r="AG355" s="568"/>
      <c r="AH355" s="568"/>
      <c r="AI355" s="568"/>
      <c r="AJ355" s="568"/>
      <c r="AK355" s="568"/>
      <c r="AL355" s="568"/>
      <c r="AM355" s="568"/>
    </row>
    <row r="356" spans="27:39">
      <c r="AA356" s="319">
        <f>VLOOKUP(B356,'[19]ACTA PARCIAL OBRA'!$B$122:$X$536,20,0)</f>
        <v>0</v>
      </c>
      <c r="AB356" s="319">
        <f t="shared" si="63"/>
        <v>0</v>
      </c>
      <c r="AC356" s="319">
        <v>0</v>
      </c>
      <c r="AD356" s="514">
        <f t="shared" si="64"/>
        <v>0</v>
      </c>
      <c r="AE356" s="556">
        <f t="shared" si="62"/>
        <v>0</v>
      </c>
      <c r="AF356" s="557">
        <f t="shared" si="61"/>
        <v>0</v>
      </c>
      <c r="AG356" s="568"/>
      <c r="AH356" s="568"/>
      <c r="AI356" s="568"/>
      <c r="AJ356" s="568"/>
      <c r="AK356" s="568"/>
      <c r="AL356" s="568"/>
      <c r="AM356" s="568"/>
    </row>
    <row r="357" spans="27:39">
      <c r="AA357" s="319">
        <f>VLOOKUP(B357,'[19]ACTA PARCIAL OBRA'!$B$122:$X$536,20,0)</f>
        <v>0</v>
      </c>
      <c r="AB357" s="319">
        <f t="shared" si="63"/>
        <v>0</v>
      </c>
      <c r="AC357" s="319">
        <v>0</v>
      </c>
      <c r="AD357" s="514">
        <f t="shared" si="64"/>
        <v>0</v>
      </c>
      <c r="AE357" s="556">
        <f t="shared" si="62"/>
        <v>0</v>
      </c>
      <c r="AF357" s="557">
        <f t="shared" si="61"/>
        <v>0</v>
      </c>
      <c r="AG357" s="568"/>
      <c r="AH357" s="568"/>
      <c r="AI357" s="568"/>
      <c r="AJ357" s="568"/>
      <c r="AK357" s="568"/>
      <c r="AL357" s="568"/>
      <c r="AM357" s="568"/>
    </row>
    <row r="358" spans="27:39">
      <c r="AA358" s="319">
        <f>VLOOKUP(B358,'[19]ACTA PARCIAL OBRA'!$B$122:$X$536,20,0)</f>
        <v>0</v>
      </c>
      <c r="AB358" s="319">
        <f t="shared" si="63"/>
        <v>0</v>
      </c>
      <c r="AC358" s="319">
        <v>0</v>
      </c>
      <c r="AD358" s="514">
        <f t="shared" si="64"/>
        <v>0</v>
      </c>
      <c r="AE358" s="556">
        <f t="shared" si="62"/>
        <v>0</v>
      </c>
      <c r="AF358" s="557">
        <f t="shared" si="61"/>
        <v>0</v>
      </c>
      <c r="AG358" s="568"/>
      <c r="AH358" s="568"/>
      <c r="AI358" s="568"/>
      <c r="AJ358" s="568"/>
      <c r="AK358" s="568"/>
      <c r="AL358" s="568"/>
      <c r="AM358" s="568"/>
    </row>
    <row r="359" spans="27:39">
      <c r="AA359" s="319">
        <f>VLOOKUP(B359,'[19]ACTA PARCIAL OBRA'!$B$122:$X$536,20,0)</f>
        <v>0</v>
      </c>
      <c r="AB359" s="319">
        <f t="shared" si="63"/>
        <v>0</v>
      </c>
      <c r="AC359" s="319">
        <v>0</v>
      </c>
      <c r="AD359" s="514">
        <f t="shared" si="64"/>
        <v>0</v>
      </c>
      <c r="AE359" s="556">
        <f t="shared" si="62"/>
        <v>0</v>
      </c>
      <c r="AF359" s="557">
        <f t="shared" si="61"/>
        <v>0</v>
      </c>
      <c r="AG359" s="568"/>
      <c r="AH359" s="568"/>
      <c r="AI359" s="568"/>
      <c r="AJ359" s="568"/>
      <c r="AK359" s="568"/>
      <c r="AL359" s="568"/>
      <c r="AM359" s="568"/>
    </row>
    <row r="360" spans="27:39">
      <c r="AA360" s="319">
        <f>VLOOKUP(B360,'[19]ACTA PARCIAL OBRA'!$B$122:$X$536,20,0)</f>
        <v>0</v>
      </c>
      <c r="AB360" s="319">
        <f t="shared" si="63"/>
        <v>0</v>
      </c>
      <c r="AC360" s="319">
        <v>0</v>
      </c>
      <c r="AD360" s="514">
        <f t="shared" si="64"/>
        <v>0</v>
      </c>
      <c r="AE360" s="559">
        <f t="shared" si="62"/>
        <v>0</v>
      </c>
      <c r="AF360" s="560">
        <f t="shared" si="61"/>
        <v>0</v>
      </c>
      <c r="AG360" s="561"/>
      <c r="AH360" s="561"/>
      <c r="AI360" s="561"/>
      <c r="AJ360" s="561"/>
      <c r="AK360" s="562"/>
      <c r="AL360" s="568"/>
      <c r="AM360" s="568"/>
    </row>
    <row r="361" spans="27:39">
      <c r="AA361" s="319">
        <f>VLOOKUP(B361,'[19]ACTA PARCIAL OBRA'!$B$122:$X$536,20,0)</f>
        <v>0</v>
      </c>
      <c r="AB361" s="319">
        <f t="shared" si="63"/>
        <v>0</v>
      </c>
      <c r="AC361" s="319">
        <v>0</v>
      </c>
      <c r="AD361" s="514">
        <f t="shared" si="64"/>
        <v>0</v>
      </c>
      <c r="AE361" s="556">
        <f t="shared" si="62"/>
        <v>0</v>
      </c>
      <c r="AF361" s="557">
        <f t="shared" si="61"/>
        <v>0</v>
      </c>
      <c r="AG361" s="568"/>
      <c r="AH361" s="568"/>
      <c r="AI361" s="568"/>
      <c r="AJ361" s="568"/>
      <c r="AK361" s="568"/>
      <c r="AL361" s="568"/>
      <c r="AM361" s="568"/>
    </row>
    <row r="362" spans="27:39" ht="15">
      <c r="AA362" s="319">
        <f>VLOOKUP(B362,'[19]ACTA PARCIAL OBRA'!$B$122:$X$536,20,0)</f>
        <v>0</v>
      </c>
      <c r="AB362" s="319">
        <f t="shared" si="63"/>
        <v>0</v>
      </c>
      <c r="AC362" s="573">
        <v>0</v>
      </c>
      <c r="AD362" s="577">
        <f t="shared" si="64"/>
        <v>0</v>
      </c>
      <c r="AE362" s="556">
        <f t="shared" si="62"/>
        <v>0</v>
      </c>
      <c r="AF362" s="557">
        <f t="shared" si="61"/>
        <v>0</v>
      </c>
      <c r="AG362" s="568"/>
      <c r="AH362" s="568"/>
      <c r="AI362" s="568"/>
      <c r="AJ362" s="568"/>
      <c r="AK362" s="568"/>
      <c r="AL362" s="568"/>
      <c r="AM362" s="568"/>
    </row>
    <row r="363" spans="27:39">
      <c r="AA363" s="319">
        <f>VLOOKUP(B363,'[19]ACTA PARCIAL OBRA'!$B$122:$X$536,20,0)</f>
        <v>0</v>
      </c>
      <c r="AB363" s="319">
        <f t="shared" si="63"/>
        <v>0</v>
      </c>
      <c r="AC363" s="319">
        <v>0</v>
      </c>
      <c r="AD363" s="514">
        <f t="shared" si="64"/>
        <v>0</v>
      </c>
      <c r="AE363" s="556">
        <f t="shared" si="62"/>
        <v>0</v>
      </c>
      <c r="AF363" s="557">
        <f t="shared" si="61"/>
        <v>0</v>
      </c>
      <c r="AG363" s="568"/>
      <c r="AH363" s="568"/>
      <c r="AI363" s="568"/>
      <c r="AJ363" s="568"/>
      <c r="AK363" s="568"/>
      <c r="AL363" s="568"/>
      <c r="AM363" s="568"/>
    </row>
    <row r="364" spans="27:39">
      <c r="AA364" s="319">
        <f>VLOOKUP(B364,'[19]ACTA PARCIAL OBRA'!$B$122:$X$536,20,0)</f>
        <v>0</v>
      </c>
      <c r="AB364" s="319">
        <f t="shared" si="63"/>
        <v>0</v>
      </c>
      <c r="AC364" s="319">
        <v>0</v>
      </c>
      <c r="AD364" s="514">
        <f t="shared" si="64"/>
        <v>0</v>
      </c>
      <c r="AE364" s="559">
        <f t="shared" si="62"/>
        <v>0</v>
      </c>
      <c r="AF364" s="560">
        <f t="shared" si="61"/>
        <v>0</v>
      </c>
      <c r="AG364" s="561"/>
      <c r="AH364" s="561"/>
      <c r="AI364" s="561"/>
      <c r="AJ364" s="561"/>
      <c r="AK364" s="562"/>
      <c r="AL364" s="568"/>
      <c r="AM364" s="568"/>
    </row>
    <row r="365" spans="27:39">
      <c r="AA365" s="319">
        <f>VLOOKUP(B365,'[19]ACTA PARCIAL OBRA'!$B$122:$X$536,20,0)</f>
        <v>0</v>
      </c>
      <c r="AB365" s="319">
        <f t="shared" si="63"/>
        <v>0</v>
      </c>
      <c r="AC365" s="319">
        <v>0</v>
      </c>
      <c r="AD365" s="514">
        <f t="shared" si="64"/>
        <v>0</v>
      </c>
      <c r="AE365" s="556">
        <f t="shared" si="62"/>
        <v>0</v>
      </c>
      <c r="AF365" s="557">
        <f t="shared" si="61"/>
        <v>0</v>
      </c>
      <c r="AG365" s="568"/>
      <c r="AH365" s="568"/>
      <c r="AI365" s="568"/>
      <c r="AJ365" s="568"/>
      <c r="AK365" s="568"/>
      <c r="AL365" s="568"/>
      <c r="AM365" s="568"/>
    </row>
    <row r="366" spans="27:39" ht="15">
      <c r="AA366" s="319">
        <f>VLOOKUP(B366,'[19]ACTA PARCIAL OBRA'!$B$122:$X$536,20,0)</f>
        <v>0</v>
      </c>
      <c r="AB366" s="319">
        <f t="shared" si="63"/>
        <v>0</v>
      </c>
      <c r="AC366" s="573">
        <v>0</v>
      </c>
      <c r="AD366" s="577">
        <f t="shared" si="64"/>
        <v>0</v>
      </c>
      <c r="AE366" s="556">
        <f t="shared" si="62"/>
        <v>0</v>
      </c>
      <c r="AF366" s="557">
        <f t="shared" si="61"/>
        <v>0</v>
      </c>
      <c r="AG366" s="568"/>
      <c r="AH366" s="568"/>
      <c r="AI366" s="568"/>
      <c r="AJ366" s="568"/>
      <c r="AK366" s="568"/>
      <c r="AL366" s="568"/>
      <c r="AM366" s="568"/>
    </row>
    <row r="367" spans="27:39">
      <c r="AA367" s="319">
        <f>VLOOKUP(B367,'[19]ACTA PARCIAL OBRA'!$B$122:$X$536,20,0)</f>
        <v>0</v>
      </c>
      <c r="AB367" s="319">
        <f t="shared" si="63"/>
        <v>0</v>
      </c>
      <c r="AC367" s="319">
        <v>0</v>
      </c>
      <c r="AD367" s="514">
        <f t="shared" si="64"/>
        <v>0</v>
      </c>
      <c r="AE367" s="556">
        <f t="shared" si="62"/>
        <v>0</v>
      </c>
      <c r="AF367" s="557">
        <f t="shared" si="61"/>
        <v>0</v>
      </c>
      <c r="AG367" s="568"/>
      <c r="AH367" s="568"/>
      <c r="AI367" s="568"/>
      <c r="AJ367" s="568"/>
      <c r="AK367" s="568"/>
      <c r="AL367" s="568"/>
      <c r="AM367" s="568"/>
    </row>
    <row r="368" spans="27:39">
      <c r="AA368" s="319">
        <f>VLOOKUP(B368,'[19]ACTA PARCIAL OBRA'!$B$122:$X$536,20,0)</f>
        <v>0</v>
      </c>
      <c r="AB368" s="319">
        <f t="shared" si="63"/>
        <v>0</v>
      </c>
      <c r="AC368" s="319">
        <v>0</v>
      </c>
      <c r="AD368" s="514">
        <f t="shared" si="64"/>
        <v>0</v>
      </c>
      <c r="AE368" s="556">
        <f t="shared" si="62"/>
        <v>0</v>
      </c>
      <c r="AF368" s="557">
        <f t="shared" si="61"/>
        <v>0</v>
      </c>
      <c r="AG368" s="568"/>
      <c r="AH368" s="568"/>
      <c r="AI368" s="568"/>
      <c r="AJ368" s="568"/>
      <c r="AK368" s="568"/>
      <c r="AL368" s="568"/>
      <c r="AM368" s="568"/>
    </row>
    <row r="369" spans="27:39">
      <c r="AA369" s="319">
        <f>VLOOKUP(B369,'[19]ACTA PARCIAL OBRA'!$B$122:$X$536,20,0)</f>
        <v>0</v>
      </c>
      <c r="AB369" s="319">
        <f t="shared" si="63"/>
        <v>0</v>
      </c>
      <c r="AC369" s="319">
        <v>5933495.1200000001</v>
      </c>
      <c r="AD369" s="514">
        <f t="shared" si="64"/>
        <v>-5933495.1200000001</v>
      </c>
      <c r="AE369" s="559">
        <f t="shared" si="62"/>
        <v>0</v>
      </c>
      <c r="AF369" s="560">
        <f t="shared" si="61"/>
        <v>0</v>
      </c>
      <c r="AG369" s="561"/>
      <c r="AH369" s="561"/>
      <c r="AI369" s="561"/>
      <c r="AJ369" s="561"/>
      <c r="AK369" s="562"/>
      <c r="AL369" s="568"/>
      <c r="AM369" s="568"/>
    </row>
    <row r="370" spans="27:39">
      <c r="AA370" s="319">
        <f>VLOOKUP(B370,'[19]ACTA PARCIAL OBRA'!$B$122:$X$536,20,0)</f>
        <v>0</v>
      </c>
      <c r="AB370" s="319">
        <f t="shared" si="63"/>
        <v>0</v>
      </c>
      <c r="AC370" s="319">
        <v>0</v>
      </c>
      <c r="AD370" s="514">
        <f t="shared" si="64"/>
        <v>0</v>
      </c>
      <c r="AE370" s="556">
        <f t="shared" si="62"/>
        <v>0</v>
      </c>
      <c r="AF370" s="557">
        <f t="shared" si="61"/>
        <v>0</v>
      </c>
      <c r="AG370" s="568"/>
      <c r="AH370" s="568"/>
      <c r="AI370" s="568"/>
      <c r="AJ370" s="568"/>
      <c r="AK370" s="568"/>
      <c r="AL370" s="568"/>
      <c r="AM370" s="568"/>
    </row>
    <row r="371" spans="27:39">
      <c r="AA371" s="319">
        <f>VLOOKUP(B371,'[19]ACTA PARCIAL OBRA'!$B$122:$X$536,20,0)</f>
        <v>0</v>
      </c>
      <c r="AB371" s="319">
        <f t="shared" si="63"/>
        <v>0</v>
      </c>
      <c r="AC371" s="319">
        <v>0</v>
      </c>
      <c r="AD371" s="514">
        <f t="shared" si="64"/>
        <v>0</v>
      </c>
      <c r="AE371" s="556">
        <f t="shared" si="62"/>
        <v>0</v>
      </c>
      <c r="AF371" s="557">
        <f t="shared" si="61"/>
        <v>0</v>
      </c>
      <c r="AG371" s="568"/>
      <c r="AH371" s="568"/>
      <c r="AI371" s="568"/>
      <c r="AJ371" s="568"/>
      <c r="AK371" s="568"/>
      <c r="AL371" s="568"/>
      <c r="AM371" s="568"/>
    </row>
    <row r="372" spans="27:39">
      <c r="AA372" s="319">
        <f>VLOOKUP(B372,'[19]ACTA PARCIAL OBRA'!$B$122:$X$536,20,0)</f>
        <v>0</v>
      </c>
      <c r="AB372" s="319">
        <f t="shared" si="63"/>
        <v>0</v>
      </c>
      <c r="AC372" s="319">
        <v>0</v>
      </c>
      <c r="AD372" s="514">
        <f t="shared" si="64"/>
        <v>0</v>
      </c>
      <c r="AE372" s="559">
        <f t="shared" si="62"/>
        <v>0</v>
      </c>
      <c r="AF372" s="560">
        <f t="shared" si="61"/>
        <v>0</v>
      </c>
      <c r="AG372" s="561"/>
      <c r="AH372" s="561"/>
      <c r="AI372" s="561"/>
      <c r="AJ372" s="561"/>
      <c r="AK372" s="562"/>
      <c r="AL372" s="568"/>
      <c r="AM372" s="568"/>
    </row>
    <row r="373" spans="27:39">
      <c r="AA373" s="319">
        <f>VLOOKUP(B373,'[19]ACTA PARCIAL OBRA'!$B$122:$X$536,20,0)</f>
        <v>0</v>
      </c>
      <c r="AB373" s="319">
        <f t="shared" si="63"/>
        <v>0</v>
      </c>
      <c r="AC373" s="319">
        <v>0</v>
      </c>
      <c r="AD373" s="514">
        <f t="shared" si="64"/>
        <v>0</v>
      </c>
      <c r="AE373" s="556">
        <f t="shared" si="62"/>
        <v>0</v>
      </c>
      <c r="AF373" s="557">
        <f t="shared" si="61"/>
        <v>0</v>
      </c>
      <c r="AG373" s="568"/>
      <c r="AH373" s="568"/>
      <c r="AI373" s="568"/>
      <c r="AJ373" s="568"/>
      <c r="AK373" s="568"/>
      <c r="AL373" s="568"/>
      <c r="AM373" s="568"/>
    </row>
    <row r="374" spans="27:39">
      <c r="AA374" s="319">
        <f>VLOOKUP(B374,'[19]ACTA PARCIAL OBRA'!$B$122:$X$536,20,0)</f>
        <v>0</v>
      </c>
      <c r="AB374" s="319">
        <f t="shared" si="63"/>
        <v>0</v>
      </c>
      <c r="AC374" s="319">
        <v>0</v>
      </c>
      <c r="AD374" s="514">
        <f t="shared" si="64"/>
        <v>0</v>
      </c>
      <c r="AE374" s="556">
        <f t="shared" si="62"/>
        <v>0</v>
      </c>
      <c r="AF374" s="557">
        <f t="shared" si="61"/>
        <v>0</v>
      </c>
      <c r="AG374" s="568"/>
      <c r="AH374" s="568"/>
      <c r="AI374" s="568"/>
      <c r="AJ374" s="568"/>
      <c r="AK374" s="568"/>
      <c r="AL374" s="568"/>
      <c r="AM374" s="568"/>
    </row>
    <row r="375" spans="27:39">
      <c r="AA375" s="319">
        <f>VLOOKUP(B375,'[19]ACTA PARCIAL OBRA'!$B$122:$X$536,20,0)</f>
        <v>0</v>
      </c>
      <c r="AB375" s="319">
        <f t="shared" si="63"/>
        <v>0</v>
      </c>
      <c r="AC375" s="319">
        <v>0</v>
      </c>
      <c r="AD375" s="514">
        <f t="shared" si="64"/>
        <v>0</v>
      </c>
      <c r="AE375" s="556">
        <f t="shared" si="62"/>
        <v>0</v>
      </c>
      <c r="AF375" s="557">
        <f t="shared" si="61"/>
        <v>0</v>
      </c>
      <c r="AG375" s="568"/>
      <c r="AH375" s="568"/>
      <c r="AI375" s="568"/>
      <c r="AJ375" s="568"/>
      <c r="AK375" s="568"/>
      <c r="AL375" s="568"/>
      <c r="AM375" s="568"/>
    </row>
    <row r="376" spans="27:39">
      <c r="AA376" s="319">
        <f>VLOOKUP(B376,'[19]ACTA PARCIAL OBRA'!$B$122:$X$536,20,0)</f>
        <v>0</v>
      </c>
      <c r="AB376" s="319">
        <f t="shared" si="63"/>
        <v>0</v>
      </c>
      <c r="AC376" s="319">
        <v>0</v>
      </c>
      <c r="AD376" s="514">
        <f t="shared" si="64"/>
        <v>0</v>
      </c>
      <c r="AE376" s="556">
        <f t="shared" si="62"/>
        <v>0</v>
      </c>
      <c r="AF376" s="557">
        <f t="shared" si="62"/>
        <v>0</v>
      </c>
      <c r="AG376" s="568"/>
      <c r="AH376" s="568"/>
      <c r="AI376" s="568"/>
      <c r="AJ376" s="568"/>
      <c r="AK376" s="568"/>
      <c r="AL376" s="568"/>
      <c r="AM376" s="568"/>
    </row>
    <row r="377" spans="27:39">
      <c r="AA377" s="319">
        <f>VLOOKUP(B377,'[19]ACTA PARCIAL OBRA'!$B$122:$X$536,20,0)</f>
        <v>0</v>
      </c>
      <c r="AB377" s="319">
        <f t="shared" si="63"/>
        <v>0</v>
      </c>
      <c r="AC377" s="319">
        <v>0</v>
      </c>
      <c r="AD377" s="514">
        <f t="shared" si="64"/>
        <v>0</v>
      </c>
      <c r="AE377" s="556">
        <f t="shared" ref="AE377:AF440" si="65">+B377</f>
        <v>0</v>
      </c>
      <c r="AF377" s="557">
        <f t="shared" si="65"/>
        <v>0</v>
      </c>
      <c r="AG377" s="568"/>
      <c r="AH377" s="568"/>
      <c r="AI377" s="568"/>
      <c r="AJ377" s="568"/>
      <c r="AK377" s="568"/>
      <c r="AL377" s="568"/>
      <c r="AM377" s="568"/>
    </row>
    <row r="378" spans="27:39">
      <c r="AA378" s="319">
        <f>VLOOKUP(B378,'[19]ACTA PARCIAL OBRA'!$B$122:$X$536,20,0)</f>
        <v>0</v>
      </c>
      <c r="AB378" s="319">
        <f t="shared" si="63"/>
        <v>0</v>
      </c>
      <c r="AC378" s="319">
        <v>0</v>
      </c>
      <c r="AD378" s="514">
        <f t="shared" si="64"/>
        <v>0</v>
      </c>
      <c r="AE378" s="556">
        <f t="shared" si="65"/>
        <v>0</v>
      </c>
      <c r="AF378" s="557">
        <f t="shared" si="65"/>
        <v>0</v>
      </c>
      <c r="AG378" s="568"/>
      <c r="AH378" s="568"/>
      <c r="AI378" s="568"/>
      <c r="AJ378" s="568"/>
      <c r="AK378" s="568"/>
      <c r="AL378" s="568"/>
      <c r="AM378" s="568"/>
    </row>
    <row r="379" spans="27:39">
      <c r="AA379" s="319">
        <f>VLOOKUP(B379,'[19]ACTA PARCIAL OBRA'!$B$122:$X$536,20,0)</f>
        <v>0</v>
      </c>
      <c r="AB379" s="319">
        <f t="shared" si="63"/>
        <v>0</v>
      </c>
      <c r="AC379" s="319">
        <v>0</v>
      </c>
      <c r="AD379" s="514">
        <f t="shared" si="64"/>
        <v>0</v>
      </c>
      <c r="AE379" s="556">
        <f t="shared" si="65"/>
        <v>0</v>
      </c>
      <c r="AF379" s="557">
        <f t="shared" si="65"/>
        <v>0</v>
      </c>
      <c r="AG379" s="568"/>
      <c r="AH379" s="568"/>
      <c r="AI379" s="568"/>
      <c r="AJ379" s="568"/>
      <c r="AK379" s="568"/>
      <c r="AL379" s="568"/>
      <c r="AM379" s="568"/>
    </row>
    <row r="380" spans="27:39">
      <c r="AA380" s="319">
        <f>VLOOKUP(B380,'[19]ACTA PARCIAL OBRA'!$B$122:$X$536,20,0)</f>
        <v>0</v>
      </c>
      <c r="AB380" s="319">
        <f t="shared" si="63"/>
        <v>0</v>
      </c>
      <c r="AC380" s="319">
        <v>0</v>
      </c>
      <c r="AD380" s="514">
        <f t="shared" si="64"/>
        <v>0</v>
      </c>
      <c r="AE380" s="556">
        <f t="shared" si="65"/>
        <v>0</v>
      </c>
      <c r="AF380" s="557">
        <f t="shared" si="65"/>
        <v>0</v>
      </c>
      <c r="AG380" s="568"/>
      <c r="AH380" s="568"/>
      <c r="AI380" s="568"/>
      <c r="AJ380" s="568"/>
      <c r="AK380" s="568"/>
      <c r="AL380" s="568"/>
      <c r="AM380" s="568"/>
    </row>
    <row r="381" spans="27:39">
      <c r="AA381" s="319">
        <f>VLOOKUP(B381,'[19]ACTA PARCIAL OBRA'!$B$122:$X$536,20,0)</f>
        <v>0</v>
      </c>
      <c r="AB381" s="319">
        <f t="shared" si="63"/>
        <v>0</v>
      </c>
      <c r="AC381" s="319">
        <v>0</v>
      </c>
      <c r="AD381" s="514">
        <f t="shared" si="64"/>
        <v>0</v>
      </c>
      <c r="AE381" s="556">
        <f t="shared" si="65"/>
        <v>0</v>
      </c>
      <c r="AF381" s="557">
        <f t="shared" si="65"/>
        <v>0</v>
      </c>
      <c r="AG381" s="568"/>
      <c r="AH381" s="568"/>
      <c r="AI381" s="568"/>
      <c r="AJ381" s="568"/>
      <c r="AK381" s="568"/>
      <c r="AL381" s="568"/>
      <c r="AM381" s="568"/>
    </row>
    <row r="382" spans="27:39">
      <c r="AA382" s="319">
        <f>VLOOKUP(B382,'[19]ACTA PARCIAL OBRA'!$B$122:$X$536,20,0)</f>
        <v>0</v>
      </c>
      <c r="AB382" s="319">
        <f t="shared" si="63"/>
        <v>0</v>
      </c>
      <c r="AC382" s="319">
        <v>0</v>
      </c>
      <c r="AD382" s="514">
        <f t="shared" si="64"/>
        <v>0</v>
      </c>
      <c r="AE382" s="556">
        <f t="shared" si="65"/>
        <v>0</v>
      </c>
      <c r="AF382" s="557">
        <f t="shared" si="65"/>
        <v>0</v>
      </c>
      <c r="AG382" s="568"/>
      <c r="AH382" s="568"/>
      <c r="AI382" s="568"/>
      <c r="AJ382" s="568"/>
      <c r="AK382" s="568"/>
      <c r="AL382" s="568"/>
      <c r="AM382" s="568"/>
    </row>
    <row r="383" spans="27:39">
      <c r="AA383" s="319">
        <f>VLOOKUP(B383,'[19]ACTA PARCIAL OBRA'!$B$122:$X$536,20,0)</f>
        <v>0</v>
      </c>
      <c r="AB383" s="319">
        <f t="shared" si="63"/>
        <v>0</v>
      </c>
      <c r="AC383" s="319">
        <v>0</v>
      </c>
      <c r="AD383" s="514">
        <f t="shared" si="64"/>
        <v>0</v>
      </c>
      <c r="AE383" s="556">
        <f t="shared" si="65"/>
        <v>0</v>
      </c>
      <c r="AF383" s="557">
        <f t="shared" si="65"/>
        <v>0</v>
      </c>
      <c r="AG383" s="568"/>
      <c r="AH383" s="568"/>
      <c r="AI383" s="568"/>
      <c r="AJ383" s="568"/>
      <c r="AK383" s="568"/>
      <c r="AL383" s="568"/>
      <c r="AM383" s="568"/>
    </row>
    <row r="384" spans="27:39">
      <c r="AA384" s="319">
        <f>VLOOKUP(B384,'[19]ACTA PARCIAL OBRA'!$B$122:$X$536,20,0)</f>
        <v>0</v>
      </c>
      <c r="AB384" s="319">
        <f t="shared" si="63"/>
        <v>0</v>
      </c>
      <c r="AC384" s="319">
        <v>0</v>
      </c>
      <c r="AD384" s="514">
        <f t="shared" si="64"/>
        <v>0</v>
      </c>
      <c r="AE384" s="556">
        <f t="shared" si="65"/>
        <v>0</v>
      </c>
      <c r="AF384" s="557">
        <f t="shared" si="65"/>
        <v>0</v>
      </c>
      <c r="AG384" s="568"/>
      <c r="AH384" s="568"/>
      <c r="AI384" s="568"/>
      <c r="AJ384" s="568"/>
      <c r="AK384" s="568"/>
      <c r="AL384" s="568"/>
      <c r="AM384" s="568"/>
    </row>
    <row r="385" spans="27:39">
      <c r="AA385" s="319">
        <f>VLOOKUP(B385,'[19]ACTA PARCIAL OBRA'!$B$122:$X$536,20,0)</f>
        <v>0</v>
      </c>
      <c r="AB385" s="319">
        <f t="shared" si="63"/>
        <v>0</v>
      </c>
      <c r="AC385" s="319">
        <v>0</v>
      </c>
      <c r="AD385" s="514">
        <f t="shared" si="64"/>
        <v>0</v>
      </c>
      <c r="AE385" s="559">
        <f t="shared" si="65"/>
        <v>0</v>
      </c>
      <c r="AF385" s="560">
        <f t="shared" si="65"/>
        <v>0</v>
      </c>
      <c r="AG385" s="561"/>
      <c r="AH385" s="561"/>
      <c r="AI385" s="561"/>
      <c r="AJ385" s="561"/>
      <c r="AK385" s="562"/>
      <c r="AL385" s="568"/>
      <c r="AM385" s="568"/>
    </row>
    <row r="386" spans="27:39">
      <c r="AA386" s="319">
        <f>VLOOKUP(B386,'[19]ACTA PARCIAL OBRA'!$B$122:$X$536,20,0)</f>
        <v>0</v>
      </c>
      <c r="AB386" s="319">
        <f t="shared" si="63"/>
        <v>0</v>
      </c>
      <c r="AC386" s="319">
        <v>0</v>
      </c>
      <c r="AD386" s="514">
        <f t="shared" si="64"/>
        <v>0</v>
      </c>
      <c r="AE386" s="556">
        <f t="shared" si="65"/>
        <v>0</v>
      </c>
      <c r="AF386" s="557">
        <f t="shared" si="65"/>
        <v>0</v>
      </c>
      <c r="AG386" s="568"/>
      <c r="AH386" s="568"/>
      <c r="AI386" s="568"/>
      <c r="AJ386" s="568"/>
      <c r="AK386" s="568"/>
      <c r="AL386" s="568"/>
      <c r="AM386" s="568"/>
    </row>
    <row r="387" spans="27:39">
      <c r="AA387" s="319">
        <f>VLOOKUP(B387,'[19]ACTA PARCIAL OBRA'!$B$122:$X$536,20,0)</f>
        <v>0</v>
      </c>
      <c r="AB387" s="319">
        <f t="shared" si="63"/>
        <v>0</v>
      </c>
      <c r="AC387" s="319">
        <v>0</v>
      </c>
      <c r="AD387" s="514">
        <f t="shared" si="64"/>
        <v>0</v>
      </c>
      <c r="AE387" s="556">
        <f t="shared" si="65"/>
        <v>0</v>
      </c>
      <c r="AF387" s="557">
        <f t="shared" si="65"/>
        <v>0</v>
      </c>
      <c r="AG387" s="568"/>
      <c r="AH387" s="568"/>
      <c r="AI387" s="568"/>
      <c r="AJ387" s="568"/>
      <c r="AK387" s="568"/>
      <c r="AL387" s="568"/>
      <c r="AM387" s="568"/>
    </row>
    <row r="388" spans="27:39">
      <c r="AA388" s="319">
        <f>VLOOKUP(B388,'[19]ACTA PARCIAL OBRA'!$B$122:$X$536,20,0)</f>
        <v>0</v>
      </c>
      <c r="AB388" s="319">
        <f t="shared" si="63"/>
        <v>0</v>
      </c>
      <c r="AC388" s="319">
        <v>0</v>
      </c>
      <c r="AD388" s="514">
        <f t="shared" si="64"/>
        <v>0</v>
      </c>
      <c r="AE388" s="556">
        <f t="shared" si="65"/>
        <v>0</v>
      </c>
      <c r="AF388" s="557">
        <f t="shared" si="65"/>
        <v>0</v>
      </c>
      <c r="AG388" s="568"/>
      <c r="AH388" s="568"/>
      <c r="AI388" s="568"/>
      <c r="AJ388" s="568"/>
      <c r="AK388" s="568"/>
      <c r="AL388" s="568"/>
      <c r="AM388" s="568"/>
    </row>
    <row r="389" spans="27:39">
      <c r="AA389" s="319">
        <f>VLOOKUP(B389,'[19]ACTA PARCIAL OBRA'!$B$122:$X$536,20,0)</f>
        <v>0</v>
      </c>
      <c r="AB389" s="319">
        <f t="shared" si="63"/>
        <v>0</v>
      </c>
      <c r="AC389" s="319">
        <v>0</v>
      </c>
      <c r="AD389" s="514">
        <f t="shared" si="64"/>
        <v>0</v>
      </c>
      <c r="AE389" s="556">
        <f t="shared" si="65"/>
        <v>0</v>
      </c>
      <c r="AF389" s="557">
        <f t="shared" si="65"/>
        <v>0</v>
      </c>
      <c r="AG389" s="568"/>
      <c r="AH389" s="568"/>
      <c r="AI389" s="568"/>
      <c r="AJ389" s="568"/>
      <c r="AK389" s="568"/>
      <c r="AL389" s="568"/>
      <c r="AM389" s="568"/>
    </row>
    <row r="390" spans="27:39">
      <c r="AA390" s="319">
        <f>VLOOKUP(B390,'[19]ACTA PARCIAL OBRA'!$B$122:$X$536,20,0)</f>
        <v>0</v>
      </c>
      <c r="AB390" s="319">
        <f t="shared" si="63"/>
        <v>0</v>
      </c>
      <c r="AC390" s="319">
        <v>0</v>
      </c>
      <c r="AD390" s="514">
        <f t="shared" si="64"/>
        <v>0</v>
      </c>
      <c r="AE390" s="556">
        <f t="shared" si="65"/>
        <v>0</v>
      </c>
      <c r="AF390" s="557">
        <f t="shared" si="65"/>
        <v>0</v>
      </c>
      <c r="AG390" s="568"/>
      <c r="AH390" s="568"/>
      <c r="AI390" s="568"/>
      <c r="AJ390" s="568"/>
      <c r="AK390" s="568"/>
      <c r="AL390" s="568"/>
      <c r="AM390" s="568"/>
    </row>
    <row r="391" spans="27:39">
      <c r="AA391" s="563">
        <f>VLOOKUP(B391,'[19]ACTA PARCIAL OBRA'!$B$122:$X$536,20,0)</f>
        <v>0</v>
      </c>
      <c r="AB391" s="563">
        <f t="shared" si="63"/>
        <v>0</v>
      </c>
      <c r="AC391" s="563">
        <v>0</v>
      </c>
      <c r="AD391" s="564">
        <f t="shared" si="64"/>
        <v>0</v>
      </c>
      <c r="AE391" s="565">
        <f t="shared" si="65"/>
        <v>0</v>
      </c>
      <c r="AF391" s="566">
        <f t="shared" si="65"/>
        <v>0</v>
      </c>
      <c r="AG391" s="576"/>
      <c r="AH391" s="576"/>
      <c r="AI391" s="576"/>
      <c r="AJ391" s="576"/>
      <c r="AK391" s="576"/>
      <c r="AL391" s="576"/>
      <c r="AM391" s="576"/>
    </row>
    <row r="392" spans="27:39">
      <c r="AA392" s="319">
        <f>VLOOKUP(B392,'[19]ACTA PARCIAL OBRA'!$B$122:$X$536,20,0)</f>
        <v>0</v>
      </c>
      <c r="AB392" s="319">
        <f t="shared" ref="AB392:AB455" si="66">+AA392-R392</f>
        <v>0</v>
      </c>
      <c r="AC392" s="319">
        <v>5933495.1200000001</v>
      </c>
      <c r="AD392" s="514">
        <f t="shared" si="64"/>
        <v>-5933495.1200000001</v>
      </c>
      <c r="AE392" s="559">
        <f t="shared" si="65"/>
        <v>0</v>
      </c>
      <c r="AF392" s="560">
        <f t="shared" si="65"/>
        <v>0</v>
      </c>
      <c r="AG392" s="558"/>
      <c r="AH392" s="558"/>
      <c r="AI392" s="558"/>
      <c r="AJ392" s="558"/>
      <c r="AK392" s="558"/>
      <c r="AL392" s="568"/>
      <c r="AM392" s="568"/>
    </row>
    <row r="393" spans="27:39">
      <c r="AA393" s="319">
        <f>VLOOKUP(B393,'[19]ACTA PARCIAL OBRA'!$B$122:$X$536,20,0)</f>
        <v>0</v>
      </c>
      <c r="AB393" s="319">
        <f t="shared" si="66"/>
        <v>0</v>
      </c>
      <c r="AC393" s="319">
        <v>0</v>
      </c>
      <c r="AD393" s="514">
        <f t="shared" si="64"/>
        <v>0</v>
      </c>
      <c r="AE393" s="556">
        <f t="shared" si="65"/>
        <v>0</v>
      </c>
      <c r="AF393" s="557">
        <f t="shared" si="65"/>
        <v>0</v>
      </c>
      <c r="AG393" s="568"/>
      <c r="AH393" s="568"/>
      <c r="AI393" s="568"/>
      <c r="AJ393" s="568"/>
      <c r="AK393" s="568"/>
      <c r="AL393" s="568"/>
      <c r="AM393" s="568"/>
    </row>
    <row r="394" spans="27:39">
      <c r="AA394" s="319">
        <f>VLOOKUP(B394,'[19]ACTA PARCIAL OBRA'!$B$122:$X$536,20,0)</f>
        <v>0</v>
      </c>
      <c r="AB394" s="319">
        <f t="shared" si="66"/>
        <v>0</v>
      </c>
      <c r="AC394" s="319">
        <v>57909898.560000002</v>
      </c>
      <c r="AD394" s="514">
        <f t="shared" si="64"/>
        <v>-57909898.560000002</v>
      </c>
      <c r="AE394" s="556">
        <f t="shared" si="65"/>
        <v>0</v>
      </c>
      <c r="AF394" s="557">
        <f t="shared" si="65"/>
        <v>0</v>
      </c>
      <c r="AG394" s="568"/>
      <c r="AH394" s="568"/>
      <c r="AI394" s="568"/>
      <c r="AJ394" s="568"/>
      <c r="AK394" s="568"/>
      <c r="AL394" s="568"/>
      <c r="AM394" s="568"/>
    </row>
    <row r="395" spans="27:39">
      <c r="AA395" s="319">
        <f>VLOOKUP(B395,'[19]ACTA PARCIAL OBRA'!$B$122:$X$536,20,0)</f>
        <v>0</v>
      </c>
      <c r="AB395" s="319">
        <f t="shared" si="66"/>
        <v>0</v>
      </c>
      <c r="AC395" s="319">
        <v>0</v>
      </c>
      <c r="AD395" s="514">
        <f t="shared" si="64"/>
        <v>0</v>
      </c>
      <c r="AE395" s="559">
        <f t="shared" si="65"/>
        <v>0</v>
      </c>
      <c r="AF395" s="560">
        <f t="shared" si="65"/>
        <v>0</v>
      </c>
      <c r="AG395" s="561"/>
      <c r="AH395" s="561"/>
      <c r="AI395" s="561"/>
      <c r="AJ395" s="561"/>
      <c r="AK395" s="562"/>
      <c r="AL395" s="568"/>
      <c r="AM395" s="568"/>
    </row>
    <row r="396" spans="27:39">
      <c r="AA396" s="319">
        <f>VLOOKUP(B396,'[19]ACTA PARCIAL OBRA'!$B$122:$X$536,20,0)</f>
        <v>0</v>
      </c>
      <c r="AB396" s="319">
        <f t="shared" si="66"/>
        <v>0</v>
      </c>
      <c r="AC396" s="319">
        <v>0</v>
      </c>
      <c r="AD396" s="514">
        <f t="shared" si="64"/>
        <v>0</v>
      </c>
      <c r="AE396" s="556">
        <f t="shared" si="65"/>
        <v>0</v>
      </c>
      <c r="AF396" s="557">
        <f t="shared" si="65"/>
        <v>0</v>
      </c>
      <c r="AG396" s="568"/>
      <c r="AH396" s="568"/>
      <c r="AI396" s="568"/>
      <c r="AJ396" s="568"/>
      <c r="AK396" s="568"/>
      <c r="AL396" s="568"/>
      <c r="AM396" s="568"/>
    </row>
    <row r="397" spans="27:39" ht="15">
      <c r="AA397" s="319">
        <f>VLOOKUP(B397,'[19]ACTA PARCIAL OBRA'!$B$122:$X$536,20,0)</f>
        <v>0</v>
      </c>
      <c r="AB397" s="319">
        <f t="shared" si="66"/>
        <v>0</v>
      </c>
      <c r="AC397" s="573">
        <v>5933495.1200000001</v>
      </c>
      <c r="AD397" s="577">
        <f t="shared" si="64"/>
        <v>-5933495.1200000001</v>
      </c>
      <c r="AE397" s="556">
        <f t="shared" si="65"/>
        <v>0</v>
      </c>
      <c r="AF397" s="557">
        <f t="shared" si="65"/>
        <v>0</v>
      </c>
      <c r="AG397" s="568"/>
      <c r="AH397" s="568"/>
      <c r="AI397" s="568"/>
      <c r="AJ397" s="568"/>
      <c r="AK397" s="568"/>
      <c r="AL397" s="568"/>
      <c r="AM397" s="568"/>
    </row>
    <row r="398" spans="27:39">
      <c r="AA398" s="319">
        <f>VLOOKUP(B398,'[19]ACTA PARCIAL OBRA'!$B$122:$X$536,20,0)</f>
        <v>0</v>
      </c>
      <c r="AB398" s="319">
        <f t="shared" si="66"/>
        <v>0</v>
      </c>
      <c r="AC398" s="319">
        <v>0</v>
      </c>
      <c r="AD398" s="514">
        <f t="shared" si="64"/>
        <v>0</v>
      </c>
      <c r="AE398" s="559">
        <f t="shared" si="65"/>
        <v>0</v>
      </c>
      <c r="AF398" s="560">
        <f t="shared" si="65"/>
        <v>0</v>
      </c>
      <c r="AG398" s="561"/>
      <c r="AH398" s="561"/>
      <c r="AI398" s="561"/>
      <c r="AJ398" s="561"/>
      <c r="AK398" s="562"/>
      <c r="AL398" s="568"/>
      <c r="AM398" s="568"/>
    </row>
    <row r="399" spans="27:39">
      <c r="AA399" s="319">
        <f>VLOOKUP(B399,'[19]ACTA PARCIAL OBRA'!$B$122:$X$536,20,0)</f>
        <v>0</v>
      </c>
      <c r="AB399" s="319">
        <f t="shared" si="66"/>
        <v>0</v>
      </c>
      <c r="AC399" s="319">
        <v>0</v>
      </c>
      <c r="AD399" s="514">
        <f t="shared" si="64"/>
        <v>0</v>
      </c>
      <c r="AE399" s="556">
        <f t="shared" si="65"/>
        <v>0</v>
      </c>
      <c r="AF399" s="557">
        <f t="shared" si="65"/>
        <v>0</v>
      </c>
      <c r="AG399" s="568"/>
      <c r="AH399" s="568"/>
      <c r="AI399" s="568"/>
      <c r="AJ399" s="568"/>
      <c r="AK399" s="568"/>
      <c r="AL399" s="568"/>
      <c r="AM399" s="568"/>
    </row>
    <row r="400" spans="27:39">
      <c r="AA400" s="319">
        <f>VLOOKUP(B400,'[19]ACTA PARCIAL OBRA'!$B$122:$X$536,20,0)</f>
        <v>0</v>
      </c>
      <c r="AB400" s="319">
        <f t="shared" si="66"/>
        <v>0</v>
      </c>
      <c r="AC400" s="319">
        <v>0</v>
      </c>
      <c r="AD400" s="514">
        <f t="shared" si="64"/>
        <v>0</v>
      </c>
      <c r="AE400" s="556">
        <f t="shared" si="65"/>
        <v>0</v>
      </c>
      <c r="AF400" s="557">
        <f t="shared" si="65"/>
        <v>0</v>
      </c>
      <c r="AG400" s="568"/>
      <c r="AH400" s="568"/>
      <c r="AI400" s="568"/>
      <c r="AJ400" s="568"/>
      <c r="AK400" s="568"/>
      <c r="AL400" s="568"/>
      <c r="AM400" s="568"/>
    </row>
    <row r="401" spans="27:39" ht="15">
      <c r="AA401" s="319">
        <f>VLOOKUP(B401,'[19]ACTA PARCIAL OBRA'!$B$122:$X$536,20,0)</f>
        <v>0</v>
      </c>
      <c r="AB401" s="319">
        <f t="shared" si="66"/>
        <v>0</v>
      </c>
      <c r="AC401" s="573"/>
      <c r="AD401" s="577"/>
      <c r="AE401" s="556">
        <f t="shared" si="65"/>
        <v>0</v>
      </c>
      <c r="AF401" s="557">
        <f t="shared" si="65"/>
        <v>0</v>
      </c>
      <c r="AG401" s="568"/>
      <c r="AH401" s="568"/>
      <c r="AI401" s="568"/>
      <c r="AJ401" s="568"/>
      <c r="AK401" s="568"/>
      <c r="AL401" s="568"/>
      <c r="AM401" s="568"/>
    </row>
    <row r="402" spans="27:39" ht="15">
      <c r="AA402" s="319">
        <f>VLOOKUP(B402,'[19]ACTA PARCIAL OBRA'!$B$122:$X$536,20,0)</f>
        <v>0</v>
      </c>
      <c r="AB402" s="319">
        <f t="shared" si="66"/>
        <v>0</v>
      </c>
      <c r="AC402" s="573">
        <v>110615538.56</v>
      </c>
      <c r="AD402" s="577">
        <f t="shared" ref="AD402:AD465" si="67">+U402-AC402</f>
        <v>-110615538.56</v>
      </c>
      <c r="AE402" s="556">
        <f t="shared" si="65"/>
        <v>0</v>
      </c>
      <c r="AF402" s="557">
        <f t="shared" si="65"/>
        <v>0</v>
      </c>
      <c r="AG402" s="568"/>
      <c r="AH402" s="568"/>
      <c r="AI402" s="568"/>
      <c r="AJ402" s="568"/>
      <c r="AK402" s="568"/>
      <c r="AL402" s="568"/>
      <c r="AM402" s="568"/>
    </row>
    <row r="403" spans="27:39">
      <c r="AA403" s="319">
        <f>VLOOKUP(B403,'[19]ACTA PARCIAL OBRA'!$B$122:$X$536,20,0)</f>
        <v>0</v>
      </c>
      <c r="AB403" s="319">
        <f t="shared" si="66"/>
        <v>0</v>
      </c>
      <c r="AC403" s="319">
        <v>35563594</v>
      </c>
      <c r="AD403" s="514">
        <f t="shared" si="67"/>
        <v>-35563594</v>
      </c>
      <c r="AE403" s="556">
        <f t="shared" si="65"/>
        <v>0</v>
      </c>
      <c r="AF403" s="557">
        <f t="shared" si="65"/>
        <v>0</v>
      </c>
      <c r="AG403" s="568"/>
      <c r="AH403" s="568"/>
      <c r="AI403" s="568"/>
      <c r="AJ403" s="568"/>
      <c r="AK403" s="568"/>
      <c r="AL403" s="568"/>
      <c r="AM403" s="568"/>
    </row>
    <row r="404" spans="27:39">
      <c r="AA404" s="319">
        <f>VLOOKUP(B404,'[19]ACTA PARCIAL OBRA'!$B$122:$X$536,20,0)</f>
        <v>0</v>
      </c>
      <c r="AB404" s="319">
        <f t="shared" si="66"/>
        <v>0</v>
      </c>
      <c r="AC404" s="319">
        <v>0</v>
      </c>
      <c r="AD404" s="514">
        <f t="shared" si="67"/>
        <v>0</v>
      </c>
      <c r="AE404" s="556">
        <f t="shared" si="65"/>
        <v>0</v>
      </c>
      <c r="AF404" s="557">
        <f t="shared" si="65"/>
        <v>0</v>
      </c>
      <c r="AG404" s="568"/>
      <c r="AH404" s="568"/>
      <c r="AI404" s="568"/>
      <c r="AJ404" s="568"/>
      <c r="AK404" s="568"/>
      <c r="AL404" s="568"/>
      <c r="AM404" s="568"/>
    </row>
    <row r="405" spans="27:39">
      <c r="AA405" s="319">
        <f>VLOOKUP(B405,'[19]ACTA PARCIAL OBRA'!$B$122:$X$536,20,0)</f>
        <v>0</v>
      </c>
      <c r="AB405" s="319">
        <f t="shared" si="66"/>
        <v>0</v>
      </c>
      <c r="AC405" s="319">
        <v>9771279.2799999993</v>
      </c>
      <c r="AD405" s="514">
        <f t="shared" si="67"/>
        <v>-9771279.2799999993</v>
      </c>
      <c r="AE405" s="556">
        <f t="shared" si="65"/>
        <v>0</v>
      </c>
      <c r="AF405" s="557">
        <f t="shared" si="65"/>
        <v>0</v>
      </c>
      <c r="AG405" s="568"/>
      <c r="AH405" s="568"/>
      <c r="AI405" s="568"/>
      <c r="AJ405" s="568"/>
      <c r="AK405" s="568"/>
      <c r="AL405" s="568"/>
      <c r="AM405" s="568"/>
    </row>
    <row r="406" spans="27:39">
      <c r="AA406" s="319">
        <f>VLOOKUP(B406,'[19]ACTA PARCIAL OBRA'!$B$122:$X$536,20,0)</f>
        <v>0</v>
      </c>
      <c r="AB406" s="319">
        <f t="shared" si="66"/>
        <v>0</v>
      </c>
      <c r="AC406" s="319">
        <v>0</v>
      </c>
      <c r="AD406" s="514">
        <f t="shared" si="67"/>
        <v>0</v>
      </c>
      <c r="AE406" s="556">
        <f t="shared" si="65"/>
        <v>0</v>
      </c>
      <c r="AF406" s="557">
        <f t="shared" si="65"/>
        <v>0</v>
      </c>
      <c r="AG406" s="568"/>
      <c r="AH406" s="568"/>
      <c r="AI406" s="568"/>
      <c r="AJ406" s="568"/>
      <c r="AK406" s="568"/>
      <c r="AL406" s="568"/>
      <c r="AM406" s="568"/>
    </row>
    <row r="407" spans="27:39">
      <c r="AA407" s="319">
        <f>VLOOKUP(B407,'[19]ACTA PARCIAL OBRA'!$B$122:$X$536,20,0)</f>
        <v>0</v>
      </c>
      <c r="AB407" s="319">
        <f t="shared" si="66"/>
        <v>0</v>
      </c>
      <c r="AC407" s="319">
        <v>0</v>
      </c>
      <c r="AD407" s="514">
        <f t="shared" si="67"/>
        <v>0</v>
      </c>
      <c r="AE407" s="559">
        <f t="shared" si="65"/>
        <v>0</v>
      </c>
      <c r="AF407" s="560">
        <f t="shared" si="65"/>
        <v>0</v>
      </c>
      <c r="AG407" s="561"/>
      <c r="AH407" s="561"/>
      <c r="AI407" s="561"/>
      <c r="AJ407" s="561"/>
      <c r="AK407" s="562"/>
      <c r="AL407" s="568"/>
      <c r="AM407" s="568"/>
    </row>
    <row r="408" spans="27:39">
      <c r="AA408" s="319">
        <f>VLOOKUP(B408,'[19]ACTA PARCIAL OBRA'!$B$122:$X$536,20,0)</f>
        <v>0</v>
      </c>
      <c r="AB408" s="319">
        <f t="shared" si="66"/>
        <v>0</v>
      </c>
      <c r="AC408" s="319">
        <v>0</v>
      </c>
      <c r="AD408" s="514">
        <f t="shared" si="67"/>
        <v>0</v>
      </c>
      <c r="AE408" s="556">
        <f t="shared" si="65"/>
        <v>0</v>
      </c>
      <c r="AF408" s="557">
        <f t="shared" si="65"/>
        <v>0</v>
      </c>
      <c r="AG408" s="568"/>
      <c r="AH408" s="568"/>
      <c r="AI408" s="568"/>
      <c r="AJ408" s="568"/>
      <c r="AK408" s="568"/>
      <c r="AL408" s="568"/>
      <c r="AM408" s="568"/>
    </row>
    <row r="409" spans="27:39">
      <c r="AA409" s="319">
        <f>VLOOKUP(B409,'[19]ACTA PARCIAL OBRA'!$B$122:$X$536,20,0)</f>
        <v>0</v>
      </c>
      <c r="AB409" s="319">
        <f t="shared" si="66"/>
        <v>0</v>
      </c>
      <c r="AC409" s="319">
        <v>0</v>
      </c>
      <c r="AD409" s="514">
        <f t="shared" si="67"/>
        <v>0</v>
      </c>
      <c r="AE409" s="556">
        <f t="shared" si="65"/>
        <v>0</v>
      </c>
      <c r="AF409" s="557">
        <f t="shared" si="65"/>
        <v>0</v>
      </c>
      <c r="AG409" s="568"/>
      <c r="AH409" s="568"/>
      <c r="AI409" s="568"/>
      <c r="AJ409" s="568"/>
      <c r="AK409" s="568"/>
      <c r="AL409" s="568"/>
      <c r="AM409" s="568"/>
    </row>
    <row r="410" spans="27:39">
      <c r="AA410" s="319">
        <f>VLOOKUP(B410,'[19]ACTA PARCIAL OBRA'!$B$122:$X$536,20,0)</f>
        <v>0</v>
      </c>
      <c r="AB410" s="319">
        <f t="shared" si="66"/>
        <v>0</v>
      </c>
      <c r="AC410" s="319">
        <v>90710084.519999996</v>
      </c>
      <c r="AD410" s="514">
        <f t="shared" si="67"/>
        <v>-90710084.519999996</v>
      </c>
      <c r="AE410" s="559">
        <f t="shared" si="65"/>
        <v>0</v>
      </c>
      <c r="AF410" s="560">
        <f t="shared" si="65"/>
        <v>0</v>
      </c>
      <c r="AG410" s="561"/>
      <c r="AH410" s="561"/>
      <c r="AI410" s="561"/>
      <c r="AJ410" s="561"/>
      <c r="AK410" s="562"/>
      <c r="AL410" s="568"/>
      <c r="AM410" s="568"/>
    </row>
    <row r="411" spans="27:39">
      <c r="AA411" s="319">
        <f>VLOOKUP(B411,'[19]ACTA PARCIAL OBRA'!$B$122:$X$536,20,0)</f>
        <v>0</v>
      </c>
      <c r="AB411" s="319">
        <f t="shared" si="66"/>
        <v>0</v>
      </c>
      <c r="AC411" s="319">
        <v>0</v>
      </c>
      <c r="AD411" s="514">
        <f t="shared" si="67"/>
        <v>0</v>
      </c>
      <c r="AE411" s="556">
        <f t="shared" si="65"/>
        <v>0</v>
      </c>
      <c r="AF411" s="557">
        <f t="shared" si="65"/>
        <v>0</v>
      </c>
      <c r="AG411" s="568"/>
      <c r="AH411" s="568"/>
      <c r="AI411" s="568"/>
      <c r="AJ411" s="568"/>
      <c r="AK411" s="568"/>
      <c r="AL411" s="568"/>
      <c r="AM411" s="568"/>
    </row>
    <row r="412" spans="27:39">
      <c r="AA412" s="319">
        <f>VLOOKUP(B412,'[19]ACTA PARCIAL OBRA'!$B$122:$X$536,20,0)</f>
        <v>0</v>
      </c>
      <c r="AB412" s="319">
        <f t="shared" si="66"/>
        <v>0</v>
      </c>
      <c r="AC412" s="319">
        <v>0</v>
      </c>
      <c r="AD412" s="514">
        <f t="shared" si="67"/>
        <v>0</v>
      </c>
      <c r="AE412" s="559">
        <f t="shared" si="65"/>
        <v>0</v>
      </c>
      <c r="AF412" s="560">
        <f t="shared" si="65"/>
        <v>0</v>
      </c>
      <c r="AG412" s="561"/>
      <c r="AH412" s="561"/>
      <c r="AI412" s="561"/>
      <c r="AJ412" s="561"/>
      <c r="AK412" s="562"/>
      <c r="AL412" s="568"/>
      <c r="AM412" s="568"/>
    </row>
    <row r="413" spans="27:39">
      <c r="AA413" s="319">
        <f>VLOOKUP(B413,'[19]ACTA PARCIAL OBRA'!$B$122:$X$536,20,0)</f>
        <v>0</v>
      </c>
      <c r="AB413" s="319">
        <f t="shared" si="66"/>
        <v>0</v>
      </c>
      <c r="AC413" s="319">
        <v>0</v>
      </c>
      <c r="AD413" s="514">
        <f t="shared" si="67"/>
        <v>0</v>
      </c>
      <c r="AE413" s="556">
        <f t="shared" si="65"/>
        <v>0</v>
      </c>
      <c r="AF413" s="557">
        <f t="shared" si="65"/>
        <v>0</v>
      </c>
      <c r="AG413" s="568"/>
      <c r="AH413" s="568"/>
      <c r="AI413" s="568"/>
      <c r="AJ413" s="568"/>
      <c r="AK413" s="568"/>
      <c r="AL413" s="568"/>
      <c r="AM413" s="568"/>
    </row>
    <row r="414" spans="27:39">
      <c r="AA414" s="319">
        <f>VLOOKUP(B414,'[19]ACTA PARCIAL OBRA'!$B$122:$X$536,20,0)</f>
        <v>0</v>
      </c>
      <c r="AB414" s="319">
        <f t="shared" si="66"/>
        <v>0</v>
      </c>
      <c r="AC414" s="319">
        <v>0</v>
      </c>
      <c r="AD414" s="514">
        <f t="shared" si="67"/>
        <v>0</v>
      </c>
      <c r="AE414" s="556">
        <f t="shared" si="65"/>
        <v>0</v>
      </c>
      <c r="AF414" s="557">
        <f t="shared" si="65"/>
        <v>0</v>
      </c>
      <c r="AG414" s="568"/>
      <c r="AH414" s="568"/>
      <c r="AI414" s="568"/>
      <c r="AJ414" s="568"/>
      <c r="AK414" s="568"/>
      <c r="AL414" s="568"/>
      <c r="AM414" s="568"/>
    </row>
    <row r="415" spans="27:39">
      <c r="AA415" s="319">
        <f>VLOOKUP(B415,'[19]ACTA PARCIAL OBRA'!$B$122:$X$536,20,0)</f>
        <v>0</v>
      </c>
      <c r="AB415" s="319">
        <f t="shared" si="66"/>
        <v>0</v>
      </c>
      <c r="AC415" s="319">
        <v>0</v>
      </c>
      <c r="AD415" s="514">
        <f t="shared" si="67"/>
        <v>0</v>
      </c>
      <c r="AE415" s="556">
        <f t="shared" si="65"/>
        <v>0</v>
      </c>
      <c r="AF415" s="557">
        <f t="shared" si="65"/>
        <v>0</v>
      </c>
      <c r="AG415" s="568"/>
      <c r="AH415" s="568"/>
      <c r="AI415" s="568"/>
      <c r="AJ415" s="568"/>
      <c r="AK415" s="568"/>
      <c r="AL415" s="568"/>
      <c r="AM415" s="568"/>
    </row>
    <row r="416" spans="27:39">
      <c r="AA416" s="319">
        <f>VLOOKUP(B416,'[19]ACTA PARCIAL OBRA'!$B$122:$X$536,20,0)</f>
        <v>0</v>
      </c>
      <c r="AB416" s="319">
        <f t="shared" si="66"/>
        <v>0</v>
      </c>
      <c r="AC416" s="319">
        <v>0</v>
      </c>
      <c r="AD416" s="514">
        <f t="shared" si="67"/>
        <v>0</v>
      </c>
      <c r="AE416" s="559">
        <f t="shared" si="65"/>
        <v>0</v>
      </c>
      <c r="AF416" s="560">
        <f t="shared" si="65"/>
        <v>0</v>
      </c>
      <c r="AG416" s="561"/>
      <c r="AH416" s="561"/>
      <c r="AI416" s="561"/>
      <c r="AJ416" s="561"/>
      <c r="AK416" s="562"/>
      <c r="AL416" s="568"/>
      <c r="AM416" s="568"/>
    </row>
    <row r="417" spans="27:39">
      <c r="AA417" s="319">
        <f>VLOOKUP(B417,'[19]ACTA PARCIAL OBRA'!$B$122:$X$536,20,0)</f>
        <v>0</v>
      </c>
      <c r="AB417" s="319">
        <f t="shared" si="66"/>
        <v>0</v>
      </c>
      <c r="AC417" s="319">
        <v>0</v>
      </c>
      <c r="AD417" s="514">
        <f t="shared" si="67"/>
        <v>0</v>
      </c>
      <c r="AE417" s="559">
        <f t="shared" si="65"/>
        <v>0</v>
      </c>
      <c r="AF417" s="560">
        <f t="shared" si="65"/>
        <v>0</v>
      </c>
      <c r="AG417" s="561"/>
      <c r="AH417" s="561"/>
      <c r="AI417" s="561"/>
      <c r="AJ417" s="561"/>
      <c r="AK417" s="562"/>
      <c r="AL417" s="568"/>
      <c r="AM417" s="568"/>
    </row>
    <row r="418" spans="27:39">
      <c r="AA418" s="319">
        <f>VLOOKUP(B418,'[19]ACTA PARCIAL OBRA'!$B$122:$X$536,20,0)</f>
        <v>0</v>
      </c>
      <c r="AB418" s="319">
        <f t="shared" si="66"/>
        <v>0</v>
      </c>
      <c r="AC418" s="319">
        <v>0</v>
      </c>
      <c r="AD418" s="514">
        <f t="shared" si="67"/>
        <v>0</v>
      </c>
      <c r="AE418" s="556">
        <f t="shared" si="65"/>
        <v>0</v>
      </c>
      <c r="AF418" s="557">
        <f t="shared" si="65"/>
        <v>0</v>
      </c>
      <c r="AG418" s="568"/>
      <c r="AH418" s="568"/>
      <c r="AI418" s="568"/>
      <c r="AJ418" s="568"/>
      <c r="AK418" s="568"/>
      <c r="AL418" s="568"/>
      <c r="AM418" s="568"/>
    </row>
    <row r="419" spans="27:39">
      <c r="AA419" s="319">
        <f>VLOOKUP(B419,'[19]ACTA PARCIAL OBRA'!$B$122:$X$536,20,0)</f>
        <v>0</v>
      </c>
      <c r="AB419" s="319">
        <f t="shared" si="66"/>
        <v>0</v>
      </c>
      <c r="AC419" s="319">
        <v>0</v>
      </c>
      <c r="AD419" s="514">
        <f t="shared" si="67"/>
        <v>0</v>
      </c>
      <c r="AE419" s="556">
        <f t="shared" si="65"/>
        <v>0</v>
      </c>
      <c r="AF419" s="557">
        <f t="shared" si="65"/>
        <v>0</v>
      </c>
      <c r="AG419" s="568"/>
      <c r="AH419" s="568"/>
      <c r="AI419" s="568"/>
      <c r="AJ419" s="568"/>
      <c r="AK419" s="568"/>
      <c r="AL419" s="568"/>
      <c r="AM419" s="568"/>
    </row>
    <row r="420" spans="27:39">
      <c r="AA420" s="319">
        <f>VLOOKUP(B420,'[19]ACTA PARCIAL OBRA'!$B$122:$X$536,20,0)</f>
        <v>0</v>
      </c>
      <c r="AB420" s="319">
        <f t="shared" si="66"/>
        <v>0</v>
      </c>
      <c r="AC420" s="319">
        <v>5933495.1200000001</v>
      </c>
      <c r="AD420" s="514">
        <f t="shared" si="67"/>
        <v>-5933495.1200000001</v>
      </c>
      <c r="AE420" s="559">
        <f t="shared" si="65"/>
        <v>0</v>
      </c>
      <c r="AF420" s="560">
        <f t="shared" si="65"/>
        <v>0</v>
      </c>
      <c r="AG420" s="561"/>
      <c r="AH420" s="561"/>
      <c r="AI420" s="561"/>
      <c r="AJ420" s="561"/>
      <c r="AK420" s="562"/>
      <c r="AL420" s="568"/>
      <c r="AM420" s="568"/>
    </row>
    <row r="421" spans="27:39">
      <c r="AA421" s="319">
        <f>VLOOKUP(B421,'[19]ACTA PARCIAL OBRA'!$B$122:$X$536,20,0)</f>
        <v>0</v>
      </c>
      <c r="AB421" s="319">
        <f t="shared" si="66"/>
        <v>0</v>
      </c>
      <c r="AC421" s="319">
        <v>0</v>
      </c>
      <c r="AD421" s="514">
        <f t="shared" si="67"/>
        <v>0</v>
      </c>
      <c r="AE421" s="556">
        <f t="shared" si="65"/>
        <v>0</v>
      </c>
      <c r="AF421" s="557">
        <f t="shared" si="65"/>
        <v>0</v>
      </c>
      <c r="AG421" s="568"/>
      <c r="AH421" s="568"/>
      <c r="AI421" s="568"/>
      <c r="AJ421" s="568"/>
      <c r="AK421" s="568"/>
      <c r="AL421" s="568"/>
      <c r="AM421" s="568"/>
    </row>
    <row r="422" spans="27:39">
      <c r="AA422" s="319">
        <f>VLOOKUP(B422,'[19]ACTA PARCIAL OBRA'!$B$122:$X$536,20,0)</f>
        <v>0</v>
      </c>
      <c r="AB422" s="319">
        <f t="shared" si="66"/>
        <v>0</v>
      </c>
      <c r="AC422" s="319">
        <v>0</v>
      </c>
      <c r="AD422" s="514">
        <f t="shared" si="67"/>
        <v>0</v>
      </c>
      <c r="AE422" s="556">
        <f t="shared" si="65"/>
        <v>0</v>
      </c>
      <c r="AF422" s="557">
        <f t="shared" si="65"/>
        <v>0</v>
      </c>
      <c r="AG422" s="568"/>
      <c r="AH422" s="568"/>
      <c r="AI422" s="568"/>
      <c r="AJ422" s="568"/>
      <c r="AK422" s="568"/>
      <c r="AL422" s="568"/>
      <c r="AM422" s="568"/>
    </row>
    <row r="423" spans="27:39">
      <c r="AA423" s="319">
        <f>VLOOKUP(B423,'[19]ACTA PARCIAL OBRA'!$B$122:$X$536,20,0)</f>
        <v>0</v>
      </c>
      <c r="AB423" s="319">
        <f t="shared" si="66"/>
        <v>0</v>
      </c>
      <c r="AC423" s="319">
        <v>0</v>
      </c>
      <c r="AD423" s="514">
        <f t="shared" si="67"/>
        <v>0</v>
      </c>
      <c r="AE423" s="559">
        <f t="shared" si="65"/>
        <v>0</v>
      </c>
      <c r="AF423" s="560">
        <f t="shared" si="65"/>
        <v>0</v>
      </c>
      <c r="AG423" s="561"/>
      <c r="AH423" s="561"/>
      <c r="AI423" s="561"/>
      <c r="AJ423" s="561"/>
      <c r="AK423" s="562"/>
      <c r="AL423" s="568"/>
      <c r="AM423" s="568"/>
    </row>
    <row r="424" spans="27:39">
      <c r="AA424" s="319">
        <f>VLOOKUP(B424,'[19]ACTA PARCIAL OBRA'!$B$122:$X$536,20,0)</f>
        <v>0</v>
      </c>
      <c r="AB424" s="319">
        <f t="shared" si="66"/>
        <v>0</v>
      </c>
      <c r="AC424" s="319">
        <v>0</v>
      </c>
      <c r="AD424" s="514">
        <f t="shared" si="67"/>
        <v>0</v>
      </c>
      <c r="AE424" s="556">
        <f t="shared" si="65"/>
        <v>0</v>
      </c>
      <c r="AF424" s="557">
        <f t="shared" si="65"/>
        <v>0</v>
      </c>
      <c r="AG424" s="568"/>
      <c r="AH424" s="568"/>
      <c r="AI424" s="568"/>
      <c r="AJ424" s="568"/>
      <c r="AK424" s="568"/>
      <c r="AL424" s="568"/>
      <c r="AM424" s="568"/>
    </row>
    <row r="425" spans="27:39">
      <c r="AA425" s="319">
        <f>VLOOKUP(B425,'[19]ACTA PARCIAL OBRA'!$B$122:$X$536,20,0)</f>
        <v>0</v>
      </c>
      <c r="AB425" s="319">
        <f t="shared" si="66"/>
        <v>0</v>
      </c>
      <c r="AC425" s="319">
        <v>0</v>
      </c>
      <c r="AD425" s="514">
        <f t="shared" si="67"/>
        <v>0</v>
      </c>
      <c r="AE425" s="556">
        <f t="shared" si="65"/>
        <v>0</v>
      </c>
      <c r="AF425" s="557">
        <f t="shared" si="65"/>
        <v>0</v>
      </c>
      <c r="AG425" s="568"/>
      <c r="AH425" s="568"/>
      <c r="AI425" s="568"/>
      <c r="AJ425" s="568"/>
      <c r="AK425" s="568"/>
      <c r="AL425" s="568"/>
      <c r="AM425" s="568"/>
    </row>
    <row r="426" spans="27:39">
      <c r="AA426" s="319">
        <f>VLOOKUP(B426,'[19]ACTA PARCIAL OBRA'!$B$122:$X$536,20,0)</f>
        <v>0</v>
      </c>
      <c r="AB426" s="319">
        <f t="shared" si="66"/>
        <v>0</v>
      </c>
      <c r="AC426" s="319">
        <v>0</v>
      </c>
      <c r="AD426" s="514">
        <f t="shared" si="67"/>
        <v>0</v>
      </c>
      <c r="AE426" s="556">
        <f t="shared" si="65"/>
        <v>0</v>
      </c>
      <c r="AF426" s="557">
        <f t="shared" si="65"/>
        <v>0</v>
      </c>
      <c r="AG426" s="568"/>
      <c r="AH426" s="568"/>
      <c r="AI426" s="568"/>
      <c r="AJ426" s="568"/>
      <c r="AK426" s="568"/>
      <c r="AL426" s="568"/>
      <c r="AM426" s="568"/>
    </row>
    <row r="427" spans="27:39">
      <c r="AA427" s="319">
        <f>VLOOKUP(B427,'[19]ACTA PARCIAL OBRA'!$B$122:$X$536,20,0)</f>
        <v>0</v>
      </c>
      <c r="AB427" s="319">
        <f t="shared" si="66"/>
        <v>0</v>
      </c>
      <c r="AC427" s="319">
        <v>0</v>
      </c>
      <c r="AD427" s="514">
        <f t="shared" si="67"/>
        <v>0</v>
      </c>
      <c r="AE427" s="559">
        <f t="shared" si="65"/>
        <v>0</v>
      </c>
      <c r="AF427" s="560">
        <f t="shared" si="65"/>
        <v>0</v>
      </c>
      <c r="AG427" s="561"/>
      <c r="AH427" s="561"/>
      <c r="AI427" s="561"/>
      <c r="AJ427" s="561"/>
      <c r="AK427" s="562"/>
      <c r="AL427" s="568"/>
      <c r="AM427" s="568"/>
    </row>
    <row r="428" spans="27:39">
      <c r="AA428" s="319">
        <f>VLOOKUP(B428,'[19]ACTA PARCIAL OBRA'!$B$122:$X$536,20,0)</f>
        <v>0</v>
      </c>
      <c r="AB428" s="319">
        <f t="shared" si="66"/>
        <v>0</v>
      </c>
      <c r="AC428" s="319">
        <v>0</v>
      </c>
      <c r="AD428" s="514">
        <f t="shared" si="67"/>
        <v>0</v>
      </c>
      <c r="AE428" s="559">
        <f t="shared" si="65"/>
        <v>0</v>
      </c>
      <c r="AF428" s="560">
        <f t="shared" si="65"/>
        <v>0</v>
      </c>
      <c r="AG428" s="561"/>
      <c r="AH428" s="561"/>
      <c r="AI428" s="561"/>
      <c r="AJ428" s="561"/>
      <c r="AK428" s="562"/>
      <c r="AL428" s="568"/>
      <c r="AM428" s="568"/>
    </row>
    <row r="429" spans="27:39">
      <c r="AA429" s="319">
        <f>VLOOKUP(B429,'[19]ACTA PARCIAL OBRA'!$B$122:$X$536,20,0)</f>
        <v>0</v>
      </c>
      <c r="AB429" s="319">
        <f t="shared" si="66"/>
        <v>0</v>
      </c>
      <c r="AC429" s="319">
        <v>0</v>
      </c>
      <c r="AD429" s="514">
        <f t="shared" si="67"/>
        <v>0</v>
      </c>
      <c r="AE429" s="556">
        <f t="shared" si="65"/>
        <v>0</v>
      </c>
      <c r="AF429" s="557">
        <f t="shared" si="65"/>
        <v>0</v>
      </c>
      <c r="AG429" s="568"/>
      <c r="AH429" s="568"/>
      <c r="AI429" s="568"/>
      <c r="AJ429" s="568"/>
      <c r="AK429" s="568"/>
      <c r="AL429" s="568"/>
      <c r="AM429" s="568"/>
    </row>
    <row r="430" spans="27:39">
      <c r="AA430" s="319">
        <f>VLOOKUP(B430,'[19]ACTA PARCIAL OBRA'!$B$122:$X$536,20,0)</f>
        <v>0</v>
      </c>
      <c r="AB430" s="319">
        <f t="shared" si="66"/>
        <v>0</v>
      </c>
      <c r="AC430" s="319">
        <v>0</v>
      </c>
      <c r="AD430" s="514">
        <f t="shared" si="67"/>
        <v>0</v>
      </c>
      <c r="AE430" s="556">
        <f t="shared" si="65"/>
        <v>0</v>
      </c>
      <c r="AF430" s="557">
        <f t="shared" si="65"/>
        <v>0</v>
      </c>
      <c r="AG430" s="568"/>
      <c r="AH430" s="568"/>
      <c r="AI430" s="568"/>
      <c r="AJ430" s="568"/>
      <c r="AK430" s="568"/>
      <c r="AL430" s="568"/>
      <c r="AM430" s="568"/>
    </row>
    <row r="431" spans="27:39">
      <c r="AA431" s="319">
        <f>VLOOKUP(B431,'[19]ACTA PARCIAL OBRA'!$B$122:$X$536,20,0)</f>
        <v>0</v>
      </c>
      <c r="AB431" s="319">
        <f t="shared" si="66"/>
        <v>0</v>
      </c>
      <c r="AC431" s="319">
        <v>0</v>
      </c>
      <c r="AD431" s="514">
        <f t="shared" si="67"/>
        <v>0</v>
      </c>
      <c r="AE431" s="559">
        <f t="shared" si="65"/>
        <v>0</v>
      </c>
      <c r="AF431" s="560">
        <f t="shared" si="65"/>
        <v>0</v>
      </c>
      <c r="AG431" s="561"/>
      <c r="AH431" s="561"/>
      <c r="AI431" s="561"/>
      <c r="AJ431" s="561"/>
      <c r="AK431" s="562"/>
      <c r="AL431" s="568"/>
      <c r="AM431" s="568"/>
    </row>
    <row r="432" spans="27:39">
      <c r="AA432" s="319">
        <f>VLOOKUP(B432,'[19]ACTA PARCIAL OBRA'!$B$122:$X$536,20,0)</f>
        <v>0</v>
      </c>
      <c r="AB432" s="319">
        <f t="shared" si="66"/>
        <v>0</v>
      </c>
      <c r="AC432" s="319">
        <v>0</v>
      </c>
      <c r="AD432" s="514">
        <f t="shared" si="67"/>
        <v>0</v>
      </c>
      <c r="AE432" s="556">
        <f t="shared" si="65"/>
        <v>0</v>
      </c>
      <c r="AF432" s="557">
        <f t="shared" si="65"/>
        <v>0</v>
      </c>
      <c r="AG432" s="568"/>
      <c r="AH432" s="568"/>
      <c r="AI432" s="568"/>
      <c r="AJ432" s="568"/>
      <c r="AK432" s="568"/>
      <c r="AL432" s="568"/>
      <c r="AM432" s="568"/>
    </row>
    <row r="433" spans="27:39">
      <c r="AA433" s="319">
        <f>VLOOKUP(B433,'[19]ACTA PARCIAL OBRA'!$B$122:$X$536,20,0)</f>
        <v>0</v>
      </c>
      <c r="AB433" s="319">
        <f t="shared" si="66"/>
        <v>0</v>
      </c>
      <c r="AC433" s="319">
        <v>0</v>
      </c>
      <c r="AD433" s="514">
        <f t="shared" si="67"/>
        <v>0</v>
      </c>
      <c r="AE433" s="556">
        <f t="shared" si="65"/>
        <v>0</v>
      </c>
      <c r="AF433" s="557">
        <f t="shared" si="65"/>
        <v>0</v>
      </c>
      <c r="AG433" s="568"/>
      <c r="AH433" s="568"/>
      <c r="AI433" s="568"/>
      <c r="AJ433" s="568"/>
      <c r="AK433" s="568"/>
      <c r="AL433" s="568"/>
      <c r="AM433" s="568"/>
    </row>
    <row r="434" spans="27:39">
      <c r="AA434" s="319">
        <f>VLOOKUP(B434,'[19]ACTA PARCIAL OBRA'!$B$122:$X$536,20,0)</f>
        <v>0</v>
      </c>
      <c r="AB434" s="319">
        <f t="shared" si="66"/>
        <v>0</v>
      </c>
      <c r="AC434" s="319">
        <v>0</v>
      </c>
      <c r="AD434" s="514">
        <f t="shared" si="67"/>
        <v>0</v>
      </c>
      <c r="AE434" s="556">
        <f t="shared" si="65"/>
        <v>0</v>
      </c>
      <c r="AF434" s="557">
        <f t="shared" si="65"/>
        <v>0</v>
      </c>
      <c r="AG434" s="568"/>
      <c r="AH434" s="568"/>
      <c r="AI434" s="568"/>
      <c r="AJ434" s="568"/>
      <c r="AK434" s="568"/>
      <c r="AL434" s="568"/>
      <c r="AM434" s="568"/>
    </row>
    <row r="435" spans="27:39">
      <c r="AA435" s="319">
        <f>VLOOKUP(B435,'[19]ACTA PARCIAL OBRA'!$B$122:$X$536,20,0)</f>
        <v>0</v>
      </c>
      <c r="AB435" s="319">
        <f t="shared" si="66"/>
        <v>0</v>
      </c>
      <c r="AC435" s="319">
        <v>0</v>
      </c>
      <c r="AD435" s="514">
        <f t="shared" si="67"/>
        <v>0</v>
      </c>
      <c r="AE435" s="556">
        <f t="shared" si="65"/>
        <v>0</v>
      </c>
      <c r="AF435" s="557">
        <f t="shared" si="65"/>
        <v>0</v>
      </c>
      <c r="AG435" s="568"/>
      <c r="AH435" s="568"/>
      <c r="AI435" s="568"/>
      <c r="AJ435" s="568"/>
      <c r="AK435" s="568"/>
      <c r="AL435" s="568"/>
      <c r="AM435" s="568"/>
    </row>
    <row r="436" spans="27:39">
      <c r="AA436" s="319">
        <f>VLOOKUP(B436,'[19]ACTA PARCIAL OBRA'!$B$122:$X$536,20,0)</f>
        <v>0</v>
      </c>
      <c r="AB436" s="319">
        <f t="shared" si="66"/>
        <v>0</v>
      </c>
      <c r="AC436" s="319">
        <v>0</v>
      </c>
      <c r="AD436" s="514">
        <f t="shared" si="67"/>
        <v>0</v>
      </c>
      <c r="AE436" s="559">
        <f t="shared" si="65"/>
        <v>0</v>
      </c>
      <c r="AF436" s="560">
        <f t="shared" si="65"/>
        <v>0</v>
      </c>
      <c r="AG436" s="561"/>
      <c r="AH436" s="561"/>
      <c r="AI436" s="561"/>
      <c r="AJ436" s="561"/>
      <c r="AK436" s="562"/>
      <c r="AL436" s="568"/>
      <c r="AM436" s="568"/>
    </row>
    <row r="437" spans="27:39">
      <c r="AA437" s="319">
        <f>VLOOKUP(B437,'[19]ACTA PARCIAL OBRA'!$B$122:$X$536,20,0)</f>
        <v>0</v>
      </c>
      <c r="AB437" s="319">
        <f t="shared" si="66"/>
        <v>0</v>
      </c>
      <c r="AC437" s="319">
        <v>0</v>
      </c>
      <c r="AD437" s="514">
        <f t="shared" si="67"/>
        <v>0</v>
      </c>
      <c r="AE437" s="559">
        <f t="shared" si="65"/>
        <v>0</v>
      </c>
      <c r="AF437" s="560">
        <f t="shared" si="65"/>
        <v>0</v>
      </c>
      <c r="AG437" s="561"/>
      <c r="AH437" s="561"/>
      <c r="AI437" s="561"/>
      <c r="AJ437" s="561"/>
      <c r="AK437" s="562"/>
      <c r="AL437" s="568"/>
      <c r="AM437" s="568"/>
    </row>
    <row r="438" spans="27:39">
      <c r="AA438" s="319">
        <f>VLOOKUP(B438,'[19]ACTA PARCIAL OBRA'!$B$122:$X$536,20,0)</f>
        <v>0</v>
      </c>
      <c r="AB438" s="319">
        <f t="shared" si="66"/>
        <v>0</v>
      </c>
      <c r="AC438" s="319">
        <v>5933495.1200000001</v>
      </c>
      <c r="AD438" s="514">
        <f t="shared" si="67"/>
        <v>-5933495.1200000001</v>
      </c>
      <c r="AE438" s="556">
        <f t="shared" si="65"/>
        <v>0</v>
      </c>
      <c r="AF438" s="557">
        <f t="shared" si="65"/>
        <v>0</v>
      </c>
      <c r="AG438" s="568"/>
      <c r="AH438" s="568"/>
      <c r="AI438" s="568"/>
      <c r="AJ438" s="568"/>
      <c r="AK438" s="568"/>
      <c r="AL438" s="568"/>
      <c r="AM438" s="568"/>
    </row>
    <row r="439" spans="27:39">
      <c r="AA439" s="319">
        <f>VLOOKUP(B439,'[19]ACTA PARCIAL OBRA'!$B$122:$X$536,20,0)</f>
        <v>0</v>
      </c>
      <c r="AB439" s="319">
        <f t="shared" si="66"/>
        <v>0</v>
      </c>
      <c r="AC439" s="319">
        <v>5933495.1200000001</v>
      </c>
      <c r="AD439" s="514">
        <f t="shared" si="67"/>
        <v>-5933495.1200000001</v>
      </c>
      <c r="AE439" s="556">
        <f t="shared" si="65"/>
        <v>0</v>
      </c>
      <c r="AF439" s="557">
        <f t="shared" si="65"/>
        <v>0</v>
      </c>
      <c r="AG439" s="568"/>
      <c r="AH439" s="568"/>
      <c r="AI439" s="568"/>
      <c r="AJ439" s="568"/>
      <c r="AK439" s="568"/>
      <c r="AL439" s="568"/>
      <c r="AM439" s="568"/>
    </row>
    <row r="440" spans="27:39">
      <c r="AA440" s="319">
        <f>VLOOKUP(B440,'[19]ACTA PARCIAL OBRA'!$B$122:$X$536,20,0)</f>
        <v>0</v>
      </c>
      <c r="AB440" s="319">
        <f t="shared" si="66"/>
        <v>0</v>
      </c>
      <c r="AC440" s="319">
        <v>0</v>
      </c>
      <c r="AD440" s="514">
        <f t="shared" si="67"/>
        <v>0</v>
      </c>
      <c r="AE440" s="559">
        <f t="shared" si="65"/>
        <v>0</v>
      </c>
      <c r="AF440" s="560">
        <f t="shared" si="65"/>
        <v>0</v>
      </c>
      <c r="AG440" s="561"/>
      <c r="AH440" s="561"/>
      <c r="AI440" s="561"/>
      <c r="AJ440" s="561"/>
      <c r="AK440" s="562"/>
      <c r="AL440" s="568"/>
      <c r="AM440" s="568"/>
    </row>
    <row r="441" spans="27:39">
      <c r="AA441" s="319">
        <f>VLOOKUP(B441,'[19]ACTA PARCIAL OBRA'!$B$122:$X$536,20,0)</f>
        <v>0</v>
      </c>
      <c r="AB441" s="319">
        <f t="shared" si="66"/>
        <v>0</v>
      </c>
      <c r="AC441" s="319">
        <v>0</v>
      </c>
      <c r="AD441" s="514">
        <f t="shared" si="67"/>
        <v>0</v>
      </c>
      <c r="AE441" s="556">
        <f t="shared" ref="AE441:AF504" si="68">+B441</f>
        <v>0</v>
      </c>
      <c r="AF441" s="557">
        <f t="shared" si="68"/>
        <v>0</v>
      </c>
      <c r="AG441" s="568"/>
      <c r="AH441" s="568"/>
      <c r="AI441" s="568"/>
      <c r="AJ441" s="568"/>
      <c r="AK441" s="568"/>
      <c r="AL441" s="568"/>
      <c r="AM441" s="568"/>
    </row>
    <row r="442" spans="27:39">
      <c r="AA442" s="319">
        <f>VLOOKUP(B442,'[19]ACTA PARCIAL OBRA'!$B$122:$X$536,20,0)</f>
        <v>0</v>
      </c>
      <c r="AB442" s="319">
        <f t="shared" si="66"/>
        <v>0</v>
      </c>
      <c r="AC442" s="319">
        <v>0</v>
      </c>
      <c r="AD442" s="514">
        <f t="shared" si="67"/>
        <v>0</v>
      </c>
      <c r="AE442" s="556">
        <f t="shared" si="68"/>
        <v>0</v>
      </c>
      <c r="AF442" s="557">
        <f t="shared" si="68"/>
        <v>0</v>
      </c>
      <c r="AG442" s="568"/>
      <c r="AH442" s="568"/>
      <c r="AI442" s="568"/>
      <c r="AJ442" s="568"/>
      <c r="AK442" s="568"/>
      <c r="AL442" s="568"/>
      <c r="AM442" s="568"/>
    </row>
    <row r="443" spans="27:39">
      <c r="AA443" s="319">
        <f>VLOOKUP(B443,'[19]ACTA PARCIAL OBRA'!$B$122:$X$536,20,0)</f>
        <v>0</v>
      </c>
      <c r="AB443" s="319">
        <f t="shared" si="66"/>
        <v>0</v>
      </c>
      <c r="AC443" s="319">
        <v>5933495.1200000001</v>
      </c>
      <c r="AD443" s="514">
        <f t="shared" si="67"/>
        <v>-5933495.1200000001</v>
      </c>
      <c r="AE443" s="559">
        <f t="shared" si="68"/>
        <v>0</v>
      </c>
      <c r="AF443" s="560">
        <f t="shared" si="68"/>
        <v>0</v>
      </c>
      <c r="AG443" s="558"/>
      <c r="AH443" s="558"/>
      <c r="AI443" s="558"/>
      <c r="AJ443" s="558"/>
      <c r="AK443" s="558"/>
      <c r="AL443" s="568"/>
      <c r="AM443" s="568"/>
    </row>
    <row r="444" spans="27:39">
      <c r="AA444" s="319">
        <f>VLOOKUP(B444,'[19]ACTA PARCIAL OBRA'!$B$122:$X$536,20,0)</f>
        <v>0</v>
      </c>
      <c r="AB444" s="319">
        <f t="shared" si="66"/>
        <v>0</v>
      </c>
      <c r="AC444" s="319">
        <v>0</v>
      </c>
      <c r="AD444" s="514">
        <f t="shared" si="67"/>
        <v>0</v>
      </c>
      <c r="AE444" s="556">
        <f t="shared" si="68"/>
        <v>0</v>
      </c>
      <c r="AF444" s="557">
        <f t="shared" si="68"/>
        <v>0</v>
      </c>
      <c r="AG444" s="568"/>
      <c r="AH444" s="568"/>
      <c r="AI444" s="568"/>
      <c r="AJ444" s="568"/>
      <c r="AK444" s="568"/>
      <c r="AL444" s="568"/>
      <c r="AM444" s="568"/>
    </row>
    <row r="445" spans="27:39">
      <c r="AA445" s="319">
        <f>VLOOKUP(B445,'[19]ACTA PARCIAL OBRA'!$B$122:$X$536,20,0)</f>
        <v>0</v>
      </c>
      <c r="AB445" s="319">
        <f t="shared" si="66"/>
        <v>0</v>
      </c>
      <c r="AC445" s="319">
        <v>0</v>
      </c>
      <c r="AD445" s="514">
        <f t="shared" si="67"/>
        <v>0</v>
      </c>
      <c r="AE445" s="556">
        <f t="shared" si="68"/>
        <v>0</v>
      </c>
      <c r="AF445" s="557">
        <f t="shared" si="68"/>
        <v>0</v>
      </c>
      <c r="AG445" s="568"/>
      <c r="AH445" s="568"/>
      <c r="AI445" s="568"/>
      <c r="AJ445" s="568"/>
      <c r="AK445" s="568"/>
      <c r="AL445" s="568"/>
      <c r="AM445" s="568"/>
    </row>
    <row r="446" spans="27:39">
      <c r="AA446" s="319">
        <f>VLOOKUP(B446,'[19]ACTA PARCIAL OBRA'!$B$122:$X$536,20,0)</f>
        <v>0</v>
      </c>
      <c r="AB446" s="319">
        <f t="shared" si="66"/>
        <v>0</v>
      </c>
      <c r="AC446" s="319">
        <v>0</v>
      </c>
      <c r="AD446" s="514">
        <f t="shared" si="67"/>
        <v>0</v>
      </c>
      <c r="AE446" s="556">
        <f t="shared" si="68"/>
        <v>0</v>
      </c>
      <c r="AF446" s="557">
        <f t="shared" si="68"/>
        <v>0</v>
      </c>
      <c r="AG446" s="568"/>
      <c r="AH446" s="568"/>
      <c r="AI446" s="568"/>
      <c r="AJ446" s="568"/>
      <c r="AK446" s="568"/>
      <c r="AL446" s="568"/>
      <c r="AM446" s="568"/>
    </row>
    <row r="447" spans="27:39">
      <c r="AA447" s="319">
        <f>VLOOKUP(B447,'[19]ACTA PARCIAL OBRA'!$B$122:$X$536,20,0)</f>
        <v>0</v>
      </c>
      <c r="AB447" s="319">
        <f t="shared" si="66"/>
        <v>0</v>
      </c>
      <c r="AC447" s="319">
        <v>0</v>
      </c>
      <c r="AD447" s="514">
        <f t="shared" si="67"/>
        <v>0</v>
      </c>
      <c r="AE447" s="556">
        <f t="shared" si="68"/>
        <v>0</v>
      </c>
      <c r="AF447" s="557">
        <f t="shared" si="68"/>
        <v>0</v>
      </c>
      <c r="AG447" s="568"/>
      <c r="AH447" s="568"/>
      <c r="AI447" s="568"/>
      <c r="AJ447" s="568"/>
      <c r="AK447" s="568"/>
      <c r="AL447" s="568"/>
      <c r="AM447" s="568"/>
    </row>
    <row r="448" spans="27:39">
      <c r="AA448" s="319">
        <f>VLOOKUP(B448,'[19]ACTA PARCIAL OBRA'!$B$122:$X$536,20,0)</f>
        <v>0</v>
      </c>
      <c r="AB448" s="319">
        <f t="shared" si="66"/>
        <v>0</v>
      </c>
      <c r="AC448" s="319">
        <v>0</v>
      </c>
      <c r="AD448" s="514">
        <f t="shared" si="67"/>
        <v>0</v>
      </c>
      <c r="AE448" s="556">
        <f t="shared" si="68"/>
        <v>0</v>
      </c>
      <c r="AF448" s="557">
        <f t="shared" si="68"/>
        <v>0</v>
      </c>
      <c r="AG448" s="568"/>
      <c r="AH448" s="568"/>
      <c r="AI448" s="568"/>
      <c r="AJ448" s="568"/>
      <c r="AK448" s="568"/>
      <c r="AL448" s="568"/>
      <c r="AM448" s="568"/>
    </row>
    <row r="449" spans="27:39">
      <c r="AA449" s="319">
        <f>VLOOKUP(B449,'[19]ACTA PARCIAL OBRA'!$B$122:$X$536,20,0)</f>
        <v>0</v>
      </c>
      <c r="AB449" s="319">
        <f t="shared" si="66"/>
        <v>0</v>
      </c>
      <c r="AC449" s="319">
        <v>5933495.1200000001</v>
      </c>
      <c r="AD449" s="514">
        <f t="shared" si="67"/>
        <v>-5933495.1200000001</v>
      </c>
      <c r="AE449" s="559">
        <f t="shared" si="68"/>
        <v>0</v>
      </c>
      <c r="AF449" s="560">
        <f t="shared" si="68"/>
        <v>0</v>
      </c>
      <c r="AG449" s="558"/>
      <c r="AH449" s="558"/>
      <c r="AI449" s="558"/>
      <c r="AJ449" s="558"/>
      <c r="AK449" s="558"/>
      <c r="AL449" s="568"/>
      <c r="AM449" s="568"/>
    </row>
    <row r="450" spans="27:39">
      <c r="AA450" s="319">
        <f>VLOOKUP(B450,'[19]ACTA PARCIAL OBRA'!$B$122:$X$536,20,0)</f>
        <v>0</v>
      </c>
      <c r="AB450" s="319">
        <f t="shared" si="66"/>
        <v>0</v>
      </c>
      <c r="AC450" s="319">
        <v>0</v>
      </c>
      <c r="AD450" s="514">
        <f t="shared" si="67"/>
        <v>0</v>
      </c>
      <c r="AE450" s="559">
        <f t="shared" si="68"/>
        <v>0</v>
      </c>
      <c r="AF450" s="560">
        <f t="shared" si="68"/>
        <v>0</v>
      </c>
      <c r="AG450" s="561"/>
      <c r="AH450" s="561"/>
      <c r="AI450" s="561"/>
      <c r="AJ450" s="561"/>
      <c r="AK450" s="562"/>
      <c r="AL450" s="568"/>
      <c r="AM450" s="568"/>
    </row>
    <row r="451" spans="27:39">
      <c r="AA451" s="319">
        <f>VLOOKUP(B451,'[19]ACTA PARCIAL OBRA'!$B$122:$X$536,20,0)</f>
        <v>0</v>
      </c>
      <c r="AB451" s="319">
        <f t="shared" si="66"/>
        <v>0</v>
      </c>
      <c r="AC451" s="319">
        <v>0</v>
      </c>
      <c r="AD451" s="514">
        <f t="shared" si="67"/>
        <v>0</v>
      </c>
      <c r="AE451" s="556">
        <f t="shared" si="68"/>
        <v>0</v>
      </c>
      <c r="AF451" s="557">
        <f t="shared" si="68"/>
        <v>0</v>
      </c>
      <c r="AG451" s="568"/>
      <c r="AH451" s="568"/>
      <c r="AI451" s="568"/>
      <c r="AJ451" s="568"/>
      <c r="AK451" s="568"/>
      <c r="AL451" s="568"/>
      <c r="AM451" s="568"/>
    </row>
    <row r="452" spans="27:39">
      <c r="AA452" s="319">
        <f>VLOOKUP(B452,'[19]ACTA PARCIAL OBRA'!$B$122:$X$536,20,0)</f>
        <v>0</v>
      </c>
      <c r="AB452" s="319">
        <f t="shared" si="66"/>
        <v>0</v>
      </c>
      <c r="AC452" s="319">
        <v>0</v>
      </c>
      <c r="AD452" s="514">
        <f t="shared" si="67"/>
        <v>0</v>
      </c>
      <c r="AE452" s="559">
        <f t="shared" si="68"/>
        <v>0</v>
      </c>
      <c r="AF452" s="560">
        <f t="shared" si="68"/>
        <v>0</v>
      </c>
      <c r="AG452" s="561"/>
      <c r="AH452" s="561"/>
      <c r="AI452" s="561"/>
      <c r="AJ452" s="561"/>
      <c r="AK452" s="562"/>
      <c r="AL452" s="568"/>
      <c r="AM452" s="568"/>
    </row>
    <row r="453" spans="27:39">
      <c r="AA453" s="319">
        <f>VLOOKUP(B453,'[19]ACTA PARCIAL OBRA'!$B$122:$X$536,20,0)</f>
        <v>0</v>
      </c>
      <c r="AB453" s="319">
        <f t="shared" si="66"/>
        <v>0</v>
      </c>
      <c r="AC453" s="319">
        <v>0</v>
      </c>
      <c r="AD453" s="514">
        <f t="shared" si="67"/>
        <v>0</v>
      </c>
      <c r="AE453" s="556">
        <f t="shared" si="68"/>
        <v>0</v>
      </c>
      <c r="AF453" s="557">
        <f t="shared" si="68"/>
        <v>0</v>
      </c>
      <c r="AG453" s="568"/>
      <c r="AH453" s="568"/>
      <c r="AI453" s="568"/>
      <c r="AJ453" s="568"/>
      <c r="AK453" s="568"/>
      <c r="AL453" s="568"/>
      <c r="AM453" s="568"/>
    </row>
    <row r="454" spans="27:39">
      <c r="AA454" s="319">
        <f>VLOOKUP(B454,'[19]ACTA PARCIAL OBRA'!$B$122:$X$536,20,0)</f>
        <v>0</v>
      </c>
      <c r="AB454" s="319">
        <f t="shared" si="66"/>
        <v>0</v>
      </c>
      <c r="AC454" s="319">
        <v>0</v>
      </c>
      <c r="AD454" s="514">
        <f t="shared" si="67"/>
        <v>0</v>
      </c>
      <c r="AE454" s="556">
        <f t="shared" si="68"/>
        <v>0</v>
      </c>
      <c r="AF454" s="557">
        <f t="shared" si="68"/>
        <v>0</v>
      </c>
      <c r="AG454" s="568"/>
      <c r="AH454" s="568"/>
      <c r="AI454" s="568"/>
      <c r="AJ454" s="568"/>
      <c r="AK454" s="568"/>
      <c r="AL454" s="568"/>
      <c r="AM454" s="568"/>
    </row>
    <row r="455" spans="27:39">
      <c r="AA455" s="319">
        <f>VLOOKUP(B455,'[19]ACTA PARCIAL OBRA'!$B$122:$X$536,20,0)</f>
        <v>0</v>
      </c>
      <c r="AB455" s="319">
        <f t="shared" si="66"/>
        <v>0</v>
      </c>
      <c r="AC455" s="319">
        <v>0</v>
      </c>
      <c r="AD455" s="514">
        <f t="shared" si="67"/>
        <v>0</v>
      </c>
      <c r="AE455" s="559">
        <f t="shared" si="68"/>
        <v>0</v>
      </c>
      <c r="AF455" s="560">
        <f t="shared" si="68"/>
        <v>0</v>
      </c>
      <c r="AG455" s="561"/>
      <c r="AH455" s="561"/>
      <c r="AI455" s="561"/>
      <c r="AJ455" s="561"/>
      <c r="AK455" s="562"/>
      <c r="AL455" s="568"/>
      <c r="AM455" s="568"/>
    </row>
    <row r="456" spans="27:39">
      <c r="AA456" s="319">
        <f>VLOOKUP(B456,'[19]ACTA PARCIAL OBRA'!$B$122:$X$536,20,0)</f>
        <v>0</v>
      </c>
      <c r="AB456" s="319">
        <f t="shared" ref="AB456:AB519" si="69">+AA456-R456</f>
        <v>0</v>
      </c>
      <c r="AC456" s="319">
        <v>0</v>
      </c>
      <c r="AD456" s="514">
        <f t="shared" si="67"/>
        <v>0</v>
      </c>
      <c r="AE456" s="556">
        <f t="shared" si="68"/>
        <v>0</v>
      </c>
      <c r="AF456" s="557">
        <f t="shared" si="68"/>
        <v>0</v>
      </c>
      <c r="AG456" s="568"/>
      <c r="AH456" s="568"/>
      <c r="AI456" s="568"/>
      <c r="AJ456" s="568"/>
      <c r="AK456" s="568"/>
      <c r="AL456" s="568"/>
      <c r="AM456" s="568"/>
    </row>
    <row r="457" spans="27:39">
      <c r="AA457" s="319">
        <f>VLOOKUP(B457,'[19]ACTA PARCIAL OBRA'!$B$122:$X$536,20,0)</f>
        <v>0</v>
      </c>
      <c r="AB457" s="319">
        <f t="shared" si="69"/>
        <v>0</v>
      </c>
      <c r="AC457" s="319">
        <v>0</v>
      </c>
      <c r="AD457" s="514">
        <f t="shared" si="67"/>
        <v>0</v>
      </c>
      <c r="AE457" s="556">
        <f t="shared" si="68"/>
        <v>0</v>
      </c>
      <c r="AF457" s="557">
        <f t="shared" si="68"/>
        <v>0</v>
      </c>
      <c r="AG457" s="568"/>
      <c r="AH457" s="568"/>
      <c r="AI457" s="568"/>
      <c r="AJ457" s="568"/>
      <c r="AK457" s="568"/>
      <c r="AL457" s="568"/>
      <c r="AM457" s="568"/>
    </row>
    <row r="458" spans="27:39">
      <c r="AA458" s="319">
        <f>VLOOKUP(B458,'[19]ACTA PARCIAL OBRA'!$B$122:$X$536,20,0)</f>
        <v>0</v>
      </c>
      <c r="AB458" s="319">
        <f t="shared" si="69"/>
        <v>0</v>
      </c>
      <c r="AC458" s="319">
        <v>0</v>
      </c>
      <c r="AD458" s="514">
        <f t="shared" si="67"/>
        <v>0</v>
      </c>
      <c r="AE458" s="556">
        <f t="shared" si="68"/>
        <v>0</v>
      </c>
      <c r="AF458" s="557">
        <f t="shared" si="68"/>
        <v>0</v>
      </c>
      <c r="AG458" s="568"/>
      <c r="AH458" s="568"/>
      <c r="AI458" s="568"/>
      <c r="AJ458" s="568"/>
      <c r="AK458" s="568"/>
      <c r="AL458" s="568"/>
      <c r="AM458" s="568"/>
    </row>
    <row r="459" spans="27:39">
      <c r="AA459" s="319">
        <f>VLOOKUP(B459,'[19]ACTA PARCIAL OBRA'!$B$122:$X$536,20,0)</f>
        <v>0</v>
      </c>
      <c r="AB459" s="319">
        <f t="shared" si="69"/>
        <v>0</v>
      </c>
      <c r="AC459" s="319">
        <v>5933495.1200000001</v>
      </c>
      <c r="AD459" s="514">
        <f t="shared" si="67"/>
        <v>-5933495.1200000001</v>
      </c>
      <c r="AE459" s="559">
        <f t="shared" si="68"/>
        <v>0</v>
      </c>
      <c r="AF459" s="560">
        <f t="shared" si="68"/>
        <v>0</v>
      </c>
      <c r="AG459" s="558"/>
      <c r="AH459" s="558"/>
      <c r="AI459" s="558"/>
      <c r="AJ459" s="558"/>
      <c r="AK459" s="558"/>
      <c r="AL459" s="568"/>
      <c r="AM459" s="568"/>
    </row>
    <row r="460" spans="27:39">
      <c r="AA460" s="319">
        <f>VLOOKUP(B460,'[19]ACTA PARCIAL OBRA'!$B$122:$X$536,20,0)</f>
        <v>0</v>
      </c>
      <c r="AB460" s="319">
        <f t="shared" si="69"/>
        <v>0</v>
      </c>
      <c r="AC460" s="319">
        <v>0</v>
      </c>
      <c r="AD460" s="514">
        <f t="shared" si="67"/>
        <v>0</v>
      </c>
      <c r="AE460" s="556">
        <f t="shared" si="68"/>
        <v>0</v>
      </c>
      <c r="AF460" s="557">
        <f t="shared" si="68"/>
        <v>0</v>
      </c>
      <c r="AG460" s="568"/>
      <c r="AH460" s="568"/>
      <c r="AI460" s="568"/>
      <c r="AJ460" s="568"/>
      <c r="AK460" s="568"/>
      <c r="AL460" s="568"/>
      <c r="AM460" s="568"/>
    </row>
    <row r="461" spans="27:39">
      <c r="AA461" s="319">
        <f>VLOOKUP(B461,'[19]ACTA PARCIAL OBRA'!$B$122:$X$536,20,0)</f>
        <v>0</v>
      </c>
      <c r="AB461" s="319">
        <f t="shared" si="69"/>
        <v>0</v>
      </c>
      <c r="AC461" s="319">
        <v>0</v>
      </c>
      <c r="AD461" s="514">
        <f t="shared" si="67"/>
        <v>0</v>
      </c>
      <c r="AE461" s="556">
        <f t="shared" si="68"/>
        <v>0</v>
      </c>
      <c r="AF461" s="557">
        <f t="shared" si="68"/>
        <v>0</v>
      </c>
      <c r="AG461" s="568"/>
      <c r="AH461" s="568"/>
      <c r="AI461" s="568"/>
      <c r="AJ461" s="568"/>
      <c r="AK461" s="568"/>
      <c r="AL461" s="568"/>
      <c r="AM461" s="568"/>
    </row>
    <row r="462" spans="27:39">
      <c r="AA462" s="319">
        <f>VLOOKUP(B462,'[19]ACTA PARCIAL OBRA'!$B$122:$X$536,20,0)</f>
        <v>0</v>
      </c>
      <c r="AB462" s="319">
        <f t="shared" si="69"/>
        <v>0</v>
      </c>
      <c r="AC462" s="319">
        <v>0</v>
      </c>
      <c r="AD462" s="514">
        <f t="shared" si="67"/>
        <v>0</v>
      </c>
      <c r="AE462" s="559">
        <f t="shared" si="68"/>
        <v>0</v>
      </c>
      <c r="AF462" s="560">
        <f t="shared" si="68"/>
        <v>0</v>
      </c>
      <c r="AG462" s="561"/>
      <c r="AH462" s="561"/>
      <c r="AI462" s="561"/>
      <c r="AJ462" s="561"/>
      <c r="AK462" s="562"/>
      <c r="AL462" s="568"/>
      <c r="AM462" s="568"/>
    </row>
    <row r="463" spans="27:39">
      <c r="AA463" s="319">
        <f>VLOOKUP(B463,'[19]ACTA PARCIAL OBRA'!$B$122:$X$536,20,0)</f>
        <v>0</v>
      </c>
      <c r="AB463" s="319">
        <f t="shared" si="69"/>
        <v>0</v>
      </c>
      <c r="AC463" s="319">
        <v>5933495.1200000001</v>
      </c>
      <c r="AD463" s="514">
        <f t="shared" si="67"/>
        <v>-5933495.1200000001</v>
      </c>
      <c r="AE463" s="559">
        <f t="shared" si="68"/>
        <v>0</v>
      </c>
      <c r="AF463" s="560">
        <f t="shared" si="68"/>
        <v>0</v>
      </c>
      <c r="AG463" s="558"/>
      <c r="AH463" s="558"/>
      <c r="AI463" s="558"/>
      <c r="AJ463" s="558"/>
      <c r="AK463" s="558"/>
      <c r="AL463" s="568"/>
      <c r="AM463" s="568"/>
    </row>
    <row r="464" spans="27:39">
      <c r="AA464" s="319">
        <f>VLOOKUP(B464,'[19]ACTA PARCIAL OBRA'!$B$122:$X$536,20,0)</f>
        <v>0</v>
      </c>
      <c r="AB464" s="319">
        <f t="shared" si="69"/>
        <v>0</v>
      </c>
      <c r="AC464" s="319">
        <v>0</v>
      </c>
      <c r="AD464" s="514">
        <f t="shared" si="67"/>
        <v>0</v>
      </c>
      <c r="AE464" s="556">
        <f t="shared" si="68"/>
        <v>0</v>
      </c>
      <c r="AF464" s="557">
        <f t="shared" si="68"/>
        <v>0</v>
      </c>
      <c r="AG464" s="568"/>
      <c r="AH464" s="568"/>
      <c r="AI464" s="568"/>
      <c r="AJ464" s="568"/>
      <c r="AK464" s="568"/>
      <c r="AL464" s="568"/>
      <c r="AM464" s="568"/>
    </row>
    <row r="465" spans="27:39">
      <c r="AA465" s="319">
        <f>VLOOKUP(B465,'[19]ACTA PARCIAL OBRA'!$B$122:$X$536,20,0)</f>
        <v>0</v>
      </c>
      <c r="AB465" s="319">
        <f t="shared" si="69"/>
        <v>0</v>
      </c>
      <c r="AC465" s="319">
        <v>5933495.1200000001</v>
      </c>
      <c r="AD465" s="514">
        <f t="shared" si="67"/>
        <v>-5933495.1200000001</v>
      </c>
      <c r="AE465" s="559">
        <f t="shared" si="68"/>
        <v>0</v>
      </c>
      <c r="AF465" s="560">
        <f t="shared" si="68"/>
        <v>0</v>
      </c>
      <c r="AG465" s="558"/>
      <c r="AH465" s="558"/>
      <c r="AI465" s="558"/>
      <c r="AJ465" s="558"/>
      <c r="AK465" s="558"/>
      <c r="AL465" s="568"/>
      <c r="AM465" s="568"/>
    </row>
    <row r="466" spans="27:39">
      <c r="AA466" s="319">
        <f>VLOOKUP(B466,'[19]ACTA PARCIAL OBRA'!$B$122:$X$536,20,0)</f>
        <v>0</v>
      </c>
      <c r="AB466" s="319">
        <f t="shared" si="69"/>
        <v>0</v>
      </c>
      <c r="AC466" s="319">
        <v>0</v>
      </c>
      <c r="AD466" s="514">
        <f t="shared" ref="AD466:AD482" si="70">+U466-AC466</f>
        <v>0</v>
      </c>
      <c r="AE466" s="556">
        <f t="shared" si="68"/>
        <v>0</v>
      </c>
      <c r="AF466" s="557">
        <f t="shared" si="68"/>
        <v>0</v>
      </c>
      <c r="AG466" s="568"/>
      <c r="AH466" s="568"/>
      <c r="AI466" s="568"/>
      <c r="AJ466" s="568"/>
      <c r="AK466" s="568"/>
      <c r="AL466" s="568"/>
      <c r="AM466" s="568"/>
    </row>
    <row r="467" spans="27:39">
      <c r="AA467" s="319">
        <f>VLOOKUP(B467,'[19]ACTA PARCIAL OBRA'!$B$122:$X$536,20,0)</f>
        <v>0</v>
      </c>
      <c r="AB467" s="319">
        <f t="shared" si="69"/>
        <v>0</v>
      </c>
      <c r="AC467" s="319">
        <v>0</v>
      </c>
      <c r="AD467" s="514">
        <f t="shared" si="70"/>
        <v>0</v>
      </c>
      <c r="AE467" s="556">
        <f t="shared" si="68"/>
        <v>0</v>
      </c>
      <c r="AF467" s="557">
        <f t="shared" si="68"/>
        <v>0</v>
      </c>
      <c r="AG467" s="568"/>
      <c r="AH467" s="568"/>
      <c r="AI467" s="568"/>
      <c r="AJ467" s="568"/>
      <c r="AK467" s="568"/>
      <c r="AL467" s="568"/>
      <c r="AM467" s="568"/>
    </row>
    <row r="468" spans="27:39">
      <c r="AA468" s="319">
        <f>VLOOKUP(B468,'[19]ACTA PARCIAL OBRA'!$B$122:$X$536,20,0)</f>
        <v>0</v>
      </c>
      <c r="AB468" s="319">
        <f t="shared" si="69"/>
        <v>0</v>
      </c>
      <c r="AC468" s="319">
        <v>0</v>
      </c>
      <c r="AD468" s="514">
        <f t="shared" si="70"/>
        <v>0</v>
      </c>
      <c r="AE468" s="556">
        <f t="shared" si="68"/>
        <v>0</v>
      </c>
      <c r="AF468" s="557">
        <f t="shared" si="68"/>
        <v>0</v>
      </c>
      <c r="AG468" s="568"/>
      <c r="AH468" s="568"/>
      <c r="AI468" s="568"/>
      <c r="AJ468" s="568"/>
      <c r="AK468" s="568"/>
      <c r="AL468" s="568"/>
      <c r="AM468" s="568"/>
    </row>
    <row r="469" spans="27:39">
      <c r="AA469" s="319">
        <f>VLOOKUP(B469,'[19]ACTA PARCIAL OBRA'!$B$122:$X$536,20,0)</f>
        <v>0</v>
      </c>
      <c r="AB469" s="319">
        <f t="shared" si="69"/>
        <v>0</v>
      </c>
      <c r="AC469" s="319">
        <v>0</v>
      </c>
      <c r="AD469" s="514">
        <f t="shared" si="70"/>
        <v>0</v>
      </c>
      <c r="AE469" s="556">
        <f t="shared" si="68"/>
        <v>0</v>
      </c>
      <c r="AF469" s="557">
        <f t="shared" si="68"/>
        <v>0</v>
      </c>
      <c r="AG469" s="574"/>
      <c r="AH469" s="574"/>
      <c r="AI469" s="574"/>
      <c r="AJ469" s="574"/>
      <c r="AK469" s="574"/>
      <c r="AL469" s="574"/>
      <c r="AM469" s="574"/>
    </row>
    <row r="470" spans="27:39">
      <c r="AA470" s="319">
        <f>VLOOKUP(B470,'[19]ACTA PARCIAL OBRA'!$B$122:$X$536,20,0)</f>
        <v>0</v>
      </c>
      <c r="AB470" s="319">
        <f t="shared" si="69"/>
        <v>0</v>
      </c>
      <c r="AC470" s="319">
        <v>0</v>
      </c>
      <c r="AD470" s="514">
        <f t="shared" si="70"/>
        <v>0</v>
      </c>
      <c r="AE470" s="556">
        <f t="shared" si="68"/>
        <v>0</v>
      </c>
      <c r="AF470" s="557">
        <f t="shared" si="68"/>
        <v>0</v>
      </c>
      <c r="AG470" s="574"/>
      <c r="AH470" s="574"/>
      <c r="AI470" s="574"/>
      <c r="AJ470" s="574"/>
      <c r="AK470" s="574"/>
      <c r="AL470" s="574"/>
      <c r="AM470" s="574"/>
    </row>
    <row r="471" spans="27:39">
      <c r="AA471" s="319">
        <f>VLOOKUP(B471,'[19]ACTA PARCIAL OBRA'!$B$122:$X$536,20,0)</f>
        <v>0</v>
      </c>
      <c r="AB471" s="319">
        <f t="shared" si="69"/>
        <v>0</v>
      </c>
      <c r="AD471" s="514">
        <f t="shared" si="70"/>
        <v>0</v>
      </c>
      <c r="AE471" s="556">
        <f t="shared" si="68"/>
        <v>0</v>
      </c>
      <c r="AF471" s="557">
        <f t="shared" si="68"/>
        <v>0</v>
      </c>
      <c r="AG471" s="574"/>
      <c r="AH471" s="574"/>
      <c r="AI471" s="574"/>
      <c r="AJ471" s="574"/>
      <c r="AK471" s="574"/>
      <c r="AL471" s="574"/>
      <c r="AM471" s="574"/>
    </row>
    <row r="472" spans="27:39">
      <c r="AA472" s="319">
        <f>VLOOKUP(B472,'[19]ACTA PARCIAL OBRA'!$B$122:$X$536,20,0)</f>
        <v>0</v>
      </c>
      <c r="AB472" s="319">
        <f t="shared" si="69"/>
        <v>0</v>
      </c>
      <c r="AC472" s="319">
        <v>0</v>
      </c>
      <c r="AD472" s="514">
        <f t="shared" si="70"/>
        <v>0</v>
      </c>
      <c r="AE472" s="556">
        <f t="shared" si="68"/>
        <v>0</v>
      </c>
      <c r="AF472" s="557">
        <f t="shared" si="68"/>
        <v>0</v>
      </c>
      <c r="AG472" s="574"/>
      <c r="AH472" s="574"/>
      <c r="AI472" s="574"/>
      <c r="AJ472" s="574"/>
      <c r="AK472" s="574"/>
      <c r="AL472" s="574"/>
      <c r="AM472" s="574"/>
    </row>
    <row r="473" spans="27:39">
      <c r="AA473" s="319">
        <f>VLOOKUP(B473,'[19]ACTA PARCIAL OBRA'!$B$122:$X$536,20,0)</f>
        <v>0</v>
      </c>
      <c r="AB473" s="319">
        <f t="shared" si="69"/>
        <v>0</v>
      </c>
      <c r="AC473" s="319">
        <v>0</v>
      </c>
      <c r="AD473" s="514">
        <f t="shared" si="70"/>
        <v>0</v>
      </c>
      <c r="AE473" s="556">
        <f t="shared" si="68"/>
        <v>0</v>
      </c>
      <c r="AF473" s="557">
        <f t="shared" si="68"/>
        <v>0</v>
      </c>
      <c r="AG473" s="574"/>
      <c r="AH473" s="574"/>
      <c r="AI473" s="574"/>
      <c r="AJ473" s="574"/>
      <c r="AK473" s="574"/>
      <c r="AL473" s="574"/>
      <c r="AM473" s="574"/>
    </row>
    <row r="474" spans="27:39">
      <c r="AA474" s="585">
        <f>O474+R474</f>
        <v>0</v>
      </c>
      <c r="AB474" s="319">
        <f t="shared" si="69"/>
        <v>0</v>
      </c>
      <c r="AC474" s="319">
        <v>41635762.310000002</v>
      </c>
      <c r="AD474" s="514">
        <f t="shared" si="70"/>
        <v>-41635762.310000002</v>
      </c>
      <c r="AE474" s="556">
        <f t="shared" si="68"/>
        <v>0</v>
      </c>
      <c r="AF474" s="557">
        <f t="shared" si="68"/>
        <v>0</v>
      </c>
      <c r="AG474" s="574"/>
      <c r="AH474" s="574"/>
      <c r="AI474" s="574"/>
      <c r="AJ474" s="574"/>
      <c r="AK474" s="574"/>
      <c r="AL474" s="574"/>
      <c r="AM474" s="574"/>
    </row>
    <row r="475" spans="27:39">
      <c r="AA475" s="585">
        <f>VLOOKUP(B475,'[19]ACTA PARCIAL OBRA'!$B$122:$X$536,20,0)</f>
        <v>0</v>
      </c>
      <c r="AB475" s="319">
        <f t="shared" si="69"/>
        <v>0</v>
      </c>
      <c r="AC475" s="319">
        <v>0</v>
      </c>
      <c r="AD475" s="514">
        <f t="shared" si="70"/>
        <v>0</v>
      </c>
      <c r="AE475" s="556">
        <f t="shared" si="68"/>
        <v>0</v>
      </c>
      <c r="AF475" s="557">
        <f t="shared" si="68"/>
        <v>0</v>
      </c>
      <c r="AG475" s="574"/>
      <c r="AH475" s="574"/>
      <c r="AI475" s="574"/>
      <c r="AJ475" s="574"/>
      <c r="AK475" s="574"/>
      <c r="AL475" s="574"/>
      <c r="AM475" s="574"/>
    </row>
    <row r="476" spans="27:39">
      <c r="AA476" s="585">
        <f>O476+R476</f>
        <v>0</v>
      </c>
      <c r="AB476" s="319">
        <f t="shared" si="69"/>
        <v>0</v>
      </c>
      <c r="AC476" s="319">
        <v>124144604.76000001</v>
      </c>
      <c r="AD476" s="514">
        <f t="shared" si="70"/>
        <v>-124144604.76000001</v>
      </c>
      <c r="AE476" s="556">
        <f t="shared" si="68"/>
        <v>0</v>
      </c>
      <c r="AF476" s="557">
        <f t="shared" si="68"/>
        <v>0</v>
      </c>
      <c r="AG476" s="574"/>
      <c r="AH476" s="574"/>
      <c r="AI476" s="574"/>
      <c r="AJ476" s="574"/>
      <c r="AK476" s="574"/>
      <c r="AL476" s="574"/>
      <c r="AM476" s="574"/>
    </row>
    <row r="477" spans="27:39">
      <c r="AA477" s="319">
        <f>VLOOKUP(B477,'[19]ACTA PARCIAL OBRA'!$B$122:$X$536,20,0)</f>
        <v>0</v>
      </c>
      <c r="AB477" s="319">
        <f t="shared" si="69"/>
        <v>0</v>
      </c>
      <c r="AD477" s="514">
        <f t="shared" si="70"/>
        <v>0</v>
      </c>
      <c r="AE477" s="556">
        <f t="shared" si="68"/>
        <v>0</v>
      </c>
      <c r="AF477" s="557">
        <f t="shared" si="68"/>
        <v>0</v>
      </c>
      <c r="AG477" s="574"/>
      <c r="AH477" s="574"/>
      <c r="AI477" s="574"/>
      <c r="AJ477" s="574"/>
      <c r="AK477" s="574"/>
      <c r="AL477" s="574"/>
      <c r="AM477" s="574"/>
    </row>
    <row r="478" spans="27:39">
      <c r="AA478" s="585">
        <f>O478+R478</f>
        <v>0</v>
      </c>
      <c r="AB478" s="319">
        <f t="shared" si="69"/>
        <v>0</v>
      </c>
      <c r="AD478" s="514">
        <f t="shared" si="70"/>
        <v>0</v>
      </c>
      <c r="AE478" s="556">
        <f t="shared" si="68"/>
        <v>0</v>
      </c>
      <c r="AF478" s="557">
        <f t="shared" si="68"/>
        <v>0</v>
      </c>
      <c r="AG478" s="574"/>
      <c r="AH478" s="574"/>
      <c r="AI478" s="574"/>
      <c r="AJ478" s="574"/>
      <c r="AK478" s="574"/>
      <c r="AL478" s="574"/>
      <c r="AM478" s="574"/>
    </row>
    <row r="479" spans="27:39">
      <c r="AA479" s="319">
        <f>VLOOKUP(B479,'[19]ACTA PARCIAL OBRA'!$B$122:$X$536,20,0)</f>
        <v>0</v>
      </c>
      <c r="AB479" s="319">
        <f t="shared" si="69"/>
        <v>0</v>
      </c>
      <c r="AD479" s="514">
        <f t="shared" si="70"/>
        <v>0</v>
      </c>
      <c r="AE479" s="556">
        <f t="shared" si="68"/>
        <v>0</v>
      </c>
      <c r="AF479" s="557">
        <f t="shared" si="68"/>
        <v>0</v>
      </c>
      <c r="AG479" s="574"/>
      <c r="AH479" s="574"/>
      <c r="AI479" s="574"/>
      <c r="AJ479" s="574"/>
      <c r="AK479" s="574"/>
      <c r="AL479" s="574"/>
      <c r="AM479" s="574"/>
    </row>
    <row r="480" spans="27:39">
      <c r="AA480" s="319">
        <f>VLOOKUP(B480,'[19]ACTA PARCIAL OBRA'!$B$122:$X$536,20,0)</f>
        <v>0</v>
      </c>
      <c r="AB480" s="319">
        <f t="shared" si="69"/>
        <v>0</v>
      </c>
      <c r="AD480" s="514">
        <f t="shared" si="70"/>
        <v>0</v>
      </c>
      <c r="AE480" s="556">
        <f t="shared" si="68"/>
        <v>0</v>
      </c>
      <c r="AF480" s="557">
        <f t="shared" si="68"/>
        <v>0</v>
      </c>
      <c r="AG480" s="574"/>
      <c r="AH480" s="574"/>
      <c r="AI480" s="574"/>
      <c r="AJ480" s="574"/>
      <c r="AK480" s="574"/>
      <c r="AL480" s="574"/>
      <c r="AM480" s="574"/>
    </row>
    <row r="481" spans="27:39">
      <c r="AA481" s="319">
        <f>VLOOKUP(B481,'[19]ACTA PARCIAL OBRA'!$B$122:$X$536,20,0)</f>
        <v>0</v>
      </c>
      <c r="AB481" s="319">
        <f t="shared" si="69"/>
        <v>0</v>
      </c>
      <c r="AD481" s="514">
        <f t="shared" si="70"/>
        <v>0</v>
      </c>
      <c r="AE481" s="556">
        <f t="shared" si="68"/>
        <v>0</v>
      </c>
      <c r="AF481" s="557">
        <f t="shared" si="68"/>
        <v>0</v>
      </c>
      <c r="AG481" s="574"/>
      <c r="AH481" s="574"/>
      <c r="AI481" s="574"/>
      <c r="AJ481" s="574"/>
      <c r="AK481" s="574"/>
      <c r="AL481" s="574"/>
      <c r="AM481" s="574"/>
    </row>
    <row r="482" spans="27:39">
      <c r="AA482" s="319">
        <f>VLOOKUP(B482,'[19]ACTA PARCIAL OBRA'!$B$122:$X$536,20,0)</f>
        <v>0</v>
      </c>
      <c r="AB482" s="319">
        <f t="shared" si="69"/>
        <v>0</v>
      </c>
      <c r="AD482" s="514">
        <f t="shared" si="70"/>
        <v>0</v>
      </c>
      <c r="AE482" s="556">
        <f t="shared" si="68"/>
        <v>0</v>
      </c>
      <c r="AF482" s="557">
        <f t="shared" si="68"/>
        <v>0</v>
      </c>
      <c r="AG482" s="574"/>
      <c r="AH482" s="574"/>
      <c r="AI482" s="574"/>
      <c r="AJ482" s="574"/>
      <c r="AK482" s="574"/>
      <c r="AL482" s="574"/>
      <c r="AM482" s="574"/>
    </row>
    <row r="483" spans="27:39" ht="276">
      <c r="AA483" s="319">
        <f>VLOOKUP(B483,'[19]ACTA PARCIAL OBRA'!$B$122:$X$536,20,0)</f>
        <v>0</v>
      </c>
      <c r="AB483" s="319">
        <f t="shared" si="69"/>
        <v>0</v>
      </c>
      <c r="AE483" s="556">
        <f t="shared" si="68"/>
        <v>0</v>
      </c>
      <c r="AF483" s="557" t="s">
        <v>507</v>
      </c>
      <c r="AG483" s="568"/>
      <c r="AH483" s="568"/>
      <c r="AI483" s="568"/>
      <c r="AJ483" s="568"/>
      <c r="AK483" s="568"/>
      <c r="AL483" s="568"/>
      <c r="AM483" s="568"/>
    </row>
    <row r="484" spans="27:39">
      <c r="AA484" s="319">
        <f>VLOOKUP(B484,'[19]ACTA PARCIAL OBRA'!$B$122:$X$536,20,0)</f>
        <v>0</v>
      </c>
      <c r="AB484" s="319">
        <f t="shared" si="69"/>
        <v>0</v>
      </c>
      <c r="AC484" s="319">
        <v>0</v>
      </c>
      <c r="AD484" s="514">
        <f t="shared" ref="AD484:AD520" si="71">+U484-AC484</f>
        <v>0</v>
      </c>
      <c r="AE484" s="556">
        <f t="shared" si="68"/>
        <v>0</v>
      </c>
      <c r="AF484" s="557">
        <f t="shared" si="68"/>
        <v>0</v>
      </c>
      <c r="AG484" s="568"/>
      <c r="AH484" s="568"/>
      <c r="AI484" s="568"/>
      <c r="AJ484" s="568"/>
      <c r="AK484" s="568"/>
      <c r="AL484" s="568"/>
      <c r="AM484" s="568"/>
    </row>
    <row r="485" spans="27:39">
      <c r="AA485" s="319">
        <f>VLOOKUP(B485,'[19]ACTA PARCIAL OBRA'!$B$122:$X$536,20,0)</f>
        <v>0</v>
      </c>
      <c r="AB485" s="319">
        <f t="shared" si="69"/>
        <v>0</v>
      </c>
      <c r="AC485" s="319">
        <v>0</v>
      </c>
      <c r="AD485" s="514">
        <f t="shared" si="71"/>
        <v>0</v>
      </c>
      <c r="AE485" s="556">
        <f t="shared" si="68"/>
        <v>0</v>
      </c>
      <c r="AF485" s="557">
        <f t="shared" si="68"/>
        <v>0</v>
      </c>
      <c r="AG485" s="568"/>
      <c r="AH485" s="568"/>
      <c r="AI485" s="568"/>
      <c r="AJ485" s="568"/>
      <c r="AK485" s="568"/>
      <c r="AL485" s="568"/>
      <c r="AM485" s="568"/>
    </row>
    <row r="486" spans="27:39">
      <c r="AA486" s="319">
        <f>VLOOKUP(B486,'[19]ACTA PARCIAL OBRA'!$B$122:$X$536,20,0)</f>
        <v>0</v>
      </c>
      <c r="AB486" s="319">
        <f t="shared" si="69"/>
        <v>0</v>
      </c>
      <c r="AC486" s="319">
        <v>0</v>
      </c>
      <c r="AD486" s="514">
        <f t="shared" si="71"/>
        <v>0</v>
      </c>
      <c r="AE486" s="556">
        <f t="shared" si="68"/>
        <v>0</v>
      </c>
      <c r="AF486" s="557">
        <f t="shared" si="68"/>
        <v>0</v>
      </c>
      <c r="AG486" s="568"/>
      <c r="AH486" s="568"/>
      <c r="AI486" s="568"/>
      <c r="AJ486" s="568"/>
      <c r="AK486" s="568"/>
      <c r="AL486" s="568"/>
      <c r="AM486" s="568"/>
    </row>
    <row r="487" spans="27:39">
      <c r="AA487" s="563">
        <f>VLOOKUP(B487,'[19]ACTA PARCIAL OBRA'!$B$122:$X$536,20,0)</f>
        <v>0</v>
      </c>
      <c r="AB487" s="563">
        <f t="shared" si="69"/>
        <v>0</v>
      </c>
      <c r="AC487" s="563">
        <v>0</v>
      </c>
      <c r="AD487" s="564">
        <f t="shared" si="71"/>
        <v>0</v>
      </c>
      <c r="AE487" s="569">
        <f t="shared" si="68"/>
        <v>0</v>
      </c>
      <c r="AF487" s="570">
        <f t="shared" si="68"/>
        <v>0</v>
      </c>
      <c r="AG487" s="571"/>
      <c r="AH487" s="571"/>
      <c r="AI487" s="571"/>
      <c r="AJ487" s="571"/>
      <c r="AK487" s="572"/>
      <c r="AL487" s="576"/>
      <c r="AM487" s="576"/>
    </row>
    <row r="488" spans="27:39">
      <c r="AA488" s="319">
        <f>VLOOKUP(B488,'[19]ACTA PARCIAL OBRA'!$B$122:$X$536,20,0)</f>
        <v>0</v>
      </c>
      <c r="AB488" s="319">
        <f t="shared" si="69"/>
        <v>0</v>
      </c>
      <c r="AC488" s="319">
        <v>0</v>
      </c>
      <c r="AD488" s="514">
        <f t="shared" si="71"/>
        <v>0</v>
      </c>
      <c r="AE488" s="556">
        <f t="shared" si="68"/>
        <v>0</v>
      </c>
      <c r="AF488" s="557">
        <f t="shared" si="68"/>
        <v>0</v>
      </c>
      <c r="AG488" s="568"/>
      <c r="AH488" s="568"/>
      <c r="AI488" s="568"/>
      <c r="AJ488" s="568"/>
      <c r="AK488" s="568"/>
      <c r="AL488" s="568"/>
      <c r="AM488" s="568"/>
    </row>
    <row r="489" spans="27:39">
      <c r="AA489" s="563">
        <f>VLOOKUP(B489,'[19]ACTA PARCIAL OBRA'!$B$122:$X$536,20,0)</f>
        <v>0</v>
      </c>
      <c r="AB489" s="563">
        <f t="shared" si="69"/>
        <v>0</v>
      </c>
      <c r="AC489" s="563">
        <v>0</v>
      </c>
      <c r="AD489" s="564">
        <f t="shared" si="71"/>
        <v>0</v>
      </c>
      <c r="AE489" s="565">
        <f t="shared" si="68"/>
        <v>0</v>
      </c>
      <c r="AF489" s="566">
        <f t="shared" si="68"/>
        <v>0</v>
      </c>
      <c r="AG489" s="576"/>
      <c r="AH489" s="576"/>
      <c r="AI489" s="576"/>
      <c r="AJ489" s="576"/>
      <c r="AK489" s="576"/>
      <c r="AL489" s="576"/>
      <c r="AM489" s="576"/>
    </row>
    <row r="490" spans="27:39">
      <c r="AA490" s="319">
        <f>VLOOKUP(B490,'[19]ACTA PARCIAL OBRA'!$B$122:$X$536,20,0)</f>
        <v>0</v>
      </c>
      <c r="AB490" s="319">
        <f t="shared" si="69"/>
        <v>0</v>
      </c>
      <c r="AC490" s="319">
        <v>0</v>
      </c>
      <c r="AD490" s="514">
        <f t="shared" si="71"/>
        <v>0</v>
      </c>
      <c r="AE490" s="556">
        <f t="shared" si="68"/>
        <v>0</v>
      </c>
      <c r="AF490" s="557">
        <f t="shared" si="68"/>
        <v>0</v>
      </c>
      <c r="AG490" s="568"/>
      <c r="AH490" s="568"/>
      <c r="AI490" s="568"/>
      <c r="AJ490" s="568"/>
      <c r="AK490" s="568"/>
      <c r="AL490" s="568"/>
      <c r="AM490" s="568"/>
    </row>
    <row r="491" spans="27:39">
      <c r="AA491" s="319">
        <f>VLOOKUP(B491,'[19]ACTA PARCIAL OBRA'!$B$122:$X$536,20,0)</f>
        <v>0</v>
      </c>
      <c r="AB491" s="319">
        <f t="shared" si="69"/>
        <v>0</v>
      </c>
      <c r="AC491" s="319">
        <v>0</v>
      </c>
      <c r="AD491" s="514">
        <f t="shared" si="71"/>
        <v>0</v>
      </c>
      <c r="AE491" s="559">
        <f t="shared" si="68"/>
        <v>0</v>
      </c>
      <c r="AF491" s="560">
        <f t="shared" si="68"/>
        <v>0</v>
      </c>
      <c r="AG491" s="561"/>
      <c r="AH491" s="561"/>
      <c r="AI491" s="561"/>
      <c r="AJ491" s="561"/>
      <c r="AK491" s="562"/>
      <c r="AL491" s="568"/>
      <c r="AM491" s="568"/>
    </row>
    <row r="492" spans="27:39">
      <c r="AA492" s="319">
        <f>VLOOKUP(B492,'[19]ACTA PARCIAL OBRA'!$B$122:$X$536,20,0)</f>
        <v>0</v>
      </c>
      <c r="AB492" s="319">
        <f t="shared" si="69"/>
        <v>0</v>
      </c>
      <c r="AC492" s="319">
        <v>0</v>
      </c>
      <c r="AD492" s="514">
        <f t="shared" si="71"/>
        <v>0</v>
      </c>
      <c r="AE492" s="559">
        <f t="shared" si="68"/>
        <v>0</v>
      </c>
      <c r="AF492" s="560">
        <f t="shared" si="68"/>
        <v>0</v>
      </c>
      <c r="AG492" s="561"/>
      <c r="AH492" s="561"/>
      <c r="AI492" s="561"/>
      <c r="AJ492" s="561"/>
      <c r="AK492" s="562"/>
      <c r="AL492" s="568"/>
      <c r="AM492" s="568"/>
    </row>
    <row r="493" spans="27:39">
      <c r="AA493" s="319">
        <f>VLOOKUP(B493,'[19]ACTA PARCIAL OBRA'!$B$122:$X$536,20,0)</f>
        <v>0</v>
      </c>
      <c r="AB493" s="319">
        <f t="shared" si="69"/>
        <v>0</v>
      </c>
      <c r="AC493" s="319">
        <v>0</v>
      </c>
      <c r="AD493" s="514">
        <f t="shared" si="71"/>
        <v>0</v>
      </c>
      <c r="AE493" s="559">
        <f t="shared" si="68"/>
        <v>0</v>
      </c>
      <c r="AF493" s="560">
        <f t="shared" si="68"/>
        <v>0</v>
      </c>
      <c r="AG493" s="561"/>
      <c r="AH493" s="561"/>
      <c r="AI493" s="561"/>
      <c r="AJ493" s="561"/>
      <c r="AK493" s="562"/>
      <c r="AL493" s="568"/>
      <c r="AM493" s="568"/>
    </row>
    <row r="494" spans="27:39">
      <c r="AA494" s="319">
        <f>VLOOKUP(B494,'[19]ACTA PARCIAL OBRA'!$B$122:$X$536,20,0)</f>
        <v>0</v>
      </c>
      <c r="AB494" s="319">
        <f t="shared" si="69"/>
        <v>0</v>
      </c>
      <c r="AC494" s="319">
        <v>0</v>
      </c>
      <c r="AD494" s="514">
        <f t="shared" si="71"/>
        <v>0</v>
      </c>
      <c r="AE494" s="559">
        <f t="shared" si="68"/>
        <v>0</v>
      </c>
      <c r="AF494" s="560">
        <f t="shared" si="68"/>
        <v>0</v>
      </c>
      <c r="AG494" s="561"/>
      <c r="AH494" s="561"/>
      <c r="AI494" s="561"/>
      <c r="AJ494" s="561"/>
      <c r="AK494" s="562"/>
      <c r="AL494" s="568"/>
      <c r="AM494" s="568"/>
    </row>
    <row r="495" spans="27:39">
      <c r="AA495" s="319">
        <f>VLOOKUP(B495,'[19]ACTA PARCIAL OBRA'!$B$122:$X$536,20,0)</f>
        <v>0</v>
      </c>
      <c r="AB495" s="319">
        <f t="shared" si="69"/>
        <v>0</v>
      </c>
      <c r="AC495" s="319">
        <v>0</v>
      </c>
      <c r="AD495" s="514">
        <f t="shared" si="71"/>
        <v>0</v>
      </c>
      <c r="AE495" s="556">
        <f t="shared" si="68"/>
        <v>0</v>
      </c>
      <c r="AF495" s="557">
        <f t="shared" si="68"/>
        <v>0</v>
      </c>
      <c r="AG495" s="568"/>
      <c r="AH495" s="568"/>
      <c r="AI495" s="568"/>
      <c r="AJ495" s="568"/>
      <c r="AK495" s="568"/>
      <c r="AL495" s="568"/>
      <c r="AM495" s="568"/>
    </row>
    <row r="496" spans="27:39">
      <c r="AA496" s="319">
        <f>VLOOKUP(B496,'[19]ACTA PARCIAL OBRA'!$B$122:$X$536,20,0)</f>
        <v>0</v>
      </c>
      <c r="AB496" s="319">
        <f t="shared" si="69"/>
        <v>0</v>
      </c>
      <c r="AC496" s="319">
        <v>0</v>
      </c>
      <c r="AD496" s="514">
        <f t="shared" si="71"/>
        <v>0</v>
      </c>
      <c r="AE496" s="559">
        <f t="shared" si="68"/>
        <v>0</v>
      </c>
      <c r="AF496" s="560">
        <f t="shared" si="68"/>
        <v>0</v>
      </c>
      <c r="AG496" s="561"/>
      <c r="AH496" s="561"/>
      <c r="AI496" s="561"/>
      <c r="AJ496" s="561"/>
      <c r="AK496" s="562"/>
      <c r="AL496" s="568"/>
      <c r="AM496" s="568"/>
    </row>
    <row r="497" spans="27:39">
      <c r="AA497" s="319">
        <f>VLOOKUP(B497,'[19]ACTA PARCIAL OBRA'!$B$122:$X$536,20,0)</f>
        <v>0</v>
      </c>
      <c r="AB497" s="319">
        <f t="shared" si="69"/>
        <v>0</v>
      </c>
      <c r="AC497" s="319">
        <v>0</v>
      </c>
      <c r="AD497" s="514">
        <f t="shared" si="71"/>
        <v>0</v>
      </c>
      <c r="AE497" s="559">
        <f t="shared" si="68"/>
        <v>0</v>
      </c>
      <c r="AF497" s="560">
        <f t="shared" si="68"/>
        <v>0</v>
      </c>
      <c r="AG497" s="561"/>
      <c r="AH497" s="561"/>
      <c r="AI497" s="561"/>
      <c r="AJ497" s="561"/>
      <c r="AK497" s="562"/>
      <c r="AL497" s="568"/>
      <c r="AM497" s="568"/>
    </row>
    <row r="498" spans="27:39">
      <c r="AA498" s="319">
        <f>VLOOKUP(B498,'[19]ACTA PARCIAL OBRA'!$B$122:$X$536,20,0)</f>
        <v>0</v>
      </c>
      <c r="AB498" s="319">
        <f t="shared" si="69"/>
        <v>0</v>
      </c>
      <c r="AC498" s="319">
        <v>0</v>
      </c>
      <c r="AD498" s="514">
        <f t="shared" si="71"/>
        <v>0</v>
      </c>
      <c r="AE498" s="559">
        <f t="shared" si="68"/>
        <v>0</v>
      </c>
      <c r="AF498" s="560">
        <f t="shared" si="68"/>
        <v>0</v>
      </c>
      <c r="AG498" s="561"/>
      <c r="AH498" s="561"/>
      <c r="AI498" s="561"/>
      <c r="AJ498" s="561"/>
      <c r="AK498" s="562"/>
      <c r="AL498" s="568"/>
      <c r="AM498" s="568"/>
    </row>
    <row r="499" spans="27:39">
      <c r="AA499" s="319">
        <f>VLOOKUP(B499,'[19]ACTA PARCIAL OBRA'!$B$122:$X$536,20,0)</f>
        <v>0</v>
      </c>
      <c r="AB499" s="319">
        <f t="shared" si="69"/>
        <v>0</v>
      </c>
      <c r="AC499" s="319">
        <v>0</v>
      </c>
      <c r="AD499" s="514">
        <f t="shared" si="71"/>
        <v>0</v>
      </c>
      <c r="AE499" s="559">
        <f t="shared" si="68"/>
        <v>0</v>
      </c>
      <c r="AF499" s="560">
        <f t="shared" si="68"/>
        <v>0</v>
      </c>
      <c r="AG499" s="561"/>
      <c r="AH499" s="561"/>
      <c r="AI499" s="561"/>
      <c r="AJ499" s="561"/>
      <c r="AK499" s="562"/>
      <c r="AL499" s="568"/>
      <c r="AM499" s="568"/>
    </row>
    <row r="500" spans="27:39">
      <c r="AA500" s="319">
        <f>VLOOKUP(B500,'[19]ACTA PARCIAL OBRA'!$B$122:$X$536,20,0)</f>
        <v>0</v>
      </c>
      <c r="AB500" s="319">
        <f t="shared" si="69"/>
        <v>0</v>
      </c>
      <c r="AC500" s="319">
        <v>0</v>
      </c>
      <c r="AD500" s="514">
        <f t="shared" si="71"/>
        <v>0</v>
      </c>
      <c r="AE500" s="559">
        <f t="shared" si="68"/>
        <v>0</v>
      </c>
      <c r="AF500" s="560">
        <f t="shared" si="68"/>
        <v>0</v>
      </c>
      <c r="AG500" s="561"/>
      <c r="AH500" s="561"/>
      <c r="AI500" s="561"/>
      <c r="AJ500" s="561"/>
      <c r="AK500" s="562"/>
      <c r="AL500" s="568"/>
      <c r="AM500" s="568"/>
    </row>
    <row r="501" spans="27:39">
      <c r="AA501" s="319">
        <f>VLOOKUP(B501,'[19]ACTA PARCIAL OBRA'!$B$122:$X$536,20,0)</f>
        <v>0</v>
      </c>
      <c r="AB501" s="319">
        <f t="shared" si="69"/>
        <v>0</v>
      </c>
      <c r="AC501" s="319">
        <v>0</v>
      </c>
      <c r="AD501" s="514">
        <f t="shared" si="71"/>
        <v>0</v>
      </c>
      <c r="AE501" s="556">
        <f t="shared" si="68"/>
        <v>0</v>
      </c>
      <c r="AF501" s="557">
        <f t="shared" si="68"/>
        <v>0</v>
      </c>
      <c r="AG501" s="568"/>
      <c r="AH501" s="568"/>
      <c r="AI501" s="568"/>
      <c r="AJ501" s="568"/>
      <c r="AK501" s="568"/>
      <c r="AL501" s="568"/>
      <c r="AM501" s="568"/>
    </row>
    <row r="502" spans="27:39">
      <c r="AA502" s="319">
        <f>VLOOKUP(B502,'[19]ACTA PARCIAL OBRA'!$B$122:$X$536,20,0)</f>
        <v>0</v>
      </c>
      <c r="AB502" s="319">
        <f t="shared" si="69"/>
        <v>0</v>
      </c>
      <c r="AC502" s="319">
        <v>0</v>
      </c>
      <c r="AD502" s="514">
        <f t="shared" si="71"/>
        <v>0</v>
      </c>
      <c r="AE502" s="556">
        <f t="shared" si="68"/>
        <v>0</v>
      </c>
      <c r="AF502" s="557">
        <f t="shared" si="68"/>
        <v>0</v>
      </c>
      <c r="AG502" s="568"/>
      <c r="AH502" s="568"/>
      <c r="AI502" s="568"/>
      <c r="AJ502" s="568"/>
      <c r="AK502" s="568"/>
      <c r="AL502" s="568"/>
      <c r="AM502" s="568"/>
    </row>
    <row r="503" spans="27:39">
      <c r="AA503" s="563">
        <f>VLOOKUP(B503,'[19]ACTA PARCIAL OBRA'!$B$122:$X$536,20,0)</f>
        <v>0</v>
      </c>
      <c r="AB503" s="563">
        <f t="shared" si="69"/>
        <v>0</v>
      </c>
      <c r="AC503" s="563">
        <v>0</v>
      </c>
      <c r="AD503" s="564">
        <f t="shared" si="71"/>
        <v>0</v>
      </c>
      <c r="AE503" s="565">
        <f t="shared" si="68"/>
        <v>0</v>
      </c>
      <c r="AF503" s="566">
        <f t="shared" si="68"/>
        <v>0</v>
      </c>
      <c r="AG503" s="576"/>
      <c r="AH503" s="576"/>
      <c r="AI503" s="576"/>
      <c r="AJ503" s="576"/>
      <c r="AK503" s="576"/>
      <c r="AL503" s="576"/>
      <c r="AM503" s="576"/>
    </row>
    <row r="504" spans="27:39">
      <c r="AA504" s="319">
        <f>VLOOKUP(B504,'[19]ACTA PARCIAL OBRA'!$B$122:$X$536,20,0)</f>
        <v>0</v>
      </c>
      <c r="AB504" s="319">
        <f t="shared" si="69"/>
        <v>0</v>
      </c>
      <c r="AC504" s="319">
        <v>0</v>
      </c>
      <c r="AD504" s="514">
        <f t="shared" si="71"/>
        <v>0</v>
      </c>
      <c r="AE504" s="559">
        <f t="shared" si="68"/>
        <v>0</v>
      </c>
      <c r="AF504" s="560">
        <f t="shared" si="68"/>
        <v>0</v>
      </c>
      <c r="AG504" s="561"/>
      <c r="AH504" s="561"/>
      <c r="AI504" s="561"/>
      <c r="AJ504" s="561"/>
      <c r="AK504" s="562"/>
      <c r="AL504" s="568"/>
      <c r="AM504" s="568"/>
    </row>
    <row r="505" spans="27:39">
      <c r="AA505" s="319">
        <f>VLOOKUP(B505,'[19]ACTA PARCIAL OBRA'!$B$122:$X$536,20,0)</f>
        <v>0</v>
      </c>
      <c r="AB505" s="319">
        <f t="shared" si="69"/>
        <v>0</v>
      </c>
      <c r="AC505" s="319">
        <v>0</v>
      </c>
      <c r="AD505" s="514">
        <f t="shared" si="71"/>
        <v>0</v>
      </c>
      <c r="AE505" s="556">
        <f t="shared" ref="AE505:AF529" si="72">+B505</f>
        <v>0</v>
      </c>
      <c r="AF505" s="557">
        <f t="shared" si="72"/>
        <v>0</v>
      </c>
      <c r="AG505" s="568"/>
      <c r="AH505" s="568"/>
      <c r="AI505" s="568"/>
      <c r="AJ505" s="568"/>
      <c r="AK505" s="568"/>
      <c r="AL505" s="568"/>
      <c r="AM505" s="568"/>
    </row>
    <row r="506" spans="27:39">
      <c r="AA506" s="563">
        <f>VLOOKUP(B506,'[19]ACTA PARCIAL OBRA'!$B$122:$X$536,20,0)</f>
        <v>0</v>
      </c>
      <c r="AB506" s="563">
        <f t="shared" si="69"/>
        <v>0</v>
      </c>
      <c r="AC506" s="563">
        <v>0</v>
      </c>
      <c r="AD506" s="564">
        <f t="shared" si="71"/>
        <v>0</v>
      </c>
      <c r="AE506" s="565">
        <f t="shared" si="72"/>
        <v>0</v>
      </c>
      <c r="AF506" s="566">
        <f t="shared" si="72"/>
        <v>0</v>
      </c>
      <c r="AG506" s="576"/>
      <c r="AH506" s="576"/>
      <c r="AI506" s="576"/>
      <c r="AJ506" s="576"/>
      <c r="AK506" s="576"/>
      <c r="AL506" s="576"/>
      <c r="AM506" s="576"/>
    </row>
    <row r="507" spans="27:39">
      <c r="AA507" s="319">
        <f>VLOOKUP(B507,'[19]ACTA PARCIAL OBRA'!$B$122:$X$536,20,0)</f>
        <v>0</v>
      </c>
      <c r="AB507" s="319">
        <f t="shared" si="69"/>
        <v>0</v>
      </c>
      <c r="AC507" s="319">
        <v>0</v>
      </c>
      <c r="AD507" s="514">
        <f t="shared" si="71"/>
        <v>0</v>
      </c>
      <c r="AE507" s="556">
        <f t="shared" si="72"/>
        <v>0</v>
      </c>
      <c r="AF507" s="557">
        <f t="shared" si="72"/>
        <v>0</v>
      </c>
      <c r="AG507" s="568"/>
      <c r="AH507" s="568"/>
      <c r="AI507" s="568"/>
      <c r="AJ507" s="568"/>
      <c r="AK507" s="568"/>
      <c r="AL507" s="568"/>
      <c r="AM507" s="568"/>
    </row>
    <row r="508" spans="27:39">
      <c r="AA508" s="319">
        <f>VLOOKUP(B508,'[19]ACTA PARCIAL OBRA'!$B$122:$X$536,20,0)</f>
        <v>0</v>
      </c>
      <c r="AB508" s="319">
        <f t="shared" si="69"/>
        <v>0</v>
      </c>
      <c r="AC508" s="319">
        <v>0</v>
      </c>
      <c r="AD508" s="514">
        <f t="shared" si="71"/>
        <v>0</v>
      </c>
      <c r="AE508" s="556">
        <f t="shared" si="72"/>
        <v>0</v>
      </c>
      <c r="AF508" s="557">
        <f t="shared" si="72"/>
        <v>0</v>
      </c>
      <c r="AG508" s="568"/>
      <c r="AH508" s="568"/>
      <c r="AI508" s="568"/>
      <c r="AJ508" s="568"/>
      <c r="AK508" s="568"/>
      <c r="AL508" s="568"/>
      <c r="AM508" s="568"/>
    </row>
    <row r="509" spans="27:39">
      <c r="AA509" s="319">
        <f>VLOOKUP(B509,'[19]ACTA PARCIAL OBRA'!$B$122:$X$536,20,0)</f>
        <v>0</v>
      </c>
      <c r="AB509" s="319">
        <f t="shared" si="69"/>
        <v>0</v>
      </c>
      <c r="AC509" s="319">
        <v>0</v>
      </c>
      <c r="AD509" s="514">
        <f t="shared" si="71"/>
        <v>0</v>
      </c>
      <c r="AE509" s="556">
        <f t="shared" si="72"/>
        <v>0</v>
      </c>
      <c r="AF509" s="557">
        <f t="shared" si="72"/>
        <v>0</v>
      </c>
      <c r="AG509" s="568"/>
      <c r="AH509" s="568"/>
      <c r="AI509" s="568"/>
      <c r="AJ509" s="568"/>
      <c r="AK509" s="568"/>
      <c r="AL509" s="568"/>
      <c r="AM509" s="568"/>
    </row>
    <row r="510" spans="27:39">
      <c r="AA510" s="563">
        <f>VLOOKUP(B510,'[19]ACTA PARCIAL OBRA'!$B$122:$X$536,20,0)</f>
        <v>0</v>
      </c>
      <c r="AB510" s="563">
        <f t="shared" si="69"/>
        <v>0</v>
      </c>
      <c r="AC510" s="563">
        <v>0</v>
      </c>
      <c r="AD510" s="564">
        <f t="shared" si="71"/>
        <v>0</v>
      </c>
      <c r="AE510" s="565">
        <f t="shared" si="72"/>
        <v>0</v>
      </c>
      <c r="AF510" s="566">
        <f t="shared" si="72"/>
        <v>0</v>
      </c>
      <c r="AG510" s="576"/>
      <c r="AH510" s="576"/>
      <c r="AI510" s="576"/>
      <c r="AJ510" s="576"/>
      <c r="AK510" s="576"/>
      <c r="AL510" s="576"/>
      <c r="AM510" s="576"/>
    </row>
    <row r="511" spans="27:39">
      <c r="AA511" s="319">
        <f>VLOOKUP(B511,'[19]ACTA PARCIAL OBRA'!$B$122:$X$536,20,0)</f>
        <v>0</v>
      </c>
      <c r="AB511" s="319">
        <f t="shared" si="69"/>
        <v>0</v>
      </c>
      <c r="AC511" s="319">
        <v>0</v>
      </c>
      <c r="AD511" s="514">
        <f t="shared" si="71"/>
        <v>0</v>
      </c>
      <c r="AE511" s="556">
        <f t="shared" si="72"/>
        <v>0</v>
      </c>
      <c r="AF511" s="557">
        <f t="shared" si="72"/>
        <v>0</v>
      </c>
      <c r="AG511" s="568"/>
      <c r="AH511" s="568"/>
      <c r="AI511" s="568"/>
      <c r="AJ511" s="568"/>
      <c r="AK511" s="568"/>
      <c r="AL511" s="568"/>
      <c r="AM511" s="568"/>
    </row>
    <row r="512" spans="27:39">
      <c r="AA512" s="319">
        <f>VLOOKUP(B512,'[19]ACTA PARCIAL OBRA'!$B$122:$X$536,20,0)</f>
        <v>0</v>
      </c>
      <c r="AB512" s="319">
        <f t="shared" si="69"/>
        <v>0</v>
      </c>
      <c r="AC512" s="319">
        <v>0</v>
      </c>
      <c r="AD512" s="514">
        <f t="shared" si="71"/>
        <v>0</v>
      </c>
      <c r="AE512" s="559">
        <f t="shared" si="72"/>
        <v>0</v>
      </c>
      <c r="AF512" s="560">
        <f t="shared" si="72"/>
        <v>0</v>
      </c>
      <c r="AG512" s="561"/>
      <c r="AH512" s="561"/>
      <c r="AI512" s="561"/>
      <c r="AJ512" s="561"/>
      <c r="AK512" s="562"/>
      <c r="AL512" s="568"/>
      <c r="AM512" s="568"/>
    </row>
    <row r="513" spans="27:39">
      <c r="AA513" s="319">
        <f>VLOOKUP(B513,'[19]ACTA PARCIAL OBRA'!$B$122:$X$536,20,0)</f>
        <v>0</v>
      </c>
      <c r="AB513" s="319">
        <f t="shared" si="69"/>
        <v>0</v>
      </c>
      <c r="AC513" s="319">
        <v>0</v>
      </c>
      <c r="AD513" s="514">
        <f t="shared" si="71"/>
        <v>0</v>
      </c>
      <c r="AE513" s="556">
        <f t="shared" si="72"/>
        <v>0</v>
      </c>
      <c r="AF513" s="557">
        <f t="shared" si="72"/>
        <v>0</v>
      </c>
      <c r="AG513" s="568"/>
      <c r="AH513" s="568"/>
      <c r="AI513" s="568"/>
      <c r="AJ513" s="568"/>
      <c r="AK513" s="568"/>
      <c r="AL513" s="568"/>
      <c r="AM513" s="568"/>
    </row>
    <row r="514" spans="27:39">
      <c r="AA514" s="319">
        <f>VLOOKUP(B514,'[19]ACTA PARCIAL OBRA'!$B$122:$X$536,20,0)</f>
        <v>0</v>
      </c>
      <c r="AB514" s="319">
        <f t="shared" si="69"/>
        <v>0</v>
      </c>
      <c r="AC514" s="319">
        <v>0</v>
      </c>
      <c r="AD514" s="514">
        <f>+U514-AC514</f>
        <v>0</v>
      </c>
      <c r="AE514" s="556">
        <f t="shared" si="72"/>
        <v>0</v>
      </c>
      <c r="AF514" s="557">
        <f t="shared" si="72"/>
        <v>0</v>
      </c>
      <c r="AG514" s="568"/>
      <c r="AH514" s="568"/>
      <c r="AI514" s="568"/>
      <c r="AJ514" s="568"/>
      <c r="AK514" s="568"/>
      <c r="AL514" s="568"/>
      <c r="AM514" s="568"/>
    </row>
    <row r="515" spans="27:39" ht="15">
      <c r="AA515" s="319">
        <f>VLOOKUP(B515,'[19]ACTA PARCIAL OBRA'!$B$122:$X$536,20,0)</f>
        <v>0</v>
      </c>
      <c r="AB515" s="319">
        <f t="shared" si="69"/>
        <v>0</v>
      </c>
      <c r="AC515" s="573">
        <v>0</v>
      </c>
      <c r="AD515" s="577">
        <f>+U515-AC515</f>
        <v>0</v>
      </c>
      <c r="AE515" s="556">
        <f t="shared" si="72"/>
        <v>0</v>
      </c>
      <c r="AF515" s="557">
        <f t="shared" si="72"/>
        <v>0</v>
      </c>
      <c r="AG515" s="568"/>
      <c r="AH515" s="568"/>
      <c r="AI515" s="568"/>
      <c r="AJ515" s="568"/>
      <c r="AK515" s="568"/>
      <c r="AL515" s="568"/>
      <c r="AM515" s="568"/>
    </row>
    <row r="516" spans="27:39">
      <c r="AA516" s="319">
        <f>VLOOKUP(B516,'[19]ACTA PARCIAL OBRA'!$B$122:$X$536,20,0)</f>
        <v>0</v>
      </c>
      <c r="AB516" s="319">
        <f t="shared" si="69"/>
        <v>0</v>
      </c>
      <c r="AC516" s="319">
        <v>0</v>
      </c>
      <c r="AD516" s="514">
        <f>+U516-AC516</f>
        <v>0</v>
      </c>
      <c r="AE516" s="556">
        <f t="shared" si="72"/>
        <v>0</v>
      </c>
      <c r="AF516" s="557">
        <f t="shared" si="72"/>
        <v>0</v>
      </c>
      <c r="AG516" s="568"/>
      <c r="AH516" s="568"/>
      <c r="AI516" s="568"/>
      <c r="AJ516" s="568"/>
      <c r="AK516" s="568"/>
      <c r="AL516" s="568"/>
      <c r="AM516" s="568"/>
    </row>
    <row r="517" spans="27:39">
      <c r="AA517" s="319">
        <f>VLOOKUP(B517,'[19]ACTA PARCIAL OBRA'!$B$122:$X$536,20,0)</f>
        <v>0</v>
      </c>
      <c r="AB517" s="319">
        <f t="shared" si="69"/>
        <v>0</v>
      </c>
      <c r="AC517" s="319">
        <v>0</v>
      </c>
      <c r="AD517" s="514">
        <f>+U517-AC517</f>
        <v>0</v>
      </c>
      <c r="AE517" s="559">
        <f t="shared" si="72"/>
        <v>0</v>
      </c>
      <c r="AF517" s="560">
        <f t="shared" si="72"/>
        <v>0</v>
      </c>
      <c r="AG517" s="561"/>
      <c r="AH517" s="561"/>
      <c r="AI517" s="561"/>
      <c r="AJ517" s="561"/>
      <c r="AK517" s="562"/>
      <c r="AL517" s="568"/>
      <c r="AM517" s="568"/>
    </row>
    <row r="518" spans="27:39">
      <c r="AA518" s="319">
        <f>VLOOKUP(B518,'[19]ACTA PARCIAL OBRA'!$B$122:$X$536,20,0)</f>
        <v>0</v>
      </c>
      <c r="AB518" s="319">
        <f t="shared" si="69"/>
        <v>0</v>
      </c>
      <c r="AC518" s="319">
        <v>0</v>
      </c>
      <c r="AD518" s="514">
        <f>+U518-AC518</f>
        <v>0</v>
      </c>
      <c r="AE518" s="556">
        <f t="shared" si="72"/>
        <v>0</v>
      </c>
      <c r="AF518" s="557">
        <f t="shared" si="72"/>
        <v>0</v>
      </c>
      <c r="AG518" s="568"/>
      <c r="AH518" s="568"/>
      <c r="AI518" s="568"/>
      <c r="AJ518" s="568"/>
      <c r="AK518" s="568"/>
      <c r="AL518" s="568"/>
      <c r="AM518" s="568"/>
    </row>
    <row r="519" spans="27:39">
      <c r="AA519" s="319">
        <f>VLOOKUP(B519,'[19]ACTA PARCIAL OBRA'!$B$122:$X$536,20,0)</f>
        <v>0</v>
      </c>
      <c r="AB519" s="319">
        <f t="shared" si="69"/>
        <v>0</v>
      </c>
      <c r="AC519" s="319">
        <v>0</v>
      </c>
      <c r="AD519" s="514">
        <f t="shared" si="71"/>
        <v>0</v>
      </c>
      <c r="AE519" s="559">
        <f t="shared" si="72"/>
        <v>0</v>
      </c>
      <c r="AF519" s="560">
        <f t="shared" si="72"/>
        <v>0</v>
      </c>
      <c r="AG519" s="561"/>
      <c r="AH519" s="561"/>
      <c r="AI519" s="561"/>
      <c r="AJ519" s="561"/>
      <c r="AK519" s="562"/>
      <c r="AL519" s="568"/>
      <c r="AM519" s="568"/>
    </row>
    <row r="520" spans="27:39">
      <c r="AA520" s="319">
        <f>VLOOKUP(B520,'[19]ACTA PARCIAL OBRA'!$B$122:$X$536,20,0)</f>
        <v>0</v>
      </c>
      <c r="AB520" s="319">
        <f t="shared" ref="AB520" si="73">+AA520-R520</f>
        <v>0</v>
      </c>
      <c r="AC520" s="319">
        <v>0</v>
      </c>
      <c r="AD520" s="514">
        <f t="shared" si="71"/>
        <v>0</v>
      </c>
      <c r="AE520" s="559">
        <f t="shared" si="72"/>
        <v>0</v>
      </c>
      <c r="AF520" s="560">
        <f t="shared" si="72"/>
        <v>0</v>
      </c>
      <c r="AG520" s="561"/>
      <c r="AH520" s="561"/>
      <c r="AI520" s="561"/>
      <c r="AJ520" s="561"/>
      <c r="AK520" s="562"/>
      <c r="AL520" s="568"/>
      <c r="AM520" s="568"/>
    </row>
    <row r="521" spans="27:39">
      <c r="AE521" s="559">
        <f t="shared" si="72"/>
        <v>0</v>
      </c>
      <c r="AF521" s="560">
        <f t="shared" si="72"/>
        <v>0</v>
      </c>
      <c r="AG521" s="561"/>
      <c r="AH521" s="561"/>
      <c r="AI521" s="561"/>
      <c r="AJ521" s="561"/>
      <c r="AK521" s="562"/>
      <c r="AL521" s="568"/>
      <c r="AM521" s="568"/>
    </row>
    <row r="522" spans="27:39">
      <c r="AE522" s="559">
        <f t="shared" si="72"/>
        <v>0</v>
      </c>
      <c r="AF522" s="560">
        <f t="shared" si="72"/>
        <v>0</v>
      </c>
      <c r="AG522" s="561"/>
      <c r="AH522" s="561"/>
      <c r="AI522" s="561"/>
      <c r="AJ522" s="561"/>
      <c r="AK522" s="562"/>
      <c r="AL522" s="568"/>
      <c r="AM522" s="568"/>
    </row>
    <row r="523" spans="27:39">
      <c r="AE523" s="559">
        <f t="shared" si="72"/>
        <v>0</v>
      </c>
      <c r="AF523" s="560">
        <f t="shared" si="72"/>
        <v>0</v>
      </c>
      <c r="AG523" s="561"/>
      <c r="AH523" s="561"/>
      <c r="AI523" s="561"/>
      <c r="AJ523" s="561"/>
      <c r="AK523" s="562"/>
      <c r="AL523" s="568"/>
      <c r="AM523" s="568"/>
    </row>
    <row r="524" spans="27:39">
      <c r="AE524" s="559">
        <f t="shared" si="72"/>
        <v>0</v>
      </c>
      <c r="AF524" s="560">
        <f t="shared" si="72"/>
        <v>0</v>
      </c>
      <c r="AG524" s="561"/>
      <c r="AH524" s="561"/>
      <c r="AI524" s="561"/>
      <c r="AJ524" s="561"/>
      <c r="AK524" s="562"/>
      <c r="AL524" s="568"/>
      <c r="AM524" s="568"/>
    </row>
    <row r="525" spans="27:39" ht="15">
      <c r="AC525" s="573"/>
      <c r="AD525" s="577"/>
      <c r="AE525" s="556">
        <f t="shared" si="72"/>
        <v>0</v>
      </c>
      <c r="AF525" s="557">
        <f t="shared" si="72"/>
        <v>0</v>
      </c>
      <c r="AG525" s="568"/>
      <c r="AH525" s="568"/>
      <c r="AI525" s="568"/>
      <c r="AJ525" s="568"/>
      <c r="AK525" s="568"/>
      <c r="AL525" s="568"/>
      <c r="AM525" s="568"/>
    </row>
    <row r="526" spans="27:39" ht="15">
      <c r="AA526" s="563"/>
      <c r="AB526" s="563"/>
      <c r="AC526" s="578"/>
      <c r="AD526" s="579"/>
      <c r="AE526" s="565">
        <f t="shared" si="72"/>
        <v>0</v>
      </c>
      <c r="AF526" s="566">
        <f t="shared" si="72"/>
        <v>0</v>
      </c>
      <c r="AG526" s="576"/>
      <c r="AH526" s="576"/>
      <c r="AI526" s="576"/>
      <c r="AJ526" s="576"/>
      <c r="AK526" s="576"/>
      <c r="AL526" s="576"/>
      <c r="AM526" s="576"/>
    </row>
    <row r="527" spans="27:39">
      <c r="AA527" s="319">
        <f>VLOOKUP(B527,'[19]ACTA PARCIAL OBRA'!$B$122:$X$536,20,0)</f>
        <v>0</v>
      </c>
      <c r="AB527" s="319">
        <f>+AA527-R527</f>
        <v>0</v>
      </c>
      <c r="AC527" s="319">
        <v>0</v>
      </c>
      <c r="AD527" s="514">
        <f>+U527-AC527</f>
        <v>0</v>
      </c>
      <c r="AE527" s="559">
        <f t="shared" si="72"/>
        <v>0</v>
      </c>
      <c r="AF527" s="560">
        <f t="shared" si="72"/>
        <v>0</v>
      </c>
      <c r="AG527" s="561"/>
      <c r="AH527" s="561"/>
      <c r="AI527" s="561"/>
      <c r="AJ527" s="561"/>
      <c r="AK527" s="562"/>
      <c r="AL527" s="568"/>
      <c r="AM527" s="568"/>
    </row>
    <row r="528" spans="27:39" ht="15">
      <c r="AA528" s="319">
        <f>VLOOKUP(B528,'[19]ACTA PARCIAL OBRA'!$B$122:$X$536,20,0)</f>
        <v>0</v>
      </c>
      <c r="AB528" s="319">
        <f>+AA528-R528</f>
        <v>0</v>
      </c>
      <c r="AC528" s="573">
        <v>0</v>
      </c>
      <c r="AD528" s="577">
        <f>+U528-AC528</f>
        <v>0</v>
      </c>
      <c r="AE528" s="556">
        <f t="shared" si="72"/>
        <v>0</v>
      </c>
      <c r="AF528" s="557">
        <f t="shared" si="72"/>
        <v>0</v>
      </c>
      <c r="AG528" s="568"/>
      <c r="AH528" s="568"/>
      <c r="AI528" s="568"/>
      <c r="AJ528" s="568"/>
      <c r="AK528" s="568"/>
      <c r="AL528" s="568"/>
      <c r="AM528" s="568"/>
    </row>
    <row r="529" spans="27:39">
      <c r="AA529" s="319">
        <f>VLOOKUP(B529,'[19]ACTA PARCIAL OBRA'!$B$122:$X$536,20,0)</f>
        <v>0</v>
      </c>
      <c r="AB529" s="319">
        <f>+AA529-R529</f>
        <v>0</v>
      </c>
      <c r="AC529" s="319">
        <v>0</v>
      </c>
      <c r="AD529" s="514">
        <f>+U529-AC529</f>
        <v>0</v>
      </c>
      <c r="AE529" s="559">
        <f t="shared" si="72"/>
        <v>0</v>
      </c>
      <c r="AF529" s="560">
        <f t="shared" si="72"/>
        <v>0</v>
      </c>
      <c r="AG529" s="561"/>
      <c r="AH529" s="561"/>
      <c r="AI529" s="561"/>
      <c r="AJ529" s="561"/>
      <c r="AK529" s="562"/>
      <c r="AL529" s="568"/>
      <c r="AM529" s="568"/>
    </row>
    <row r="530" spans="27:39">
      <c r="AE530" s="556"/>
      <c r="AF530" s="557"/>
      <c r="AG530" s="574"/>
      <c r="AH530" s="574"/>
      <c r="AI530" s="574"/>
      <c r="AJ530" s="574"/>
      <c r="AK530" s="574"/>
      <c r="AL530" s="574"/>
      <c r="AM530" s="574"/>
    </row>
    <row r="531" spans="27:39">
      <c r="AA531" s="319">
        <f>VLOOKUP(B531,'[19]ACTA PARCIAL OBRA'!$B$122:$X$536,20,0)</f>
        <v>0</v>
      </c>
      <c r="AB531" s="319">
        <f>+AA531-R531</f>
        <v>0</v>
      </c>
      <c r="AE531" s="556">
        <f t="shared" ref="AE531:AF545" si="74">+B531</f>
        <v>0</v>
      </c>
      <c r="AF531" s="557">
        <f t="shared" si="74"/>
        <v>0</v>
      </c>
      <c r="AG531" s="574"/>
      <c r="AH531" s="574"/>
      <c r="AI531" s="574"/>
      <c r="AJ531" s="574"/>
      <c r="AK531" s="574"/>
      <c r="AL531" s="574"/>
      <c r="AM531" s="574"/>
    </row>
    <row r="532" spans="27:39">
      <c r="AA532" s="585">
        <f>O532+R532</f>
        <v>0</v>
      </c>
      <c r="AB532" s="319">
        <f>+AA532-R532</f>
        <v>0</v>
      </c>
      <c r="AE532" s="556">
        <f t="shared" si="74"/>
        <v>0</v>
      </c>
      <c r="AF532" s="557">
        <f t="shared" si="74"/>
        <v>0</v>
      </c>
      <c r="AG532" s="574"/>
      <c r="AH532" s="574"/>
      <c r="AI532" s="574"/>
      <c r="AJ532" s="574"/>
      <c r="AK532" s="574"/>
      <c r="AL532" s="574"/>
      <c r="AM532" s="574"/>
    </row>
    <row r="533" spans="27:39">
      <c r="AE533" s="556">
        <f t="shared" si="74"/>
        <v>0</v>
      </c>
      <c r="AF533" s="557">
        <f t="shared" si="74"/>
        <v>0</v>
      </c>
      <c r="AG533" s="574"/>
      <c r="AH533" s="574"/>
      <c r="AI533" s="574"/>
      <c r="AJ533" s="574"/>
      <c r="AK533" s="574"/>
      <c r="AL533" s="574"/>
      <c r="AM533" s="574"/>
    </row>
    <row r="534" spans="27:39">
      <c r="AE534" s="556">
        <f t="shared" si="74"/>
        <v>0</v>
      </c>
      <c r="AF534" s="557">
        <f t="shared" si="74"/>
        <v>0</v>
      </c>
      <c r="AG534" s="574"/>
      <c r="AH534" s="574"/>
      <c r="AI534" s="574"/>
      <c r="AJ534" s="574"/>
      <c r="AK534" s="574"/>
      <c r="AL534" s="574"/>
      <c r="AM534" s="574"/>
    </row>
    <row r="535" spans="27:39">
      <c r="AE535" s="556">
        <f t="shared" si="74"/>
        <v>0</v>
      </c>
      <c r="AF535" s="557">
        <f t="shared" si="74"/>
        <v>0</v>
      </c>
      <c r="AG535" s="574"/>
      <c r="AH535" s="574"/>
      <c r="AI535" s="574"/>
      <c r="AJ535" s="574"/>
      <c r="AK535" s="574"/>
      <c r="AL535" s="574"/>
      <c r="AM535" s="574"/>
    </row>
    <row r="536" spans="27:39">
      <c r="AA536" s="319">
        <f>+R536+O536</f>
        <v>0</v>
      </c>
      <c r="AE536" s="556">
        <f t="shared" si="74"/>
        <v>0</v>
      </c>
      <c r="AF536" s="557">
        <f t="shared" si="74"/>
        <v>0</v>
      </c>
      <c r="AG536" s="574"/>
      <c r="AH536" s="574"/>
      <c r="AI536" s="574"/>
      <c r="AJ536" s="574"/>
      <c r="AK536" s="574"/>
      <c r="AL536" s="574"/>
      <c r="AM536" s="574">
        <v>25.54</v>
      </c>
    </row>
    <row r="537" spans="27:39">
      <c r="AA537" s="319">
        <f>+R537+O537</f>
        <v>0</v>
      </c>
      <c r="AE537" s="556">
        <f t="shared" si="74"/>
        <v>0</v>
      </c>
      <c r="AF537" s="557">
        <f t="shared" si="74"/>
        <v>0</v>
      </c>
      <c r="AG537" s="574"/>
      <c r="AH537" s="574"/>
      <c r="AI537" s="574"/>
      <c r="AJ537" s="574"/>
      <c r="AK537" s="574"/>
      <c r="AL537" s="574"/>
      <c r="AM537" s="574"/>
    </row>
    <row r="538" spans="27:39">
      <c r="AA538" s="319">
        <f>+R538+O538</f>
        <v>0</v>
      </c>
      <c r="AE538" s="556">
        <f t="shared" si="74"/>
        <v>0</v>
      </c>
      <c r="AF538" s="557">
        <f t="shared" si="74"/>
        <v>0</v>
      </c>
      <c r="AG538" s="574"/>
      <c r="AH538" s="574"/>
      <c r="AI538" s="574"/>
      <c r="AJ538" s="574"/>
      <c r="AK538" s="574"/>
      <c r="AL538" s="574"/>
      <c r="AM538" s="574"/>
    </row>
    <row r="539" spans="27:39">
      <c r="AE539" s="556">
        <f t="shared" si="74"/>
        <v>0</v>
      </c>
      <c r="AF539" s="557">
        <f t="shared" si="74"/>
        <v>0</v>
      </c>
      <c r="AG539" s="574"/>
      <c r="AH539" s="574"/>
      <c r="AI539" s="574"/>
      <c r="AJ539" s="574"/>
      <c r="AK539" s="574"/>
      <c r="AL539" s="574"/>
      <c r="AM539" s="574"/>
    </row>
    <row r="540" spans="27:39">
      <c r="AE540" s="556">
        <f t="shared" si="74"/>
        <v>0</v>
      </c>
      <c r="AF540" s="557">
        <f t="shared" si="74"/>
        <v>0</v>
      </c>
      <c r="AG540" s="574"/>
      <c r="AH540" s="574"/>
      <c r="AI540" s="574"/>
      <c r="AJ540" s="574"/>
      <c r="AK540" s="574"/>
      <c r="AL540" s="574"/>
      <c r="AM540" s="574"/>
    </row>
    <row r="541" spans="27:39">
      <c r="AE541" s="556">
        <f t="shared" si="74"/>
        <v>0</v>
      </c>
      <c r="AF541" s="557">
        <f t="shared" si="74"/>
        <v>0</v>
      </c>
      <c r="AG541" s="574"/>
      <c r="AH541" s="574"/>
      <c r="AI541" s="574"/>
      <c r="AJ541" s="574"/>
      <c r="AK541" s="574"/>
      <c r="AL541" s="574"/>
      <c r="AM541" s="574"/>
    </row>
    <row r="542" spans="27:39">
      <c r="AE542" s="556">
        <f t="shared" si="74"/>
        <v>0</v>
      </c>
      <c r="AF542" s="557">
        <f t="shared" si="74"/>
        <v>0</v>
      </c>
      <c r="AG542" s="574"/>
      <c r="AH542" s="574"/>
      <c r="AI542" s="574"/>
      <c r="AJ542" s="574"/>
      <c r="AK542" s="574"/>
      <c r="AL542" s="574"/>
      <c r="AM542" s="574"/>
    </row>
    <row r="543" spans="27:39">
      <c r="AA543" s="585">
        <f>O543+R543</f>
        <v>0</v>
      </c>
      <c r="AE543" s="556">
        <f t="shared" si="74"/>
        <v>0</v>
      </c>
      <c r="AF543" s="557">
        <f t="shared" si="74"/>
        <v>0</v>
      </c>
    </row>
    <row r="544" spans="27:39">
      <c r="AE544" s="556">
        <f t="shared" si="74"/>
        <v>0</v>
      </c>
      <c r="AF544" s="557">
        <f t="shared" si="74"/>
        <v>0</v>
      </c>
    </row>
    <row r="545" spans="27:39">
      <c r="AE545" s="556">
        <f t="shared" si="74"/>
        <v>0</v>
      </c>
      <c r="AF545" s="557">
        <f t="shared" si="74"/>
        <v>0</v>
      </c>
    </row>
    <row r="548" spans="27:39">
      <c r="AA548" s="203">
        <v>1746591092.6600001</v>
      </c>
      <c r="AB548" s="203">
        <f>+ROUND(U532+U478+U543,2)-8036.88</f>
        <v>-8036.88</v>
      </c>
      <c r="AC548" s="319">
        <f t="shared" ref="AC548:AC590" si="75">+R548-AB548</f>
        <v>8036.88</v>
      </c>
      <c r="AE548" s="203">
        <v>1334850812.8399999</v>
      </c>
      <c r="AF548" s="580">
        <f t="shared" ref="AF548:AF587" si="76">+AE548-R548</f>
        <v>1334850812.8399999</v>
      </c>
    </row>
    <row r="549" spans="27:39">
      <c r="AA549" s="184"/>
      <c r="AB549" s="319">
        <f t="shared" ref="AB549:AB582" si="77">+AA549-R549</f>
        <v>0</v>
      </c>
      <c r="AC549" s="319">
        <f t="shared" si="75"/>
        <v>0</v>
      </c>
      <c r="AE549" s="184"/>
      <c r="AF549" s="580">
        <f t="shared" si="76"/>
        <v>0</v>
      </c>
    </row>
    <row r="550" spans="27:39">
      <c r="AA550" s="203">
        <v>436647773.17000002</v>
      </c>
      <c r="AB550" s="319">
        <f t="shared" si="77"/>
        <v>436647773.17000002</v>
      </c>
      <c r="AC550" s="319">
        <f t="shared" si="75"/>
        <v>-436647773.17000002</v>
      </c>
      <c r="AE550" s="203">
        <v>333712703.21999997</v>
      </c>
      <c r="AF550" s="580">
        <f t="shared" si="76"/>
        <v>333712703.21999997</v>
      </c>
      <c r="AM550" s="319">
        <v>533.64</v>
      </c>
    </row>
    <row r="551" spans="27:39">
      <c r="AA551" s="184"/>
      <c r="AB551" s="319">
        <f t="shared" si="77"/>
        <v>0</v>
      </c>
      <c r="AC551" s="319">
        <f t="shared" si="75"/>
        <v>0</v>
      </c>
      <c r="AE551" s="184"/>
      <c r="AF551" s="580">
        <f t="shared" si="76"/>
        <v>0</v>
      </c>
    </row>
    <row r="552" spans="27:39">
      <c r="AA552" s="203">
        <v>17465910.93</v>
      </c>
      <c r="AB552" s="319">
        <f t="shared" si="77"/>
        <v>17465910.93</v>
      </c>
      <c r="AC552" s="319">
        <f t="shared" si="75"/>
        <v>-17465910.93</v>
      </c>
      <c r="AE552" s="203">
        <v>13348508.130000001</v>
      </c>
      <c r="AF552" s="580">
        <f t="shared" si="76"/>
        <v>13348508.130000001</v>
      </c>
    </row>
    <row r="553" spans="27:39">
      <c r="AA553" s="184"/>
      <c r="AB553" s="319">
        <f t="shared" si="77"/>
        <v>0</v>
      </c>
      <c r="AC553" s="319">
        <f t="shared" si="75"/>
        <v>0</v>
      </c>
      <c r="AE553" s="184"/>
      <c r="AF553" s="580">
        <f t="shared" si="76"/>
        <v>0</v>
      </c>
    </row>
    <row r="554" spans="27:39">
      <c r="AA554" s="203">
        <v>58708944.289999999</v>
      </c>
      <c r="AB554" s="319">
        <f t="shared" si="77"/>
        <v>58708944.289999999</v>
      </c>
      <c r="AC554" s="319">
        <f t="shared" si="75"/>
        <v>-58708944.289999999</v>
      </c>
      <c r="AE554" s="203">
        <v>44868934.889999993</v>
      </c>
      <c r="AF554" s="580">
        <f t="shared" si="76"/>
        <v>44868934.889999993</v>
      </c>
    </row>
    <row r="555" spans="27:39">
      <c r="AA555" s="184"/>
      <c r="AB555" s="319">
        <f t="shared" si="77"/>
        <v>0</v>
      </c>
      <c r="AC555" s="319">
        <f t="shared" si="75"/>
        <v>0</v>
      </c>
      <c r="AE555" s="184"/>
      <c r="AF555" s="580">
        <f t="shared" si="76"/>
        <v>0</v>
      </c>
    </row>
    <row r="556" spans="27:39">
      <c r="AA556" s="203">
        <v>11154699.41</v>
      </c>
      <c r="AB556" s="319">
        <f t="shared" si="77"/>
        <v>11154699.41</v>
      </c>
      <c r="AC556" s="319">
        <f t="shared" si="75"/>
        <v>-11154699.41</v>
      </c>
      <c r="AE556" s="203">
        <v>8525097.6300000008</v>
      </c>
      <c r="AF556" s="580">
        <f t="shared" si="76"/>
        <v>8525097.6300000008</v>
      </c>
    </row>
    <row r="557" spans="27:39">
      <c r="AA557" s="184"/>
      <c r="AB557" s="319">
        <f t="shared" si="77"/>
        <v>0</v>
      </c>
      <c r="AC557" s="319">
        <f t="shared" si="75"/>
        <v>0</v>
      </c>
      <c r="AE557" s="184"/>
      <c r="AF557" s="580">
        <f t="shared" si="76"/>
        <v>0</v>
      </c>
    </row>
    <row r="558" spans="27:39">
      <c r="AA558" s="203">
        <v>2270568420.46</v>
      </c>
      <c r="AB558" s="319">
        <f t="shared" si="77"/>
        <v>2270568420.46</v>
      </c>
      <c r="AC558" s="319">
        <f t="shared" si="75"/>
        <v>-2270568420.46</v>
      </c>
      <c r="AE558" s="203">
        <v>1735306056.71</v>
      </c>
      <c r="AF558" s="580">
        <f t="shared" si="76"/>
        <v>1735306056.71</v>
      </c>
    </row>
    <row r="559" spans="27:39">
      <c r="AA559" s="184"/>
      <c r="AB559" s="319">
        <f t="shared" si="77"/>
        <v>0</v>
      </c>
      <c r="AC559" s="319">
        <f t="shared" si="75"/>
        <v>0</v>
      </c>
      <c r="AE559" s="184"/>
      <c r="AF559" s="580">
        <f t="shared" si="76"/>
        <v>0</v>
      </c>
    </row>
    <row r="560" spans="27:39">
      <c r="AA560" s="203">
        <v>39923083.109999999</v>
      </c>
      <c r="AB560" s="319">
        <f t="shared" si="77"/>
        <v>39923083.109999999</v>
      </c>
      <c r="AC560" s="319">
        <f t="shared" si="75"/>
        <v>-39923083.109999999</v>
      </c>
      <c r="AE560" s="203">
        <v>39923083.109999999</v>
      </c>
      <c r="AF560" s="580">
        <f t="shared" si="76"/>
        <v>39923083.109999999</v>
      </c>
    </row>
    <row r="561" spans="27:32">
      <c r="AA561" s="184"/>
      <c r="AB561" s="319">
        <f t="shared" si="77"/>
        <v>0</v>
      </c>
      <c r="AC561" s="319">
        <f t="shared" si="75"/>
        <v>0</v>
      </c>
      <c r="AE561" s="184"/>
      <c r="AF561" s="319">
        <f t="shared" si="76"/>
        <v>0</v>
      </c>
    </row>
    <row r="562" spans="27:32">
      <c r="AA562" s="203">
        <v>7585385.79</v>
      </c>
      <c r="AB562" s="319">
        <f t="shared" si="77"/>
        <v>7585385.79</v>
      </c>
      <c r="AC562" s="319">
        <f t="shared" si="75"/>
        <v>-7585385.79</v>
      </c>
      <c r="AE562" s="203">
        <v>7585385.79</v>
      </c>
      <c r="AF562" s="319">
        <f t="shared" si="76"/>
        <v>7585385.79</v>
      </c>
    </row>
    <row r="563" spans="27:32">
      <c r="AA563" s="184"/>
      <c r="AB563" s="319">
        <f t="shared" si="77"/>
        <v>0</v>
      </c>
      <c r="AC563" s="319">
        <f t="shared" si="75"/>
        <v>0</v>
      </c>
      <c r="AE563" s="184"/>
      <c r="AF563" s="319">
        <f t="shared" si="76"/>
        <v>0</v>
      </c>
    </row>
    <row r="564" spans="27:32">
      <c r="AA564" s="203">
        <v>47508468.899999999</v>
      </c>
      <c r="AB564" s="319">
        <f t="shared" si="77"/>
        <v>47508468.899999999</v>
      </c>
      <c r="AC564" s="319">
        <f t="shared" si="75"/>
        <v>-47508468.899999999</v>
      </c>
      <c r="AE564" s="203">
        <v>47508468.899999999</v>
      </c>
      <c r="AF564" s="319">
        <f t="shared" si="76"/>
        <v>47508468.899999999</v>
      </c>
    </row>
    <row r="565" spans="27:32">
      <c r="AA565" s="184"/>
      <c r="AB565" s="319">
        <f t="shared" si="77"/>
        <v>0</v>
      </c>
      <c r="AC565" s="319">
        <f t="shared" si="75"/>
        <v>0</v>
      </c>
      <c r="AE565" s="184"/>
      <c r="AF565" s="319">
        <f t="shared" si="76"/>
        <v>0</v>
      </c>
    </row>
    <row r="566" spans="27:32">
      <c r="AA566" s="203">
        <v>0</v>
      </c>
      <c r="AB566" s="319">
        <f t="shared" si="77"/>
        <v>0</v>
      </c>
      <c r="AC566" s="319">
        <f t="shared" si="75"/>
        <v>0</v>
      </c>
      <c r="AE566" s="203">
        <v>0</v>
      </c>
      <c r="AF566" s="319">
        <f t="shared" si="76"/>
        <v>0</v>
      </c>
    </row>
    <row r="567" spans="27:32">
      <c r="AA567" s="184"/>
      <c r="AB567" s="319">
        <f t="shared" si="77"/>
        <v>0</v>
      </c>
      <c r="AC567" s="319">
        <f t="shared" si="75"/>
        <v>0</v>
      </c>
      <c r="AE567" s="184"/>
      <c r="AF567" s="319">
        <f t="shared" si="76"/>
        <v>0</v>
      </c>
    </row>
    <row r="568" spans="27:32">
      <c r="AA568" s="203">
        <v>0</v>
      </c>
      <c r="AB568" s="319">
        <f t="shared" si="77"/>
        <v>0</v>
      </c>
      <c r="AC568" s="319">
        <f t="shared" si="75"/>
        <v>0</v>
      </c>
      <c r="AE568" s="203">
        <v>0</v>
      </c>
      <c r="AF568" s="319">
        <f t="shared" si="76"/>
        <v>0</v>
      </c>
    </row>
    <row r="569" spans="27:32">
      <c r="AA569" s="184"/>
      <c r="AB569" s="319">
        <f t="shared" si="77"/>
        <v>0</v>
      </c>
      <c r="AC569" s="319">
        <f t="shared" si="75"/>
        <v>0</v>
      </c>
      <c r="AE569" s="184"/>
      <c r="AF569" s="319">
        <f t="shared" si="76"/>
        <v>0</v>
      </c>
    </row>
    <row r="570" spans="27:32">
      <c r="AA570" s="203">
        <v>0</v>
      </c>
      <c r="AB570" s="319">
        <f t="shared" si="77"/>
        <v>0</v>
      </c>
      <c r="AC570" s="319">
        <f t="shared" si="75"/>
        <v>0</v>
      </c>
      <c r="AE570" s="203">
        <v>0</v>
      </c>
      <c r="AF570" s="319">
        <f t="shared" si="76"/>
        <v>0</v>
      </c>
    </row>
    <row r="571" spans="27:32">
      <c r="AA571" s="157"/>
      <c r="AB571" s="319">
        <f t="shared" si="77"/>
        <v>0</v>
      </c>
      <c r="AC571" s="319">
        <f t="shared" si="75"/>
        <v>0</v>
      </c>
      <c r="AE571" s="157"/>
      <c r="AF571" s="319">
        <f t="shared" si="76"/>
        <v>0</v>
      </c>
    </row>
    <row r="572" spans="27:32">
      <c r="AA572" s="157"/>
      <c r="AB572" s="319">
        <f t="shared" si="77"/>
        <v>0</v>
      </c>
      <c r="AC572" s="319">
        <f t="shared" si="75"/>
        <v>0</v>
      </c>
      <c r="AE572" s="157"/>
      <c r="AF572" s="319">
        <f t="shared" si="76"/>
        <v>0</v>
      </c>
    </row>
    <row r="573" spans="27:32">
      <c r="AA573" s="203">
        <v>2318076889.3600001</v>
      </c>
      <c r="AB573" s="319">
        <f t="shared" si="77"/>
        <v>2318076889.3600001</v>
      </c>
      <c r="AC573" s="319">
        <f t="shared" si="75"/>
        <v>-2318076889.3600001</v>
      </c>
      <c r="AE573" s="203">
        <v>1782814525.6100001</v>
      </c>
      <c r="AF573" s="319">
        <f t="shared" si="76"/>
        <v>1782814525.6100001</v>
      </c>
    </row>
    <row r="574" spans="27:32">
      <c r="AA574" s="184"/>
      <c r="AB574" s="319">
        <f t="shared" si="77"/>
        <v>0</v>
      </c>
      <c r="AC574" s="319">
        <f t="shared" si="75"/>
        <v>0</v>
      </c>
      <c r="AE574" s="184"/>
      <c r="AF574" s="319">
        <f t="shared" si="76"/>
        <v>0</v>
      </c>
    </row>
    <row r="575" spans="27:32">
      <c r="AA575" s="586">
        <v>0.64</v>
      </c>
      <c r="AB575" s="319">
        <f t="shared" si="77"/>
        <v>0.64</v>
      </c>
      <c r="AC575" s="319">
        <f t="shared" si="75"/>
        <v>-0.64</v>
      </c>
      <c r="AE575" s="581">
        <v>0.3899998664855957</v>
      </c>
      <c r="AF575" s="319">
        <f t="shared" si="76"/>
        <v>0.3899998664855957</v>
      </c>
    </row>
    <row r="576" spans="27:32">
      <c r="AA576" s="184"/>
      <c r="AB576" s="319">
        <f t="shared" si="77"/>
        <v>0</v>
      </c>
      <c r="AC576" s="319">
        <f t="shared" si="75"/>
        <v>0</v>
      </c>
      <c r="AE576" s="184"/>
      <c r="AF576" s="319">
        <f t="shared" si="76"/>
        <v>0</v>
      </c>
    </row>
    <row r="577" spans="27:32">
      <c r="AA577" s="203">
        <v>2318076890</v>
      </c>
      <c r="AB577" s="319">
        <f t="shared" si="77"/>
        <v>2318076890</v>
      </c>
      <c r="AC577" s="319">
        <f t="shared" si="75"/>
        <v>-2318076890</v>
      </c>
      <c r="AE577" s="203">
        <v>1782814526</v>
      </c>
      <c r="AF577" s="319">
        <f t="shared" si="76"/>
        <v>1782814526</v>
      </c>
    </row>
    <row r="578" spans="27:32">
      <c r="AA578" s="184"/>
      <c r="AB578" s="319">
        <f t="shared" si="77"/>
        <v>0</v>
      </c>
      <c r="AC578" s="319">
        <f t="shared" si="75"/>
        <v>0</v>
      </c>
      <c r="AE578" s="184"/>
      <c r="AF578" s="319">
        <f t="shared" si="76"/>
        <v>0</v>
      </c>
    </row>
    <row r="579" spans="27:32">
      <c r="AA579" s="203">
        <v>567642105</v>
      </c>
      <c r="AB579" s="319">
        <f t="shared" si="77"/>
        <v>567642105</v>
      </c>
      <c r="AC579" s="319">
        <f t="shared" si="75"/>
        <v>-567642105</v>
      </c>
      <c r="AE579" s="203">
        <v>433826514</v>
      </c>
      <c r="AF579" s="319">
        <f t="shared" si="76"/>
        <v>433826514</v>
      </c>
    </row>
    <row r="580" spans="27:32">
      <c r="AA580" s="184"/>
      <c r="AB580" s="319">
        <f t="shared" si="77"/>
        <v>0</v>
      </c>
      <c r="AC580" s="319">
        <f t="shared" si="75"/>
        <v>0</v>
      </c>
      <c r="AE580" s="184"/>
      <c r="AF580" s="319">
        <f t="shared" si="76"/>
        <v>0</v>
      </c>
    </row>
    <row r="581" spans="27:32">
      <c r="AA581" s="203">
        <v>1750434785</v>
      </c>
      <c r="AB581" s="319">
        <f t="shared" si="77"/>
        <v>1750434785</v>
      </c>
      <c r="AC581" s="319">
        <f t="shared" si="75"/>
        <v>-1750434785</v>
      </c>
      <c r="AE581" s="203">
        <v>1348988012</v>
      </c>
      <c r="AF581" s="319">
        <f t="shared" si="76"/>
        <v>1348988012</v>
      </c>
    </row>
    <row r="582" spans="27:32">
      <c r="AA582" s="184"/>
      <c r="AB582" s="319">
        <f t="shared" si="77"/>
        <v>0</v>
      </c>
      <c r="AC582" s="319">
        <f t="shared" si="75"/>
        <v>0</v>
      </c>
      <c r="AE582" s="184"/>
      <c r="AF582" s="319">
        <f t="shared" si="76"/>
        <v>0</v>
      </c>
    </row>
    <row r="583" spans="27:32">
      <c r="AA583" s="184"/>
      <c r="AC583" s="319">
        <f t="shared" si="75"/>
        <v>0</v>
      </c>
      <c r="AE583" s="184"/>
      <c r="AF583" s="319">
        <f t="shared" si="76"/>
        <v>0</v>
      </c>
    </row>
    <row r="584" spans="27:32">
      <c r="AA584" s="225">
        <v>0.71559060557668797</v>
      </c>
      <c r="AB584" s="319">
        <v>0.60640590713502884</v>
      </c>
      <c r="AC584" s="319">
        <f t="shared" si="75"/>
        <v>-0.60640590713502884</v>
      </c>
      <c r="AE584" s="225">
        <v>0.55035505158088294</v>
      </c>
      <c r="AF584" s="319">
        <f t="shared" si="76"/>
        <v>0.55035505158088294</v>
      </c>
    </row>
    <row r="585" spans="27:32">
      <c r="AA585" s="184"/>
      <c r="AC585" s="319">
        <f t="shared" si="75"/>
        <v>0</v>
      </c>
      <c r="AE585" s="184"/>
      <c r="AF585" s="319">
        <f t="shared" si="76"/>
        <v>0</v>
      </c>
    </row>
    <row r="586" spans="27:32">
      <c r="AA586" s="217">
        <v>1750434785</v>
      </c>
      <c r="AB586" s="319">
        <v>1485165937</v>
      </c>
      <c r="AC586" s="319">
        <f t="shared" si="75"/>
        <v>-1485165937</v>
      </c>
      <c r="AE586" s="217">
        <v>1348988011</v>
      </c>
      <c r="AF586" s="319">
        <f t="shared" si="76"/>
        <v>1348988011</v>
      </c>
    </row>
    <row r="587" spans="27:32">
      <c r="AC587" s="319">
        <f t="shared" si="75"/>
        <v>0</v>
      </c>
      <c r="AF587" s="319">
        <f t="shared" si="76"/>
        <v>0</v>
      </c>
    </row>
    <row r="588" spans="27:32">
      <c r="AC588" s="319">
        <f t="shared" si="75"/>
        <v>0</v>
      </c>
    </row>
    <row r="589" spans="27:32">
      <c r="AC589" s="319">
        <f t="shared" si="75"/>
        <v>0</v>
      </c>
    </row>
    <row r="590" spans="27:32">
      <c r="AC590" s="319">
        <f t="shared" si="75"/>
        <v>0</v>
      </c>
    </row>
    <row r="597" spans="32:32">
      <c r="AF597" s="582"/>
    </row>
    <row r="598" spans="32:32">
      <c r="AF598" s="582"/>
    </row>
  </sheetData>
  <sheetProtection formatCells="0" formatColumns="0" formatRows="0" insertRows="0" selectLockedCells="1"/>
  <protectedRanges>
    <protectedRange sqref="N161 N149 N196 N182 Q148 Q195 Q181 Q230:Q231 Q233 Q219 Q160" name="Rango10_2"/>
    <protectedRange sqref="F11:F12 D26:I27 D14:E14 J13 D35:E35 E17:J17 J19 F24:I25 H22 D24:D25 D19:E19 I28:I32 F34:I35 G18:I18 F19:H21 I19:I23 D33:I33 G11:I13 F14:J15 E23:H23" name="Rango4_3"/>
    <protectedRange sqref="L11:L12" name="Rango7_1"/>
    <protectedRange sqref="M19:N25 E20:E21 F22" name="Rango8_1"/>
    <protectedRange sqref="T15:U19 U11:U13 T13:T14 U22 T21:U21 U20 T26:U27 T30:U31" name="Rango9_1_1"/>
    <protectedRange sqref="E10:E11" name="Rango3_2_1"/>
    <protectedRange sqref="K9:K10" name="Rango6_2_1"/>
    <protectedRange sqref="D15:E15 E24:E25" name="Rango4_1_1"/>
    <protectedRange sqref="D17" name="Rango4_2_1"/>
    <protectedRange sqref="M18:N18" name="Rango8_1_1"/>
    <protectedRange sqref="N248 N246" name="Rango10_2_1"/>
    <protectedRange sqref="O297:R297 P307:Q307 P305:Q305" name="Rango16_1_2"/>
    <protectedRange sqref="O284:R284 O290:R290" name="Rango15_1_2"/>
    <protectedRange sqref="B326:W331" name="Rango14_1_2"/>
    <protectedRange sqref="B332:W333" name="Rango14_3"/>
    <protectedRange sqref="U284 U290" name="Rango15_1_2_1_2"/>
    <protectedRange sqref="O272:R272 O276:R276 O274:R274" name="Rango15_1_2_1"/>
    <protectedRange sqref="B314 M315:W315 D314:W314 B321:W325 B316:C320 E316:W320" name="Rango14_1_2_1"/>
    <protectedRange sqref="AE562 AE568" name="Rango15_1_2_1_2_2_1"/>
    <protectedRange sqref="AE575" name="Rango16_1_2_1_1_1"/>
  </protectedRanges>
  <dataConsolidate link="1"/>
  <mergeCells count="516">
    <mergeCell ref="Q316:R316"/>
    <mergeCell ref="F324:J324"/>
    <mergeCell ref="O320:P320"/>
    <mergeCell ref="F323:J323"/>
    <mergeCell ref="C323:E323"/>
    <mergeCell ref="C324:E324"/>
    <mergeCell ref="L324:M324"/>
    <mergeCell ref="O324:P324"/>
    <mergeCell ref="Q324:R324"/>
    <mergeCell ref="L323:M323"/>
    <mergeCell ref="O323:P323"/>
    <mergeCell ref="Q323:R323"/>
    <mergeCell ref="F320:J320"/>
    <mergeCell ref="C318:E318"/>
    <mergeCell ref="V284:W284"/>
    <mergeCell ref="V286:W286"/>
    <mergeCell ref="V299:W299"/>
    <mergeCell ref="V288:W288"/>
    <mergeCell ref="O7:P7"/>
    <mergeCell ref="C319:E319"/>
    <mergeCell ref="F319:J319"/>
    <mergeCell ref="L319:M319"/>
    <mergeCell ref="O319:P319"/>
    <mergeCell ref="Q319:R319"/>
    <mergeCell ref="C49:H49"/>
    <mergeCell ref="C44:H44"/>
    <mergeCell ref="V303:W303"/>
    <mergeCell ref="V306:W306"/>
    <mergeCell ref="C55:H55"/>
    <mergeCell ref="F315:J315"/>
    <mergeCell ref="V295:W295"/>
    <mergeCell ref="V308:W308"/>
    <mergeCell ref="B314:Q314"/>
    <mergeCell ref="D311:E311"/>
    <mergeCell ref="L315:M315"/>
    <mergeCell ref="O315:P315"/>
    <mergeCell ref="C232:H232"/>
    <mergeCell ref="C60:H60"/>
    <mergeCell ref="C59:H59"/>
    <mergeCell ref="V59:W59"/>
    <mergeCell ref="V232:W232"/>
    <mergeCell ref="C220:H220"/>
    <mergeCell ref="V220:W220"/>
    <mergeCell ref="C221:H221"/>
    <mergeCell ref="V221:W221"/>
    <mergeCell ref="C222:H222"/>
    <mergeCell ref="V216:W216"/>
    <mergeCell ref="C217:H217"/>
    <mergeCell ref="V217:W217"/>
    <mergeCell ref="C218:H218"/>
    <mergeCell ref="V218:W218"/>
    <mergeCell ref="C213:H213"/>
    <mergeCell ref="V213:W213"/>
    <mergeCell ref="C214:H214"/>
    <mergeCell ref="V214:W214"/>
    <mergeCell ref="C215:H215"/>
    <mergeCell ref="C226:H226"/>
    <mergeCell ref="V226:W226"/>
    <mergeCell ref="C227:H227"/>
    <mergeCell ref="V227:W227"/>
    <mergeCell ref="C229:H229"/>
    <mergeCell ref="V229:W229"/>
    <mergeCell ref="V222:W222"/>
    <mergeCell ref="C223:H223"/>
    <mergeCell ref="V223:W223"/>
    <mergeCell ref="C224:H224"/>
    <mergeCell ref="V224:W224"/>
    <mergeCell ref="C63:H63"/>
    <mergeCell ref="V63:W63"/>
    <mergeCell ref="C225:H225"/>
    <mergeCell ref="V225:W225"/>
    <mergeCell ref="C219:H219"/>
    <mergeCell ref="V219:W219"/>
    <mergeCell ref="C68:H68"/>
    <mergeCell ref="C69:H69"/>
    <mergeCell ref="B64:H64"/>
    <mergeCell ref="V215:W215"/>
    <mergeCell ref="C216:H216"/>
    <mergeCell ref="V210:W210"/>
    <mergeCell ref="C211:H211"/>
    <mergeCell ref="V211:W211"/>
    <mergeCell ref="C212:H212"/>
    <mergeCell ref="V212:W212"/>
    <mergeCell ref="C207:H207"/>
    <mergeCell ref="V207:W207"/>
    <mergeCell ref="C208:H208"/>
    <mergeCell ref="V261:W261"/>
    <mergeCell ref="C262:H262"/>
    <mergeCell ref="V248:W248"/>
    <mergeCell ref="C249:H249"/>
    <mergeCell ref="V249:W249"/>
    <mergeCell ref="C250:H250"/>
    <mergeCell ref="V250:W250"/>
    <mergeCell ref="B321:J321"/>
    <mergeCell ref="L321:M321"/>
    <mergeCell ref="O321:P321"/>
    <mergeCell ref="Q321:R321"/>
    <mergeCell ref="L318:M318"/>
    <mergeCell ref="F318:J318"/>
    <mergeCell ref="O318:P318"/>
    <mergeCell ref="Q318:R318"/>
    <mergeCell ref="C320:E320"/>
    <mergeCell ref="C264:H264"/>
    <mergeCell ref="C261:H261"/>
    <mergeCell ref="C248:H248"/>
    <mergeCell ref="B256:L256"/>
    <mergeCell ref="N256:W256"/>
    <mergeCell ref="V259:W259"/>
    <mergeCell ref="V280:W280"/>
    <mergeCell ref="V282:W282"/>
    <mergeCell ref="V290:W290"/>
    <mergeCell ref="V292:W292"/>
    <mergeCell ref="C332:F332"/>
    <mergeCell ref="R332:U332"/>
    <mergeCell ref="C333:F333"/>
    <mergeCell ref="R333:U333"/>
    <mergeCell ref="Q317:R317"/>
    <mergeCell ref="O317:P317"/>
    <mergeCell ref="L317:M317"/>
    <mergeCell ref="C317:E317"/>
    <mergeCell ref="F316:J316"/>
    <mergeCell ref="L320:M320"/>
    <mergeCell ref="Q320:R320"/>
    <mergeCell ref="C331:F331"/>
    <mergeCell ref="R331:U331"/>
    <mergeCell ref="C325:E325"/>
    <mergeCell ref="F325:J325"/>
    <mergeCell ref="L325:M325"/>
    <mergeCell ref="O325:P325"/>
    <mergeCell ref="Q325:R325"/>
    <mergeCell ref="L316:M316"/>
    <mergeCell ref="Q315:R315"/>
    <mergeCell ref="C315:E315"/>
    <mergeCell ref="O316:P316"/>
    <mergeCell ref="C245:H245"/>
    <mergeCell ref="C246:H246"/>
    <mergeCell ref="C247:H247"/>
    <mergeCell ref="C259:H259"/>
    <mergeCell ref="V301:W301"/>
    <mergeCell ref="V297:W297"/>
    <mergeCell ref="C316:E316"/>
    <mergeCell ref="F317:J317"/>
    <mergeCell ref="V246:W246"/>
    <mergeCell ref="V247:W247"/>
    <mergeCell ref="V245:W245"/>
    <mergeCell ref="V252:W252"/>
    <mergeCell ref="C260:H260"/>
    <mergeCell ref="V260:W260"/>
    <mergeCell ref="V276:W276"/>
    <mergeCell ref="V278:W278"/>
    <mergeCell ref="V264:W264"/>
    <mergeCell ref="V266:W266"/>
    <mergeCell ref="V270:W270"/>
    <mergeCell ref="V272:W272"/>
    <mergeCell ref="V274:W274"/>
    <mergeCell ref="V262:W262"/>
    <mergeCell ref="C263:H263"/>
    <mergeCell ref="V263:W263"/>
    <mergeCell ref="C243:H243"/>
    <mergeCell ref="C244:H244"/>
    <mergeCell ref="C240:H240"/>
    <mergeCell ref="C241:H241"/>
    <mergeCell ref="C242:H242"/>
    <mergeCell ref="V241:W241"/>
    <mergeCell ref="V243:W243"/>
    <mergeCell ref="V244:W244"/>
    <mergeCell ref="C231:H231"/>
    <mergeCell ref="V231:W231"/>
    <mergeCell ref="V235:W235"/>
    <mergeCell ref="B237:L237"/>
    <mergeCell ref="N237:W237"/>
    <mergeCell ref="V240:W240"/>
    <mergeCell ref="V233:W233"/>
    <mergeCell ref="C233:H233"/>
    <mergeCell ref="V208:W208"/>
    <mergeCell ref="C209:H209"/>
    <mergeCell ref="V209:W209"/>
    <mergeCell ref="C210:H210"/>
    <mergeCell ref="V204:W204"/>
    <mergeCell ref="C205:H205"/>
    <mergeCell ref="V205:W205"/>
    <mergeCell ref="C206:H206"/>
    <mergeCell ref="V206:W206"/>
    <mergeCell ref="C201:H201"/>
    <mergeCell ref="V201:W201"/>
    <mergeCell ref="C202:H202"/>
    <mergeCell ref="V202:W202"/>
    <mergeCell ref="C203:H203"/>
    <mergeCell ref="V203:W203"/>
    <mergeCell ref="C204:H204"/>
    <mergeCell ref="C198:H198"/>
    <mergeCell ref="V198:W198"/>
    <mergeCell ref="C199:H199"/>
    <mergeCell ref="V199:W199"/>
    <mergeCell ref="C200:H200"/>
    <mergeCell ref="V200:W200"/>
    <mergeCell ref="C195:H195"/>
    <mergeCell ref="V195:W195"/>
    <mergeCell ref="C196:H196"/>
    <mergeCell ref="V196:W196"/>
    <mergeCell ref="C197:H197"/>
    <mergeCell ref="V197:W197"/>
    <mergeCell ref="C192:H192"/>
    <mergeCell ref="V192:W192"/>
    <mergeCell ref="C193:H193"/>
    <mergeCell ref="V193:W193"/>
    <mergeCell ref="C194:H194"/>
    <mergeCell ref="V194:W194"/>
    <mergeCell ref="C189:H189"/>
    <mergeCell ref="V189:W189"/>
    <mergeCell ref="C190:H190"/>
    <mergeCell ref="V190:W190"/>
    <mergeCell ref="C191:H191"/>
    <mergeCell ref="V191:W191"/>
    <mergeCell ref="C186:H186"/>
    <mergeCell ref="V186:W186"/>
    <mergeCell ref="C187:H187"/>
    <mergeCell ref="V187:W187"/>
    <mergeCell ref="C188:H188"/>
    <mergeCell ref="V188:W188"/>
    <mergeCell ref="C183:H183"/>
    <mergeCell ref="V183:W183"/>
    <mergeCell ref="C184:H184"/>
    <mergeCell ref="V184:W184"/>
    <mergeCell ref="C185:H185"/>
    <mergeCell ref="V185:W185"/>
    <mergeCell ref="C180:H180"/>
    <mergeCell ref="V180:W180"/>
    <mergeCell ref="C181:H181"/>
    <mergeCell ref="V181:W181"/>
    <mergeCell ref="C182:H182"/>
    <mergeCell ref="V182:W182"/>
    <mergeCell ref="C177:H177"/>
    <mergeCell ref="V177:W177"/>
    <mergeCell ref="C178:H178"/>
    <mergeCell ref="V178:W178"/>
    <mergeCell ref="C179:H179"/>
    <mergeCell ref="V179:W179"/>
    <mergeCell ref="C174:H174"/>
    <mergeCell ref="V174:W174"/>
    <mergeCell ref="C175:H175"/>
    <mergeCell ref="V175:W175"/>
    <mergeCell ref="C176:H176"/>
    <mergeCell ref="V176:W176"/>
    <mergeCell ref="C171:H171"/>
    <mergeCell ref="V171:W171"/>
    <mergeCell ref="C172:H172"/>
    <mergeCell ref="V172:W172"/>
    <mergeCell ref="C173:H173"/>
    <mergeCell ref="V173:W173"/>
    <mergeCell ref="C168:H168"/>
    <mergeCell ref="V168:W168"/>
    <mergeCell ref="C169:H169"/>
    <mergeCell ref="V169:W169"/>
    <mergeCell ref="C170:H170"/>
    <mergeCell ref="V170:W170"/>
    <mergeCell ref="V162:W162"/>
    <mergeCell ref="V163:W163"/>
    <mergeCell ref="V164:W164"/>
    <mergeCell ref="V165:W165"/>
    <mergeCell ref="V166:W166"/>
    <mergeCell ref="V167:W167"/>
    <mergeCell ref="C166:H166"/>
    <mergeCell ref="C167:H167"/>
    <mergeCell ref="V159:W159"/>
    <mergeCell ref="C160:H160"/>
    <mergeCell ref="V160:W160"/>
    <mergeCell ref="C161:H161"/>
    <mergeCell ref="V161:W161"/>
    <mergeCell ref="V155:W155"/>
    <mergeCell ref="C156:H156"/>
    <mergeCell ref="V156:W156"/>
    <mergeCell ref="C157:H157"/>
    <mergeCell ref="V157:W157"/>
    <mergeCell ref="C158:H158"/>
    <mergeCell ref="V158:W158"/>
    <mergeCell ref="V152:W152"/>
    <mergeCell ref="C153:H153"/>
    <mergeCell ref="V153:W153"/>
    <mergeCell ref="C154:H154"/>
    <mergeCell ref="V154:W154"/>
    <mergeCell ref="V150:W150"/>
    <mergeCell ref="C151:H151"/>
    <mergeCell ref="V151:W151"/>
    <mergeCell ref="V145:W145"/>
    <mergeCell ref="C146:H146"/>
    <mergeCell ref="V146:W146"/>
    <mergeCell ref="C147:H147"/>
    <mergeCell ref="V147:W147"/>
    <mergeCell ref="C148:H148"/>
    <mergeCell ref="V148:W148"/>
    <mergeCell ref="V142:W142"/>
    <mergeCell ref="C143:H143"/>
    <mergeCell ref="V143:W143"/>
    <mergeCell ref="V138:W138"/>
    <mergeCell ref="C139:H139"/>
    <mergeCell ref="V139:W139"/>
    <mergeCell ref="C140:H140"/>
    <mergeCell ref="V140:W140"/>
    <mergeCell ref="C149:H149"/>
    <mergeCell ref="V149:W149"/>
    <mergeCell ref="V136:W136"/>
    <mergeCell ref="C137:H137"/>
    <mergeCell ref="V137:W137"/>
    <mergeCell ref="V132:W132"/>
    <mergeCell ref="C133:H133"/>
    <mergeCell ref="V133:W133"/>
    <mergeCell ref="C134:H134"/>
    <mergeCell ref="V134:W134"/>
    <mergeCell ref="C141:H141"/>
    <mergeCell ref="V141:W141"/>
    <mergeCell ref="V129:W129"/>
    <mergeCell ref="C130:H130"/>
    <mergeCell ref="V130:W130"/>
    <mergeCell ref="C131:H131"/>
    <mergeCell ref="V131:W131"/>
    <mergeCell ref="V120:W120"/>
    <mergeCell ref="C121:H121"/>
    <mergeCell ref="V121:W121"/>
    <mergeCell ref="C135:H135"/>
    <mergeCell ref="V135:W135"/>
    <mergeCell ref="V116:W116"/>
    <mergeCell ref="C117:H117"/>
    <mergeCell ref="V117:W117"/>
    <mergeCell ref="C118:H118"/>
    <mergeCell ref="V118:W118"/>
    <mergeCell ref="V60:W60"/>
    <mergeCell ref="C61:H61"/>
    <mergeCell ref="V61:W61"/>
    <mergeCell ref="C62:H62"/>
    <mergeCell ref="V62:W62"/>
    <mergeCell ref="C80:H80"/>
    <mergeCell ref="V80:W80"/>
    <mergeCell ref="C81:H81"/>
    <mergeCell ref="V81:W81"/>
    <mergeCell ref="C82:H82"/>
    <mergeCell ref="V82:W82"/>
    <mergeCell ref="C66:H66"/>
    <mergeCell ref="C70:H70"/>
    <mergeCell ref="I68:L68"/>
    <mergeCell ref="N68:W68"/>
    <mergeCell ref="V70:W70"/>
    <mergeCell ref="C76:H76"/>
    <mergeCell ref="V76:W76"/>
    <mergeCell ref="C77:H77"/>
    <mergeCell ref="C58:H58"/>
    <mergeCell ref="C47:H47"/>
    <mergeCell ref="V47:W47"/>
    <mergeCell ref="C48:H48"/>
    <mergeCell ref="V48:W48"/>
    <mergeCell ref="V49:W49"/>
    <mergeCell ref="C50:H50"/>
    <mergeCell ref="V50:W50"/>
    <mergeCell ref="C51:H51"/>
    <mergeCell ref="V51:W51"/>
    <mergeCell ref="C52:H52"/>
    <mergeCell ref="V52:W52"/>
    <mergeCell ref="C53:H53"/>
    <mergeCell ref="V53:W53"/>
    <mergeCell ref="C54:H54"/>
    <mergeCell ref="V54:W54"/>
    <mergeCell ref="V58:W58"/>
    <mergeCell ref="E11:H11"/>
    <mergeCell ref="K11:O14"/>
    <mergeCell ref="B36:E36"/>
    <mergeCell ref="B20:D20"/>
    <mergeCell ref="E20:H22"/>
    <mergeCell ref="M16:N16"/>
    <mergeCell ref="M18:N18"/>
    <mergeCell ref="D17:E17"/>
    <mergeCell ref="D19:E19"/>
    <mergeCell ref="T16:U16"/>
    <mergeCell ref="T18:U18"/>
    <mergeCell ref="T23:U23"/>
    <mergeCell ref="M32:N32"/>
    <mergeCell ref="V44:W44"/>
    <mergeCell ref="C45:H45"/>
    <mergeCell ref="V45:W45"/>
    <mergeCell ref="J34:O34"/>
    <mergeCell ref="T34:U34"/>
    <mergeCell ref="T26:U26"/>
    <mergeCell ref="T30:U30"/>
    <mergeCell ref="D16:F16"/>
    <mergeCell ref="V77:W77"/>
    <mergeCell ref="C71:H71"/>
    <mergeCell ref="V71:W71"/>
    <mergeCell ref="V69:W69"/>
    <mergeCell ref="S3:T3"/>
    <mergeCell ref="S4:T4"/>
    <mergeCell ref="F3:Q3"/>
    <mergeCell ref="F4:Q4"/>
    <mergeCell ref="U3:W4"/>
    <mergeCell ref="B3:E4"/>
    <mergeCell ref="D35:E35"/>
    <mergeCell ref="J24:K24"/>
    <mergeCell ref="M24:N24"/>
    <mergeCell ref="J20:K20"/>
    <mergeCell ref="M20:N20"/>
    <mergeCell ref="J22:K22"/>
    <mergeCell ref="M22:N22"/>
    <mergeCell ref="C57:H57"/>
    <mergeCell ref="V55:W55"/>
    <mergeCell ref="C46:H46"/>
    <mergeCell ref="V46:W46"/>
    <mergeCell ref="D14:H14"/>
    <mergeCell ref="D18:F18"/>
    <mergeCell ref="J11:J14"/>
    <mergeCell ref="C78:H78"/>
    <mergeCell ref="V230:W230"/>
    <mergeCell ref="C75:H75"/>
    <mergeCell ref="C79:H79"/>
    <mergeCell ref="V79:W79"/>
    <mergeCell ref="C107:H107"/>
    <mergeCell ref="V107:W107"/>
    <mergeCell ref="C108:H108"/>
    <mergeCell ref="V108:W108"/>
    <mergeCell ref="V78:W78"/>
    <mergeCell ref="V112:W112"/>
    <mergeCell ref="C113:H113"/>
    <mergeCell ref="V113:W113"/>
    <mergeCell ref="V114:W114"/>
    <mergeCell ref="V115:W115"/>
    <mergeCell ref="C109:H109"/>
    <mergeCell ref="V109:W109"/>
    <mergeCell ref="C110:H110"/>
    <mergeCell ref="C88:H88"/>
    <mergeCell ref="V88:W88"/>
    <mergeCell ref="V89:W89"/>
    <mergeCell ref="V90:W90"/>
    <mergeCell ref="C91:H91"/>
    <mergeCell ref="V91:W91"/>
    <mergeCell ref="C92:H92"/>
    <mergeCell ref="V92:W92"/>
    <mergeCell ref="C83:H83"/>
    <mergeCell ref="V83:W83"/>
    <mergeCell ref="C84:H84"/>
    <mergeCell ref="V84:W84"/>
    <mergeCell ref="C85:H85"/>
    <mergeCell ref="V85:W85"/>
    <mergeCell ref="C86:H86"/>
    <mergeCell ref="V86:W86"/>
    <mergeCell ref="C87:H87"/>
    <mergeCell ref="V87:W87"/>
    <mergeCell ref="C93:H93"/>
    <mergeCell ref="V93:W93"/>
    <mergeCell ref="C94:H94"/>
    <mergeCell ref="V94:W94"/>
    <mergeCell ref="C95:H95"/>
    <mergeCell ref="V95:W95"/>
    <mergeCell ref="C96:H96"/>
    <mergeCell ref="V96:W96"/>
    <mergeCell ref="C97:H97"/>
    <mergeCell ref="V97:W97"/>
    <mergeCell ref="C98:H98"/>
    <mergeCell ref="V98:W98"/>
    <mergeCell ref="C99:H99"/>
    <mergeCell ref="V99:W99"/>
    <mergeCell ref="C100:H100"/>
    <mergeCell ref="V100:W100"/>
    <mergeCell ref="C101:H101"/>
    <mergeCell ref="V101:W101"/>
    <mergeCell ref="V102:W102"/>
    <mergeCell ref="C103:H103"/>
    <mergeCell ref="V103:W103"/>
    <mergeCell ref="C104:H104"/>
    <mergeCell ref="V104:W104"/>
    <mergeCell ref="C105:H105"/>
    <mergeCell ref="V105:W105"/>
    <mergeCell ref="C106:H106"/>
    <mergeCell ref="V106:W106"/>
    <mergeCell ref="C114:H114"/>
    <mergeCell ref="V110:W110"/>
    <mergeCell ref="C111:H111"/>
    <mergeCell ref="V111:W111"/>
    <mergeCell ref="V119:W119"/>
    <mergeCell ref="C126:H126"/>
    <mergeCell ref="V126:W126"/>
    <mergeCell ref="C127:H127"/>
    <mergeCell ref="V127:W127"/>
    <mergeCell ref="C128:H128"/>
    <mergeCell ref="V128:W128"/>
    <mergeCell ref="C122:H122"/>
    <mergeCell ref="V122:W122"/>
    <mergeCell ref="V123:W123"/>
    <mergeCell ref="V124:W124"/>
    <mergeCell ref="C125:H125"/>
    <mergeCell ref="V125:W125"/>
    <mergeCell ref="C115:H115"/>
    <mergeCell ref="C123:H123"/>
    <mergeCell ref="C144:H144"/>
    <mergeCell ref="C145:H145"/>
    <mergeCell ref="C155:H155"/>
    <mergeCell ref="C162:H162"/>
    <mergeCell ref="C163:H163"/>
    <mergeCell ref="C164:H164"/>
    <mergeCell ref="C165:H165"/>
    <mergeCell ref="C124:H124"/>
    <mergeCell ref="C138:H138"/>
    <mergeCell ref="C152:H152"/>
    <mergeCell ref="C159:H159"/>
    <mergeCell ref="C132:H132"/>
    <mergeCell ref="C116:H116"/>
    <mergeCell ref="C129:H129"/>
    <mergeCell ref="C136:H136"/>
    <mergeCell ref="C142:H142"/>
    <mergeCell ref="C150:H150"/>
    <mergeCell ref="AB3:AC3"/>
    <mergeCell ref="AB5:AC5"/>
    <mergeCell ref="AD5:AK6"/>
    <mergeCell ref="AK8:AK10"/>
    <mergeCell ref="AK11:AK13"/>
    <mergeCell ref="AK14:AK16"/>
    <mergeCell ref="AK17:AK19"/>
    <mergeCell ref="AK20:AK22"/>
    <mergeCell ref="AE31:AL32"/>
    <mergeCell ref="AD3:AE3"/>
  </mergeCells>
  <conditionalFormatting sqref="C328:J328">
    <cfRule type="expression" dxfId="1" priority="1">
      <formula>$C$328&lt;&gt;""</formula>
    </cfRule>
  </conditionalFormatting>
  <dataValidations count="15">
    <dataValidation type="custom" allowBlank="1" showInputMessage="1" showErrorMessage="1" errorTitle="SE ESTAN PASANDO DEL 100% " error="ES NECESARIO QUE LAS MAYORES CANTIDADES SEAN CONSIGNADAS EN EL AREA PARA ELLO DESIGNADA EN EL FORMATO_x000a__x000a_" sqref="J232 J118" xr:uid="{D67FCD52-A66C-497F-8DA2-F03762B4FD8B}">
      <formula1>O115&lt;=E115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sqref="J230:J231 J233" xr:uid="{5B6FA216-A55B-4C5F-99BD-C1A2F033E1D5}">
      <formula1>O228&lt;=E228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promptTitle="SE ACEPTA MAXIMO 2 DECIMALES" prompt="LA SED ACEPTA MAXIMO DOS DECIMALES PARA LAS CANTIDADES SIN EMBARGO LA OPERACION DE MULTIPLICACION EN LA COLUMNA DE VALOR SOLO TOMA MAXIMO DOS DECIMALES PORSI ACASO_x000a__x000a_" sqref="N182 N161" xr:uid="{31419B5E-BF94-47EB-B7C5-A14144F1E43C}">
      <formula1>T160&lt;=J161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sqref="J222:J223 J146:J155 J140 J157:J162 J164:J168 J171:J181 J183:J184 J202:J209 J211:J212 J106:J107 J114:J117 J119:J120 J130:J134 J136:J138 J144 J186:J191 J214:J217 J219:J220 J193:J200 J225:J227 J244:J245" xr:uid="{419BB386-58A4-4A07-B2A6-F62CA20A349B}">
      <formula1>O105&lt;=E105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sqref="J169 J122 J108:J112" xr:uid="{D042C742-7B96-4150-86DA-7EF05945E58A}">
      <formula1>O108&lt;=E108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promptTitle="SE ACEPTA MAXIMO 2 DECIMALES" prompt="LA SED ACEPTA MAXIMO DOS DECIMALES PARA LAS CANTIDADES SIN EMBARGO LA OPERACION DE MULTIPLICACION EN LA COLUMNA DE VALOR SOLO TOMA MAXIMO DOS DECIMALES PORSI ACASO_x000a__x000a_" sqref="Q219 Q181 Q195 Q148 Q160 Q230:Q231 Q233 N248 N246" xr:uid="{AF6284F8-86F1-4758-B7B3-06D80ADCF0A5}">
      <formula1>T148&lt;=J148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promptTitle="SE ACEPTA MAXIMO 2 DECIMALES" prompt="LA SED ACEPTA MAXIMO DOS DECIMALES PARA LAS CANTIDADES SIN EMBARGO LA OPERACION DE MULTIPLICACION EN LA COLUMNA DE VALOR SOLO TOMA MAXIMO DOS DECIMALES PORSI ACASO_x000a__x000a_" sqref="N149" xr:uid="{79D1E387-F04D-465D-80F4-0CDAFE17746D}">
      <formula1>T148&lt;=J148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promptTitle="SE ACEPTA MAXIMO 2 DECIMALES" prompt="LA SED ACEPTA MAXIMO DOS DECIMALES PARA LAS CANTIDADES SIN EMBARGO LA OPERACION DE MULTIPLICACION EN LA COLUMNA DE VALOR SOLO TOMA MAXIMO DOS DECIMALES PORSI ACASO_x000a__x000a_" sqref="N196" xr:uid="{AF52566C-5818-481C-887E-BBF902B2A517}">
      <formula1>T195&lt;=#REF!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sqref="J241 J121 J192 J135 J142:J143 J201 J228:J229 J224 J96 J218" xr:uid="{4992EB28-13E1-408C-B806-2ED2CB7BF097}">
      <formula1>#REF!&lt;=#REF!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sqref="J241:J243" xr:uid="{4DAD2D6C-A430-4846-AA52-4D65A34AC0B4}">
      <formula1>O137&lt;=E137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sqref="J242:J243" xr:uid="{F5CFE0DE-725A-4523-8DFF-F3E333DC5A88}">
      <formula1>O144&lt;=E144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sqref="J240" xr:uid="{61F9A111-9EC6-4BFD-BA41-750A3141C87F}">
      <formula1>O123&lt;=E123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sqref="J242:J243" xr:uid="{F1DE9D99-1A81-4453-8CCC-735AA58B6BA3}">
      <formula1>O124&lt;=E124</formula1>
    </dataValidation>
    <dataValidation type="custom" allowBlank="1" showInputMessage="1" showErrorMessage="1" errorTitle="SE ESTAN PASANDO DEL 100% " error="ES NECESARIO QUE LAS MAYORES CANTIDADES SEAN CONSIGNADAS EN EL AREA PARA ELLO DESIGNADA EN EL FORMATO_x000a__x000a_" sqref="J246" xr:uid="{F8B5A8D9-24C9-4C87-BED3-A598BB98395B}">
      <formula1>O203&lt;=E203</formula1>
    </dataValidation>
    <dataValidation type="whole" operator="greaterThan" allowBlank="1" showInputMessage="1" showErrorMessage="1" errorTitle="Gerencie.com" error="Numeros enteros mayores que 0" promptTitle="Gerencie.com" prompt="Digite el valor" sqref="AD3:AE3" xr:uid="{A5C01971-1A5B-473B-96BA-731E50209E8E}">
      <formula1>0</formula1>
    </dataValidation>
  </dataValidations>
  <printOptions horizontalCentered="1" verticalCentered="1"/>
  <pageMargins left="0" right="0.23622047244094491" top="0.35433070866141736" bottom="0.35433070866141736" header="0.31496062992125984" footer="0.31496062992125984"/>
  <pageSetup scale="34" fitToHeight="0" orientation="landscape" r:id="rId1"/>
  <headerFooter alignWithMargins="0">
    <oddFooter>Página &amp;P de &amp;N</oddFooter>
  </headerFooter>
  <rowBreaks count="4" manualBreakCount="4">
    <brk id="86" max="22" man="1"/>
    <brk id="151" max="22" man="1"/>
    <brk id="217" max="22" man="1"/>
    <brk id="267" max="22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FCE62B-5441-4442-895E-58E28EC79764}">
          <x14:formula1>
            <xm:f>Hoja1!$A$2:$A$6</xm:f>
          </x14:formula1>
          <xm:sqref>C316:E316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0BE5E-9A5C-45EA-A1BB-3D5BC9A4252D}">
  <dimension ref="A1:V68"/>
  <sheetViews>
    <sheetView zoomScale="80" zoomScaleNormal="80" workbookViewId="0">
      <selection activeCell="M6" sqref="M6"/>
    </sheetView>
  </sheetViews>
  <sheetFormatPr defaultColWidth="11" defaultRowHeight="12.75"/>
  <cols>
    <col min="1" max="1" width="11" style="426"/>
    <col min="2" max="7" width="8.125" style="426" customWidth="1"/>
    <col min="8" max="10" width="11" style="426"/>
    <col min="11" max="11" width="14.5" style="426" customWidth="1"/>
    <col min="12" max="13" width="11" style="426"/>
    <col min="14" max="14" width="14.5" style="426" customWidth="1"/>
    <col min="15" max="15" width="3.75" style="426" customWidth="1"/>
    <col min="16" max="16" width="11" style="426"/>
    <col min="17" max="17" width="14.5" style="426" customWidth="1"/>
    <col min="18" max="18" width="3.375" style="426" customWidth="1"/>
    <col min="19" max="19" width="11" style="426"/>
    <col min="20" max="20" width="14.5" style="426" customWidth="1"/>
    <col min="21" max="16384" width="11" style="426"/>
  </cols>
  <sheetData>
    <row r="1" spans="1:22">
      <c r="A1" s="426" t="s">
        <v>508</v>
      </c>
      <c r="M1" s="5" t="s">
        <v>102</v>
      </c>
      <c r="N1" s="6"/>
      <c r="O1" s="2"/>
      <c r="P1" s="7" t="s">
        <v>103</v>
      </c>
      <c r="Q1" s="8"/>
      <c r="R1" s="4"/>
      <c r="S1" s="8" t="s">
        <v>104</v>
      </c>
      <c r="T1" s="8"/>
      <c r="U1" s="8"/>
      <c r="V1" s="6"/>
    </row>
    <row r="2" spans="1:22">
      <c r="M2" s="3"/>
      <c r="N2" s="1"/>
      <c r="O2" s="1"/>
      <c r="P2" s="1"/>
      <c r="Q2" s="1"/>
      <c r="R2" s="1"/>
      <c r="S2" s="1"/>
      <c r="T2" s="1"/>
      <c r="U2" s="1"/>
      <c r="V2" s="1"/>
    </row>
    <row r="3" spans="1:22">
      <c r="A3" s="427" t="s">
        <v>428</v>
      </c>
      <c r="M3" s="3"/>
      <c r="N3" s="1"/>
      <c r="O3" s="1"/>
      <c r="P3" s="1"/>
      <c r="Q3" s="1"/>
      <c r="R3" s="1"/>
      <c r="S3" s="1"/>
      <c r="T3" s="1"/>
      <c r="U3" s="1"/>
      <c r="V3" s="1"/>
    </row>
    <row r="4" spans="1:22">
      <c r="A4" s="18" t="s">
        <v>96</v>
      </c>
      <c r="B4" s="788" t="s">
        <v>97</v>
      </c>
      <c r="C4" s="789"/>
      <c r="D4" s="789"/>
      <c r="E4" s="789"/>
      <c r="F4" s="789"/>
      <c r="G4" s="790"/>
      <c r="H4" s="20" t="s">
        <v>98</v>
      </c>
      <c r="I4" s="21" t="s">
        <v>99</v>
      </c>
      <c r="J4" s="22" t="s">
        <v>100</v>
      </c>
      <c r="K4" s="49" t="s">
        <v>101</v>
      </c>
      <c r="M4" s="9" t="s">
        <v>109</v>
      </c>
      <c r="N4" s="9" t="s">
        <v>101</v>
      </c>
      <c r="O4" s="2"/>
      <c r="P4" s="9" t="s">
        <v>109</v>
      </c>
      <c r="Q4" s="9" t="s">
        <v>101</v>
      </c>
      <c r="R4" s="4"/>
      <c r="S4" s="10" t="s">
        <v>109</v>
      </c>
      <c r="T4" s="9" t="s">
        <v>110</v>
      </c>
      <c r="U4" s="19" t="s">
        <v>111</v>
      </c>
      <c r="V4" s="10"/>
    </row>
    <row r="5" spans="1:22">
      <c r="A5" s="416"/>
      <c r="B5" s="794"/>
      <c r="C5" s="794"/>
      <c r="D5" s="794"/>
      <c r="E5" s="794"/>
      <c r="F5" s="794"/>
      <c r="G5" s="794"/>
      <c r="H5" s="30"/>
      <c r="I5" s="417">
        <v>0</v>
      </c>
      <c r="J5" s="24">
        <v>50000</v>
      </c>
      <c r="K5" s="23">
        <f>+I5*J5</f>
        <v>0</v>
      </c>
      <c r="M5" s="418">
        <v>0</v>
      </c>
      <c r="N5" s="33">
        <f>+ROUND((ROUNDDOWN(M5,2))*J5,2)</f>
        <v>0</v>
      </c>
      <c r="O5" s="2"/>
      <c r="P5" s="35"/>
      <c r="Q5" s="33">
        <f>+ROUND(P5*J5,2)</f>
        <v>0</v>
      </c>
      <c r="R5" s="34"/>
      <c r="S5" s="419">
        <f>+M5+P5</f>
        <v>0</v>
      </c>
      <c r="T5" s="33">
        <f>+ROUND((ROUNDDOWN(S5,2))*J5,2)</f>
        <v>0</v>
      </c>
      <c r="U5" s="795">
        <f>IF(K5=0,0)+IF(K5&gt;0,T5/K5)</f>
        <v>0</v>
      </c>
      <c r="V5" s="796"/>
    </row>
    <row r="6" spans="1:22">
      <c r="A6" s="416"/>
      <c r="B6" s="794"/>
      <c r="C6" s="794"/>
      <c r="D6" s="794"/>
      <c r="E6" s="794"/>
      <c r="F6" s="794"/>
      <c r="G6" s="794"/>
      <c r="H6" s="30"/>
      <c r="I6" s="417"/>
      <c r="J6" s="24"/>
      <c r="K6" s="23">
        <f>+I6*J6</f>
        <v>0</v>
      </c>
      <c r="M6" s="418"/>
      <c r="N6" s="33">
        <f>+ROUND((ROUNDDOWN(M6,2))*J6,2)</f>
        <v>0</v>
      </c>
      <c r="O6" s="2"/>
      <c r="P6" s="35"/>
      <c r="Q6" s="33">
        <f>+ROUND(P6*J6,2)</f>
        <v>0</v>
      </c>
      <c r="R6" s="34"/>
      <c r="S6" s="419">
        <f>+M6+P6</f>
        <v>0</v>
      </c>
      <c r="T6" s="33">
        <f>+ROUND((ROUNDDOWN(S6,2))*J6,2)</f>
        <v>0</v>
      </c>
      <c r="U6" s="795">
        <f>IF(K6=0,0)+IF(K6&gt;0,T6/K6)</f>
        <v>0</v>
      </c>
      <c r="V6" s="796"/>
    </row>
    <row r="7" spans="1:22">
      <c r="A7" s="416"/>
      <c r="B7" s="794"/>
      <c r="C7" s="794"/>
      <c r="D7" s="794"/>
      <c r="E7" s="794"/>
      <c r="F7" s="794"/>
      <c r="G7" s="794"/>
      <c r="H7" s="30"/>
      <c r="I7" s="417"/>
      <c r="J7" s="24"/>
      <c r="K7" s="23">
        <f>+I7*J7</f>
        <v>0</v>
      </c>
      <c r="M7" s="418"/>
      <c r="N7" s="33">
        <f>+ROUND((ROUNDDOWN(M7,2))*J7,2)</f>
        <v>0</v>
      </c>
      <c r="O7" s="2"/>
      <c r="P7" s="35"/>
      <c r="Q7" s="33">
        <f>+ROUND(P7*J7,2)</f>
        <v>0</v>
      </c>
      <c r="R7" s="34"/>
      <c r="S7" s="419">
        <f>+M7+P7</f>
        <v>0</v>
      </c>
      <c r="T7" s="33">
        <f>+ROUND((ROUNDDOWN(S7,2))*J7,2)</f>
        <v>0</v>
      </c>
      <c r="U7" s="795">
        <f>IF(K7=0,0)+IF(K7&gt;0,T7/K7)</f>
        <v>0</v>
      </c>
      <c r="V7" s="796"/>
    </row>
    <row r="8" spans="1:22">
      <c r="A8" s="416"/>
      <c r="B8" s="794"/>
      <c r="C8" s="794"/>
      <c r="D8" s="794"/>
      <c r="E8" s="794"/>
      <c r="F8" s="794"/>
      <c r="G8" s="794"/>
      <c r="H8" s="30"/>
      <c r="I8" s="417"/>
      <c r="J8" s="24"/>
      <c r="K8" s="23">
        <f>+I8*J8</f>
        <v>0</v>
      </c>
      <c r="M8" s="418"/>
      <c r="N8" s="33">
        <f>+ROUND((ROUNDDOWN(M8,2))*J8,2)</f>
        <v>0</v>
      </c>
      <c r="O8" s="2"/>
      <c r="P8" s="35"/>
      <c r="Q8" s="33">
        <f>+ROUND(P8*J8,2)</f>
        <v>0</v>
      </c>
      <c r="R8" s="34"/>
      <c r="S8" s="419">
        <f>+M8+P8</f>
        <v>0</v>
      </c>
      <c r="T8" s="33">
        <f>+ROUND((ROUNDDOWN(S8,2))*J8,2)</f>
        <v>0</v>
      </c>
      <c r="U8" s="795">
        <f>IF(K8=0,0)+IF(K8&gt;0,T8/K8)</f>
        <v>0</v>
      </c>
      <c r="V8" s="796"/>
    </row>
    <row r="9" spans="1:22">
      <c r="A9" s="416"/>
      <c r="B9" s="794"/>
      <c r="C9" s="794"/>
      <c r="D9" s="794"/>
      <c r="E9" s="794"/>
      <c r="F9" s="794"/>
      <c r="G9" s="794"/>
      <c r="H9" s="30"/>
      <c r="I9" s="417"/>
      <c r="J9" s="24"/>
      <c r="K9" s="23">
        <f>+I9*J9</f>
        <v>0</v>
      </c>
      <c r="M9" s="418"/>
      <c r="N9" s="33">
        <f>+ROUND((ROUNDDOWN(M9,2))*J9,2)</f>
        <v>0</v>
      </c>
      <c r="O9" s="2"/>
      <c r="P9" s="35"/>
      <c r="Q9" s="33">
        <f>+ROUND(P9*J9,2)</f>
        <v>0</v>
      </c>
      <c r="R9" s="34"/>
      <c r="S9" s="419">
        <f>+M9+P9</f>
        <v>0</v>
      </c>
      <c r="T9" s="33">
        <f>+ROUND((ROUNDDOWN(S9,2))*J9,2)</f>
        <v>0</v>
      </c>
      <c r="U9" s="795">
        <f>IF(K9=0,0)+IF(K9&gt;0,T9/K9)</f>
        <v>0</v>
      </c>
      <c r="V9" s="796"/>
    </row>
    <row r="11" spans="1:22">
      <c r="A11" s="420"/>
      <c r="B11" s="797" t="s">
        <v>509</v>
      </c>
      <c r="C11" s="798"/>
      <c r="D11" s="798"/>
      <c r="E11" s="798"/>
      <c r="F11" s="798"/>
      <c r="G11" s="799"/>
      <c r="H11" s="11"/>
      <c r="I11" s="12"/>
      <c r="J11" s="16"/>
      <c r="K11" s="26">
        <f>SUM(K5:K9)</f>
        <v>0</v>
      </c>
      <c r="N11" s="26">
        <f>ROUND(SUM(N5:N9),2)</f>
        <v>0</v>
      </c>
      <c r="Q11" s="26">
        <f>ROUND(SUM(Q5:Q9),2)</f>
        <v>0</v>
      </c>
      <c r="T11" s="26">
        <f>ROUND(SUM(T5:T9),2)</f>
        <v>0</v>
      </c>
      <c r="U11" s="800">
        <f>IF(K11=0,0)+IF(K11&gt;0,T11/K11)</f>
        <v>0</v>
      </c>
      <c r="V11" s="801"/>
    </row>
    <row r="14" spans="1:22">
      <c r="A14" s="427" t="s">
        <v>430</v>
      </c>
      <c r="M14" s="3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18" t="s">
        <v>96</v>
      </c>
      <c r="B15" s="788" t="s">
        <v>97</v>
      </c>
      <c r="C15" s="789"/>
      <c r="D15" s="789"/>
      <c r="E15" s="789"/>
      <c r="F15" s="789"/>
      <c r="G15" s="790"/>
      <c r="H15" s="20" t="s">
        <v>98</v>
      </c>
      <c r="I15" s="21" t="s">
        <v>99</v>
      </c>
      <c r="J15" s="22" t="s">
        <v>100</v>
      </c>
      <c r="K15" s="49" t="s">
        <v>101</v>
      </c>
      <c r="M15" s="9" t="s">
        <v>109</v>
      </c>
      <c r="N15" s="9" t="s">
        <v>101</v>
      </c>
      <c r="O15" s="2"/>
      <c r="P15" s="9" t="s">
        <v>109</v>
      </c>
      <c r="Q15" s="9" t="s">
        <v>101</v>
      </c>
      <c r="R15" s="4"/>
      <c r="S15" s="10" t="s">
        <v>109</v>
      </c>
      <c r="T15" s="9" t="s">
        <v>110</v>
      </c>
      <c r="U15" s="19" t="s">
        <v>111</v>
      </c>
      <c r="V15" s="10"/>
    </row>
    <row r="16" spans="1:22">
      <c r="A16" s="421"/>
      <c r="B16" s="791"/>
      <c r="C16" s="792"/>
      <c r="D16" s="792"/>
      <c r="E16" s="792"/>
      <c r="F16" s="792"/>
      <c r="G16" s="793"/>
      <c r="H16" s="27"/>
      <c r="I16" s="422"/>
      <c r="J16" s="28"/>
      <c r="K16" s="23">
        <f t="shared" ref="K16:K66" si="0">+I16*J16</f>
        <v>0</v>
      </c>
      <c r="M16" s="32"/>
      <c r="N16" s="33">
        <f>+ROUND((ROUNDDOWN(M16,2))*J16,2)</f>
        <v>0</v>
      </c>
      <c r="O16" s="2"/>
      <c r="P16" s="35"/>
      <c r="Q16" s="33">
        <f t="shared" ref="Q16:Q21" si="1">+ROUND(P16*J16,2)</f>
        <v>0</v>
      </c>
      <c r="R16" s="34"/>
      <c r="S16" s="419">
        <f t="shared" ref="S16:S21" si="2">+M16+P16</f>
        <v>0</v>
      </c>
      <c r="T16" s="33">
        <f t="shared" ref="T16:T21" si="3">+ROUND((ROUNDDOWN(S16,2))*J16,2)</f>
        <v>0</v>
      </c>
      <c r="U16" s="795">
        <f t="shared" ref="U16:U22" si="4">IF(K16=0,0)+IF(K16&gt;0,T16/K16)</f>
        <v>0</v>
      </c>
      <c r="V16" s="796"/>
    </row>
    <row r="17" spans="1:22">
      <c r="A17" s="421"/>
      <c r="B17" s="791"/>
      <c r="C17" s="792"/>
      <c r="D17" s="792"/>
      <c r="E17" s="792"/>
      <c r="F17" s="792"/>
      <c r="G17" s="793"/>
      <c r="H17" s="27"/>
      <c r="I17" s="422"/>
      <c r="J17" s="28"/>
      <c r="K17" s="23">
        <f t="shared" si="0"/>
        <v>0</v>
      </c>
      <c r="M17" s="418"/>
      <c r="N17" s="33">
        <f>+ROUND((ROUNDDOWN(M17,2))*J17,2)</f>
        <v>0</v>
      </c>
      <c r="O17" s="2"/>
      <c r="P17" s="35"/>
      <c r="Q17" s="33">
        <f t="shared" si="1"/>
        <v>0</v>
      </c>
      <c r="R17" s="34"/>
      <c r="S17" s="419">
        <f t="shared" si="2"/>
        <v>0</v>
      </c>
      <c r="T17" s="33">
        <f t="shared" si="3"/>
        <v>0</v>
      </c>
      <c r="U17" s="795">
        <f t="shared" si="4"/>
        <v>0</v>
      </c>
      <c r="V17" s="796"/>
    </row>
    <row r="18" spans="1:22">
      <c r="A18" s="421"/>
      <c r="B18" s="791"/>
      <c r="C18" s="792"/>
      <c r="D18" s="792"/>
      <c r="E18" s="792"/>
      <c r="F18" s="792"/>
      <c r="G18" s="793"/>
      <c r="H18" s="27"/>
      <c r="I18" s="422"/>
      <c r="J18" s="28"/>
      <c r="K18" s="23">
        <f t="shared" si="0"/>
        <v>0</v>
      </c>
      <c r="M18" s="418"/>
      <c r="N18" s="33">
        <f t="shared" ref="N18:N47" si="5">+ROUND((ROUNDDOWN(M18,2))*J18,2)</f>
        <v>0</v>
      </c>
      <c r="O18" s="2"/>
      <c r="P18" s="35"/>
      <c r="Q18" s="33">
        <f t="shared" si="1"/>
        <v>0</v>
      </c>
      <c r="R18" s="34"/>
      <c r="S18" s="419">
        <f t="shared" si="2"/>
        <v>0</v>
      </c>
      <c r="T18" s="33">
        <f t="shared" si="3"/>
        <v>0</v>
      </c>
      <c r="U18" s="795">
        <f t="shared" si="4"/>
        <v>0</v>
      </c>
      <c r="V18" s="796"/>
    </row>
    <row r="19" spans="1:22">
      <c r="A19" s="421"/>
      <c r="B19" s="791"/>
      <c r="C19" s="792"/>
      <c r="D19" s="792"/>
      <c r="E19" s="792"/>
      <c r="F19" s="792"/>
      <c r="G19" s="793"/>
      <c r="H19" s="27"/>
      <c r="I19" s="422"/>
      <c r="J19" s="28"/>
      <c r="K19" s="23">
        <f t="shared" si="0"/>
        <v>0</v>
      </c>
      <c r="M19" s="418"/>
      <c r="N19" s="33">
        <f t="shared" si="5"/>
        <v>0</v>
      </c>
      <c r="O19" s="2"/>
      <c r="P19" s="35"/>
      <c r="Q19" s="33">
        <f t="shared" si="1"/>
        <v>0</v>
      </c>
      <c r="R19" s="34"/>
      <c r="S19" s="419">
        <f t="shared" si="2"/>
        <v>0</v>
      </c>
      <c r="T19" s="33">
        <f t="shared" si="3"/>
        <v>0</v>
      </c>
      <c r="U19" s="795">
        <f t="shared" si="4"/>
        <v>0</v>
      </c>
      <c r="V19" s="796"/>
    </row>
    <row r="20" spans="1:22">
      <c r="A20" s="421"/>
      <c r="B20" s="791"/>
      <c r="C20" s="792"/>
      <c r="D20" s="792"/>
      <c r="E20" s="792"/>
      <c r="F20" s="792"/>
      <c r="G20" s="793"/>
      <c r="H20" s="27"/>
      <c r="I20" s="422"/>
      <c r="J20" s="28"/>
      <c r="K20" s="23">
        <f t="shared" si="0"/>
        <v>0</v>
      </c>
      <c r="M20" s="418"/>
      <c r="N20" s="33">
        <f t="shared" si="5"/>
        <v>0</v>
      </c>
      <c r="O20" s="1"/>
      <c r="P20" s="35"/>
      <c r="Q20" s="33">
        <f t="shared" si="1"/>
        <v>0</v>
      </c>
      <c r="R20" s="1"/>
      <c r="S20" s="419">
        <f t="shared" si="2"/>
        <v>0</v>
      </c>
      <c r="T20" s="33">
        <f t="shared" si="3"/>
        <v>0</v>
      </c>
      <c r="U20" s="795">
        <f t="shared" si="4"/>
        <v>0</v>
      </c>
      <c r="V20" s="796"/>
    </row>
    <row r="21" spans="1:22">
      <c r="A21" s="421"/>
      <c r="B21" s="791"/>
      <c r="C21" s="792"/>
      <c r="D21" s="792"/>
      <c r="E21" s="792"/>
      <c r="F21" s="792"/>
      <c r="G21" s="793"/>
      <c r="H21" s="27"/>
      <c r="I21" s="422"/>
      <c r="J21" s="28"/>
      <c r="K21" s="23">
        <f t="shared" si="0"/>
        <v>0</v>
      </c>
      <c r="M21" s="418"/>
      <c r="N21" s="33">
        <f t="shared" si="5"/>
        <v>0</v>
      </c>
      <c r="O21" s="2"/>
      <c r="P21" s="418"/>
      <c r="Q21" s="33">
        <f t="shared" si="1"/>
        <v>0</v>
      </c>
      <c r="R21" s="34"/>
      <c r="S21" s="419">
        <f t="shared" si="2"/>
        <v>0</v>
      </c>
      <c r="T21" s="33">
        <f t="shared" si="3"/>
        <v>0</v>
      </c>
      <c r="U21" s="795">
        <f t="shared" si="4"/>
        <v>0</v>
      </c>
      <c r="V21" s="796"/>
    </row>
    <row r="22" spans="1:22">
      <c r="A22" s="421"/>
      <c r="B22" s="791"/>
      <c r="C22" s="792"/>
      <c r="D22" s="792"/>
      <c r="E22" s="792"/>
      <c r="F22" s="792"/>
      <c r="G22" s="793"/>
      <c r="H22" s="27"/>
      <c r="I22" s="422"/>
      <c r="J22" s="28"/>
      <c r="K22" s="23">
        <f t="shared" si="0"/>
        <v>0</v>
      </c>
      <c r="M22" s="418"/>
      <c r="N22" s="33">
        <f t="shared" si="5"/>
        <v>0</v>
      </c>
      <c r="O22" s="1"/>
      <c r="P22" s="35"/>
      <c r="Q22" s="33">
        <f t="shared" ref="Q22:Q48" si="6">+ROUND(P22*J22,2)</f>
        <v>0</v>
      </c>
      <c r="R22" s="1"/>
      <c r="S22" s="419">
        <f t="shared" ref="S22:S43" si="7">+M22+P22</f>
        <v>0</v>
      </c>
      <c r="T22" s="33">
        <f t="shared" ref="T22:T48" si="8">+ROUND((ROUNDDOWN(S22,2))*J22,2)</f>
        <v>0</v>
      </c>
      <c r="U22" s="795">
        <f t="shared" si="4"/>
        <v>0</v>
      </c>
      <c r="V22" s="796"/>
    </row>
    <row r="23" spans="1:22">
      <c r="A23" s="421"/>
      <c r="B23" s="791"/>
      <c r="C23" s="792"/>
      <c r="D23" s="792"/>
      <c r="E23" s="792"/>
      <c r="F23" s="792"/>
      <c r="G23" s="793"/>
      <c r="H23" s="27"/>
      <c r="I23" s="422"/>
      <c r="J23" s="28"/>
      <c r="K23" s="23">
        <f t="shared" si="0"/>
        <v>0</v>
      </c>
      <c r="M23" s="418"/>
      <c r="N23" s="33">
        <f t="shared" si="5"/>
        <v>0</v>
      </c>
      <c r="O23" s="1"/>
      <c r="P23" s="35"/>
      <c r="Q23" s="33">
        <f t="shared" si="6"/>
        <v>0</v>
      </c>
      <c r="R23" s="1"/>
      <c r="S23" s="419">
        <f t="shared" si="7"/>
        <v>0</v>
      </c>
      <c r="T23" s="33">
        <f t="shared" si="8"/>
        <v>0</v>
      </c>
      <c r="U23" s="795">
        <f t="shared" ref="U23:U42" si="9">IF(K23=0,0)+IF(K23&gt;0,T23/K23)</f>
        <v>0</v>
      </c>
      <c r="V23" s="796"/>
    </row>
    <row r="24" spans="1:22">
      <c r="A24" s="421"/>
      <c r="B24" s="791"/>
      <c r="C24" s="792"/>
      <c r="D24" s="792"/>
      <c r="E24" s="792"/>
      <c r="F24" s="792"/>
      <c r="G24" s="793"/>
      <c r="H24" s="27"/>
      <c r="I24" s="422"/>
      <c r="J24" s="28"/>
      <c r="K24" s="23">
        <f t="shared" si="0"/>
        <v>0</v>
      </c>
      <c r="M24" s="418"/>
      <c r="N24" s="33">
        <f t="shared" si="5"/>
        <v>0</v>
      </c>
      <c r="O24" s="1"/>
      <c r="P24" s="35"/>
      <c r="Q24" s="33">
        <f t="shared" si="6"/>
        <v>0</v>
      </c>
      <c r="R24" s="1"/>
      <c r="S24" s="419">
        <f t="shared" si="7"/>
        <v>0</v>
      </c>
      <c r="T24" s="33">
        <f t="shared" si="8"/>
        <v>0</v>
      </c>
      <c r="U24" s="795">
        <f t="shared" si="9"/>
        <v>0</v>
      </c>
      <c r="V24" s="796"/>
    </row>
    <row r="25" spans="1:22">
      <c r="A25" s="421"/>
      <c r="B25" s="791"/>
      <c r="C25" s="792"/>
      <c r="D25" s="792"/>
      <c r="E25" s="792"/>
      <c r="F25" s="792"/>
      <c r="G25" s="793"/>
      <c r="H25" s="27"/>
      <c r="I25" s="422"/>
      <c r="J25" s="28"/>
      <c r="K25" s="23">
        <f t="shared" si="0"/>
        <v>0</v>
      </c>
      <c r="M25" s="418"/>
      <c r="N25" s="33">
        <f t="shared" si="5"/>
        <v>0</v>
      </c>
      <c r="O25" s="1"/>
      <c r="P25" s="35"/>
      <c r="Q25" s="33">
        <f t="shared" si="6"/>
        <v>0</v>
      </c>
      <c r="R25" s="1"/>
      <c r="S25" s="419">
        <f t="shared" si="7"/>
        <v>0</v>
      </c>
      <c r="T25" s="33">
        <f t="shared" si="8"/>
        <v>0</v>
      </c>
      <c r="U25" s="795">
        <f t="shared" si="9"/>
        <v>0</v>
      </c>
      <c r="V25" s="796"/>
    </row>
    <row r="26" spans="1:22">
      <c r="A26" s="421"/>
      <c r="B26" s="791"/>
      <c r="C26" s="792"/>
      <c r="D26" s="792"/>
      <c r="E26" s="792"/>
      <c r="F26" s="792"/>
      <c r="G26" s="793"/>
      <c r="H26" s="27"/>
      <c r="I26" s="422"/>
      <c r="J26" s="28"/>
      <c r="K26" s="23">
        <f t="shared" si="0"/>
        <v>0</v>
      </c>
      <c r="M26" s="418"/>
      <c r="N26" s="33">
        <f t="shared" si="5"/>
        <v>0</v>
      </c>
      <c r="O26" s="1"/>
      <c r="P26" s="35"/>
      <c r="Q26" s="33">
        <f t="shared" si="6"/>
        <v>0</v>
      </c>
      <c r="R26" s="1"/>
      <c r="S26" s="419">
        <f t="shared" si="7"/>
        <v>0</v>
      </c>
      <c r="T26" s="33">
        <f t="shared" si="8"/>
        <v>0</v>
      </c>
      <c r="U26" s="795">
        <f t="shared" si="9"/>
        <v>0</v>
      </c>
      <c r="V26" s="796"/>
    </row>
    <row r="27" spans="1:22">
      <c r="A27" s="421"/>
      <c r="B27" s="791"/>
      <c r="C27" s="792"/>
      <c r="D27" s="792"/>
      <c r="E27" s="792"/>
      <c r="F27" s="792"/>
      <c r="G27" s="793"/>
      <c r="H27" s="27"/>
      <c r="I27" s="422"/>
      <c r="J27" s="28"/>
      <c r="K27" s="23">
        <f t="shared" si="0"/>
        <v>0</v>
      </c>
      <c r="M27" s="418"/>
      <c r="N27" s="33">
        <f t="shared" si="5"/>
        <v>0</v>
      </c>
      <c r="O27" s="1"/>
      <c r="P27" s="35"/>
      <c r="Q27" s="33">
        <f t="shared" si="6"/>
        <v>0</v>
      </c>
      <c r="R27" s="1"/>
      <c r="S27" s="419">
        <f t="shared" si="7"/>
        <v>0</v>
      </c>
      <c r="T27" s="33">
        <f t="shared" si="8"/>
        <v>0</v>
      </c>
      <c r="U27" s="795">
        <f t="shared" si="9"/>
        <v>0</v>
      </c>
      <c r="V27" s="796"/>
    </row>
    <row r="28" spans="1:22">
      <c r="A28" s="421"/>
      <c r="B28" s="791"/>
      <c r="C28" s="792"/>
      <c r="D28" s="792"/>
      <c r="E28" s="792"/>
      <c r="F28" s="792"/>
      <c r="G28" s="793"/>
      <c r="H28" s="27"/>
      <c r="I28" s="422"/>
      <c r="J28" s="28"/>
      <c r="K28" s="23">
        <f t="shared" si="0"/>
        <v>0</v>
      </c>
      <c r="M28" s="418"/>
      <c r="N28" s="33">
        <f t="shared" si="5"/>
        <v>0</v>
      </c>
      <c r="O28" s="1"/>
      <c r="P28" s="35"/>
      <c r="Q28" s="33">
        <f t="shared" si="6"/>
        <v>0</v>
      </c>
      <c r="R28" s="1"/>
      <c r="S28" s="419">
        <f t="shared" si="7"/>
        <v>0</v>
      </c>
      <c r="T28" s="33">
        <f t="shared" si="8"/>
        <v>0</v>
      </c>
      <c r="U28" s="795">
        <f t="shared" si="9"/>
        <v>0</v>
      </c>
      <c r="V28" s="796"/>
    </row>
    <row r="29" spans="1:22">
      <c r="A29" s="421"/>
      <c r="B29" s="791"/>
      <c r="C29" s="792"/>
      <c r="D29" s="792"/>
      <c r="E29" s="792"/>
      <c r="F29" s="792"/>
      <c r="G29" s="793"/>
      <c r="H29" s="27"/>
      <c r="I29" s="422"/>
      <c r="J29" s="28"/>
      <c r="K29" s="23">
        <f t="shared" si="0"/>
        <v>0</v>
      </c>
      <c r="M29" s="418"/>
      <c r="N29" s="33">
        <f t="shared" si="5"/>
        <v>0</v>
      </c>
      <c r="O29" s="1"/>
      <c r="P29" s="35"/>
      <c r="Q29" s="33">
        <f t="shared" si="6"/>
        <v>0</v>
      </c>
      <c r="R29" s="1"/>
      <c r="S29" s="419">
        <f t="shared" si="7"/>
        <v>0</v>
      </c>
      <c r="T29" s="33">
        <f t="shared" si="8"/>
        <v>0</v>
      </c>
      <c r="U29" s="795">
        <f t="shared" si="9"/>
        <v>0</v>
      </c>
      <c r="V29" s="796"/>
    </row>
    <row r="30" spans="1:22">
      <c r="A30" s="421"/>
      <c r="B30" s="791"/>
      <c r="C30" s="792"/>
      <c r="D30" s="792"/>
      <c r="E30" s="792"/>
      <c r="F30" s="792"/>
      <c r="G30" s="793"/>
      <c r="H30" s="27"/>
      <c r="I30" s="422"/>
      <c r="J30" s="28"/>
      <c r="K30" s="23">
        <f t="shared" si="0"/>
        <v>0</v>
      </c>
      <c r="M30" s="418"/>
      <c r="N30" s="33">
        <f t="shared" si="5"/>
        <v>0</v>
      </c>
      <c r="O30" s="1"/>
      <c r="P30" s="35"/>
      <c r="Q30" s="33">
        <f t="shared" si="6"/>
        <v>0</v>
      </c>
      <c r="R30" s="1"/>
      <c r="S30" s="419">
        <f t="shared" si="7"/>
        <v>0</v>
      </c>
      <c r="T30" s="33">
        <f t="shared" si="8"/>
        <v>0</v>
      </c>
      <c r="U30" s="795">
        <f t="shared" si="9"/>
        <v>0</v>
      </c>
      <c r="V30" s="796"/>
    </row>
    <row r="31" spans="1:22">
      <c r="A31" s="421"/>
      <c r="B31" s="791"/>
      <c r="C31" s="792"/>
      <c r="D31" s="792"/>
      <c r="E31" s="792"/>
      <c r="F31" s="792"/>
      <c r="G31" s="793"/>
      <c r="H31" s="27"/>
      <c r="I31" s="422"/>
      <c r="J31" s="28"/>
      <c r="K31" s="23">
        <f t="shared" si="0"/>
        <v>0</v>
      </c>
      <c r="M31" s="418"/>
      <c r="N31" s="33">
        <f t="shared" si="5"/>
        <v>0</v>
      </c>
      <c r="O31" s="1"/>
      <c r="P31" s="35"/>
      <c r="Q31" s="33">
        <f t="shared" si="6"/>
        <v>0</v>
      </c>
      <c r="R31" s="1"/>
      <c r="S31" s="419">
        <f t="shared" si="7"/>
        <v>0</v>
      </c>
      <c r="T31" s="33">
        <f t="shared" si="8"/>
        <v>0</v>
      </c>
      <c r="U31" s="795">
        <f t="shared" si="9"/>
        <v>0</v>
      </c>
      <c r="V31" s="796"/>
    </row>
    <row r="32" spans="1:22">
      <c r="A32" s="421"/>
      <c r="B32" s="791"/>
      <c r="C32" s="792"/>
      <c r="D32" s="792"/>
      <c r="E32" s="792"/>
      <c r="F32" s="792"/>
      <c r="G32" s="793"/>
      <c r="H32" s="27"/>
      <c r="I32" s="422"/>
      <c r="J32" s="28"/>
      <c r="K32" s="23">
        <f t="shared" si="0"/>
        <v>0</v>
      </c>
      <c r="M32" s="418"/>
      <c r="N32" s="33">
        <f t="shared" si="5"/>
        <v>0</v>
      </c>
      <c r="O32" s="1"/>
      <c r="P32" s="35"/>
      <c r="Q32" s="33">
        <f t="shared" si="6"/>
        <v>0</v>
      </c>
      <c r="R32" s="1"/>
      <c r="S32" s="419">
        <f t="shared" si="7"/>
        <v>0</v>
      </c>
      <c r="T32" s="33">
        <f t="shared" si="8"/>
        <v>0</v>
      </c>
      <c r="U32" s="795">
        <f t="shared" si="9"/>
        <v>0</v>
      </c>
      <c r="V32" s="796"/>
    </row>
    <row r="33" spans="1:22">
      <c r="A33" s="421"/>
      <c r="B33" s="791"/>
      <c r="C33" s="792"/>
      <c r="D33" s="792"/>
      <c r="E33" s="792"/>
      <c r="F33" s="792"/>
      <c r="G33" s="793"/>
      <c r="H33" s="27"/>
      <c r="I33" s="422"/>
      <c r="J33" s="28"/>
      <c r="K33" s="23">
        <f t="shared" si="0"/>
        <v>0</v>
      </c>
      <c r="M33" s="418"/>
      <c r="N33" s="33">
        <f t="shared" si="5"/>
        <v>0</v>
      </c>
      <c r="O33" s="1"/>
      <c r="P33" s="35"/>
      <c r="Q33" s="33">
        <f t="shared" si="6"/>
        <v>0</v>
      </c>
      <c r="R33" s="1"/>
      <c r="S33" s="419">
        <f t="shared" si="7"/>
        <v>0</v>
      </c>
      <c r="T33" s="33">
        <f t="shared" si="8"/>
        <v>0</v>
      </c>
      <c r="U33" s="795">
        <f t="shared" si="9"/>
        <v>0</v>
      </c>
      <c r="V33" s="796"/>
    </row>
    <row r="34" spans="1:22">
      <c r="A34" s="421"/>
      <c r="B34" s="791"/>
      <c r="C34" s="792"/>
      <c r="D34" s="792"/>
      <c r="E34" s="792"/>
      <c r="F34" s="792"/>
      <c r="G34" s="793"/>
      <c r="H34" s="27"/>
      <c r="I34" s="422"/>
      <c r="J34" s="28"/>
      <c r="K34" s="23">
        <f t="shared" si="0"/>
        <v>0</v>
      </c>
      <c r="M34" s="418"/>
      <c r="N34" s="33">
        <f t="shared" si="5"/>
        <v>0</v>
      </c>
      <c r="O34" s="1"/>
      <c r="P34" s="35"/>
      <c r="Q34" s="33">
        <f t="shared" si="6"/>
        <v>0</v>
      </c>
      <c r="R34" s="1"/>
      <c r="S34" s="419">
        <f t="shared" si="7"/>
        <v>0</v>
      </c>
      <c r="T34" s="33">
        <f t="shared" si="8"/>
        <v>0</v>
      </c>
      <c r="U34" s="795">
        <f t="shared" si="9"/>
        <v>0</v>
      </c>
      <c r="V34" s="796"/>
    </row>
    <row r="35" spans="1:22">
      <c r="A35" s="421"/>
      <c r="B35" s="791"/>
      <c r="C35" s="792"/>
      <c r="D35" s="792"/>
      <c r="E35" s="792"/>
      <c r="F35" s="792"/>
      <c r="G35" s="793"/>
      <c r="H35" s="27"/>
      <c r="I35" s="422"/>
      <c r="J35" s="28"/>
      <c r="K35" s="23">
        <f t="shared" si="0"/>
        <v>0</v>
      </c>
      <c r="M35" s="418"/>
      <c r="N35" s="33">
        <f t="shared" si="5"/>
        <v>0</v>
      </c>
      <c r="O35" s="1"/>
      <c r="P35" s="35"/>
      <c r="Q35" s="33">
        <f t="shared" si="6"/>
        <v>0</v>
      </c>
      <c r="R35" s="1"/>
      <c r="S35" s="419">
        <f t="shared" si="7"/>
        <v>0</v>
      </c>
      <c r="T35" s="33">
        <f t="shared" si="8"/>
        <v>0</v>
      </c>
      <c r="U35" s="795">
        <f t="shared" si="9"/>
        <v>0</v>
      </c>
      <c r="V35" s="796"/>
    </row>
    <row r="36" spans="1:22">
      <c r="A36" s="421"/>
      <c r="B36" s="791"/>
      <c r="C36" s="792"/>
      <c r="D36" s="792"/>
      <c r="E36" s="792"/>
      <c r="F36" s="792"/>
      <c r="G36" s="793"/>
      <c r="H36" s="27"/>
      <c r="I36" s="422"/>
      <c r="J36" s="28"/>
      <c r="K36" s="23">
        <f t="shared" si="0"/>
        <v>0</v>
      </c>
      <c r="M36" s="418"/>
      <c r="N36" s="33">
        <f t="shared" si="5"/>
        <v>0</v>
      </c>
      <c r="O36" s="1"/>
      <c r="P36" s="35"/>
      <c r="Q36" s="33">
        <f t="shared" si="6"/>
        <v>0</v>
      </c>
      <c r="R36" s="1"/>
      <c r="S36" s="419">
        <f t="shared" si="7"/>
        <v>0</v>
      </c>
      <c r="T36" s="33">
        <f t="shared" si="8"/>
        <v>0</v>
      </c>
      <c r="U36" s="795">
        <f t="shared" si="9"/>
        <v>0</v>
      </c>
      <c r="V36" s="796"/>
    </row>
    <row r="37" spans="1:22">
      <c r="A37" s="421"/>
      <c r="B37" s="791"/>
      <c r="C37" s="792"/>
      <c r="D37" s="792"/>
      <c r="E37" s="792"/>
      <c r="F37" s="792"/>
      <c r="G37" s="793"/>
      <c r="H37" s="27"/>
      <c r="I37" s="422"/>
      <c r="J37" s="28"/>
      <c r="K37" s="23">
        <f t="shared" si="0"/>
        <v>0</v>
      </c>
      <c r="M37" s="418"/>
      <c r="N37" s="33">
        <f t="shared" si="5"/>
        <v>0</v>
      </c>
      <c r="O37" s="1"/>
      <c r="P37" s="35"/>
      <c r="Q37" s="33">
        <f t="shared" si="6"/>
        <v>0</v>
      </c>
      <c r="R37" s="1"/>
      <c r="S37" s="419">
        <f t="shared" si="7"/>
        <v>0</v>
      </c>
      <c r="T37" s="33">
        <f t="shared" si="8"/>
        <v>0</v>
      </c>
      <c r="U37" s="795">
        <f t="shared" si="9"/>
        <v>0</v>
      </c>
      <c r="V37" s="796"/>
    </row>
    <row r="38" spans="1:22">
      <c r="A38" s="421"/>
      <c r="B38" s="791"/>
      <c r="C38" s="792"/>
      <c r="D38" s="792"/>
      <c r="E38" s="792"/>
      <c r="F38" s="792"/>
      <c r="G38" s="793"/>
      <c r="H38" s="27"/>
      <c r="I38" s="422"/>
      <c r="J38" s="28"/>
      <c r="K38" s="23">
        <f t="shared" si="0"/>
        <v>0</v>
      </c>
      <c r="M38" s="418"/>
      <c r="N38" s="33">
        <f t="shared" si="5"/>
        <v>0</v>
      </c>
      <c r="O38" s="1"/>
      <c r="P38" s="35"/>
      <c r="Q38" s="33">
        <f t="shared" si="6"/>
        <v>0</v>
      </c>
      <c r="R38" s="1"/>
      <c r="S38" s="419">
        <f t="shared" si="7"/>
        <v>0</v>
      </c>
      <c r="T38" s="33">
        <f t="shared" si="8"/>
        <v>0</v>
      </c>
      <c r="U38" s="795">
        <f t="shared" si="9"/>
        <v>0</v>
      </c>
      <c r="V38" s="796"/>
    </row>
    <row r="39" spans="1:22">
      <c r="A39" s="421"/>
      <c r="B39" s="791"/>
      <c r="C39" s="792"/>
      <c r="D39" s="792"/>
      <c r="E39" s="792"/>
      <c r="F39" s="792"/>
      <c r="G39" s="793"/>
      <c r="H39" s="27"/>
      <c r="I39" s="422"/>
      <c r="J39" s="28"/>
      <c r="K39" s="23">
        <f t="shared" si="0"/>
        <v>0</v>
      </c>
      <c r="M39" s="418"/>
      <c r="N39" s="33">
        <f t="shared" si="5"/>
        <v>0</v>
      </c>
      <c r="O39" s="1"/>
      <c r="P39" s="35"/>
      <c r="Q39" s="33">
        <f t="shared" si="6"/>
        <v>0</v>
      </c>
      <c r="R39" s="1"/>
      <c r="S39" s="419">
        <f t="shared" si="7"/>
        <v>0</v>
      </c>
      <c r="T39" s="33">
        <f t="shared" si="8"/>
        <v>0</v>
      </c>
      <c r="U39" s="795">
        <f t="shared" si="9"/>
        <v>0</v>
      </c>
      <c r="V39" s="796"/>
    </row>
    <row r="40" spans="1:22">
      <c r="A40" s="421"/>
      <c r="B40" s="791"/>
      <c r="C40" s="792"/>
      <c r="D40" s="792"/>
      <c r="E40" s="792"/>
      <c r="F40" s="792"/>
      <c r="G40" s="793"/>
      <c r="H40" s="27"/>
      <c r="I40" s="422"/>
      <c r="J40" s="28"/>
      <c r="K40" s="23">
        <f t="shared" si="0"/>
        <v>0</v>
      </c>
      <c r="M40" s="418"/>
      <c r="N40" s="33">
        <f t="shared" si="5"/>
        <v>0</v>
      </c>
      <c r="O40" s="1"/>
      <c r="P40" s="35"/>
      <c r="Q40" s="33">
        <f t="shared" si="6"/>
        <v>0</v>
      </c>
      <c r="R40" s="1"/>
      <c r="S40" s="419">
        <f t="shared" si="7"/>
        <v>0</v>
      </c>
      <c r="T40" s="33">
        <f t="shared" si="8"/>
        <v>0</v>
      </c>
      <c r="U40" s="795">
        <f t="shared" si="9"/>
        <v>0</v>
      </c>
      <c r="V40" s="796"/>
    </row>
    <row r="41" spans="1:22">
      <c r="A41" s="421"/>
      <c r="B41" s="791"/>
      <c r="C41" s="792"/>
      <c r="D41" s="792"/>
      <c r="E41" s="792"/>
      <c r="F41" s="792"/>
      <c r="G41" s="793"/>
      <c r="H41" s="27"/>
      <c r="I41" s="422"/>
      <c r="J41" s="28"/>
      <c r="K41" s="23">
        <f t="shared" si="0"/>
        <v>0</v>
      </c>
      <c r="M41" s="418"/>
      <c r="N41" s="33">
        <f t="shared" si="5"/>
        <v>0</v>
      </c>
      <c r="O41" s="1"/>
      <c r="P41" s="35"/>
      <c r="Q41" s="33">
        <f t="shared" si="6"/>
        <v>0</v>
      </c>
      <c r="R41" s="1"/>
      <c r="S41" s="419">
        <f t="shared" si="7"/>
        <v>0</v>
      </c>
      <c r="T41" s="33">
        <f t="shared" si="8"/>
        <v>0</v>
      </c>
      <c r="U41" s="795">
        <f t="shared" si="9"/>
        <v>0</v>
      </c>
      <c r="V41" s="796"/>
    </row>
    <row r="42" spans="1:22">
      <c r="A42" s="421"/>
      <c r="B42" s="791"/>
      <c r="C42" s="792"/>
      <c r="D42" s="792"/>
      <c r="E42" s="792"/>
      <c r="F42" s="792"/>
      <c r="G42" s="793"/>
      <c r="H42" s="27"/>
      <c r="I42" s="422"/>
      <c r="J42" s="28"/>
      <c r="K42" s="23">
        <f t="shared" si="0"/>
        <v>0</v>
      </c>
      <c r="M42" s="418"/>
      <c r="N42" s="33">
        <f t="shared" si="5"/>
        <v>0</v>
      </c>
      <c r="O42" s="1"/>
      <c r="P42" s="35"/>
      <c r="Q42" s="33">
        <f t="shared" si="6"/>
        <v>0</v>
      </c>
      <c r="R42" s="1"/>
      <c r="S42" s="419">
        <f t="shared" si="7"/>
        <v>0</v>
      </c>
      <c r="T42" s="33">
        <f t="shared" si="8"/>
        <v>0</v>
      </c>
      <c r="U42" s="795">
        <f t="shared" si="9"/>
        <v>0</v>
      </c>
      <c r="V42" s="796"/>
    </row>
    <row r="43" spans="1:22">
      <c r="A43" s="421"/>
      <c r="B43" s="791"/>
      <c r="C43" s="792"/>
      <c r="D43" s="792"/>
      <c r="E43" s="792"/>
      <c r="F43" s="792"/>
      <c r="G43" s="793"/>
      <c r="H43" s="27"/>
      <c r="I43" s="422"/>
      <c r="J43" s="28"/>
      <c r="K43" s="23">
        <f t="shared" si="0"/>
        <v>0</v>
      </c>
      <c r="M43" s="418"/>
      <c r="N43" s="33">
        <f t="shared" si="5"/>
        <v>0</v>
      </c>
      <c r="O43" s="2"/>
      <c r="P43" s="418"/>
      <c r="Q43" s="33">
        <f t="shared" si="6"/>
        <v>0</v>
      </c>
      <c r="R43" s="34"/>
      <c r="S43" s="419">
        <f t="shared" si="7"/>
        <v>0</v>
      </c>
      <c r="T43" s="33">
        <f t="shared" si="8"/>
        <v>0</v>
      </c>
      <c r="U43" s="795">
        <f>IF(K43=0,0)+IF(K43&gt;0,T43/K43)</f>
        <v>0</v>
      </c>
      <c r="V43" s="796"/>
    </row>
    <row r="44" spans="1:22">
      <c r="A44" s="421"/>
      <c r="B44" s="791"/>
      <c r="C44" s="792"/>
      <c r="D44" s="792"/>
      <c r="E44" s="792"/>
      <c r="F44" s="792"/>
      <c r="G44" s="793"/>
      <c r="H44" s="27"/>
      <c r="I44" s="422"/>
      <c r="J44" s="28"/>
      <c r="K44" s="23">
        <f t="shared" si="0"/>
        <v>0</v>
      </c>
      <c r="M44" s="418"/>
      <c r="N44" s="33">
        <f t="shared" si="5"/>
        <v>0</v>
      </c>
      <c r="O44" s="1"/>
      <c r="P44" s="35"/>
      <c r="Q44" s="33">
        <f t="shared" si="6"/>
        <v>0</v>
      </c>
      <c r="R44" s="1"/>
      <c r="S44" s="419">
        <f t="shared" ref="S44:S65" si="10">+M44+P44</f>
        <v>0</v>
      </c>
      <c r="T44" s="33">
        <f t="shared" si="8"/>
        <v>0</v>
      </c>
      <c r="U44" s="795">
        <f t="shared" ref="U44:U65" si="11">IF(K44=0,0)+IF(K44&gt;0,T44/K44)</f>
        <v>0</v>
      </c>
      <c r="V44" s="796"/>
    </row>
    <row r="45" spans="1:22">
      <c r="A45" s="421"/>
      <c r="B45" s="791"/>
      <c r="C45" s="792"/>
      <c r="D45" s="792"/>
      <c r="E45" s="792"/>
      <c r="F45" s="792"/>
      <c r="G45" s="793"/>
      <c r="H45" s="27"/>
      <c r="I45" s="422"/>
      <c r="J45" s="28"/>
      <c r="K45" s="23">
        <f t="shared" si="0"/>
        <v>0</v>
      </c>
      <c r="M45" s="418"/>
      <c r="N45" s="33">
        <f t="shared" si="5"/>
        <v>0</v>
      </c>
      <c r="O45" s="2"/>
      <c r="P45" s="418"/>
      <c r="Q45" s="33">
        <f t="shared" si="6"/>
        <v>0</v>
      </c>
      <c r="R45" s="34"/>
      <c r="S45" s="419">
        <f t="shared" si="10"/>
        <v>0</v>
      </c>
      <c r="T45" s="33">
        <f t="shared" si="8"/>
        <v>0</v>
      </c>
      <c r="U45" s="795">
        <f t="shared" si="11"/>
        <v>0</v>
      </c>
      <c r="V45" s="796"/>
    </row>
    <row r="46" spans="1:22">
      <c r="A46" s="421"/>
      <c r="B46" s="791"/>
      <c r="C46" s="792"/>
      <c r="D46" s="792"/>
      <c r="E46" s="792"/>
      <c r="F46" s="792"/>
      <c r="G46" s="793"/>
      <c r="H46" s="27"/>
      <c r="I46" s="422"/>
      <c r="J46" s="28"/>
      <c r="K46" s="23">
        <f t="shared" si="0"/>
        <v>0</v>
      </c>
      <c r="M46" s="418"/>
      <c r="N46" s="33">
        <f t="shared" si="5"/>
        <v>0</v>
      </c>
      <c r="O46" s="1"/>
      <c r="P46" s="35"/>
      <c r="Q46" s="33">
        <f t="shared" si="6"/>
        <v>0</v>
      </c>
      <c r="R46" s="1"/>
      <c r="S46" s="419">
        <f t="shared" si="10"/>
        <v>0</v>
      </c>
      <c r="T46" s="33">
        <f t="shared" si="8"/>
        <v>0</v>
      </c>
      <c r="U46" s="795">
        <f t="shared" si="11"/>
        <v>0</v>
      </c>
      <c r="V46" s="796"/>
    </row>
    <row r="47" spans="1:22">
      <c r="A47" s="421"/>
      <c r="B47" s="791"/>
      <c r="C47" s="792"/>
      <c r="D47" s="792"/>
      <c r="E47" s="792"/>
      <c r="F47" s="792"/>
      <c r="G47" s="793"/>
      <c r="H47" s="27"/>
      <c r="I47" s="422"/>
      <c r="J47" s="28"/>
      <c r="K47" s="23">
        <f t="shared" si="0"/>
        <v>0</v>
      </c>
      <c r="M47" s="418"/>
      <c r="N47" s="33">
        <f t="shared" si="5"/>
        <v>0</v>
      </c>
      <c r="O47" s="2"/>
      <c r="P47" s="418"/>
      <c r="Q47" s="33">
        <f t="shared" si="6"/>
        <v>0</v>
      </c>
      <c r="R47" s="34"/>
      <c r="S47" s="419">
        <f t="shared" si="10"/>
        <v>0</v>
      </c>
      <c r="T47" s="33">
        <f t="shared" si="8"/>
        <v>0</v>
      </c>
      <c r="U47" s="795">
        <f t="shared" si="11"/>
        <v>0</v>
      </c>
      <c r="V47" s="796"/>
    </row>
    <row r="48" spans="1:22">
      <c r="A48" s="421"/>
      <c r="B48" s="791"/>
      <c r="C48" s="792"/>
      <c r="D48" s="792"/>
      <c r="E48" s="792"/>
      <c r="F48" s="792"/>
      <c r="G48" s="793"/>
      <c r="H48" s="27"/>
      <c r="I48" s="422"/>
      <c r="J48" s="28"/>
      <c r="K48" s="23">
        <f t="shared" si="0"/>
        <v>0</v>
      </c>
      <c r="M48" s="418"/>
      <c r="N48" s="33">
        <f t="shared" ref="N48:N65" si="12">+ROUND((ROUNDDOWN(M48,2))*J48,2)</f>
        <v>0</v>
      </c>
      <c r="O48" s="1"/>
      <c r="P48" s="35"/>
      <c r="Q48" s="33">
        <f t="shared" si="6"/>
        <v>0</v>
      </c>
      <c r="R48" s="1"/>
      <c r="S48" s="419">
        <f t="shared" si="10"/>
        <v>0</v>
      </c>
      <c r="T48" s="33">
        <f t="shared" si="8"/>
        <v>0</v>
      </c>
      <c r="U48" s="795">
        <f t="shared" si="11"/>
        <v>0</v>
      </c>
      <c r="V48" s="796"/>
    </row>
    <row r="49" spans="1:22">
      <c r="A49" s="421"/>
      <c r="B49" s="791"/>
      <c r="C49" s="792"/>
      <c r="D49" s="792"/>
      <c r="E49" s="792"/>
      <c r="F49" s="792"/>
      <c r="G49" s="793"/>
      <c r="H49" s="27"/>
      <c r="I49" s="422"/>
      <c r="J49" s="28"/>
      <c r="K49" s="23">
        <f t="shared" si="0"/>
        <v>0</v>
      </c>
      <c r="M49" s="418"/>
      <c r="N49" s="33">
        <f t="shared" si="12"/>
        <v>0</v>
      </c>
      <c r="O49" s="2"/>
      <c r="P49" s="418"/>
      <c r="Q49" s="33">
        <f t="shared" ref="Q49:Q65" si="13">+ROUND(P49*J49,2)</f>
        <v>0</v>
      </c>
      <c r="R49" s="34"/>
      <c r="S49" s="419">
        <f t="shared" si="10"/>
        <v>0</v>
      </c>
      <c r="T49" s="33">
        <f t="shared" ref="T49:T65" si="14">+ROUND((ROUNDDOWN(S49,2))*J49,2)</f>
        <v>0</v>
      </c>
      <c r="U49" s="795">
        <f t="shared" si="11"/>
        <v>0</v>
      </c>
      <c r="V49" s="796"/>
    </row>
    <row r="50" spans="1:22">
      <c r="A50" s="421"/>
      <c r="B50" s="791"/>
      <c r="C50" s="792"/>
      <c r="D50" s="792"/>
      <c r="E50" s="792"/>
      <c r="F50" s="792"/>
      <c r="G50" s="793"/>
      <c r="H50" s="27"/>
      <c r="I50" s="422"/>
      <c r="J50" s="28"/>
      <c r="K50" s="23">
        <f t="shared" si="0"/>
        <v>0</v>
      </c>
      <c r="M50" s="418"/>
      <c r="N50" s="33">
        <f t="shared" si="12"/>
        <v>0</v>
      </c>
      <c r="O50" s="1"/>
      <c r="P50" s="35"/>
      <c r="Q50" s="33">
        <f t="shared" si="13"/>
        <v>0</v>
      </c>
      <c r="R50" s="1"/>
      <c r="S50" s="419">
        <f t="shared" si="10"/>
        <v>0</v>
      </c>
      <c r="T50" s="33">
        <f t="shared" si="14"/>
        <v>0</v>
      </c>
      <c r="U50" s="795">
        <f t="shared" si="11"/>
        <v>0</v>
      </c>
      <c r="V50" s="796"/>
    </row>
    <row r="51" spans="1:22">
      <c r="A51" s="421"/>
      <c r="B51" s="791"/>
      <c r="C51" s="792"/>
      <c r="D51" s="792"/>
      <c r="E51" s="792"/>
      <c r="F51" s="792"/>
      <c r="G51" s="793"/>
      <c r="H51" s="27"/>
      <c r="I51" s="422"/>
      <c r="J51" s="28"/>
      <c r="K51" s="23">
        <f t="shared" si="0"/>
        <v>0</v>
      </c>
      <c r="M51" s="418"/>
      <c r="N51" s="33">
        <f t="shared" si="12"/>
        <v>0</v>
      </c>
      <c r="O51" s="2"/>
      <c r="P51" s="418"/>
      <c r="Q51" s="33">
        <f t="shared" si="13"/>
        <v>0</v>
      </c>
      <c r="R51" s="34"/>
      <c r="S51" s="419">
        <f t="shared" si="10"/>
        <v>0</v>
      </c>
      <c r="T51" s="33">
        <f t="shared" si="14"/>
        <v>0</v>
      </c>
      <c r="U51" s="795">
        <f t="shared" si="11"/>
        <v>0</v>
      </c>
      <c r="V51" s="796"/>
    </row>
    <row r="52" spans="1:22">
      <c r="A52" s="421"/>
      <c r="B52" s="791"/>
      <c r="C52" s="792"/>
      <c r="D52" s="792"/>
      <c r="E52" s="792"/>
      <c r="F52" s="792"/>
      <c r="G52" s="793"/>
      <c r="H52" s="27"/>
      <c r="I52" s="422"/>
      <c r="J52" s="28"/>
      <c r="K52" s="23">
        <f t="shared" si="0"/>
        <v>0</v>
      </c>
      <c r="M52" s="418"/>
      <c r="N52" s="33">
        <f t="shared" si="12"/>
        <v>0</v>
      </c>
      <c r="O52" s="1"/>
      <c r="P52" s="35"/>
      <c r="Q52" s="33">
        <f t="shared" si="13"/>
        <v>0</v>
      </c>
      <c r="R52" s="1"/>
      <c r="S52" s="419">
        <f t="shared" si="10"/>
        <v>0</v>
      </c>
      <c r="T52" s="33">
        <f t="shared" si="14"/>
        <v>0</v>
      </c>
      <c r="U52" s="795">
        <f t="shared" si="11"/>
        <v>0</v>
      </c>
      <c r="V52" s="796"/>
    </row>
    <row r="53" spans="1:22">
      <c r="A53" s="421"/>
      <c r="B53" s="791"/>
      <c r="C53" s="792"/>
      <c r="D53" s="792"/>
      <c r="E53" s="792"/>
      <c r="F53" s="792"/>
      <c r="G53" s="793"/>
      <c r="H53" s="27"/>
      <c r="I53" s="422"/>
      <c r="J53" s="28"/>
      <c r="K53" s="23">
        <f t="shared" si="0"/>
        <v>0</v>
      </c>
      <c r="M53" s="418"/>
      <c r="N53" s="33">
        <f t="shared" si="12"/>
        <v>0</v>
      </c>
      <c r="O53" s="2"/>
      <c r="P53" s="418"/>
      <c r="Q53" s="33">
        <f t="shared" si="13"/>
        <v>0</v>
      </c>
      <c r="R53" s="34"/>
      <c r="S53" s="419">
        <f t="shared" si="10"/>
        <v>0</v>
      </c>
      <c r="T53" s="33">
        <f t="shared" si="14"/>
        <v>0</v>
      </c>
      <c r="U53" s="795">
        <f t="shared" si="11"/>
        <v>0</v>
      </c>
      <c r="V53" s="796"/>
    </row>
    <row r="54" spans="1:22">
      <c r="A54" s="421"/>
      <c r="B54" s="791"/>
      <c r="C54" s="792"/>
      <c r="D54" s="792"/>
      <c r="E54" s="792"/>
      <c r="F54" s="792"/>
      <c r="G54" s="793"/>
      <c r="H54" s="27"/>
      <c r="I54" s="422"/>
      <c r="J54" s="28"/>
      <c r="K54" s="23">
        <f t="shared" si="0"/>
        <v>0</v>
      </c>
      <c r="M54" s="418"/>
      <c r="N54" s="33">
        <f t="shared" si="12"/>
        <v>0</v>
      </c>
      <c r="O54" s="1"/>
      <c r="P54" s="35"/>
      <c r="Q54" s="33">
        <f t="shared" si="13"/>
        <v>0</v>
      </c>
      <c r="R54" s="1"/>
      <c r="S54" s="419">
        <f t="shared" si="10"/>
        <v>0</v>
      </c>
      <c r="T54" s="33">
        <f t="shared" si="14"/>
        <v>0</v>
      </c>
      <c r="U54" s="795">
        <f t="shared" si="11"/>
        <v>0</v>
      </c>
      <c r="V54" s="796"/>
    </row>
    <row r="55" spans="1:22">
      <c r="A55" s="421"/>
      <c r="B55" s="791"/>
      <c r="C55" s="792"/>
      <c r="D55" s="792"/>
      <c r="E55" s="792"/>
      <c r="F55" s="792"/>
      <c r="G55" s="793"/>
      <c r="H55" s="27"/>
      <c r="I55" s="422"/>
      <c r="J55" s="28"/>
      <c r="K55" s="23">
        <f t="shared" si="0"/>
        <v>0</v>
      </c>
      <c r="M55" s="418"/>
      <c r="N55" s="33">
        <f t="shared" si="12"/>
        <v>0</v>
      </c>
      <c r="O55" s="2"/>
      <c r="P55" s="418"/>
      <c r="Q55" s="33">
        <f t="shared" si="13"/>
        <v>0</v>
      </c>
      <c r="R55" s="34"/>
      <c r="S55" s="419">
        <f t="shared" si="10"/>
        <v>0</v>
      </c>
      <c r="T55" s="33">
        <f t="shared" si="14"/>
        <v>0</v>
      </c>
      <c r="U55" s="795">
        <f t="shared" si="11"/>
        <v>0</v>
      </c>
      <c r="V55" s="796"/>
    </row>
    <row r="56" spans="1:22">
      <c r="A56" s="421"/>
      <c r="B56" s="791"/>
      <c r="C56" s="792"/>
      <c r="D56" s="792"/>
      <c r="E56" s="792"/>
      <c r="F56" s="792"/>
      <c r="G56" s="793"/>
      <c r="H56" s="27"/>
      <c r="I56" s="422"/>
      <c r="J56" s="28"/>
      <c r="K56" s="23">
        <f t="shared" si="0"/>
        <v>0</v>
      </c>
      <c r="M56" s="418"/>
      <c r="N56" s="33">
        <f t="shared" si="12"/>
        <v>0</v>
      </c>
      <c r="O56" s="1"/>
      <c r="P56" s="35"/>
      <c r="Q56" s="33">
        <f t="shared" si="13"/>
        <v>0</v>
      </c>
      <c r="R56" s="1"/>
      <c r="S56" s="419">
        <f t="shared" si="10"/>
        <v>0</v>
      </c>
      <c r="T56" s="33">
        <f t="shared" si="14"/>
        <v>0</v>
      </c>
      <c r="U56" s="795">
        <f t="shared" si="11"/>
        <v>0</v>
      </c>
      <c r="V56" s="796"/>
    </row>
    <row r="57" spans="1:22">
      <c r="A57" s="421"/>
      <c r="B57" s="791"/>
      <c r="C57" s="792"/>
      <c r="D57" s="792"/>
      <c r="E57" s="792"/>
      <c r="F57" s="792"/>
      <c r="G57" s="793"/>
      <c r="H57" s="27"/>
      <c r="I57" s="422"/>
      <c r="J57" s="28"/>
      <c r="K57" s="23">
        <f t="shared" si="0"/>
        <v>0</v>
      </c>
      <c r="M57" s="418"/>
      <c r="N57" s="33">
        <f t="shared" si="12"/>
        <v>0</v>
      </c>
      <c r="O57" s="2"/>
      <c r="P57" s="418"/>
      <c r="Q57" s="33">
        <f t="shared" si="13"/>
        <v>0</v>
      </c>
      <c r="R57" s="34"/>
      <c r="S57" s="419">
        <f t="shared" si="10"/>
        <v>0</v>
      </c>
      <c r="T57" s="33">
        <f t="shared" si="14"/>
        <v>0</v>
      </c>
      <c r="U57" s="795">
        <f t="shared" si="11"/>
        <v>0</v>
      </c>
      <c r="V57" s="796"/>
    </row>
    <row r="58" spans="1:22">
      <c r="A58" s="423"/>
      <c r="B58" s="791"/>
      <c r="C58" s="792"/>
      <c r="D58" s="792"/>
      <c r="E58" s="792"/>
      <c r="F58" s="792"/>
      <c r="G58" s="793"/>
      <c r="H58" s="27"/>
      <c r="I58" s="422"/>
      <c r="J58" s="28"/>
      <c r="K58" s="23">
        <f t="shared" si="0"/>
        <v>0</v>
      </c>
      <c r="M58" s="418"/>
      <c r="N58" s="33">
        <f t="shared" si="12"/>
        <v>0</v>
      </c>
      <c r="O58" s="1"/>
      <c r="P58" s="35"/>
      <c r="Q58" s="33">
        <f t="shared" si="13"/>
        <v>0</v>
      </c>
      <c r="R58" s="1"/>
      <c r="S58" s="419">
        <f t="shared" si="10"/>
        <v>0</v>
      </c>
      <c r="T58" s="33">
        <f t="shared" si="14"/>
        <v>0</v>
      </c>
      <c r="U58" s="795">
        <f t="shared" si="11"/>
        <v>0</v>
      </c>
      <c r="V58" s="796"/>
    </row>
    <row r="59" spans="1:22">
      <c r="A59" s="421"/>
      <c r="B59" s="791"/>
      <c r="C59" s="792"/>
      <c r="D59" s="792"/>
      <c r="E59" s="792"/>
      <c r="F59" s="792"/>
      <c r="G59" s="793"/>
      <c r="H59" s="27"/>
      <c r="I59" s="422"/>
      <c r="J59" s="28"/>
      <c r="K59" s="23">
        <f t="shared" si="0"/>
        <v>0</v>
      </c>
      <c r="M59" s="418"/>
      <c r="N59" s="33">
        <f t="shared" si="12"/>
        <v>0</v>
      </c>
      <c r="O59" s="2"/>
      <c r="P59" s="418"/>
      <c r="Q59" s="33">
        <f t="shared" si="13"/>
        <v>0</v>
      </c>
      <c r="R59" s="34"/>
      <c r="S59" s="419">
        <f t="shared" si="10"/>
        <v>0</v>
      </c>
      <c r="T59" s="33">
        <f t="shared" si="14"/>
        <v>0</v>
      </c>
      <c r="U59" s="795">
        <f t="shared" si="11"/>
        <v>0</v>
      </c>
      <c r="V59" s="796"/>
    </row>
    <row r="60" spans="1:22">
      <c r="A60" s="421"/>
      <c r="B60" s="791"/>
      <c r="C60" s="792"/>
      <c r="D60" s="792"/>
      <c r="E60" s="792"/>
      <c r="F60" s="792"/>
      <c r="G60" s="793"/>
      <c r="H60" s="27"/>
      <c r="I60" s="422"/>
      <c r="J60" s="28"/>
      <c r="K60" s="23">
        <f t="shared" si="0"/>
        <v>0</v>
      </c>
      <c r="M60" s="418"/>
      <c r="N60" s="33">
        <f t="shared" si="12"/>
        <v>0</v>
      </c>
      <c r="O60" s="1"/>
      <c r="P60" s="35"/>
      <c r="Q60" s="33">
        <f t="shared" si="13"/>
        <v>0</v>
      </c>
      <c r="R60" s="1"/>
      <c r="S60" s="419">
        <f t="shared" si="10"/>
        <v>0</v>
      </c>
      <c r="T60" s="33">
        <f t="shared" si="14"/>
        <v>0</v>
      </c>
      <c r="U60" s="795">
        <f t="shared" si="11"/>
        <v>0</v>
      </c>
      <c r="V60" s="796"/>
    </row>
    <row r="61" spans="1:22">
      <c r="A61" s="421"/>
      <c r="B61" s="791"/>
      <c r="C61" s="792"/>
      <c r="D61" s="792"/>
      <c r="E61" s="792"/>
      <c r="F61" s="792"/>
      <c r="G61" s="793"/>
      <c r="H61" s="27"/>
      <c r="I61" s="422"/>
      <c r="J61" s="28"/>
      <c r="K61" s="23">
        <f t="shared" si="0"/>
        <v>0</v>
      </c>
      <c r="M61" s="418"/>
      <c r="N61" s="33">
        <f t="shared" si="12"/>
        <v>0</v>
      </c>
      <c r="O61" s="2"/>
      <c r="P61" s="418"/>
      <c r="Q61" s="33">
        <f t="shared" si="13"/>
        <v>0</v>
      </c>
      <c r="R61" s="34"/>
      <c r="S61" s="419">
        <f t="shared" si="10"/>
        <v>0</v>
      </c>
      <c r="T61" s="33">
        <f t="shared" si="14"/>
        <v>0</v>
      </c>
      <c r="U61" s="795">
        <f t="shared" si="11"/>
        <v>0</v>
      </c>
      <c r="V61" s="796"/>
    </row>
    <row r="62" spans="1:22">
      <c r="A62" s="421"/>
      <c r="B62" s="791"/>
      <c r="C62" s="792"/>
      <c r="D62" s="792"/>
      <c r="E62" s="792"/>
      <c r="F62" s="792"/>
      <c r="G62" s="793"/>
      <c r="H62" s="27"/>
      <c r="I62" s="422"/>
      <c r="J62" s="29"/>
      <c r="K62" s="23">
        <f t="shared" si="0"/>
        <v>0</v>
      </c>
      <c r="M62" s="418"/>
      <c r="N62" s="33">
        <f t="shared" si="12"/>
        <v>0</v>
      </c>
      <c r="O62" s="1"/>
      <c r="P62" s="35"/>
      <c r="Q62" s="33">
        <f t="shared" si="13"/>
        <v>0</v>
      </c>
      <c r="R62" s="1"/>
      <c r="S62" s="419">
        <f t="shared" si="10"/>
        <v>0</v>
      </c>
      <c r="T62" s="33">
        <f t="shared" si="14"/>
        <v>0</v>
      </c>
      <c r="U62" s="795">
        <f t="shared" si="11"/>
        <v>0</v>
      </c>
      <c r="V62" s="796"/>
    </row>
    <row r="63" spans="1:22">
      <c r="A63" s="421"/>
      <c r="B63" s="791"/>
      <c r="C63" s="792"/>
      <c r="D63" s="792"/>
      <c r="E63" s="792"/>
      <c r="F63" s="792"/>
      <c r="G63" s="793"/>
      <c r="H63" s="27"/>
      <c r="I63" s="422"/>
      <c r="J63" s="29"/>
      <c r="K63" s="23">
        <f t="shared" si="0"/>
        <v>0</v>
      </c>
      <c r="M63" s="418"/>
      <c r="N63" s="33">
        <f t="shared" si="12"/>
        <v>0</v>
      </c>
      <c r="O63" s="2"/>
      <c r="P63" s="418"/>
      <c r="Q63" s="33">
        <f t="shared" si="13"/>
        <v>0</v>
      </c>
      <c r="R63" s="34"/>
      <c r="S63" s="419">
        <f t="shared" si="10"/>
        <v>0</v>
      </c>
      <c r="T63" s="33">
        <f t="shared" si="14"/>
        <v>0</v>
      </c>
      <c r="U63" s="795">
        <f t="shared" si="11"/>
        <v>0</v>
      </c>
      <c r="V63" s="796"/>
    </row>
    <row r="64" spans="1:22">
      <c r="A64" s="421"/>
      <c r="B64" s="791"/>
      <c r="C64" s="792"/>
      <c r="D64" s="792"/>
      <c r="E64" s="792"/>
      <c r="F64" s="792"/>
      <c r="G64" s="793"/>
      <c r="H64" s="27"/>
      <c r="I64" s="422"/>
      <c r="J64" s="29"/>
      <c r="K64" s="23">
        <f t="shared" si="0"/>
        <v>0</v>
      </c>
      <c r="M64" s="418"/>
      <c r="N64" s="33">
        <f t="shared" si="12"/>
        <v>0</v>
      </c>
      <c r="O64" s="1"/>
      <c r="P64" s="35"/>
      <c r="Q64" s="33">
        <f t="shared" si="13"/>
        <v>0</v>
      </c>
      <c r="R64" s="1"/>
      <c r="S64" s="419">
        <f t="shared" si="10"/>
        <v>0</v>
      </c>
      <c r="T64" s="33">
        <f t="shared" si="14"/>
        <v>0</v>
      </c>
      <c r="U64" s="795">
        <f t="shared" si="11"/>
        <v>0</v>
      </c>
      <c r="V64" s="796"/>
    </row>
    <row r="65" spans="1:22">
      <c r="A65" s="421"/>
      <c r="B65" s="791"/>
      <c r="C65" s="792"/>
      <c r="D65" s="792"/>
      <c r="E65" s="792"/>
      <c r="F65" s="792"/>
      <c r="G65" s="793"/>
      <c r="H65" s="27"/>
      <c r="I65" s="422"/>
      <c r="J65" s="29"/>
      <c r="K65" s="23">
        <f t="shared" si="0"/>
        <v>0</v>
      </c>
      <c r="M65" s="418"/>
      <c r="N65" s="33">
        <f t="shared" si="12"/>
        <v>0</v>
      </c>
      <c r="O65" s="2"/>
      <c r="P65" s="418"/>
      <c r="Q65" s="33">
        <f t="shared" si="13"/>
        <v>0</v>
      </c>
      <c r="R65" s="34"/>
      <c r="S65" s="419">
        <f t="shared" si="10"/>
        <v>0</v>
      </c>
      <c r="T65" s="33">
        <f t="shared" si="14"/>
        <v>0</v>
      </c>
      <c r="U65" s="795">
        <f t="shared" si="11"/>
        <v>0</v>
      </c>
      <c r="V65" s="796"/>
    </row>
    <row r="66" spans="1:22">
      <c r="A66" s="416"/>
      <c r="B66" s="791"/>
      <c r="C66" s="792"/>
      <c r="D66" s="792"/>
      <c r="E66" s="792"/>
      <c r="F66" s="792"/>
      <c r="G66" s="793"/>
      <c r="H66" s="30"/>
      <c r="I66" s="424"/>
      <c r="J66" s="31"/>
      <c r="K66" s="23">
        <f t="shared" si="0"/>
        <v>0</v>
      </c>
      <c r="M66" s="418"/>
      <c r="N66" s="33">
        <f>+ROUND((ROUNDDOWN(M66,2))*J66,2)</f>
        <v>0</v>
      </c>
      <c r="O66" s="2"/>
      <c r="P66" s="418"/>
      <c r="Q66" s="33">
        <f>+ROUND(P66*J66,2)</f>
        <v>0</v>
      </c>
      <c r="R66" s="34"/>
      <c r="S66" s="419">
        <f>+M66+P66</f>
        <v>0</v>
      </c>
      <c r="T66" s="33">
        <f>+ROUND((ROUNDDOWN(S66,2))*J66,2)</f>
        <v>0</v>
      </c>
      <c r="U66" s="795">
        <f>IF(K66=0,0)+IF(K66&gt;0,T66/K66)</f>
        <v>0</v>
      </c>
      <c r="V66" s="796"/>
    </row>
    <row r="67" spans="1:22">
      <c r="A67" s="425"/>
      <c r="B67" s="36"/>
      <c r="C67" s="36"/>
      <c r="D67" s="36"/>
      <c r="E67" s="36"/>
      <c r="F67" s="36"/>
      <c r="G67" s="36"/>
      <c r="H67" s="13"/>
      <c r="I67" s="14"/>
      <c r="J67" s="15"/>
      <c r="K67" s="25"/>
    </row>
    <row r="68" spans="1:22">
      <c r="A68" s="420"/>
      <c r="B68" s="797" t="s">
        <v>509</v>
      </c>
      <c r="C68" s="798"/>
      <c r="D68" s="798"/>
      <c r="E68" s="798"/>
      <c r="F68" s="798"/>
      <c r="G68" s="799"/>
      <c r="H68" s="11"/>
      <c r="I68" s="12"/>
      <c r="J68" s="16"/>
      <c r="K68" s="26">
        <f>SUM(K16:K66)</f>
        <v>0</v>
      </c>
      <c r="N68" s="26">
        <f>ROUND(SUM(N16:N66),2)</f>
        <v>0</v>
      </c>
      <c r="Q68" s="26">
        <f>ROUND(SUM(Q16:Q66),2)</f>
        <v>0</v>
      </c>
      <c r="T68" s="26">
        <f>ROUND(SUM(T16:T66),2)</f>
        <v>0</v>
      </c>
      <c r="U68" s="800">
        <f>IF(K68=0,0)+IF(K68&gt;0,T68/K68)</f>
        <v>0</v>
      </c>
      <c r="V68" s="801"/>
    </row>
  </sheetData>
  <mergeCells count="118">
    <mergeCell ref="B28:G28"/>
    <mergeCell ref="B29:G29"/>
    <mergeCell ref="B30:G30"/>
    <mergeCell ref="B31:G31"/>
    <mergeCell ref="B32:G32"/>
    <mergeCell ref="B33:G33"/>
    <mergeCell ref="B34:G34"/>
    <mergeCell ref="B35:G35"/>
    <mergeCell ref="B65:G65"/>
    <mergeCell ref="B51:G51"/>
    <mergeCell ref="B52:G52"/>
    <mergeCell ref="B44:G44"/>
    <mergeCell ref="B45:G45"/>
    <mergeCell ref="B46:G46"/>
    <mergeCell ref="B47:G47"/>
    <mergeCell ref="B48:G48"/>
    <mergeCell ref="B49:G49"/>
    <mergeCell ref="B66:G66"/>
    <mergeCell ref="B57:G57"/>
    <mergeCell ref="B56:G56"/>
    <mergeCell ref="B16:G16"/>
    <mergeCell ref="B58:G58"/>
    <mergeCell ref="B59:G59"/>
    <mergeCell ref="B60:G60"/>
    <mergeCell ref="B61:G61"/>
    <mergeCell ref="B62:G62"/>
    <mergeCell ref="B55:G55"/>
    <mergeCell ref="B54:G54"/>
    <mergeCell ref="B53:G53"/>
    <mergeCell ref="B20:G20"/>
    <mergeCell ref="B23:G23"/>
    <mergeCell ref="B24:G24"/>
    <mergeCell ref="B19:G19"/>
    <mergeCell ref="B18:G18"/>
    <mergeCell ref="B17:G17"/>
    <mergeCell ref="B63:G63"/>
    <mergeCell ref="B64:G64"/>
    <mergeCell ref="B25:G25"/>
    <mergeCell ref="B26:G26"/>
    <mergeCell ref="B27:G27"/>
    <mergeCell ref="B50:G50"/>
    <mergeCell ref="U17:V17"/>
    <mergeCell ref="U44:V44"/>
    <mergeCell ref="U45:V45"/>
    <mergeCell ref="U39:V39"/>
    <mergeCell ref="U40:V40"/>
    <mergeCell ref="U41:V41"/>
    <mergeCell ref="U42:V42"/>
    <mergeCell ref="U18:V18"/>
    <mergeCell ref="U19:V19"/>
    <mergeCell ref="U20:V20"/>
    <mergeCell ref="U21:V21"/>
    <mergeCell ref="U22:V22"/>
    <mergeCell ref="U37:V37"/>
    <mergeCell ref="U38:V38"/>
    <mergeCell ref="U65:V65"/>
    <mergeCell ref="U56:V56"/>
    <mergeCell ref="U57:V57"/>
    <mergeCell ref="U58:V58"/>
    <mergeCell ref="U59:V59"/>
    <mergeCell ref="U60:V60"/>
    <mergeCell ref="U51:V51"/>
    <mergeCell ref="U52:V52"/>
    <mergeCell ref="U53:V53"/>
    <mergeCell ref="U54:V54"/>
    <mergeCell ref="U55:V55"/>
    <mergeCell ref="U61:V61"/>
    <mergeCell ref="U62:V62"/>
    <mergeCell ref="U63:V63"/>
    <mergeCell ref="U64:V64"/>
    <mergeCell ref="U46:V46"/>
    <mergeCell ref="U47:V47"/>
    <mergeCell ref="U48:V48"/>
    <mergeCell ref="U49:V49"/>
    <mergeCell ref="U50:V50"/>
    <mergeCell ref="U43:V43"/>
    <mergeCell ref="B68:G68"/>
    <mergeCell ref="U23:V23"/>
    <mergeCell ref="U24:V24"/>
    <mergeCell ref="U25:V25"/>
    <mergeCell ref="U26:V26"/>
    <mergeCell ref="U27:V27"/>
    <mergeCell ref="U28:V28"/>
    <mergeCell ref="U29:V29"/>
    <mergeCell ref="U30:V30"/>
    <mergeCell ref="U31:V31"/>
    <mergeCell ref="U32:V32"/>
    <mergeCell ref="U33:V33"/>
    <mergeCell ref="U34:V34"/>
    <mergeCell ref="U35:V35"/>
    <mergeCell ref="U36:V36"/>
    <mergeCell ref="U66:V66"/>
    <mergeCell ref="U68:V68"/>
    <mergeCell ref="B43:G43"/>
    <mergeCell ref="B4:G4"/>
    <mergeCell ref="B41:G41"/>
    <mergeCell ref="B42:G42"/>
    <mergeCell ref="B5:G5"/>
    <mergeCell ref="U5:V5"/>
    <mergeCell ref="B6:G6"/>
    <mergeCell ref="U6:V6"/>
    <mergeCell ref="B7:G7"/>
    <mergeCell ref="U7:V7"/>
    <mergeCell ref="B8:G8"/>
    <mergeCell ref="U8:V8"/>
    <mergeCell ref="U9:V9"/>
    <mergeCell ref="B9:G9"/>
    <mergeCell ref="B11:G11"/>
    <mergeCell ref="U11:V11"/>
    <mergeCell ref="B36:G36"/>
    <mergeCell ref="B37:G37"/>
    <mergeCell ref="B38:G38"/>
    <mergeCell ref="B39:G39"/>
    <mergeCell ref="B40:G40"/>
    <mergeCell ref="B15:G15"/>
    <mergeCell ref="B21:G21"/>
    <mergeCell ref="B22:G22"/>
    <mergeCell ref="U16:V1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BD55A-C265-455C-A424-9F0A89B0E44F}">
  <dimension ref="A1:V58"/>
  <sheetViews>
    <sheetView topLeftCell="A40" zoomScale="80" zoomScaleNormal="80" workbookViewId="0">
      <selection activeCell="M6" sqref="M6"/>
    </sheetView>
  </sheetViews>
  <sheetFormatPr defaultColWidth="11" defaultRowHeight="12.75"/>
  <cols>
    <col min="1" max="1" width="11" style="426"/>
    <col min="2" max="7" width="8.125" style="426" customWidth="1"/>
    <col min="8" max="10" width="11" style="426"/>
    <col min="11" max="11" width="14.5" style="426" customWidth="1"/>
    <col min="12" max="13" width="11" style="426"/>
    <col min="14" max="14" width="14.5" style="426" customWidth="1"/>
    <col min="15" max="15" width="3.75" style="426" customWidth="1"/>
    <col min="16" max="16" width="11" style="426"/>
    <col min="17" max="17" width="14.5" style="426" customWidth="1"/>
    <col min="18" max="18" width="3.375" style="426" customWidth="1"/>
    <col min="19" max="19" width="11" style="426"/>
    <col min="20" max="20" width="14.5" style="426" customWidth="1"/>
    <col min="21" max="16384" width="11" style="426"/>
  </cols>
  <sheetData>
    <row r="1" spans="1:22">
      <c r="A1" s="426" t="s">
        <v>510</v>
      </c>
      <c r="M1" s="5" t="s">
        <v>102</v>
      </c>
      <c r="N1" s="6"/>
      <c r="O1" s="2"/>
      <c r="P1" s="7" t="s">
        <v>103</v>
      </c>
      <c r="Q1" s="8"/>
      <c r="R1" s="4"/>
      <c r="S1" s="8" t="s">
        <v>104</v>
      </c>
      <c r="T1" s="8"/>
      <c r="U1" s="8"/>
      <c r="V1" s="6"/>
    </row>
    <row r="2" spans="1:22">
      <c r="M2" s="3"/>
      <c r="N2" s="1"/>
      <c r="O2" s="1"/>
      <c r="P2" s="1"/>
      <c r="Q2" s="1"/>
      <c r="R2" s="1"/>
      <c r="S2" s="1"/>
      <c r="T2" s="1"/>
      <c r="U2" s="1"/>
      <c r="V2" s="1"/>
    </row>
    <row r="4" spans="1:22">
      <c r="A4" s="427" t="s">
        <v>433</v>
      </c>
      <c r="M4" s="3"/>
      <c r="N4" s="1"/>
      <c r="O4" s="1"/>
      <c r="P4" s="1"/>
      <c r="Q4" s="1"/>
      <c r="R4" s="1"/>
      <c r="S4" s="1"/>
      <c r="T4" s="1"/>
      <c r="U4" s="1"/>
      <c r="V4" s="1"/>
    </row>
    <row r="5" spans="1:22">
      <c r="A5" s="18" t="s">
        <v>96</v>
      </c>
      <c r="B5" s="788" t="s">
        <v>97</v>
      </c>
      <c r="C5" s="789"/>
      <c r="D5" s="789"/>
      <c r="E5" s="789"/>
      <c r="F5" s="789"/>
      <c r="G5" s="790"/>
      <c r="H5" s="20" t="s">
        <v>98</v>
      </c>
      <c r="I5" s="21" t="s">
        <v>99</v>
      </c>
      <c r="J5" s="22" t="s">
        <v>100</v>
      </c>
      <c r="K5" s="49" t="s">
        <v>101</v>
      </c>
      <c r="M5" s="9" t="s">
        <v>109</v>
      </c>
      <c r="N5" s="9" t="s">
        <v>101</v>
      </c>
      <c r="O5" s="2"/>
      <c r="P5" s="9" t="s">
        <v>109</v>
      </c>
      <c r="Q5" s="9" t="s">
        <v>101</v>
      </c>
      <c r="R5" s="4"/>
      <c r="S5" s="10" t="s">
        <v>109</v>
      </c>
      <c r="T5" s="9" t="s">
        <v>110</v>
      </c>
      <c r="U5" s="19" t="s">
        <v>111</v>
      </c>
      <c r="V5" s="10"/>
    </row>
    <row r="6" spans="1:22">
      <c r="A6" s="421"/>
      <c r="B6" s="791"/>
      <c r="C6" s="792"/>
      <c r="D6" s="792"/>
      <c r="E6" s="792"/>
      <c r="F6" s="792"/>
      <c r="G6" s="793"/>
      <c r="H6" s="27"/>
      <c r="I6" s="422"/>
      <c r="J6" s="28"/>
      <c r="K6" s="23">
        <f t="shared" ref="K6:K56" si="0">+I6*J6</f>
        <v>0</v>
      </c>
      <c r="M6" s="32"/>
      <c r="N6" s="33">
        <f>+ROUND((ROUNDDOWN(M6,2))*J6,2)</f>
        <v>0</v>
      </c>
      <c r="O6" s="2"/>
      <c r="P6" s="35"/>
      <c r="Q6" s="33">
        <f t="shared" ref="Q6:Q55" si="1">+ROUND(P6*J6,2)</f>
        <v>0</v>
      </c>
      <c r="R6" s="34"/>
      <c r="S6" s="419">
        <f t="shared" ref="S6:S55" si="2">+M6+P6</f>
        <v>0</v>
      </c>
      <c r="T6" s="33">
        <f t="shared" ref="T6:T55" si="3">+ROUND((ROUNDDOWN(S6,2))*J6,2)</f>
        <v>0</v>
      </c>
      <c r="U6" s="795">
        <f t="shared" ref="U6:U32" si="4">IF(K6=0,0)+IF(K6&gt;0,T6/K6)</f>
        <v>0</v>
      </c>
      <c r="V6" s="796"/>
    </row>
    <row r="7" spans="1:22">
      <c r="A7" s="421"/>
      <c r="B7" s="791"/>
      <c r="C7" s="792"/>
      <c r="D7" s="792"/>
      <c r="E7" s="792"/>
      <c r="F7" s="792"/>
      <c r="G7" s="793"/>
      <c r="H7" s="27"/>
      <c r="I7" s="422"/>
      <c r="J7" s="28"/>
      <c r="K7" s="23">
        <f t="shared" si="0"/>
        <v>0</v>
      </c>
      <c r="M7" s="418"/>
      <c r="N7" s="33">
        <f>+ROUND((ROUNDDOWN(M7,2))*J7,2)</f>
        <v>0</v>
      </c>
      <c r="O7" s="2"/>
      <c r="P7" s="35"/>
      <c r="Q7" s="33">
        <f t="shared" si="1"/>
        <v>0</v>
      </c>
      <c r="R7" s="34"/>
      <c r="S7" s="419">
        <f t="shared" si="2"/>
        <v>0</v>
      </c>
      <c r="T7" s="33">
        <f t="shared" si="3"/>
        <v>0</v>
      </c>
      <c r="U7" s="795">
        <f t="shared" si="4"/>
        <v>0</v>
      </c>
      <c r="V7" s="796"/>
    </row>
    <row r="8" spans="1:22">
      <c r="A8" s="421"/>
      <c r="B8" s="791"/>
      <c r="C8" s="792"/>
      <c r="D8" s="792"/>
      <c r="E8" s="792"/>
      <c r="F8" s="792"/>
      <c r="G8" s="793"/>
      <c r="H8" s="27"/>
      <c r="I8" s="422"/>
      <c r="J8" s="28"/>
      <c r="K8" s="23">
        <f t="shared" si="0"/>
        <v>0</v>
      </c>
      <c r="M8" s="418"/>
      <c r="N8" s="33">
        <f t="shared" ref="N8:N55" si="5">+ROUND((ROUNDDOWN(M8,2))*J8,2)</f>
        <v>0</v>
      </c>
      <c r="O8" s="2"/>
      <c r="P8" s="35"/>
      <c r="Q8" s="33">
        <f t="shared" si="1"/>
        <v>0</v>
      </c>
      <c r="R8" s="34"/>
      <c r="S8" s="419">
        <f t="shared" si="2"/>
        <v>0</v>
      </c>
      <c r="T8" s="33">
        <f t="shared" si="3"/>
        <v>0</v>
      </c>
      <c r="U8" s="795">
        <f t="shared" si="4"/>
        <v>0</v>
      </c>
      <c r="V8" s="796"/>
    </row>
    <row r="9" spans="1:22">
      <c r="A9" s="421"/>
      <c r="B9" s="791"/>
      <c r="C9" s="792"/>
      <c r="D9" s="792"/>
      <c r="E9" s="792"/>
      <c r="F9" s="792"/>
      <c r="G9" s="793"/>
      <c r="H9" s="27"/>
      <c r="I9" s="422"/>
      <c r="J9" s="28"/>
      <c r="K9" s="23">
        <f t="shared" si="0"/>
        <v>0</v>
      </c>
      <c r="M9" s="418"/>
      <c r="N9" s="33">
        <f t="shared" si="5"/>
        <v>0</v>
      </c>
      <c r="O9" s="2"/>
      <c r="P9" s="35"/>
      <c r="Q9" s="33">
        <f t="shared" si="1"/>
        <v>0</v>
      </c>
      <c r="R9" s="34"/>
      <c r="S9" s="419">
        <f t="shared" si="2"/>
        <v>0</v>
      </c>
      <c r="T9" s="33">
        <f t="shared" si="3"/>
        <v>0</v>
      </c>
      <c r="U9" s="795">
        <f t="shared" si="4"/>
        <v>0</v>
      </c>
      <c r="V9" s="796"/>
    </row>
    <row r="10" spans="1:22">
      <c r="A10" s="421"/>
      <c r="B10" s="791"/>
      <c r="C10" s="792"/>
      <c r="D10" s="792"/>
      <c r="E10" s="792"/>
      <c r="F10" s="792"/>
      <c r="G10" s="793"/>
      <c r="H10" s="27"/>
      <c r="I10" s="422"/>
      <c r="J10" s="28"/>
      <c r="K10" s="23">
        <f t="shared" si="0"/>
        <v>0</v>
      </c>
      <c r="M10" s="418"/>
      <c r="N10" s="33">
        <f t="shared" si="5"/>
        <v>0</v>
      </c>
      <c r="O10" s="1"/>
      <c r="P10" s="35"/>
      <c r="Q10" s="33">
        <f t="shared" si="1"/>
        <v>0</v>
      </c>
      <c r="R10" s="1"/>
      <c r="S10" s="419">
        <f t="shared" si="2"/>
        <v>0</v>
      </c>
      <c r="T10" s="33">
        <f t="shared" si="3"/>
        <v>0</v>
      </c>
      <c r="U10" s="795">
        <f t="shared" si="4"/>
        <v>0</v>
      </c>
      <c r="V10" s="796"/>
    </row>
    <row r="11" spans="1:22">
      <c r="A11" s="421"/>
      <c r="B11" s="791"/>
      <c r="C11" s="792"/>
      <c r="D11" s="792"/>
      <c r="E11" s="792"/>
      <c r="F11" s="792"/>
      <c r="G11" s="793"/>
      <c r="H11" s="27"/>
      <c r="I11" s="422"/>
      <c r="J11" s="28"/>
      <c r="K11" s="23">
        <f t="shared" si="0"/>
        <v>0</v>
      </c>
      <c r="M11" s="418"/>
      <c r="N11" s="33">
        <f t="shared" si="5"/>
        <v>0</v>
      </c>
      <c r="O11" s="2"/>
      <c r="P11" s="418"/>
      <c r="Q11" s="33">
        <f t="shared" si="1"/>
        <v>0</v>
      </c>
      <c r="R11" s="34"/>
      <c r="S11" s="419">
        <f t="shared" si="2"/>
        <v>0</v>
      </c>
      <c r="T11" s="33">
        <f t="shared" si="3"/>
        <v>0</v>
      </c>
      <c r="U11" s="795">
        <f t="shared" si="4"/>
        <v>0</v>
      </c>
      <c r="V11" s="796"/>
    </row>
    <row r="12" spans="1:22">
      <c r="A12" s="421"/>
      <c r="B12" s="791"/>
      <c r="C12" s="792"/>
      <c r="D12" s="792"/>
      <c r="E12" s="792"/>
      <c r="F12" s="792"/>
      <c r="G12" s="793"/>
      <c r="H12" s="27"/>
      <c r="I12" s="422"/>
      <c r="J12" s="28"/>
      <c r="K12" s="23">
        <f t="shared" si="0"/>
        <v>0</v>
      </c>
      <c r="M12" s="418"/>
      <c r="N12" s="33">
        <f t="shared" si="5"/>
        <v>0</v>
      </c>
      <c r="O12" s="1"/>
      <c r="P12" s="35"/>
      <c r="Q12" s="33">
        <f t="shared" si="1"/>
        <v>0</v>
      </c>
      <c r="R12" s="1"/>
      <c r="S12" s="419">
        <f t="shared" si="2"/>
        <v>0</v>
      </c>
      <c r="T12" s="33">
        <f t="shared" si="3"/>
        <v>0</v>
      </c>
      <c r="U12" s="795">
        <f t="shared" si="4"/>
        <v>0</v>
      </c>
      <c r="V12" s="796"/>
    </row>
    <row r="13" spans="1:22">
      <c r="A13" s="421"/>
      <c r="B13" s="791"/>
      <c r="C13" s="792"/>
      <c r="D13" s="792"/>
      <c r="E13" s="792"/>
      <c r="F13" s="792"/>
      <c r="G13" s="793"/>
      <c r="H13" s="27"/>
      <c r="I13" s="422"/>
      <c r="J13" s="28"/>
      <c r="K13" s="23">
        <f t="shared" si="0"/>
        <v>0</v>
      </c>
      <c r="M13" s="418"/>
      <c r="N13" s="33">
        <f t="shared" si="5"/>
        <v>0</v>
      </c>
      <c r="O13" s="1"/>
      <c r="P13" s="35"/>
      <c r="Q13" s="33">
        <f t="shared" si="1"/>
        <v>0</v>
      </c>
      <c r="R13" s="1"/>
      <c r="S13" s="419">
        <f t="shared" si="2"/>
        <v>0</v>
      </c>
      <c r="T13" s="33">
        <f t="shared" si="3"/>
        <v>0</v>
      </c>
      <c r="U13" s="795">
        <f t="shared" si="4"/>
        <v>0</v>
      </c>
      <c r="V13" s="796"/>
    </row>
    <row r="14" spans="1:22">
      <c r="A14" s="421"/>
      <c r="B14" s="791"/>
      <c r="C14" s="792"/>
      <c r="D14" s="792"/>
      <c r="E14" s="792"/>
      <c r="F14" s="792"/>
      <c r="G14" s="793"/>
      <c r="H14" s="27"/>
      <c r="I14" s="422"/>
      <c r="J14" s="28"/>
      <c r="K14" s="23">
        <f t="shared" si="0"/>
        <v>0</v>
      </c>
      <c r="M14" s="418"/>
      <c r="N14" s="33">
        <f t="shared" si="5"/>
        <v>0</v>
      </c>
      <c r="O14" s="1"/>
      <c r="P14" s="35"/>
      <c r="Q14" s="33">
        <f t="shared" si="1"/>
        <v>0</v>
      </c>
      <c r="R14" s="1"/>
      <c r="S14" s="419">
        <f t="shared" si="2"/>
        <v>0</v>
      </c>
      <c r="T14" s="33">
        <f t="shared" si="3"/>
        <v>0</v>
      </c>
      <c r="U14" s="795">
        <f t="shared" si="4"/>
        <v>0</v>
      </c>
      <c r="V14" s="796"/>
    </row>
    <row r="15" spans="1:22">
      <c r="A15" s="421"/>
      <c r="B15" s="791"/>
      <c r="C15" s="792"/>
      <c r="D15" s="792"/>
      <c r="E15" s="792"/>
      <c r="F15" s="792"/>
      <c r="G15" s="793"/>
      <c r="H15" s="27"/>
      <c r="I15" s="422"/>
      <c r="J15" s="28"/>
      <c r="K15" s="23">
        <f t="shared" si="0"/>
        <v>0</v>
      </c>
      <c r="M15" s="418"/>
      <c r="N15" s="33">
        <f t="shared" si="5"/>
        <v>0</v>
      </c>
      <c r="O15" s="1"/>
      <c r="P15" s="35"/>
      <c r="Q15" s="33">
        <f t="shared" si="1"/>
        <v>0</v>
      </c>
      <c r="R15" s="1"/>
      <c r="S15" s="419">
        <f t="shared" si="2"/>
        <v>0</v>
      </c>
      <c r="T15" s="33">
        <f t="shared" si="3"/>
        <v>0</v>
      </c>
      <c r="U15" s="795">
        <f t="shared" si="4"/>
        <v>0</v>
      </c>
      <c r="V15" s="796"/>
    </row>
    <row r="16" spans="1:22">
      <c r="A16" s="421"/>
      <c r="B16" s="791"/>
      <c r="C16" s="792"/>
      <c r="D16" s="792"/>
      <c r="E16" s="792"/>
      <c r="F16" s="792"/>
      <c r="G16" s="793"/>
      <c r="H16" s="27"/>
      <c r="I16" s="422"/>
      <c r="J16" s="28"/>
      <c r="K16" s="23">
        <f t="shared" si="0"/>
        <v>0</v>
      </c>
      <c r="M16" s="418"/>
      <c r="N16" s="33">
        <f t="shared" si="5"/>
        <v>0</v>
      </c>
      <c r="O16" s="1"/>
      <c r="P16" s="35"/>
      <c r="Q16" s="33">
        <f t="shared" si="1"/>
        <v>0</v>
      </c>
      <c r="R16" s="1"/>
      <c r="S16" s="419">
        <f t="shared" si="2"/>
        <v>0</v>
      </c>
      <c r="T16" s="33">
        <f t="shared" si="3"/>
        <v>0</v>
      </c>
      <c r="U16" s="795">
        <f t="shared" si="4"/>
        <v>0</v>
      </c>
      <c r="V16" s="796"/>
    </row>
    <row r="17" spans="1:22">
      <c r="A17" s="421"/>
      <c r="B17" s="791"/>
      <c r="C17" s="792"/>
      <c r="D17" s="792"/>
      <c r="E17" s="792"/>
      <c r="F17" s="792"/>
      <c r="G17" s="793"/>
      <c r="H17" s="27"/>
      <c r="I17" s="422"/>
      <c r="J17" s="28"/>
      <c r="K17" s="23">
        <f t="shared" si="0"/>
        <v>0</v>
      </c>
      <c r="M17" s="418"/>
      <c r="N17" s="33">
        <f t="shared" si="5"/>
        <v>0</v>
      </c>
      <c r="O17" s="1"/>
      <c r="P17" s="35"/>
      <c r="Q17" s="33">
        <f t="shared" si="1"/>
        <v>0</v>
      </c>
      <c r="R17" s="1"/>
      <c r="S17" s="419">
        <f t="shared" si="2"/>
        <v>0</v>
      </c>
      <c r="T17" s="33">
        <f t="shared" si="3"/>
        <v>0</v>
      </c>
      <c r="U17" s="795">
        <f t="shared" si="4"/>
        <v>0</v>
      </c>
      <c r="V17" s="796"/>
    </row>
    <row r="18" spans="1:22">
      <c r="A18" s="421"/>
      <c r="B18" s="791"/>
      <c r="C18" s="792"/>
      <c r="D18" s="792"/>
      <c r="E18" s="792"/>
      <c r="F18" s="792"/>
      <c r="G18" s="793"/>
      <c r="H18" s="27"/>
      <c r="I18" s="422"/>
      <c r="J18" s="28"/>
      <c r="K18" s="23">
        <f t="shared" si="0"/>
        <v>0</v>
      </c>
      <c r="M18" s="418"/>
      <c r="N18" s="33">
        <f t="shared" si="5"/>
        <v>0</v>
      </c>
      <c r="O18" s="1"/>
      <c r="P18" s="35"/>
      <c r="Q18" s="33">
        <f t="shared" si="1"/>
        <v>0</v>
      </c>
      <c r="R18" s="1"/>
      <c r="S18" s="419">
        <f t="shared" si="2"/>
        <v>0</v>
      </c>
      <c r="T18" s="33">
        <f t="shared" si="3"/>
        <v>0</v>
      </c>
      <c r="U18" s="795">
        <f t="shared" si="4"/>
        <v>0</v>
      </c>
      <c r="V18" s="796"/>
    </row>
    <row r="19" spans="1:22">
      <c r="A19" s="421"/>
      <c r="B19" s="791"/>
      <c r="C19" s="792"/>
      <c r="D19" s="792"/>
      <c r="E19" s="792"/>
      <c r="F19" s="792"/>
      <c r="G19" s="793"/>
      <c r="H19" s="27"/>
      <c r="I19" s="422"/>
      <c r="J19" s="28"/>
      <c r="K19" s="23">
        <f t="shared" si="0"/>
        <v>0</v>
      </c>
      <c r="M19" s="418"/>
      <c r="N19" s="33">
        <f t="shared" si="5"/>
        <v>0</v>
      </c>
      <c r="O19" s="1"/>
      <c r="P19" s="35"/>
      <c r="Q19" s="33">
        <f t="shared" si="1"/>
        <v>0</v>
      </c>
      <c r="R19" s="1"/>
      <c r="S19" s="419">
        <f t="shared" si="2"/>
        <v>0</v>
      </c>
      <c r="T19" s="33">
        <f t="shared" si="3"/>
        <v>0</v>
      </c>
      <c r="U19" s="795">
        <f t="shared" si="4"/>
        <v>0</v>
      </c>
      <c r="V19" s="796"/>
    </row>
    <row r="20" spans="1:22">
      <c r="A20" s="421"/>
      <c r="B20" s="791"/>
      <c r="C20" s="792"/>
      <c r="D20" s="792"/>
      <c r="E20" s="792"/>
      <c r="F20" s="792"/>
      <c r="G20" s="793"/>
      <c r="H20" s="27"/>
      <c r="I20" s="422"/>
      <c r="J20" s="28"/>
      <c r="K20" s="23">
        <f t="shared" si="0"/>
        <v>0</v>
      </c>
      <c r="M20" s="418"/>
      <c r="N20" s="33">
        <f t="shared" si="5"/>
        <v>0</v>
      </c>
      <c r="O20" s="1"/>
      <c r="P20" s="35"/>
      <c r="Q20" s="33">
        <f t="shared" si="1"/>
        <v>0</v>
      </c>
      <c r="R20" s="1"/>
      <c r="S20" s="419">
        <f t="shared" si="2"/>
        <v>0</v>
      </c>
      <c r="T20" s="33">
        <f t="shared" si="3"/>
        <v>0</v>
      </c>
      <c r="U20" s="795">
        <f t="shared" si="4"/>
        <v>0</v>
      </c>
      <c r="V20" s="796"/>
    </row>
    <row r="21" spans="1:22">
      <c r="A21" s="421"/>
      <c r="B21" s="791"/>
      <c r="C21" s="792"/>
      <c r="D21" s="792"/>
      <c r="E21" s="792"/>
      <c r="F21" s="792"/>
      <c r="G21" s="793"/>
      <c r="H21" s="27"/>
      <c r="I21" s="422"/>
      <c r="J21" s="28"/>
      <c r="K21" s="23">
        <f t="shared" si="0"/>
        <v>0</v>
      </c>
      <c r="M21" s="418"/>
      <c r="N21" s="33">
        <f t="shared" si="5"/>
        <v>0</v>
      </c>
      <c r="O21" s="1"/>
      <c r="P21" s="35"/>
      <c r="Q21" s="33">
        <f t="shared" si="1"/>
        <v>0</v>
      </c>
      <c r="R21" s="1"/>
      <c r="S21" s="419">
        <f t="shared" si="2"/>
        <v>0</v>
      </c>
      <c r="T21" s="33">
        <f t="shared" si="3"/>
        <v>0</v>
      </c>
      <c r="U21" s="795">
        <f t="shared" si="4"/>
        <v>0</v>
      </c>
      <c r="V21" s="796"/>
    </row>
    <row r="22" spans="1:22">
      <c r="A22" s="421"/>
      <c r="B22" s="791"/>
      <c r="C22" s="792"/>
      <c r="D22" s="792"/>
      <c r="E22" s="792"/>
      <c r="F22" s="792"/>
      <c r="G22" s="793"/>
      <c r="H22" s="27"/>
      <c r="I22" s="422"/>
      <c r="J22" s="28"/>
      <c r="K22" s="23">
        <f t="shared" si="0"/>
        <v>0</v>
      </c>
      <c r="M22" s="418"/>
      <c r="N22" s="33">
        <f t="shared" si="5"/>
        <v>0</v>
      </c>
      <c r="O22" s="1"/>
      <c r="P22" s="35"/>
      <c r="Q22" s="33">
        <f t="shared" si="1"/>
        <v>0</v>
      </c>
      <c r="R22" s="1"/>
      <c r="S22" s="419">
        <f t="shared" si="2"/>
        <v>0</v>
      </c>
      <c r="T22" s="33">
        <f t="shared" si="3"/>
        <v>0</v>
      </c>
      <c r="U22" s="795">
        <f t="shared" si="4"/>
        <v>0</v>
      </c>
      <c r="V22" s="796"/>
    </row>
    <row r="23" spans="1:22">
      <c r="A23" s="421"/>
      <c r="B23" s="791"/>
      <c r="C23" s="792"/>
      <c r="D23" s="792"/>
      <c r="E23" s="792"/>
      <c r="F23" s="792"/>
      <c r="G23" s="793"/>
      <c r="H23" s="27"/>
      <c r="I23" s="422"/>
      <c r="J23" s="28"/>
      <c r="K23" s="23">
        <f t="shared" si="0"/>
        <v>0</v>
      </c>
      <c r="M23" s="418"/>
      <c r="N23" s="33">
        <f t="shared" si="5"/>
        <v>0</v>
      </c>
      <c r="O23" s="1"/>
      <c r="P23" s="35"/>
      <c r="Q23" s="33">
        <f t="shared" si="1"/>
        <v>0</v>
      </c>
      <c r="R23" s="1"/>
      <c r="S23" s="419">
        <f t="shared" si="2"/>
        <v>0</v>
      </c>
      <c r="T23" s="33">
        <f t="shared" si="3"/>
        <v>0</v>
      </c>
      <c r="U23" s="795">
        <f t="shared" si="4"/>
        <v>0</v>
      </c>
      <c r="V23" s="796"/>
    </row>
    <row r="24" spans="1:22">
      <c r="A24" s="421"/>
      <c r="B24" s="791"/>
      <c r="C24" s="792"/>
      <c r="D24" s="792"/>
      <c r="E24" s="792"/>
      <c r="F24" s="792"/>
      <c r="G24" s="793"/>
      <c r="H24" s="27"/>
      <c r="I24" s="422"/>
      <c r="J24" s="28"/>
      <c r="K24" s="23">
        <f t="shared" si="0"/>
        <v>0</v>
      </c>
      <c r="M24" s="418"/>
      <c r="N24" s="33">
        <f t="shared" si="5"/>
        <v>0</v>
      </c>
      <c r="O24" s="1"/>
      <c r="P24" s="35"/>
      <c r="Q24" s="33">
        <f t="shared" si="1"/>
        <v>0</v>
      </c>
      <c r="R24" s="1"/>
      <c r="S24" s="419">
        <f t="shared" si="2"/>
        <v>0</v>
      </c>
      <c r="T24" s="33">
        <f t="shared" si="3"/>
        <v>0</v>
      </c>
      <c r="U24" s="795">
        <f t="shared" si="4"/>
        <v>0</v>
      </c>
      <c r="V24" s="796"/>
    </row>
    <row r="25" spans="1:22">
      <c r="A25" s="421"/>
      <c r="B25" s="791"/>
      <c r="C25" s="792"/>
      <c r="D25" s="792"/>
      <c r="E25" s="792"/>
      <c r="F25" s="792"/>
      <c r="G25" s="793"/>
      <c r="H25" s="27"/>
      <c r="I25" s="422"/>
      <c r="J25" s="28"/>
      <c r="K25" s="23">
        <f t="shared" si="0"/>
        <v>0</v>
      </c>
      <c r="M25" s="418"/>
      <c r="N25" s="33">
        <f t="shared" si="5"/>
        <v>0</v>
      </c>
      <c r="O25" s="1"/>
      <c r="P25" s="35"/>
      <c r="Q25" s="33">
        <f t="shared" si="1"/>
        <v>0</v>
      </c>
      <c r="R25" s="1"/>
      <c r="S25" s="419">
        <f t="shared" si="2"/>
        <v>0</v>
      </c>
      <c r="T25" s="33">
        <f t="shared" si="3"/>
        <v>0</v>
      </c>
      <c r="U25" s="795">
        <f t="shared" si="4"/>
        <v>0</v>
      </c>
      <c r="V25" s="796"/>
    </row>
    <row r="26" spans="1:22">
      <c r="A26" s="421"/>
      <c r="B26" s="791"/>
      <c r="C26" s="792"/>
      <c r="D26" s="792"/>
      <c r="E26" s="792"/>
      <c r="F26" s="792"/>
      <c r="G26" s="793"/>
      <c r="H26" s="27"/>
      <c r="I26" s="422"/>
      <c r="J26" s="28"/>
      <c r="K26" s="23">
        <f t="shared" si="0"/>
        <v>0</v>
      </c>
      <c r="M26" s="418"/>
      <c r="N26" s="33">
        <f t="shared" si="5"/>
        <v>0</v>
      </c>
      <c r="O26" s="1"/>
      <c r="P26" s="35"/>
      <c r="Q26" s="33">
        <f t="shared" si="1"/>
        <v>0</v>
      </c>
      <c r="R26" s="1"/>
      <c r="S26" s="419">
        <f t="shared" si="2"/>
        <v>0</v>
      </c>
      <c r="T26" s="33">
        <f t="shared" si="3"/>
        <v>0</v>
      </c>
      <c r="U26" s="795">
        <f t="shared" si="4"/>
        <v>0</v>
      </c>
      <c r="V26" s="796"/>
    </row>
    <row r="27" spans="1:22">
      <c r="A27" s="421"/>
      <c r="B27" s="791"/>
      <c r="C27" s="792"/>
      <c r="D27" s="792"/>
      <c r="E27" s="792"/>
      <c r="F27" s="792"/>
      <c r="G27" s="793"/>
      <c r="H27" s="27"/>
      <c r="I27" s="422"/>
      <c r="J27" s="28"/>
      <c r="K27" s="23">
        <f t="shared" si="0"/>
        <v>0</v>
      </c>
      <c r="M27" s="418"/>
      <c r="N27" s="33">
        <f t="shared" si="5"/>
        <v>0</v>
      </c>
      <c r="O27" s="1"/>
      <c r="P27" s="35"/>
      <c r="Q27" s="33">
        <f t="shared" si="1"/>
        <v>0</v>
      </c>
      <c r="R27" s="1"/>
      <c r="S27" s="419">
        <f t="shared" si="2"/>
        <v>0</v>
      </c>
      <c r="T27" s="33">
        <f t="shared" si="3"/>
        <v>0</v>
      </c>
      <c r="U27" s="795">
        <f t="shared" si="4"/>
        <v>0</v>
      </c>
      <c r="V27" s="796"/>
    </row>
    <row r="28" spans="1:22">
      <c r="A28" s="421"/>
      <c r="B28" s="791"/>
      <c r="C28" s="792"/>
      <c r="D28" s="792"/>
      <c r="E28" s="792"/>
      <c r="F28" s="792"/>
      <c r="G28" s="793"/>
      <c r="H28" s="27"/>
      <c r="I28" s="422"/>
      <c r="J28" s="28"/>
      <c r="K28" s="23">
        <f t="shared" si="0"/>
        <v>0</v>
      </c>
      <c r="M28" s="418"/>
      <c r="N28" s="33">
        <f t="shared" si="5"/>
        <v>0</v>
      </c>
      <c r="O28" s="1"/>
      <c r="P28" s="35"/>
      <c r="Q28" s="33">
        <f t="shared" si="1"/>
        <v>0</v>
      </c>
      <c r="R28" s="1"/>
      <c r="S28" s="419">
        <f t="shared" si="2"/>
        <v>0</v>
      </c>
      <c r="T28" s="33">
        <f t="shared" si="3"/>
        <v>0</v>
      </c>
      <c r="U28" s="795">
        <f t="shared" si="4"/>
        <v>0</v>
      </c>
      <c r="V28" s="796"/>
    </row>
    <row r="29" spans="1:22">
      <c r="A29" s="421"/>
      <c r="B29" s="791"/>
      <c r="C29" s="792"/>
      <c r="D29" s="792"/>
      <c r="E29" s="792"/>
      <c r="F29" s="792"/>
      <c r="G29" s="793"/>
      <c r="H29" s="27"/>
      <c r="I29" s="422"/>
      <c r="J29" s="28"/>
      <c r="K29" s="23">
        <f t="shared" si="0"/>
        <v>0</v>
      </c>
      <c r="M29" s="418"/>
      <c r="N29" s="33">
        <f t="shared" si="5"/>
        <v>0</v>
      </c>
      <c r="O29" s="1"/>
      <c r="P29" s="35"/>
      <c r="Q29" s="33">
        <f t="shared" si="1"/>
        <v>0</v>
      </c>
      <c r="R29" s="1"/>
      <c r="S29" s="419">
        <f t="shared" si="2"/>
        <v>0</v>
      </c>
      <c r="T29" s="33">
        <f t="shared" si="3"/>
        <v>0</v>
      </c>
      <c r="U29" s="795">
        <f t="shared" si="4"/>
        <v>0</v>
      </c>
      <c r="V29" s="796"/>
    </row>
    <row r="30" spans="1:22">
      <c r="A30" s="421"/>
      <c r="B30" s="791"/>
      <c r="C30" s="792"/>
      <c r="D30" s="792"/>
      <c r="E30" s="792"/>
      <c r="F30" s="792"/>
      <c r="G30" s="793"/>
      <c r="H30" s="27"/>
      <c r="I30" s="422"/>
      <c r="J30" s="28"/>
      <c r="K30" s="23">
        <f t="shared" si="0"/>
        <v>0</v>
      </c>
      <c r="M30" s="418"/>
      <c r="N30" s="33">
        <f t="shared" si="5"/>
        <v>0</v>
      </c>
      <c r="O30" s="1"/>
      <c r="P30" s="35"/>
      <c r="Q30" s="33">
        <f t="shared" si="1"/>
        <v>0</v>
      </c>
      <c r="R30" s="1"/>
      <c r="S30" s="419">
        <f t="shared" si="2"/>
        <v>0</v>
      </c>
      <c r="T30" s="33">
        <f t="shared" si="3"/>
        <v>0</v>
      </c>
      <c r="U30" s="795">
        <f t="shared" si="4"/>
        <v>0</v>
      </c>
      <c r="V30" s="796"/>
    </row>
    <row r="31" spans="1:22">
      <c r="A31" s="421"/>
      <c r="B31" s="791"/>
      <c r="C31" s="792"/>
      <c r="D31" s="792"/>
      <c r="E31" s="792"/>
      <c r="F31" s="792"/>
      <c r="G31" s="793"/>
      <c r="H31" s="27"/>
      <c r="I31" s="422"/>
      <c r="J31" s="28"/>
      <c r="K31" s="23">
        <f t="shared" si="0"/>
        <v>0</v>
      </c>
      <c r="M31" s="418"/>
      <c r="N31" s="33">
        <f t="shared" si="5"/>
        <v>0</v>
      </c>
      <c r="O31" s="1"/>
      <c r="P31" s="35"/>
      <c r="Q31" s="33">
        <f t="shared" si="1"/>
        <v>0</v>
      </c>
      <c r="R31" s="1"/>
      <c r="S31" s="419">
        <f t="shared" si="2"/>
        <v>0</v>
      </c>
      <c r="T31" s="33">
        <f t="shared" si="3"/>
        <v>0</v>
      </c>
      <c r="U31" s="795">
        <f t="shared" si="4"/>
        <v>0</v>
      </c>
      <c r="V31" s="796"/>
    </row>
    <row r="32" spans="1:22">
      <c r="A32" s="421"/>
      <c r="B32" s="791"/>
      <c r="C32" s="792"/>
      <c r="D32" s="792"/>
      <c r="E32" s="792"/>
      <c r="F32" s="792"/>
      <c r="G32" s="793"/>
      <c r="H32" s="27"/>
      <c r="I32" s="422"/>
      <c r="J32" s="28"/>
      <c r="K32" s="23">
        <f t="shared" si="0"/>
        <v>0</v>
      </c>
      <c r="M32" s="418"/>
      <c r="N32" s="33">
        <f t="shared" si="5"/>
        <v>0</v>
      </c>
      <c r="O32" s="1"/>
      <c r="P32" s="35"/>
      <c r="Q32" s="33">
        <f t="shared" si="1"/>
        <v>0</v>
      </c>
      <c r="R32" s="1"/>
      <c r="S32" s="419">
        <f t="shared" si="2"/>
        <v>0</v>
      </c>
      <c r="T32" s="33">
        <f t="shared" si="3"/>
        <v>0</v>
      </c>
      <c r="U32" s="795">
        <f t="shared" si="4"/>
        <v>0</v>
      </c>
      <c r="V32" s="796"/>
    </row>
    <row r="33" spans="1:22">
      <c r="A33" s="421"/>
      <c r="B33" s="791"/>
      <c r="C33" s="792"/>
      <c r="D33" s="792"/>
      <c r="E33" s="792"/>
      <c r="F33" s="792"/>
      <c r="G33" s="793"/>
      <c r="H33" s="27"/>
      <c r="I33" s="422"/>
      <c r="J33" s="28"/>
      <c r="K33" s="23">
        <f t="shared" si="0"/>
        <v>0</v>
      </c>
      <c r="M33" s="418"/>
      <c r="N33" s="33">
        <f t="shared" si="5"/>
        <v>0</v>
      </c>
      <c r="O33" s="2"/>
      <c r="P33" s="418"/>
      <c r="Q33" s="33">
        <f t="shared" si="1"/>
        <v>0</v>
      </c>
      <c r="R33" s="34"/>
      <c r="S33" s="419">
        <f t="shared" si="2"/>
        <v>0</v>
      </c>
      <c r="T33" s="33">
        <f t="shared" si="3"/>
        <v>0</v>
      </c>
      <c r="U33" s="795">
        <f>IF(K33=0,0)+IF(K33&gt;0,T33/K33)</f>
        <v>0</v>
      </c>
      <c r="V33" s="796"/>
    </row>
    <row r="34" spans="1:22">
      <c r="A34" s="421"/>
      <c r="B34" s="791"/>
      <c r="C34" s="792"/>
      <c r="D34" s="792"/>
      <c r="E34" s="792"/>
      <c r="F34" s="792"/>
      <c r="G34" s="793"/>
      <c r="H34" s="27"/>
      <c r="I34" s="422"/>
      <c r="J34" s="28"/>
      <c r="K34" s="23">
        <f t="shared" si="0"/>
        <v>0</v>
      </c>
      <c r="M34" s="418"/>
      <c r="N34" s="33">
        <f t="shared" si="5"/>
        <v>0</v>
      </c>
      <c r="O34" s="1"/>
      <c r="P34" s="35"/>
      <c r="Q34" s="33">
        <f t="shared" si="1"/>
        <v>0</v>
      </c>
      <c r="R34" s="1"/>
      <c r="S34" s="419">
        <f t="shared" si="2"/>
        <v>0</v>
      </c>
      <c r="T34" s="33">
        <f t="shared" si="3"/>
        <v>0</v>
      </c>
      <c r="U34" s="795">
        <f t="shared" ref="U34:U55" si="6">IF(K34=0,0)+IF(K34&gt;0,T34/K34)</f>
        <v>0</v>
      </c>
      <c r="V34" s="796"/>
    </row>
    <row r="35" spans="1:22">
      <c r="A35" s="421"/>
      <c r="B35" s="791"/>
      <c r="C35" s="792"/>
      <c r="D35" s="792"/>
      <c r="E35" s="792"/>
      <c r="F35" s="792"/>
      <c r="G35" s="793"/>
      <c r="H35" s="27"/>
      <c r="I35" s="422"/>
      <c r="J35" s="28"/>
      <c r="K35" s="23">
        <f t="shared" si="0"/>
        <v>0</v>
      </c>
      <c r="M35" s="418"/>
      <c r="N35" s="33">
        <f t="shared" si="5"/>
        <v>0</v>
      </c>
      <c r="O35" s="2"/>
      <c r="P35" s="418"/>
      <c r="Q35" s="33">
        <f t="shared" si="1"/>
        <v>0</v>
      </c>
      <c r="R35" s="34"/>
      <c r="S35" s="419">
        <f t="shared" si="2"/>
        <v>0</v>
      </c>
      <c r="T35" s="33">
        <f t="shared" si="3"/>
        <v>0</v>
      </c>
      <c r="U35" s="795">
        <f t="shared" si="6"/>
        <v>0</v>
      </c>
      <c r="V35" s="796"/>
    </row>
    <row r="36" spans="1:22">
      <c r="A36" s="421"/>
      <c r="B36" s="791"/>
      <c r="C36" s="792"/>
      <c r="D36" s="792"/>
      <c r="E36" s="792"/>
      <c r="F36" s="792"/>
      <c r="G36" s="793"/>
      <c r="H36" s="27"/>
      <c r="I36" s="422"/>
      <c r="J36" s="28"/>
      <c r="K36" s="23">
        <f t="shared" si="0"/>
        <v>0</v>
      </c>
      <c r="M36" s="418"/>
      <c r="N36" s="33">
        <f t="shared" si="5"/>
        <v>0</v>
      </c>
      <c r="O36" s="1"/>
      <c r="P36" s="35"/>
      <c r="Q36" s="33">
        <f t="shared" si="1"/>
        <v>0</v>
      </c>
      <c r="R36" s="1"/>
      <c r="S36" s="419">
        <f t="shared" si="2"/>
        <v>0</v>
      </c>
      <c r="T36" s="33">
        <f t="shared" si="3"/>
        <v>0</v>
      </c>
      <c r="U36" s="795">
        <f t="shared" si="6"/>
        <v>0</v>
      </c>
      <c r="V36" s="796"/>
    </row>
    <row r="37" spans="1:22">
      <c r="A37" s="421"/>
      <c r="B37" s="791"/>
      <c r="C37" s="792"/>
      <c r="D37" s="792"/>
      <c r="E37" s="792"/>
      <c r="F37" s="792"/>
      <c r="G37" s="793"/>
      <c r="H37" s="27"/>
      <c r="I37" s="422"/>
      <c r="J37" s="28"/>
      <c r="K37" s="23">
        <f t="shared" si="0"/>
        <v>0</v>
      </c>
      <c r="M37" s="418"/>
      <c r="N37" s="33">
        <f t="shared" si="5"/>
        <v>0</v>
      </c>
      <c r="O37" s="2"/>
      <c r="P37" s="418"/>
      <c r="Q37" s="33">
        <f t="shared" si="1"/>
        <v>0</v>
      </c>
      <c r="R37" s="34"/>
      <c r="S37" s="419">
        <f t="shared" si="2"/>
        <v>0</v>
      </c>
      <c r="T37" s="33">
        <f t="shared" si="3"/>
        <v>0</v>
      </c>
      <c r="U37" s="795">
        <f t="shared" si="6"/>
        <v>0</v>
      </c>
      <c r="V37" s="796"/>
    </row>
    <row r="38" spans="1:22">
      <c r="A38" s="421"/>
      <c r="B38" s="791"/>
      <c r="C38" s="792"/>
      <c r="D38" s="792"/>
      <c r="E38" s="792"/>
      <c r="F38" s="792"/>
      <c r="G38" s="793"/>
      <c r="H38" s="27"/>
      <c r="I38" s="422"/>
      <c r="J38" s="28"/>
      <c r="K38" s="23">
        <f t="shared" si="0"/>
        <v>0</v>
      </c>
      <c r="M38" s="418"/>
      <c r="N38" s="33">
        <f t="shared" si="5"/>
        <v>0</v>
      </c>
      <c r="O38" s="1"/>
      <c r="P38" s="35"/>
      <c r="Q38" s="33">
        <f t="shared" si="1"/>
        <v>0</v>
      </c>
      <c r="R38" s="1"/>
      <c r="S38" s="419">
        <f t="shared" si="2"/>
        <v>0</v>
      </c>
      <c r="T38" s="33">
        <f t="shared" si="3"/>
        <v>0</v>
      </c>
      <c r="U38" s="795">
        <f t="shared" si="6"/>
        <v>0</v>
      </c>
      <c r="V38" s="796"/>
    </row>
    <row r="39" spans="1:22">
      <c r="A39" s="421"/>
      <c r="B39" s="791"/>
      <c r="C39" s="792"/>
      <c r="D39" s="792"/>
      <c r="E39" s="792"/>
      <c r="F39" s="792"/>
      <c r="G39" s="793"/>
      <c r="H39" s="27"/>
      <c r="I39" s="422"/>
      <c r="J39" s="28"/>
      <c r="K39" s="23">
        <f t="shared" si="0"/>
        <v>0</v>
      </c>
      <c r="M39" s="418"/>
      <c r="N39" s="33">
        <f t="shared" si="5"/>
        <v>0</v>
      </c>
      <c r="O39" s="2"/>
      <c r="P39" s="418"/>
      <c r="Q39" s="33">
        <f t="shared" si="1"/>
        <v>0</v>
      </c>
      <c r="R39" s="34"/>
      <c r="S39" s="419">
        <f t="shared" si="2"/>
        <v>0</v>
      </c>
      <c r="T39" s="33">
        <f t="shared" si="3"/>
        <v>0</v>
      </c>
      <c r="U39" s="795">
        <f t="shared" si="6"/>
        <v>0</v>
      </c>
      <c r="V39" s="796"/>
    </row>
    <row r="40" spans="1:22">
      <c r="A40" s="421"/>
      <c r="B40" s="791"/>
      <c r="C40" s="792"/>
      <c r="D40" s="792"/>
      <c r="E40" s="792"/>
      <c r="F40" s="792"/>
      <c r="G40" s="793"/>
      <c r="H40" s="27"/>
      <c r="I40" s="422"/>
      <c r="J40" s="28"/>
      <c r="K40" s="23">
        <f t="shared" si="0"/>
        <v>0</v>
      </c>
      <c r="M40" s="418"/>
      <c r="N40" s="33">
        <f t="shared" si="5"/>
        <v>0</v>
      </c>
      <c r="O40" s="1"/>
      <c r="P40" s="35"/>
      <c r="Q40" s="33">
        <f t="shared" si="1"/>
        <v>0</v>
      </c>
      <c r="R40" s="1"/>
      <c r="S40" s="419">
        <f t="shared" si="2"/>
        <v>0</v>
      </c>
      <c r="T40" s="33">
        <f t="shared" si="3"/>
        <v>0</v>
      </c>
      <c r="U40" s="795">
        <f t="shared" si="6"/>
        <v>0</v>
      </c>
      <c r="V40" s="796"/>
    </row>
    <row r="41" spans="1:22">
      <c r="A41" s="421"/>
      <c r="B41" s="791"/>
      <c r="C41" s="792"/>
      <c r="D41" s="792"/>
      <c r="E41" s="792"/>
      <c r="F41" s="792"/>
      <c r="G41" s="793"/>
      <c r="H41" s="27"/>
      <c r="I41" s="422"/>
      <c r="J41" s="28"/>
      <c r="K41" s="23">
        <f t="shared" si="0"/>
        <v>0</v>
      </c>
      <c r="M41" s="418"/>
      <c r="N41" s="33">
        <f t="shared" si="5"/>
        <v>0</v>
      </c>
      <c r="O41" s="2"/>
      <c r="P41" s="418"/>
      <c r="Q41" s="33">
        <f t="shared" si="1"/>
        <v>0</v>
      </c>
      <c r="R41" s="34"/>
      <c r="S41" s="419">
        <f t="shared" si="2"/>
        <v>0</v>
      </c>
      <c r="T41" s="33">
        <f t="shared" si="3"/>
        <v>0</v>
      </c>
      <c r="U41" s="795">
        <f t="shared" si="6"/>
        <v>0</v>
      </c>
      <c r="V41" s="796"/>
    </row>
    <row r="42" spans="1:22">
      <c r="A42" s="421"/>
      <c r="B42" s="791"/>
      <c r="C42" s="792"/>
      <c r="D42" s="792"/>
      <c r="E42" s="792"/>
      <c r="F42" s="792"/>
      <c r="G42" s="793"/>
      <c r="H42" s="27"/>
      <c r="I42" s="422"/>
      <c r="J42" s="28"/>
      <c r="K42" s="23">
        <f t="shared" si="0"/>
        <v>0</v>
      </c>
      <c r="M42" s="418"/>
      <c r="N42" s="33">
        <f t="shared" si="5"/>
        <v>0</v>
      </c>
      <c r="O42" s="1"/>
      <c r="P42" s="35"/>
      <c r="Q42" s="33">
        <f t="shared" si="1"/>
        <v>0</v>
      </c>
      <c r="R42" s="1"/>
      <c r="S42" s="419">
        <f t="shared" si="2"/>
        <v>0</v>
      </c>
      <c r="T42" s="33">
        <f t="shared" si="3"/>
        <v>0</v>
      </c>
      <c r="U42" s="795">
        <f t="shared" si="6"/>
        <v>0</v>
      </c>
      <c r="V42" s="796"/>
    </row>
    <row r="43" spans="1:22">
      <c r="A43" s="421"/>
      <c r="B43" s="791"/>
      <c r="C43" s="792"/>
      <c r="D43" s="792"/>
      <c r="E43" s="792"/>
      <c r="F43" s="792"/>
      <c r="G43" s="793"/>
      <c r="H43" s="27"/>
      <c r="I43" s="422"/>
      <c r="J43" s="28"/>
      <c r="K43" s="23">
        <f t="shared" si="0"/>
        <v>0</v>
      </c>
      <c r="M43" s="418"/>
      <c r="N43" s="33">
        <f t="shared" si="5"/>
        <v>0</v>
      </c>
      <c r="O43" s="2"/>
      <c r="P43" s="418"/>
      <c r="Q43" s="33">
        <f t="shared" si="1"/>
        <v>0</v>
      </c>
      <c r="R43" s="34"/>
      <c r="S43" s="419">
        <f t="shared" si="2"/>
        <v>0</v>
      </c>
      <c r="T43" s="33">
        <f t="shared" si="3"/>
        <v>0</v>
      </c>
      <c r="U43" s="795">
        <f t="shared" si="6"/>
        <v>0</v>
      </c>
      <c r="V43" s="796"/>
    </row>
    <row r="44" spans="1:22">
      <c r="A44" s="421"/>
      <c r="B44" s="791"/>
      <c r="C44" s="792"/>
      <c r="D44" s="792"/>
      <c r="E44" s="792"/>
      <c r="F44" s="792"/>
      <c r="G44" s="793"/>
      <c r="H44" s="27"/>
      <c r="I44" s="422"/>
      <c r="J44" s="28"/>
      <c r="K44" s="23">
        <f t="shared" si="0"/>
        <v>0</v>
      </c>
      <c r="M44" s="418"/>
      <c r="N44" s="33">
        <f t="shared" si="5"/>
        <v>0</v>
      </c>
      <c r="O44" s="1"/>
      <c r="P44" s="35"/>
      <c r="Q44" s="33">
        <f t="shared" si="1"/>
        <v>0</v>
      </c>
      <c r="R44" s="1"/>
      <c r="S44" s="419">
        <f t="shared" si="2"/>
        <v>0</v>
      </c>
      <c r="T44" s="33">
        <f t="shared" si="3"/>
        <v>0</v>
      </c>
      <c r="U44" s="795">
        <f t="shared" si="6"/>
        <v>0</v>
      </c>
      <c r="V44" s="796"/>
    </row>
    <row r="45" spans="1:22">
      <c r="A45" s="421"/>
      <c r="B45" s="791"/>
      <c r="C45" s="792"/>
      <c r="D45" s="792"/>
      <c r="E45" s="792"/>
      <c r="F45" s="792"/>
      <c r="G45" s="793"/>
      <c r="H45" s="27"/>
      <c r="I45" s="422"/>
      <c r="J45" s="28"/>
      <c r="K45" s="23">
        <f t="shared" si="0"/>
        <v>0</v>
      </c>
      <c r="M45" s="418"/>
      <c r="N45" s="33">
        <f t="shared" si="5"/>
        <v>0</v>
      </c>
      <c r="O45" s="2"/>
      <c r="P45" s="418"/>
      <c r="Q45" s="33">
        <f t="shared" si="1"/>
        <v>0</v>
      </c>
      <c r="R45" s="34"/>
      <c r="S45" s="419">
        <f t="shared" si="2"/>
        <v>0</v>
      </c>
      <c r="T45" s="33">
        <f t="shared" si="3"/>
        <v>0</v>
      </c>
      <c r="U45" s="795">
        <f t="shared" si="6"/>
        <v>0</v>
      </c>
      <c r="V45" s="796"/>
    </row>
    <row r="46" spans="1:22">
      <c r="A46" s="421"/>
      <c r="B46" s="791"/>
      <c r="C46" s="792"/>
      <c r="D46" s="792"/>
      <c r="E46" s="792"/>
      <c r="F46" s="792"/>
      <c r="G46" s="793"/>
      <c r="H46" s="27"/>
      <c r="I46" s="422"/>
      <c r="J46" s="28"/>
      <c r="K46" s="23">
        <f t="shared" si="0"/>
        <v>0</v>
      </c>
      <c r="M46" s="418"/>
      <c r="N46" s="33">
        <f t="shared" si="5"/>
        <v>0</v>
      </c>
      <c r="O46" s="1"/>
      <c r="P46" s="35"/>
      <c r="Q46" s="33">
        <f t="shared" si="1"/>
        <v>0</v>
      </c>
      <c r="R46" s="1"/>
      <c r="S46" s="419">
        <f t="shared" si="2"/>
        <v>0</v>
      </c>
      <c r="T46" s="33">
        <f t="shared" si="3"/>
        <v>0</v>
      </c>
      <c r="U46" s="795">
        <f t="shared" si="6"/>
        <v>0</v>
      </c>
      <c r="V46" s="796"/>
    </row>
    <row r="47" spans="1:22">
      <c r="A47" s="421"/>
      <c r="B47" s="791"/>
      <c r="C47" s="792"/>
      <c r="D47" s="792"/>
      <c r="E47" s="792"/>
      <c r="F47" s="792"/>
      <c r="G47" s="793"/>
      <c r="H47" s="27"/>
      <c r="I47" s="422"/>
      <c r="J47" s="28"/>
      <c r="K47" s="23">
        <f t="shared" si="0"/>
        <v>0</v>
      </c>
      <c r="M47" s="418"/>
      <c r="N47" s="33">
        <f t="shared" si="5"/>
        <v>0</v>
      </c>
      <c r="O47" s="2"/>
      <c r="P47" s="418"/>
      <c r="Q47" s="33">
        <f t="shared" si="1"/>
        <v>0</v>
      </c>
      <c r="R47" s="34"/>
      <c r="S47" s="419">
        <f t="shared" si="2"/>
        <v>0</v>
      </c>
      <c r="T47" s="33">
        <f t="shared" si="3"/>
        <v>0</v>
      </c>
      <c r="U47" s="795">
        <f t="shared" si="6"/>
        <v>0</v>
      </c>
      <c r="V47" s="796"/>
    </row>
    <row r="48" spans="1:22">
      <c r="A48" s="423"/>
      <c r="B48" s="791"/>
      <c r="C48" s="792"/>
      <c r="D48" s="792"/>
      <c r="E48" s="792"/>
      <c r="F48" s="792"/>
      <c r="G48" s="793"/>
      <c r="H48" s="27"/>
      <c r="I48" s="422"/>
      <c r="J48" s="28"/>
      <c r="K48" s="23">
        <f t="shared" si="0"/>
        <v>0</v>
      </c>
      <c r="M48" s="418"/>
      <c r="N48" s="33">
        <f t="shared" si="5"/>
        <v>0</v>
      </c>
      <c r="O48" s="1"/>
      <c r="P48" s="35"/>
      <c r="Q48" s="33">
        <f t="shared" si="1"/>
        <v>0</v>
      </c>
      <c r="R48" s="1"/>
      <c r="S48" s="419">
        <f t="shared" si="2"/>
        <v>0</v>
      </c>
      <c r="T48" s="33">
        <f t="shared" si="3"/>
        <v>0</v>
      </c>
      <c r="U48" s="795">
        <f t="shared" si="6"/>
        <v>0</v>
      </c>
      <c r="V48" s="796"/>
    </row>
    <row r="49" spans="1:22">
      <c r="A49" s="421"/>
      <c r="B49" s="791"/>
      <c r="C49" s="792"/>
      <c r="D49" s="792"/>
      <c r="E49" s="792"/>
      <c r="F49" s="792"/>
      <c r="G49" s="793"/>
      <c r="H49" s="27"/>
      <c r="I49" s="422"/>
      <c r="J49" s="28"/>
      <c r="K49" s="23">
        <f t="shared" si="0"/>
        <v>0</v>
      </c>
      <c r="M49" s="418"/>
      <c r="N49" s="33">
        <f t="shared" si="5"/>
        <v>0</v>
      </c>
      <c r="O49" s="2"/>
      <c r="P49" s="418"/>
      <c r="Q49" s="33">
        <f t="shared" si="1"/>
        <v>0</v>
      </c>
      <c r="R49" s="34"/>
      <c r="S49" s="419">
        <f t="shared" si="2"/>
        <v>0</v>
      </c>
      <c r="T49" s="33">
        <f t="shared" si="3"/>
        <v>0</v>
      </c>
      <c r="U49" s="795">
        <f t="shared" si="6"/>
        <v>0</v>
      </c>
      <c r="V49" s="796"/>
    </row>
    <row r="50" spans="1:22">
      <c r="A50" s="421"/>
      <c r="B50" s="791"/>
      <c r="C50" s="792"/>
      <c r="D50" s="792"/>
      <c r="E50" s="792"/>
      <c r="F50" s="792"/>
      <c r="G50" s="793"/>
      <c r="H50" s="27"/>
      <c r="I50" s="422"/>
      <c r="J50" s="28"/>
      <c r="K50" s="23">
        <f t="shared" si="0"/>
        <v>0</v>
      </c>
      <c r="M50" s="418"/>
      <c r="N50" s="33">
        <f t="shared" si="5"/>
        <v>0</v>
      </c>
      <c r="O50" s="1"/>
      <c r="P50" s="35"/>
      <c r="Q50" s="33">
        <f t="shared" si="1"/>
        <v>0</v>
      </c>
      <c r="R50" s="1"/>
      <c r="S50" s="419">
        <f t="shared" si="2"/>
        <v>0</v>
      </c>
      <c r="T50" s="33">
        <f t="shared" si="3"/>
        <v>0</v>
      </c>
      <c r="U50" s="795">
        <f t="shared" si="6"/>
        <v>0</v>
      </c>
      <c r="V50" s="796"/>
    </row>
    <row r="51" spans="1:22">
      <c r="A51" s="421"/>
      <c r="B51" s="791"/>
      <c r="C51" s="792"/>
      <c r="D51" s="792"/>
      <c r="E51" s="792"/>
      <c r="F51" s="792"/>
      <c r="G51" s="793"/>
      <c r="H51" s="27"/>
      <c r="I51" s="422"/>
      <c r="J51" s="28"/>
      <c r="K51" s="23">
        <f t="shared" si="0"/>
        <v>0</v>
      </c>
      <c r="M51" s="418"/>
      <c r="N51" s="33">
        <f t="shared" si="5"/>
        <v>0</v>
      </c>
      <c r="O51" s="2"/>
      <c r="P51" s="418"/>
      <c r="Q51" s="33">
        <f t="shared" si="1"/>
        <v>0</v>
      </c>
      <c r="R51" s="34"/>
      <c r="S51" s="419">
        <f t="shared" si="2"/>
        <v>0</v>
      </c>
      <c r="T51" s="33">
        <f t="shared" si="3"/>
        <v>0</v>
      </c>
      <c r="U51" s="795">
        <f t="shared" si="6"/>
        <v>0</v>
      </c>
      <c r="V51" s="796"/>
    </row>
    <row r="52" spans="1:22">
      <c r="A52" s="421"/>
      <c r="B52" s="791"/>
      <c r="C52" s="792"/>
      <c r="D52" s="792"/>
      <c r="E52" s="792"/>
      <c r="F52" s="792"/>
      <c r="G52" s="793"/>
      <c r="H52" s="27"/>
      <c r="I52" s="422"/>
      <c r="J52" s="29"/>
      <c r="K52" s="23">
        <f t="shared" si="0"/>
        <v>0</v>
      </c>
      <c r="M52" s="418"/>
      <c r="N52" s="33">
        <f t="shared" si="5"/>
        <v>0</v>
      </c>
      <c r="O52" s="1"/>
      <c r="P52" s="35"/>
      <c r="Q52" s="33">
        <f t="shared" si="1"/>
        <v>0</v>
      </c>
      <c r="R52" s="1"/>
      <c r="S52" s="419">
        <f t="shared" si="2"/>
        <v>0</v>
      </c>
      <c r="T52" s="33">
        <f t="shared" si="3"/>
        <v>0</v>
      </c>
      <c r="U52" s="795">
        <f t="shared" si="6"/>
        <v>0</v>
      </c>
      <c r="V52" s="796"/>
    </row>
    <row r="53" spans="1:22">
      <c r="A53" s="421"/>
      <c r="B53" s="791"/>
      <c r="C53" s="792"/>
      <c r="D53" s="792"/>
      <c r="E53" s="792"/>
      <c r="F53" s="792"/>
      <c r="G53" s="793"/>
      <c r="H53" s="27"/>
      <c r="I53" s="422"/>
      <c r="J53" s="29"/>
      <c r="K53" s="23">
        <f t="shared" si="0"/>
        <v>0</v>
      </c>
      <c r="M53" s="418"/>
      <c r="N53" s="33">
        <f t="shared" si="5"/>
        <v>0</v>
      </c>
      <c r="O53" s="2"/>
      <c r="P53" s="418"/>
      <c r="Q53" s="33">
        <f t="shared" si="1"/>
        <v>0</v>
      </c>
      <c r="R53" s="34"/>
      <c r="S53" s="419">
        <f t="shared" si="2"/>
        <v>0</v>
      </c>
      <c r="T53" s="33">
        <f t="shared" si="3"/>
        <v>0</v>
      </c>
      <c r="U53" s="795">
        <f t="shared" si="6"/>
        <v>0</v>
      </c>
      <c r="V53" s="796"/>
    </row>
    <row r="54" spans="1:22">
      <c r="A54" s="421"/>
      <c r="B54" s="791"/>
      <c r="C54" s="792"/>
      <c r="D54" s="792"/>
      <c r="E54" s="792"/>
      <c r="F54" s="792"/>
      <c r="G54" s="793"/>
      <c r="H54" s="27"/>
      <c r="I54" s="422"/>
      <c r="J54" s="29"/>
      <c r="K54" s="23">
        <f t="shared" si="0"/>
        <v>0</v>
      </c>
      <c r="M54" s="418"/>
      <c r="N54" s="33">
        <f t="shared" si="5"/>
        <v>0</v>
      </c>
      <c r="O54" s="1"/>
      <c r="P54" s="35"/>
      <c r="Q54" s="33">
        <f t="shared" si="1"/>
        <v>0</v>
      </c>
      <c r="R54" s="1"/>
      <c r="S54" s="419">
        <f t="shared" si="2"/>
        <v>0</v>
      </c>
      <c r="T54" s="33">
        <f t="shared" si="3"/>
        <v>0</v>
      </c>
      <c r="U54" s="795">
        <f t="shared" si="6"/>
        <v>0</v>
      </c>
      <c r="V54" s="796"/>
    </row>
    <row r="55" spans="1:22">
      <c r="A55" s="421"/>
      <c r="B55" s="791"/>
      <c r="C55" s="792"/>
      <c r="D55" s="792"/>
      <c r="E55" s="792"/>
      <c r="F55" s="792"/>
      <c r="G55" s="793"/>
      <c r="H55" s="27"/>
      <c r="I55" s="422"/>
      <c r="J55" s="29"/>
      <c r="K55" s="23">
        <f t="shared" si="0"/>
        <v>0</v>
      </c>
      <c r="M55" s="418"/>
      <c r="N55" s="33">
        <f t="shared" si="5"/>
        <v>0</v>
      </c>
      <c r="O55" s="2"/>
      <c r="P55" s="418"/>
      <c r="Q55" s="33">
        <f t="shared" si="1"/>
        <v>0</v>
      </c>
      <c r="R55" s="34"/>
      <c r="S55" s="419">
        <f t="shared" si="2"/>
        <v>0</v>
      </c>
      <c r="T55" s="33">
        <f t="shared" si="3"/>
        <v>0</v>
      </c>
      <c r="U55" s="795">
        <f t="shared" si="6"/>
        <v>0</v>
      </c>
      <c r="V55" s="796"/>
    </row>
    <row r="56" spans="1:22">
      <c r="A56" s="416"/>
      <c r="B56" s="791"/>
      <c r="C56" s="792"/>
      <c r="D56" s="792"/>
      <c r="E56" s="792"/>
      <c r="F56" s="792"/>
      <c r="G56" s="793"/>
      <c r="H56" s="30"/>
      <c r="I56" s="424"/>
      <c r="J56" s="31"/>
      <c r="K56" s="23">
        <f t="shared" si="0"/>
        <v>0</v>
      </c>
      <c r="M56" s="418"/>
      <c r="N56" s="33">
        <f>+ROUND((ROUNDDOWN(M56,2))*J56,2)</f>
        <v>0</v>
      </c>
      <c r="O56" s="2"/>
      <c r="P56" s="418"/>
      <c r="Q56" s="33">
        <f>+ROUND(P56*J56,2)</f>
        <v>0</v>
      </c>
      <c r="R56" s="34"/>
      <c r="S56" s="419">
        <f>+M56+P56</f>
        <v>0</v>
      </c>
      <c r="T56" s="33">
        <f>+ROUND((ROUNDDOWN(S56,2))*J56,2)</f>
        <v>0</v>
      </c>
      <c r="U56" s="795">
        <f>IF(K56=0,0)+IF(K56&gt;0,T56/K56)</f>
        <v>0</v>
      </c>
      <c r="V56" s="796"/>
    </row>
    <row r="57" spans="1:22">
      <c r="A57" s="425"/>
      <c r="B57" s="36"/>
      <c r="C57" s="36"/>
      <c r="D57" s="36"/>
      <c r="E57" s="36"/>
      <c r="F57" s="36"/>
      <c r="G57" s="36"/>
      <c r="H57" s="13"/>
      <c r="I57" s="14"/>
      <c r="J57" s="15"/>
      <c r="K57" s="25"/>
    </row>
    <row r="58" spans="1:22">
      <c r="A58" s="420"/>
      <c r="B58" s="797" t="s">
        <v>511</v>
      </c>
      <c r="C58" s="798"/>
      <c r="D58" s="798"/>
      <c r="E58" s="798"/>
      <c r="F58" s="798"/>
      <c r="G58" s="799"/>
      <c r="H58" s="11"/>
      <c r="I58" s="12"/>
      <c r="J58" s="16"/>
      <c r="K58" s="26">
        <f>SUM(K6:K56)</f>
        <v>0</v>
      </c>
      <c r="N58" s="26">
        <f>ROUND(SUM(N6:N56),2)</f>
        <v>0</v>
      </c>
      <c r="Q58" s="26">
        <f>ROUND(SUM(Q6:Q56),2)</f>
        <v>0</v>
      </c>
      <c r="T58" s="26">
        <f>ROUND(SUM(T6:T56),2)</f>
        <v>0</v>
      </c>
      <c r="U58" s="800">
        <f>IF(K58=0,0)+IF(K58&gt;0,T58/K58)</f>
        <v>0</v>
      </c>
      <c r="V58" s="801"/>
    </row>
  </sheetData>
  <mergeCells count="105">
    <mergeCell ref="B58:G58"/>
    <mergeCell ref="U58:V58"/>
    <mergeCell ref="B54:G54"/>
    <mergeCell ref="U54:V54"/>
    <mergeCell ref="B55:G55"/>
    <mergeCell ref="U55:V55"/>
    <mergeCell ref="B56:G56"/>
    <mergeCell ref="U56:V56"/>
    <mergeCell ref="B51:G51"/>
    <mergeCell ref="U51:V51"/>
    <mergeCell ref="B52:G52"/>
    <mergeCell ref="U52:V52"/>
    <mergeCell ref="B53:G53"/>
    <mergeCell ref="U53:V53"/>
    <mergeCell ref="B48:G48"/>
    <mergeCell ref="U48:V48"/>
    <mergeCell ref="B49:G49"/>
    <mergeCell ref="U49:V49"/>
    <mergeCell ref="B50:G50"/>
    <mergeCell ref="U50:V50"/>
    <mergeCell ref="B45:G45"/>
    <mergeCell ref="U45:V45"/>
    <mergeCell ref="B46:G46"/>
    <mergeCell ref="U46:V46"/>
    <mergeCell ref="B47:G47"/>
    <mergeCell ref="U47:V47"/>
    <mergeCell ref="B42:G42"/>
    <mergeCell ref="U42:V42"/>
    <mergeCell ref="B43:G43"/>
    <mergeCell ref="U43:V43"/>
    <mergeCell ref="B44:G44"/>
    <mergeCell ref="U44:V44"/>
    <mergeCell ref="B39:G39"/>
    <mergeCell ref="U39:V39"/>
    <mergeCell ref="B40:G40"/>
    <mergeCell ref="U40:V40"/>
    <mergeCell ref="B41:G41"/>
    <mergeCell ref="U41:V41"/>
    <mergeCell ref="B36:G36"/>
    <mergeCell ref="U36:V36"/>
    <mergeCell ref="B37:G37"/>
    <mergeCell ref="U37:V37"/>
    <mergeCell ref="B38:G38"/>
    <mergeCell ref="U38:V38"/>
    <mergeCell ref="B33:G33"/>
    <mergeCell ref="U33:V33"/>
    <mergeCell ref="B34:G34"/>
    <mergeCell ref="U34:V34"/>
    <mergeCell ref="B35:G35"/>
    <mergeCell ref="U35:V35"/>
    <mergeCell ref="B30:G30"/>
    <mergeCell ref="U30:V30"/>
    <mergeCell ref="B31:G31"/>
    <mergeCell ref="U31:V31"/>
    <mergeCell ref="B32:G32"/>
    <mergeCell ref="U32:V32"/>
    <mergeCell ref="B27:G27"/>
    <mergeCell ref="U27:V27"/>
    <mergeCell ref="B28:G28"/>
    <mergeCell ref="U28:V28"/>
    <mergeCell ref="B29:G29"/>
    <mergeCell ref="U29:V29"/>
    <mergeCell ref="B24:G24"/>
    <mergeCell ref="U24:V24"/>
    <mergeCell ref="B25:G25"/>
    <mergeCell ref="U25:V25"/>
    <mergeCell ref="B26:G26"/>
    <mergeCell ref="U26:V26"/>
    <mergeCell ref="B21:G21"/>
    <mergeCell ref="U21:V21"/>
    <mergeCell ref="B22:G22"/>
    <mergeCell ref="U22:V22"/>
    <mergeCell ref="B23:G23"/>
    <mergeCell ref="U23:V23"/>
    <mergeCell ref="B18:G18"/>
    <mergeCell ref="U18:V18"/>
    <mergeCell ref="B19:G19"/>
    <mergeCell ref="U19:V19"/>
    <mergeCell ref="B20:G20"/>
    <mergeCell ref="U20:V20"/>
    <mergeCell ref="B15:G15"/>
    <mergeCell ref="U15:V15"/>
    <mergeCell ref="B16:G16"/>
    <mergeCell ref="U16:V16"/>
    <mergeCell ref="B17:G17"/>
    <mergeCell ref="U17:V17"/>
    <mergeCell ref="B13:G13"/>
    <mergeCell ref="U13:V13"/>
    <mergeCell ref="B14:G14"/>
    <mergeCell ref="U14:V14"/>
    <mergeCell ref="B9:G9"/>
    <mergeCell ref="U9:V9"/>
    <mergeCell ref="B10:G10"/>
    <mergeCell ref="U10:V10"/>
    <mergeCell ref="B11:G11"/>
    <mergeCell ref="U11:V11"/>
    <mergeCell ref="B5:G5"/>
    <mergeCell ref="B6:G6"/>
    <mergeCell ref="U6:V6"/>
    <mergeCell ref="B7:G7"/>
    <mergeCell ref="U7:V7"/>
    <mergeCell ref="B8:G8"/>
    <mergeCell ref="U8:V8"/>
    <mergeCell ref="B12:G12"/>
    <mergeCell ref="U12:V1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A6F4C-2F60-45BC-B6BF-86E9E6067BAC}">
  <dimension ref="A4:K72"/>
  <sheetViews>
    <sheetView topLeftCell="A55" zoomScaleNormal="100" workbookViewId="0">
      <selection activeCell="M6" sqref="M6"/>
    </sheetView>
  </sheetViews>
  <sheetFormatPr defaultColWidth="11" defaultRowHeight="12.75"/>
  <cols>
    <col min="1" max="1" width="4.5" style="428" customWidth="1"/>
    <col min="2" max="2" width="52.25" style="428" customWidth="1"/>
    <col min="3" max="3" width="16.75" style="428" customWidth="1"/>
    <col min="4" max="4" width="14.625" style="428" customWidth="1"/>
    <col min="5" max="5" width="16.75" style="428" customWidth="1"/>
    <col min="6" max="6" width="14.625" style="428" customWidth="1"/>
    <col min="7" max="7" width="16.375" style="428" customWidth="1"/>
    <col min="8" max="8" width="14" style="428" customWidth="1"/>
    <col min="9" max="9" width="16" style="429" customWidth="1"/>
    <col min="10" max="10" width="16.125" style="428" customWidth="1"/>
    <col min="11" max="11" width="14.375" style="428" customWidth="1"/>
    <col min="12" max="12" width="13.125" style="428" customWidth="1"/>
    <col min="13" max="13" width="13.625" style="428" customWidth="1"/>
    <col min="14" max="14" width="15.375" style="428" customWidth="1"/>
    <col min="15" max="15" width="14.75" style="428" customWidth="1"/>
    <col min="16" max="16" width="17" style="428" customWidth="1"/>
    <col min="17" max="17" width="15.75" style="428" customWidth="1"/>
    <col min="18" max="18" width="13.375" style="428" customWidth="1"/>
    <col min="19" max="19" width="13.625" style="428" customWidth="1"/>
    <col min="20" max="20" width="14.25" style="428" customWidth="1"/>
    <col min="21" max="21" width="15.75" style="428" customWidth="1"/>
    <col min="22" max="22" width="14.75" style="428" customWidth="1"/>
    <col min="23" max="23" width="16.625" style="428" customWidth="1"/>
    <col min="24" max="24" width="14.75" style="428" customWidth="1"/>
    <col min="25" max="25" width="14.375" style="428" customWidth="1"/>
    <col min="26" max="26" width="14.625" style="428" customWidth="1"/>
    <col min="27" max="27" width="13.75" style="428" customWidth="1"/>
    <col min="28" max="28" width="14.25" style="428" customWidth="1"/>
    <col min="29" max="29" width="16.75" style="428" customWidth="1"/>
    <col min="30" max="30" width="16.125" style="428" customWidth="1"/>
    <col min="31" max="31" width="16.375" style="428" customWidth="1"/>
    <col min="32" max="32" width="15.25" style="428" customWidth="1"/>
    <col min="33" max="33" width="15" style="428" customWidth="1"/>
    <col min="34" max="34" width="15.625" style="428" customWidth="1"/>
    <col min="35" max="35" width="15" style="428" customWidth="1"/>
    <col min="36" max="16384" width="11" style="428"/>
  </cols>
  <sheetData>
    <row r="4" spans="2:9" ht="26.25" customHeight="1">
      <c r="B4" s="810" t="s">
        <v>512</v>
      </c>
      <c r="C4" s="810"/>
      <c r="D4" s="810"/>
      <c r="E4" s="810"/>
      <c r="F4" s="810"/>
    </row>
    <row r="5" spans="2:9" ht="13.5" thickBot="1"/>
    <row r="6" spans="2:9" ht="14.25" thickTop="1" thickBot="1">
      <c r="B6" s="430" t="s">
        <v>513</v>
      </c>
      <c r="C6" s="431">
        <v>100</v>
      </c>
      <c r="E6" s="432"/>
      <c r="F6" s="432"/>
    </row>
    <row r="7" spans="2:9" ht="14.25" thickTop="1" thickBot="1">
      <c r="B7" s="433"/>
      <c r="C7" s="433"/>
      <c r="E7" s="432"/>
      <c r="F7" s="432"/>
      <c r="G7" s="429"/>
    </row>
    <row r="8" spans="2:9" ht="14.25" thickTop="1" thickBot="1">
      <c r="B8" s="430" t="s">
        <v>514</v>
      </c>
      <c r="C8" s="431">
        <v>1</v>
      </c>
    </row>
    <row r="9" spans="2:9" ht="13.5" thickTop="1"/>
    <row r="10" spans="2:9" ht="25.5">
      <c r="F10" s="434" t="s">
        <v>515</v>
      </c>
      <c r="I10" s="428"/>
    </row>
    <row r="11" spans="2:9">
      <c r="F11" s="253">
        <v>1.0723</v>
      </c>
      <c r="I11" s="428"/>
    </row>
    <row r="12" spans="2:9" ht="32.25" customHeight="1">
      <c r="B12" s="802" t="s">
        <v>144</v>
      </c>
      <c r="C12" s="803"/>
      <c r="D12" s="803"/>
      <c r="E12" s="803"/>
      <c r="F12" s="804"/>
      <c r="I12" s="428"/>
    </row>
    <row r="13" spans="2:9" ht="13.5" thickBot="1">
      <c r="I13" s="428"/>
    </row>
    <row r="14" spans="2:9" ht="25.5" customHeight="1" thickTop="1" thickBot="1">
      <c r="B14" s="435" t="s">
        <v>516</v>
      </c>
      <c r="C14" s="433"/>
      <c r="D14" s="433"/>
      <c r="E14" s="436"/>
      <c r="F14" s="437">
        <f>+F54/C6/C8</f>
        <v>138860.16925000001</v>
      </c>
      <c r="I14" s="428"/>
    </row>
    <row r="15" spans="2:9" ht="14.25" thickTop="1" thickBot="1">
      <c r="B15" s="438"/>
      <c r="I15" s="428"/>
    </row>
    <row r="16" spans="2:9" ht="31.5" customHeight="1" thickTop="1" thickBot="1">
      <c r="B16" s="805" t="s">
        <v>517</v>
      </c>
      <c r="C16" s="806"/>
      <c r="D16" s="806"/>
      <c r="E16" s="807"/>
      <c r="F16" s="439">
        <f>+F14*C6</f>
        <v>13886016.925000001</v>
      </c>
      <c r="I16" s="428"/>
    </row>
    <row r="17" spans="1:9" ht="14.25" thickTop="1" thickBot="1">
      <c r="B17" s="438"/>
      <c r="F17" s="438"/>
      <c r="I17" s="428"/>
    </row>
    <row r="18" spans="1:9" ht="31.5" customHeight="1" thickTop="1" thickBot="1">
      <c r="B18" s="805" t="s">
        <v>518</v>
      </c>
      <c r="C18" s="806"/>
      <c r="D18" s="806"/>
      <c r="E18" s="807"/>
      <c r="F18" s="439">
        <f>+F16*$C$8</f>
        <v>13886016.925000001</v>
      </c>
      <c r="I18" s="428"/>
    </row>
    <row r="19" spans="1:9" ht="13.5" thickTop="1">
      <c r="B19" s="438"/>
      <c r="I19" s="428"/>
    </row>
    <row r="20" spans="1:9" ht="31.5" customHeight="1">
      <c r="B20" s="440" t="s">
        <v>519</v>
      </c>
      <c r="C20" s="441"/>
      <c r="D20" s="441"/>
      <c r="E20" s="441"/>
      <c r="F20" s="442"/>
      <c r="I20" s="428"/>
    </row>
    <row r="21" spans="1:9" ht="13.5" thickBot="1">
      <c r="B21" s="438"/>
      <c r="I21" s="428"/>
    </row>
    <row r="22" spans="1:9" ht="31.5" customHeight="1" thickTop="1" thickBot="1">
      <c r="B22" s="443" t="s">
        <v>143</v>
      </c>
      <c r="C22" s="433"/>
      <c r="D22" s="433"/>
      <c r="E22" s="436"/>
      <c r="F22" s="439">
        <f>+$F$70</f>
        <v>0</v>
      </c>
      <c r="I22" s="428"/>
    </row>
    <row r="23" spans="1:9" ht="13.5" thickTop="1">
      <c r="B23" s="438"/>
      <c r="I23" s="428"/>
    </row>
    <row r="24" spans="1:9" ht="16.5" customHeight="1" thickBot="1">
      <c r="B24" s="438"/>
      <c r="I24" s="428"/>
    </row>
    <row r="25" spans="1:9" ht="31.5" customHeight="1" thickTop="1" thickBot="1">
      <c r="B25" s="444" t="s">
        <v>520</v>
      </c>
      <c r="C25" s="445"/>
      <c r="D25" s="445"/>
      <c r="E25" s="446"/>
      <c r="F25" s="447"/>
      <c r="I25" s="428"/>
    </row>
    <row r="26" spans="1:9" ht="13.5" thickTop="1">
      <c r="F26" s="429"/>
      <c r="I26" s="428"/>
    </row>
    <row r="27" spans="1:9" ht="13.5" thickBot="1"/>
    <row r="28" spans="1:9" ht="26.25" thickBot="1">
      <c r="A28" s="448" t="s">
        <v>521</v>
      </c>
      <c r="B28" s="449" t="s">
        <v>522</v>
      </c>
      <c r="C28" s="449" t="s">
        <v>523</v>
      </c>
      <c r="D28" s="450" t="s">
        <v>524</v>
      </c>
      <c r="E28" s="449" t="s">
        <v>525</v>
      </c>
      <c r="F28" s="451" t="s">
        <v>526</v>
      </c>
    </row>
    <row r="29" spans="1:9" ht="4.5" customHeight="1">
      <c r="A29" s="452"/>
      <c r="B29" s="452"/>
      <c r="C29" s="452"/>
      <c r="D29" s="452"/>
      <c r="E29" s="452"/>
    </row>
    <row r="30" spans="1:9">
      <c r="A30" s="453"/>
      <c r="B30" s="453" t="s">
        <v>527</v>
      </c>
      <c r="C30" s="453"/>
      <c r="D30" s="453"/>
      <c r="E30" s="453"/>
      <c r="F30" s="454"/>
    </row>
    <row r="31" spans="1:9">
      <c r="A31" s="453">
        <v>1</v>
      </c>
      <c r="B31" s="455" t="s">
        <v>528</v>
      </c>
      <c r="C31" s="453" t="s">
        <v>529</v>
      </c>
      <c r="D31" s="453">
        <f>+'[20]BASE 100 PERSONAS'!D14*$C$6/100*$C$8</f>
        <v>50</v>
      </c>
      <c r="E31" s="456">
        <f>12000*$F$11</f>
        <v>12867.6</v>
      </c>
      <c r="F31" s="456">
        <f t="shared" ref="F31:F38" si="0">(D31*E31)</f>
        <v>643380</v>
      </c>
    </row>
    <row r="32" spans="1:9">
      <c r="A32" s="453">
        <v>2</v>
      </c>
      <c r="B32" s="455" t="s">
        <v>530</v>
      </c>
      <c r="C32" s="453" t="s">
        <v>531</v>
      </c>
      <c r="D32" s="453">
        <f>+'[20]BASE 100 PERSONAS'!D15*$C$6/100*$C$8</f>
        <v>50</v>
      </c>
      <c r="E32" s="456">
        <f>20000*$F$11</f>
        <v>21446</v>
      </c>
      <c r="F32" s="456">
        <f t="shared" si="0"/>
        <v>1072300</v>
      </c>
    </row>
    <row r="33" spans="1:11">
      <c r="A33" s="453">
        <v>3</v>
      </c>
      <c r="B33" s="455" t="s">
        <v>532</v>
      </c>
      <c r="C33" s="453" t="s">
        <v>529</v>
      </c>
      <c r="D33" s="453">
        <f>+'[20]BASE 100 PERSONAS'!D16*$C$6/100*$C$8</f>
        <v>50</v>
      </c>
      <c r="E33" s="456">
        <f>11500*$F$11</f>
        <v>12331.45</v>
      </c>
      <c r="F33" s="456">
        <f t="shared" si="0"/>
        <v>616572.5</v>
      </c>
    </row>
    <row r="34" spans="1:11">
      <c r="A34" s="453">
        <v>4</v>
      </c>
      <c r="B34" s="455" t="s">
        <v>533</v>
      </c>
      <c r="C34" s="453" t="s">
        <v>534</v>
      </c>
      <c r="D34" s="453">
        <f>+'[20]BASE 100 PERSONAS'!D17*$C$6/100*$C$8</f>
        <v>10</v>
      </c>
      <c r="E34" s="456">
        <f>74000*$F$11</f>
        <v>79350.2</v>
      </c>
      <c r="F34" s="456">
        <f t="shared" si="0"/>
        <v>793502</v>
      </c>
    </row>
    <row r="35" spans="1:11">
      <c r="A35" s="453">
        <v>5</v>
      </c>
      <c r="B35" s="455" t="s">
        <v>535</v>
      </c>
      <c r="C35" s="453" t="s">
        <v>536</v>
      </c>
      <c r="D35" s="453">
        <f>+'[20]BASE 100 PERSONAS'!D18*C8</f>
        <v>1</v>
      </c>
      <c r="E35" s="456">
        <f>'[20]BASE 100 PERSONAS'!E18*C6/100*F11</f>
        <v>214460</v>
      </c>
      <c r="F35" s="456">
        <f t="shared" si="0"/>
        <v>214460</v>
      </c>
      <c r="I35" s="457"/>
      <c r="J35" s="429"/>
      <c r="K35" s="458"/>
    </row>
    <row r="36" spans="1:11">
      <c r="A36" s="453">
        <v>6</v>
      </c>
      <c r="B36" s="455" t="s">
        <v>537</v>
      </c>
      <c r="C36" s="453" t="s">
        <v>538</v>
      </c>
      <c r="D36" s="453">
        <f>+'[20]BASE 100 PERSONAS'!D19*$C$6/100*$C$8</f>
        <v>25</v>
      </c>
      <c r="E36" s="456">
        <f>20900*$F$11</f>
        <v>22411.07</v>
      </c>
      <c r="F36" s="456">
        <f t="shared" si="0"/>
        <v>560276.75</v>
      </c>
      <c r="I36" s="428"/>
    </row>
    <row r="37" spans="1:11">
      <c r="A37" s="453">
        <v>7</v>
      </c>
      <c r="B37" s="459" t="s">
        <v>539</v>
      </c>
      <c r="C37" s="453" t="s">
        <v>534</v>
      </c>
      <c r="D37" s="453">
        <f>+'[20]BASE 100 PERSONAS'!D20*$C$6/100*$C$8</f>
        <v>50</v>
      </c>
      <c r="E37" s="456">
        <f>9000*$F$11</f>
        <v>9650.7000000000007</v>
      </c>
      <c r="F37" s="456">
        <f t="shared" si="0"/>
        <v>482535.00000000006</v>
      </c>
      <c r="I37" s="457"/>
      <c r="J37" s="429"/>
      <c r="K37" s="458"/>
    </row>
    <row r="38" spans="1:11">
      <c r="A38" s="453">
        <v>8</v>
      </c>
      <c r="B38" s="459" t="s">
        <v>540</v>
      </c>
      <c r="C38" s="453" t="s">
        <v>116</v>
      </c>
      <c r="D38" s="453">
        <f>+'[20]BASE 100 PERSONAS'!D21*$C$6/100*$C$8</f>
        <v>1000</v>
      </c>
      <c r="E38" s="456">
        <f>3000*$F$11</f>
        <v>3216.9</v>
      </c>
      <c r="F38" s="456">
        <f t="shared" si="0"/>
        <v>3216900</v>
      </c>
      <c r="I38" s="428"/>
    </row>
    <row r="39" spans="1:11">
      <c r="A39" s="453"/>
      <c r="B39" s="460" t="s">
        <v>541</v>
      </c>
      <c r="C39" s="453"/>
      <c r="D39" s="461"/>
      <c r="E39" s="456"/>
      <c r="F39" s="456">
        <f>SUM(F31:F38)</f>
        <v>7599926.25</v>
      </c>
      <c r="I39" s="457"/>
      <c r="J39" s="429"/>
      <c r="K39" s="458"/>
    </row>
    <row r="40" spans="1:11">
      <c r="A40" s="453"/>
      <c r="B40" s="460"/>
      <c r="C40" s="453"/>
      <c r="D40" s="461"/>
      <c r="E40" s="456"/>
      <c r="F40" s="456"/>
      <c r="I40" s="457"/>
    </row>
    <row r="41" spans="1:11">
      <c r="A41" s="453"/>
      <c r="B41" s="453" t="s">
        <v>542</v>
      </c>
      <c r="C41" s="453"/>
      <c r="D41" s="461"/>
      <c r="E41" s="456"/>
      <c r="F41" s="456"/>
      <c r="I41" s="457"/>
      <c r="J41" s="429"/>
      <c r="K41" s="458"/>
    </row>
    <row r="42" spans="1:11">
      <c r="A42" s="453">
        <v>1</v>
      </c>
      <c r="B42" s="455" t="s">
        <v>543</v>
      </c>
      <c r="C42" s="453" t="s">
        <v>544</v>
      </c>
      <c r="D42" s="461">
        <f>+'[20]BASE 100 PERSONAS'!D25*$C$6/100*$C$8</f>
        <v>600</v>
      </c>
      <c r="E42" s="456">
        <f>2000*$F$11</f>
        <v>2144.6</v>
      </c>
      <c r="F42" s="456">
        <f>(D42*E42)</f>
        <v>1286760</v>
      </c>
      <c r="I42" s="428"/>
    </row>
    <row r="43" spans="1:11">
      <c r="A43" s="453">
        <v>2</v>
      </c>
      <c r="B43" s="455" t="s">
        <v>545</v>
      </c>
      <c r="C43" s="453" t="s">
        <v>544</v>
      </c>
      <c r="D43" s="461">
        <f>+'[20]BASE 100 PERSONAS'!D26*$C$6/100*$C$8</f>
        <v>5</v>
      </c>
      <c r="E43" s="456">
        <f>30000*$F$11</f>
        <v>32169</v>
      </c>
      <c r="F43" s="456">
        <f>(D43*E43)</f>
        <v>160845</v>
      </c>
      <c r="I43" s="457"/>
      <c r="J43" s="429"/>
      <c r="K43" s="458"/>
    </row>
    <row r="44" spans="1:11">
      <c r="A44" s="453"/>
      <c r="B44" s="460" t="s">
        <v>541</v>
      </c>
      <c r="C44" s="453"/>
      <c r="D44" s="461"/>
      <c r="E44" s="456"/>
      <c r="F44" s="456">
        <f>SUM(F42:F43)</f>
        <v>1447605</v>
      </c>
      <c r="I44" s="428"/>
    </row>
    <row r="45" spans="1:11">
      <c r="A45" s="453"/>
      <c r="B45" s="455"/>
      <c r="C45" s="453"/>
      <c r="D45" s="461"/>
      <c r="E45" s="456"/>
      <c r="F45" s="462"/>
      <c r="I45" s="457"/>
      <c r="J45" s="429"/>
      <c r="K45" s="458"/>
    </row>
    <row r="46" spans="1:11">
      <c r="A46" s="453"/>
      <c r="B46" s="453" t="s">
        <v>546</v>
      </c>
      <c r="C46" s="453"/>
      <c r="D46" s="461"/>
      <c r="E46" s="456"/>
      <c r="F46" s="462"/>
      <c r="I46" s="428"/>
    </row>
    <row r="47" spans="1:11" ht="63.75">
      <c r="A47" s="453">
        <v>1</v>
      </c>
      <c r="B47" s="455" t="s">
        <v>547</v>
      </c>
      <c r="C47" s="453" t="s">
        <v>548</v>
      </c>
      <c r="D47" s="453">
        <f>+'[20]BASE 100 PERSONAS'!D30*C8</f>
        <v>1</v>
      </c>
      <c r="E47" s="456">
        <f>IF(AND(C6&gt;=90,C6&lt;=100),'[20]BASE 100 PERSONAS'!E30*1,IF(AND(C6&gt;=80,C6&lt;90),'[20]BASE 100 PERSONAS'!E30*0.9,IF(AND(C6&gt;=70,C6&lt;80),'[20]BASE 100 PERSONAS'!E30*0.8,IF(AND(C6&gt;=60,C6&lt;70),'[20]BASE 100 PERSONAS'!E30*0.7,IF(AND(C6&gt;=50,C6&lt;60),'[20]BASE 100 PERSONAS'!E30*0.6,IF(AND(C6&gt;=40,C6&lt;50),'[20]BASE 100 PERSONAS'!E30*0.5,IF(AND(C6&gt;=30,C6&lt;40),'[20]BASE 100 PERSONAS'!E30*0.4,IF(AND(C6&gt;=20,C6&lt;30),'[20]BASE 100 PERSONAS'!E30*0.3,IF(AND(C6&gt;=5,C6&lt;20),'[20]BASE 100 PERSONAS'!E30*0.2,"")))))))))*F11</f>
        <v>4704448.1749999998</v>
      </c>
      <c r="F47" s="456">
        <f>(D47*E47)</f>
        <v>4704448.1749999998</v>
      </c>
      <c r="I47" s="457"/>
      <c r="J47" s="429"/>
      <c r="K47" s="458"/>
    </row>
    <row r="48" spans="1:11">
      <c r="A48" s="453"/>
      <c r="B48" s="460" t="s">
        <v>541</v>
      </c>
      <c r="C48" s="453"/>
      <c r="D48" s="453"/>
      <c r="E48" s="460"/>
      <c r="F48" s="456">
        <f>SUM(F47:F47)</f>
        <v>4704448.1749999998</v>
      </c>
      <c r="I48" s="428"/>
    </row>
    <row r="49" spans="1:11">
      <c r="A49" s="453"/>
      <c r="B49" s="460"/>
      <c r="C49" s="453"/>
      <c r="D49" s="453"/>
      <c r="E49" s="460"/>
      <c r="F49" s="456"/>
      <c r="I49" s="457"/>
      <c r="J49" s="429"/>
      <c r="K49" s="458"/>
    </row>
    <row r="50" spans="1:11">
      <c r="A50" s="453"/>
      <c r="B50" s="453" t="s">
        <v>549</v>
      </c>
      <c r="C50" s="453"/>
      <c r="D50" s="453"/>
      <c r="E50" s="460"/>
      <c r="F50" s="456"/>
      <c r="I50" s="428"/>
    </row>
    <row r="51" spans="1:11">
      <c r="A51" s="453">
        <v>1</v>
      </c>
      <c r="B51" s="455" t="s">
        <v>550</v>
      </c>
      <c r="C51" s="453" t="s">
        <v>548</v>
      </c>
      <c r="D51" s="453">
        <f>+'[20]BASE 100 PERSONAS'!D34*C8</f>
        <v>1</v>
      </c>
      <c r="E51" s="456">
        <f>+'[20]BASE 100 PERSONAS'!E34*C6/100*F11</f>
        <v>134037.5</v>
      </c>
      <c r="F51" s="456">
        <f>(D51*E51)</f>
        <v>134037.5</v>
      </c>
      <c r="I51" s="457"/>
      <c r="J51" s="429"/>
      <c r="K51" s="458"/>
    </row>
    <row r="52" spans="1:11">
      <c r="A52" s="453"/>
      <c r="B52" s="460" t="s">
        <v>541</v>
      </c>
      <c r="C52" s="453"/>
      <c r="D52" s="453"/>
      <c r="E52" s="460"/>
      <c r="F52" s="456">
        <f>SUM(F51)</f>
        <v>134037.5</v>
      </c>
    </row>
    <row r="53" spans="1:11">
      <c r="A53" s="453"/>
      <c r="B53" s="460"/>
      <c r="C53" s="453"/>
      <c r="D53" s="453"/>
      <c r="E53" s="460"/>
      <c r="F53" s="456"/>
    </row>
    <row r="54" spans="1:11" ht="26.25" customHeight="1">
      <c r="A54" s="808" t="s">
        <v>551</v>
      </c>
      <c r="B54" s="809"/>
      <c r="C54" s="463"/>
      <c r="D54" s="463"/>
      <c r="E54" s="464"/>
      <c r="F54" s="465">
        <f>(F39+F44+F48+F52)</f>
        <v>13886016.925000001</v>
      </c>
    </row>
    <row r="55" spans="1:11">
      <c r="A55" s="453"/>
      <c r="B55" s="460"/>
      <c r="C55" s="453"/>
      <c r="D55" s="453"/>
      <c r="E55" s="460"/>
      <c r="F55" s="456"/>
    </row>
    <row r="56" spans="1:11">
      <c r="A56" s="453"/>
      <c r="B56" s="453" t="s">
        <v>552</v>
      </c>
      <c r="C56" s="453"/>
      <c r="D56" s="453"/>
      <c r="E56" s="453"/>
      <c r="F56" s="462"/>
    </row>
    <row r="57" spans="1:11">
      <c r="A57" s="453">
        <v>1</v>
      </c>
      <c r="B57" s="455" t="s">
        <v>553</v>
      </c>
      <c r="C57" s="453" t="s">
        <v>544</v>
      </c>
      <c r="D57" s="453"/>
      <c r="E57" s="462">
        <f>200000*F11</f>
        <v>214460</v>
      </c>
      <c r="F57" s="456">
        <f t="shared" ref="F57:F63" si="1">(D57*E57)</f>
        <v>0</v>
      </c>
    </row>
    <row r="58" spans="1:11">
      <c r="A58" s="453">
        <v>2</v>
      </c>
      <c r="B58" s="455" t="s">
        <v>554</v>
      </c>
      <c r="C58" s="453" t="s">
        <v>544</v>
      </c>
      <c r="D58" s="453"/>
      <c r="E58" s="462">
        <f>80000*F11</f>
        <v>85784</v>
      </c>
      <c r="F58" s="456">
        <f t="shared" si="1"/>
        <v>0</v>
      </c>
    </row>
    <row r="59" spans="1:11" ht="51">
      <c r="A59" s="453">
        <v>3</v>
      </c>
      <c r="B59" s="455" t="s">
        <v>555</v>
      </c>
      <c r="C59" s="453" t="s">
        <v>556</v>
      </c>
      <c r="D59" s="453"/>
      <c r="E59" s="462">
        <f>300000*F11</f>
        <v>321690</v>
      </c>
      <c r="F59" s="456">
        <f t="shared" si="1"/>
        <v>0</v>
      </c>
    </row>
    <row r="60" spans="1:11" ht="25.5">
      <c r="A60" s="453">
        <v>5</v>
      </c>
      <c r="B60" s="455" t="s">
        <v>557</v>
      </c>
      <c r="C60" s="453" t="s">
        <v>556</v>
      </c>
      <c r="D60" s="453"/>
      <c r="E60" s="462">
        <f>1700000*F11</f>
        <v>1822910</v>
      </c>
      <c r="F60" s="456">
        <f t="shared" si="1"/>
        <v>0</v>
      </c>
    </row>
    <row r="61" spans="1:11">
      <c r="A61" s="453">
        <v>6</v>
      </c>
      <c r="B61" s="455" t="s">
        <v>558</v>
      </c>
      <c r="C61" s="453" t="s">
        <v>556</v>
      </c>
      <c r="D61" s="453"/>
      <c r="E61" s="462">
        <f>400000*F11</f>
        <v>428920</v>
      </c>
      <c r="F61" s="456">
        <f t="shared" si="1"/>
        <v>0</v>
      </c>
    </row>
    <row r="62" spans="1:11">
      <c r="A62" s="453">
        <v>7</v>
      </c>
      <c r="B62" s="455" t="s">
        <v>559</v>
      </c>
      <c r="C62" s="453" t="s">
        <v>544</v>
      </c>
      <c r="D62" s="453"/>
      <c r="E62" s="462">
        <f>60000*F11</f>
        <v>64338</v>
      </c>
      <c r="F62" s="456">
        <f t="shared" si="1"/>
        <v>0</v>
      </c>
    </row>
    <row r="63" spans="1:11">
      <c r="A63" s="453">
        <v>9</v>
      </c>
      <c r="B63" s="455" t="s">
        <v>560</v>
      </c>
      <c r="C63" s="453" t="s">
        <v>544</v>
      </c>
      <c r="D63" s="453"/>
      <c r="E63" s="462">
        <f>120000*F11</f>
        <v>128676</v>
      </c>
      <c r="F63" s="456">
        <f t="shared" si="1"/>
        <v>0</v>
      </c>
    </row>
    <row r="64" spans="1:11">
      <c r="A64" s="453"/>
      <c r="B64" s="460" t="s">
        <v>541</v>
      </c>
      <c r="C64" s="453"/>
      <c r="D64" s="453"/>
      <c r="E64" s="453"/>
      <c r="F64" s="456">
        <f>SUM(F57:F63)</f>
        <v>0</v>
      </c>
    </row>
    <row r="65" spans="1:6">
      <c r="A65" s="453"/>
      <c r="B65" s="455"/>
      <c r="C65" s="453"/>
      <c r="D65" s="453"/>
      <c r="E65" s="453"/>
      <c r="F65" s="456"/>
    </row>
    <row r="66" spans="1:6">
      <c r="A66" s="453"/>
      <c r="B66" s="455" t="s">
        <v>561</v>
      </c>
      <c r="C66" s="453"/>
      <c r="D66" s="453"/>
      <c r="E66" s="453"/>
      <c r="F66" s="462"/>
    </row>
    <row r="67" spans="1:6">
      <c r="A67" s="453">
        <v>1</v>
      </c>
      <c r="B67" s="455" t="s">
        <v>562</v>
      </c>
      <c r="C67" s="453" t="s">
        <v>556</v>
      </c>
      <c r="D67" s="453"/>
      <c r="E67" s="462">
        <f>1000000*F11</f>
        <v>1072300</v>
      </c>
      <c r="F67" s="456">
        <f>(D67*E67)</f>
        <v>0</v>
      </c>
    </row>
    <row r="68" spans="1:6">
      <c r="A68" s="453"/>
      <c r="B68" s="460" t="s">
        <v>541</v>
      </c>
      <c r="C68" s="453"/>
      <c r="D68" s="453"/>
      <c r="E68" s="453"/>
      <c r="F68" s="456">
        <f>SUM(F67)</f>
        <v>0</v>
      </c>
    </row>
    <row r="69" spans="1:6">
      <c r="A69" s="453"/>
      <c r="B69" s="460"/>
      <c r="C69" s="453"/>
      <c r="D69" s="453"/>
      <c r="E69" s="453"/>
      <c r="F69" s="456"/>
    </row>
    <row r="70" spans="1:6" ht="27.75" customHeight="1">
      <c r="A70" s="463"/>
      <c r="B70" s="466" t="s">
        <v>563</v>
      </c>
      <c r="C70" s="463" t="s">
        <v>564</v>
      </c>
      <c r="D70" s="463"/>
      <c r="E70" s="463"/>
      <c r="F70" s="465">
        <f>(F64+F68)</f>
        <v>0</v>
      </c>
    </row>
    <row r="71" spans="1:6">
      <c r="A71" s="452"/>
      <c r="B71" s="452"/>
      <c r="C71" s="452"/>
      <c r="D71" s="452"/>
      <c r="E71" s="452"/>
    </row>
    <row r="72" spans="1:6">
      <c r="A72" s="452"/>
      <c r="B72" s="452"/>
      <c r="C72" s="452"/>
      <c r="D72" s="452"/>
    </row>
  </sheetData>
  <mergeCells count="5">
    <mergeCell ref="B12:F12"/>
    <mergeCell ref="B16:E16"/>
    <mergeCell ref="B18:E18"/>
    <mergeCell ref="A54:B54"/>
    <mergeCell ref="B4:F4"/>
  </mergeCell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BE6A0-4D70-4AFE-8F28-2605CAE77EA4}">
  <dimension ref="A1:A6"/>
  <sheetViews>
    <sheetView workbookViewId="0"/>
  </sheetViews>
  <sheetFormatPr defaultColWidth="11" defaultRowHeight="14.25"/>
  <cols>
    <col min="1" max="1" width="48.75" bestFit="1" customWidth="1"/>
  </cols>
  <sheetData>
    <row r="1" spans="1:1" ht="15">
      <c r="A1" s="17" t="s">
        <v>565</v>
      </c>
    </row>
    <row r="2" spans="1:1">
      <c r="A2" t="s">
        <v>566</v>
      </c>
    </row>
    <row r="3" spans="1:1">
      <c r="A3" t="s">
        <v>490</v>
      </c>
    </row>
    <row r="4" spans="1:1">
      <c r="A4" t="s">
        <v>567</v>
      </c>
    </row>
    <row r="5" spans="1:1">
      <c r="A5" t="s">
        <v>568</v>
      </c>
    </row>
    <row r="6" spans="1:1">
      <c r="A6" t="s">
        <v>569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c67b653-7cc5-4112-babc-ae68adaaae44">
      <UserInfo>
        <DisplayName/>
        <AccountId xsi:nil="true"/>
        <AccountType/>
      </UserInfo>
    </SharedWithUsers>
    <MediaLengthInSeconds xmlns="0a054503-ebef-4791-9347-b41ce582d95d" xsi:nil="true"/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CANTIDAD xmlns="0a054503-ebef-4791-9347-b41ce582d95d" xsi:nil="true"/>
    <_Flow_SignoffStatus xmlns="0a054503-ebef-4791-9347-b41ce582d95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D33FB7-DC3F-43EA-9D71-AF728A0290CB}"/>
</file>

<file path=customXml/itemProps2.xml><?xml version="1.0" encoding="utf-8"?>
<ds:datastoreItem xmlns:ds="http://schemas.openxmlformats.org/officeDocument/2006/customXml" ds:itemID="{9B96798C-215A-4AAE-8A7C-49E112E56357}"/>
</file>

<file path=customXml/itemProps3.xml><?xml version="1.0" encoding="utf-8"?>
<ds:datastoreItem xmlns:ds="http://schemas.openxmlformats.org/officeDocument/2006/customXml" ds:itemID="{9722FB03-4503-4B0D-B7CB-0A4012E51F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Patricia Rocha Rodriguez</dc:creator>
  <cp:keywords/>
  <dc:description/>
  <cp:lastModifiedBy>Diana Maritza Paredes Valbuena</cp:lastModifiedBy>
  <cp:revision/>
  <dcterms:created xsi:type="dcterms:W3CDTF">2020-10-01T14:08:44Z</dcterms:created>
  <dcterms:modified xsi:type="dcterms:W3CDTF">2022-12-07T21:10:27Z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82954000</vt:r8>
  </property>
  <property fmtid="{D5CDD505-2E9C-101B-9397-08002B2CF9AE}" pid="3" name="ContentTypeId">
    <vt:lpwstr>0x010100B7EEF6BC470BA54C8318C4CA99A1D526</vt:lpwstr>
  </property>
  <property fmtid="{D5CDD505-2E9C-101B-9397-08002B2CF9AE}" pid="4" name="ComplianceAssetId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